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inclaustre/Desktop/TFE/TFE Bois/Production/Conception/"/>
    </mc:Choice>
  </mc:AlternateContent>
  <xr:revisionPtr revIDLastSave="0" documentId="8_{B12731EB-64F2-8540-BDDB-37F4D60C7BDA}" xr6:coauthVersionLast="47" xr6:coauthVersionMax="47" xr10:uidLastSave="{00000000-0000-0000-0000-000000000000}"/>
  <bookViews>
    <workbookView xWindow="0" yWindow="460" windowWidth="25600" windowHeight="14860" activeTab="6" xr2:uid="{3B4962D3-E085-E64C-A92D-6F0CF2607C8C}"/>
  </bookViews>
  <sheets>
    <sheet name="Combinaison des charges ELU" sheetId="2" r:id="rId1"/>
    <sheet name="Combinaison des charges ELS" sheetId="9" r:id="rId2"/>
    <sheet name="Sortie resistance " sheetId="3" r:id="rId3"/>
    <sheet name="Flèche" sheetId="4" r:id="rId4"/>
    <sheet name="Verification" sheetId="5" r:id="rId5"/>
    <sheet name="flambement bis" sheetId="8" r:id="rId6"/>
    <sheet name="efforts maximaux" sheetId="7" r:id="rId7"/>
    <sheet name="Diver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5" l="1"/>
  <c r="M44" i="5"/>
  <c r="M43" i="5"/>
  <c r="D20" i="4"/>
  <c r="D19" i="4"/>
  <c r="F20" i="4"/>
  <c r="F19" i="4"/>
  <c r="D13" i="4"/>
  <c r="D14" i="4"/>
  <c r="D7" i="4"/>
  <c r="D8" i="4"/>
  <c r="K15" i="6"/>
  <c r="F15" i="6"/>
  <c r="G15" i="6"/>
  <c r="H15" i="6"/>
  <c r="I15" i="6"/>
  <c r="J15" i="6"/>
  <c r="E15" i="6"/>
  <c r="O69" i="9"/>
  <c r="O68" i="9"/>
  <c r="O67" i="9"/>
  <c r="N63" i="9"/>
  <c r="N61" i="9"/>
  <c r="N60" i="9"/>
  <c r="F11" i="6"/>
  <c r="G11" i="6"/>
  <c r="H11" i="6"/>
  <c r="I11" i="6"/>
  <c r="J11" i="6"/>
  <c r="K11" i="6"/>
  <c r="E11" i="6"/>
  <c r="P36" i="5"/>
  <c r="P18" i="5"/>
  <c r="N66" i="5"/>
  <c r="P9" i="5"/>
  <c r="E86" i="9"/>
  <c r="D86" i="9"/>
  <c r="F86" i="9" s="1"/>
  <c r="C86" i="9"/>
  <c r="E85" i="9"/>
  <c r="D85" i="9"/>
  <c r="C85" i="9"/>
  <c r="D80" i="9"/>
  <c r="C80" i="9"/>
  <c r="E73" i="9"/>
  <c r="D73" i="9"/>
  <c r="E72" i="9"/>
  <c r="D72" i="9"/>
  <c r="E71" i="9"/>
  <c r="D71" i="9"/>
  <c r="H70" i="9"/>
  <c r="C73" i="9" s="1"/>
  <c r="H65" i="9"/>
  <c r="E64" i="9" s="1"/>
  <c r="E65" i="9"/>
  <c r="D64" i="9"/>
  <c r="D63" i="9"/>
  <c r="H62" i="9"/>
  <c r="E40" i="9"/>
  <c r="D40" i="9"/>
  <c r="E39" i="9"/>
  <c r="D39" i="9"/>
  <c r="E38" i="9"/>
  <c r="D38" i="9"/>
  <c r="C38" i="9"/>
  <c r="I37" i="9"/>
  <c r="C39" i="9" s="1"/>
  <c r="F39" i="9" s="1"/>
  <c r="E30" i="9"/>
  <c r="D30" i="9"/>
  <c r="F30" i="9" s="1"/>
  <c r="C30" i="9"/>
  <c r="E29" i="9"/>
  <c r="D29" i="9"/>
  <c r="C29" i="9"/>
  <c r="E28" i="9"/>
  <c r="D28" i="9"/>
  <c r="C28" i="9"/>
  <c r="E22" i="9"/>
  <c r="D22" i="9"/>
  <c r="C22" i="9"/>
  <c r="E21" i="9"/>
  <c r="D21" i="9"/>
  <c r="C21" i="9"/>
  <c r="E20" i="9"/>
  <c r="D20" i="9"/>
  <c r="C20" i="9"/>
  <c r="V14" i="9"/>
  <c r="U14" i="9"/>
  <c r="T14" i="9"/>
  <c r="S14" i="9"/>
  <c r="R14" i="9"/>
  <c r="Q14" i="9"/>
  <c r="P14" i="9"/>
  <c r="E14" i="9"/>
  <c r="D14" i="9"/>
  <c r="C14" i="9"/>
  <c r="E13" i="9"/>
  <c r="D13" i="9"/>
  <c r="C13" i="9"/>
  <c r="E12" i="9"/>
  <c r="D12" i="9"/>
  <c r="C12" i="9"/>
  <c r="F12" i="9" s="1"/>
  <c r="I6" i="9"/>
  <c r="E4" i="9" s="1"/>
  <c r="E6" i="9"/>
  <c r="E5" i="9"/>
  <c r="D5" i="9"/>
  <c r="D4" i="9"/>
  <c r="I3" i="9"/>
  <c r="C6" i="9" s="1"/>
  <c r="L34" i="5"/>
  <c r="Q34" i="5" s="1"/>
  <c r="O53" i="5"/>
  <c r="O41" i="5"/>
  <c r="L55" i="5"/>
  <c r="M53" i="5"/>
  <c r="M57" i="5"/>
  <c r="M37" i="8"/>
  <c r="L35" i="8"/>
  <c r="M35" i="8" s="1"/>
  <c r="M36" i="8" s="1"/>
  <c r="M38" i="8" s="1"/>
  <c r="M39" i="8" s="1"/>
  <c r="M40" i="8" s="1"/>
  <c r="O37" i="8" s="1"/>
  <c r="M33" i="8"/>
  <c r="L28" i="8"/>
  <c r="Q28" i="8" s="1"/>
  <c r="B28" i="8"/>
  <c r="G28" i="8" s="1"/>
  <c r="Q27" i="8"/>
  <c r="G27" i="8"/>
  <c r="Q26" i="8"/>
  <c r="O35" i="8" s="1"/>
  <c r="G26" i="8"/>
  <c r="L21" i="8"/>
  <c r="Q21" i="8" s="1"/>
  <c r="B21" i="8"/>
  <c r="G21" i="8" s="1"/>
  <c r="Q20" i="8"/>
  <c r="G20" i="8"/>
  <c r="Q19" i="8"/>
  <c r="G19" i="8"/>
  <c r="L14" i="8"/>
  <c r="Q14" i="8" s="1"/>
  <c r="B14" i="8"/>
  <c r="G14" i="8" s="1"/>
  <c r="Q13" i="8"/>
  <c r="G13" i="8"/>
  <c r="Q12" i="8"/>
  <c r="G12" i="8"/>
  <c r="L7" i="8"/>
  <c r="Q7" i="8" s="1"/>
  <c r="B7" i="8"/>
  <c r="G7" i="8" s="1"/>
  <c r="Q6" i="8"/>
  <c r="G6" i="8"/>
  <c r="Q5" i="8"/>
  <c r="G5" i="8"/>
  <c r="K7" i="6"/>
  <c r="J7" i="6"/>
  <c r="I7" i="6"/>
  <c r="H7" i="6"/>
  <c r="G7" i="6"/>
  <c r="F7" i="6"/>
  <c r="E7" i="6"/>
  <c r="E86" i="2"/>
  <c r="E85" i="2"/>
  <c r="D86" i="2"/>
  <c r="D85" i="2"/>
  <c r="C86" i="2"/>
  <c r="C85" i="2"/>
  <c r="C80" i="2"/>
  <c r="D80" i="2"/>
  <c r="E73" i="2"/>
  <c r="E72" i="2"/>
  <c r="E71" i="2"/>
  <c r="D72" i="2"/>
  <c r="D73" i="2"/>
  <c r="D71" i="2"/>
  <c r="C71" i="2"/>
  <c r="E6" i="2"/>
  <c r="E65" i="2"/>
  <c r="D64" i="2"/>
  <c r="D63" i="2"/>
  <c r="D4" i="2"/>
  <c r="C64" i="2"/>
  <c r="C65" i="2"/>
  <c r="M45" i="5"/>
  <c r="M41" i="5"/>
  <c r="Q14" i="2"/>
  <c r="R14" i="2"/>
  <c r="S14" i="2"/>
  <c r="T14" i="2"/>
  <c r="U14" i="2"/>
  <c r="V14" i="2"/>
  <c r="P14" i="2"/>
  <c r="D42" i="3"/>
  <c r="E42" i="3"/>
  <c r="F42" i="3"/>
  <c r="G42" i="3"/>
  <c r="H42" i="3"/>
  <c r="C42" i="3"/>
  <c r="D35" i="3"/>
  <c r="E35" i="3"/>
  <c r="F35" i="3"/>
  <c r="G35" i="3"/>
  <c r="H35" i="3"/>
  <c r="C35" i="3"/>
  <c r="H70" i="2"/>
  <c r="C73" i="2" s="1"/>
  <c r="I37" i="2"/>
  <c r="H65" i="2"/>
  <c r="D65" i="2" s="1"/>
  <c r="H62" i="2"/>
  <c r="C63" i="2" s="1"/>
  <c r="I6" i="2"/>
  <c r="I3" i="2"/>
  <c r="Q33" i="5"/>
  <c r="Q32" i="5"/>
  <c r="O43" i="5" s="1"/>
  <c r="L25" i="5"/>
  <c r="Q25" i="5" s="1"/>
  <c r="Q24" i="5"/>
  <c r="Q23" i="5"/>
  <c r="L16" i="5"/>
  <c r="Q16" i="5" s="1"/>
  <c r="Q15" i="5"/>
  <c r="Q14" i="5"/>
  <c r="O55" i="5" s="1"/>
  <c r="L7" i="5"/>
  <c r="Q7" i="5" s="1"/>
  <c r="Q6" i="5"/>
  <c r="Q5" i="5"/>
  <c r="P27" i="5" l="1"/>
  <c r="N65" i="5"/>
  <c r="N68" i="5"/>
  <c r="N67" i="5"/>
  <c r="D6" i="9"/>
  <c r="F29" i="9"/>
  <c r="C40" i="9"/>
  <c r="F40" i="9" s="1"/>
  <c r="F14" i="9"/>
  <c r="F6" i="9"/>
  <c r="F13" i="9"/>
  <c r="F38" i="9"/>
  <c r="F85" i="9"/>
  <c r="E64" i="2"/>
  <c r="F64" i="2"/>
  <c r="C72" i="2"/>
  <c r="F72" i="2" s="1"/>
  <c r="E63" i="2"/>
  <c r="F73" i="9"/>
  <c r="F22" i="9"/>
  <c r="F21" i="9"/>
  <c r="F20" i="9"/>
  <c r="F28" i="9"/>
  <c r="C63" i="9"/>
  <c r="C64" i="9"/>
  <c r="F64" i="9" s="1"/>
  <c r="C65" i="9"/>
  <c r="D65" i="9"/>
  <c r="C4" i="9"/>
  <c r="F4" i="9" s="1"/>
  <c r="C5" i="9"/>
  <c r="F5" i="9" s="1"/>
  <c r="E63" i="9"/>
  <c r="C71" i="9"/>
  <c r="F71" i="9" s="1"/>
  <c r="C72" i="9"/>
  <c r="F72" i="9" s="1"/>
  <c r="F63" i="2"/>
  <c r="F71" i="2"/>
  <c r="F86" i="2"/>
  <c r="F73" i="2"/>
  <c r="F65" i="2"/>
  <c r="M55" i="5"/>
  <c r="M56" i="5" s="1"/>
  <c r="M58" i="5" s="1"/>
  <c r="M59" i="5" s="1"/>
  <c r="M60" i="5" s="1"/>
  <c r="O57" i="5" s="1"/>
  <c r="O59" i="5" s="1"/>
  <c r="O39" i="8"/>
  <c r="M46" i="5"/>
  <c r="M47" i="5" s="1"/>
  <c r="M48" i="5" s="1"/>
  <c r="O45" i="5" s="1"/>
  <c r="O47" i="5" s="1"/>
  <c r="F85" i="2"/>
  <c r="B34" i="5"/>
  <c r="G34" i="5" s="1"/>
  <c r="G33" i="5"/>
  <c r="G32" i="5"/>
  <c r="B25" i="5"/>
  <c r="G25" i="5" s="1"/>
  <c r="G24" i="5"/>
  <c r="G23" i="5"/>
  <c r="E30" i="2"/>
  <c r="B16" i="5"/>
  <c r="G16" i="5" s="1"/>
  <c r="G15" i="5"/>
  <c r="G14" i="5"/>
  <c r="G6" i="5"/>
  <c r="G5" i="5"/>
  <c r="B7" i="5"/>
  <c r="G7" i="5" s="1"/>
  <c r="D27" i="3"/>
  <c r="E27" i="3"/>
  <c r="F27" i="3"/>
  <c r="G27" i="3"/>
  <c r="H27" i="3"/>
  <c r="C27" i="3"/>
  <c r="C29" i="2"/>
  <c r="C30" i="2"/>
  <c r="C28" i="2"/>
  <c r="C20" i="2"/>
  <c r="C39" i="2"/>
  <c r="C40" i="2"/>
  <c r="C38" i="2"/>
  <c r="C21" i="2"/>
  <c r="C22" i="2"/>
  <c r="E40" i="2"/>
  <c r="D40" i="2"/>
  <c r="E39" i="2"/>
  <c r="D39" i="2"/>
  <c r="E38" i="2"/>
  <c r="D38" i="2"/>
  <c r="D6" i="2"/>
  <c r="C6" i="2"/>
  <c r="F65" i="9" l="1"/>
  <c r="F63" i="9"/>
  <c r="F38" i="2"/>
  <c r="F39" i="2"/>
  <c r="F40" i="2"/>
  <c r="E21" i="2"/>
  <c r="D22" i="2"/>
  <c r="D14" i="2"/>
  <c r="C14" i="2"/>
  <c r="C13" i="2"/>
  <c r="C12" i="2"/>
  <c r="D30" i="2"/>
  <c r="E29" i="2"/>
  <c r="D29" i="2"/>
  <c r="E28" i="2"/>
  <c r="D28" i="2"/>
  <c r="E22" i="2"/>
  <c r="D21" i="2"/>
  <c r="E20" i="2"/>
  <c r="D20" i="2"/>
  <c r="F20" i="2" l="1"/>
  <c r="F29" i="2"/>
  <c r="F28" i="2"/>
  <c r="F30" i="2"/>
  <c r="F21" i="2"/>
  <c r="F22" i="2"/>
  <c r="E14" i="2"/>
  <c r="E13" i="2"/>
  <c r="D13" i="2"/>
  <c r="E12" i="2"/>
  <c r="D12" i="2"/>
  <c r="F14" i="2" l="1"/>
  <c r="F13" i="2"/>
  <c r="F12" i="2"/>
  <c r="D20" i="3"/>
  <c r="E20" i="3"/>
  <c r="F20" i="3"/>
  <c r="G20" i="3"/>
  <c r="H20" i="3"/>
  <c r="C20" i="3"/>
  <c r="C5" i="2"/>
  <c r="C4" i="2"/>
  <c r="E5" i="2"/>
  <c r="E4" i="2"/>
  <c r="D5" i="2"/>
  <c r="F6" i="2" l="1"/>
  <c r="F5" i="2"/>
  <c r="F4" i="2"/>
</calcChain>
</file>

<file path=xl/sharedStrings.xml><?xml version="1.0" encoding="utf-8"?>
<sst xmlns="http://schemas.openxmlformats.org/spreadsheetml/2006/main" count="843" uniqueCount="170">
  <si>
    <t>Poutre de plancher</t>
  </si>
  <si>
    <t xml:space="preserve">Bracon </t>
  </si>
  <si>
    <t xml:space="preserve">Vent </t>
  </si>
  <si>
    <t>Neige</t>
  </si>
  <si>
    <t>Exploitation</t>
  </si>
  <si>
    <t>Permanente</t>
  </si>
  <si>
    <t>dominante</t>
  </si>
  <si>
    <t>Vent</t>
  </si>
  <si>
    <t>Psi</t>
  </si>
  <si>
    <t>/</t>
  </si>
  <si>
    <t>ɣG</t>
  </si>
  <si>
    <t>ɣQ</t>
  </si>
  <si>
    <t>Valeur</t>
  </si>
  <si>
    <t xml:space="preserve">Total </t>
  </si>
  <si>
    <t>Calculs</t>
  </si>
  <si>
    <t>C24</t>
  </si>
  <si>
    <t>f,m,k</t>
  </si>
  <si>
    <t>f,t,o,k</t>
  </si>
  <si>
    <t>f,t,90,k</t>
  </si>
  <si>
    <t>f,c,o,k</t>
  </si>
  <si>
    <t>f,c,90,k</t>
  </si>
  <si>
    <t>f,v,k</t>
  </si>
  <si>
    <t>E,o,moy</t>
  </si>
  <si>
    <t>E,90,moy</t>
  </si>
  <si>
    <t>G,moy</t>
  </si>
  <si>
    <t>Roh</t>
  </si>
  <si>
    <t>f,m,d</t>
  </si>
  <si>
    <t>f,t,o,d</t>
  </si>
  <si>
    <t>f,t,90,d</t>
  </si>
  <si>
    <t>f,c,o,d</t>
  </si>
  <si>
    <t>f,c,90,d</t>
  </si>
  <si>
    <t>f,v,d</t>
  </si>
  <si>
    <t xml:space="preserve">Plancher interieur </t>
  </si>
  <si>
    <t>Valeur (kN/m2)</t>
  </si>
  <si>
    <t xml:space="preserve">Terrasse extérieure </t>
  </si>
  <si>
    <t xml:space="preserve">Combinaison des charges normales appliquée à la Toiture </t>
  </si>
  <si>
    <t xml:space="preserve">Combinaison des charges parrallèles appliquée à la Toiture </t>
  </si>
  <si>
    <t xml:space="preserve">Combinaison des charges pour la terrasse exterieure </t>
  </si>
  <si>
    <t>Résitance de calcul montant (douglas C24)</t>
  </si>
  <si>
    <t>Sollicitations :</t>
  </si>
  <si>
    <t>Traction parrallèle aux fibres</t>
  </si>
  <si>
    <t xml:space="preserve">Flexion simple </t>
  </si>
  <si>
    <t>Cisaillement</t>
  </si>
  <si>
    <t xml:space="preserve">Resistance de calcul </t>
  </si>
  <si>
    <t>Valeurs maximales des contraintes (Newton ou Nm)</t>
  </si>
  <si>
    <t>Effort normal (N)</t>
  </si>
  <si>
    <t>Moment flechissant (Nm)</t>
  </si>
  <si>
    <t xml:space="preserve">b (largeur en mm) </t>
  </si>
  <si>
    <t xml:space="preserve">h (hauteur en mm) </t>
  </si>
  <si>
    <t xml:space="preserve">Module de section (cm3) </t>
  </si>
  <si>
    <t xml:space="preserve">Valeurs calculées </t>
  </si>
  <si>
    <t>Effort tranchant (T)</t>
  </si>
  <si>
    <t xml:space="preserve">Bracon soutenant la structure </t>
  </si>
  <si>
    <t>OK</t>
  </si>
  <si>
    <t>Poutre de toiture (douglas C24)</t>
  </si>
  <si>
    <t>Montant de paroi verticale (douglas C24)</t>
  </si>
  <si>
    <t xml:space="preserve">Poutre de plancher et encorbellement (douglas C24) </t>
  </si>
  <si>
    <t>Résistance de calcul poutre de toiture (douglas C24)</t>
  </si>
  <si>
    <t>Résistance de calcul (MPa)</t>
  </si>
  <si>
    <t xml:space="preserve">Résistance de calcul (MPa) </t>
  </si>
  <si>
    <t>Surfaces (m2)</t>
  </si>
  <si>
    <t>Charge associée (kN)</t>
  </si>
  <si>
    <t xml:space="preserve">Calculatoire </t>
  </si>
  <si>
    <t>Logiciel (RDM6)</t>
  </si>
  <si>
    <t>Effort Normal (N) (N)</t>
  </si>
  <si>
    <t>Effort tranchant (T) (N)</t>
  </si>
  <si>
    <t>Compression parrallèle aux fibres</t>
  </si>
  <si>
    <t>Bracon soutenant la structure (douglas C24)</t>
  </si>
  <si>
    <t xml:space="preserve">Module de flexion élastique (cm3) </t>
  </si>
  <si>
    <t>Types de contraintes</t>
  </si>
  <si>
    <t>Charge dominante</t>
  </si>
  <si>
    <r>
      <t>Total (kN/m</t>
    </r>
    <r>
      <rPr>
        <vertAlign val="superscript"/>
        <sz val="12"/>
        <color theme="1"/>
        <rFont val="Calibri (Corps)"/>
      </rPr>
      <t>2</t>
    </r>
    <r>
      <rPr>
        <sz val="12"/>
        <color theme="1"/>
        <rFont val="Calibri (Corps)"/>
      </rPr>
      <t>)</t>
    </r>
  </si>
  <si>
    <r>
      <t>Valeurs (kN/m</t>
    </r>
    <r>
      <rPr>
        <vertAlign val="super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>)</t>
    </r>
  </si>
  <si>
    <t>ѱ</t>
  </si>
  <si>
    <t>Résitance de calcul poutre de plancher (douglas C24)</t>
  </si>
  <si>
    <t>Résitance de calcul bracon (douglas C24)</t>
  </si>
  <si>
    <t>Cisaillement (Kcr = 0.67)</t>
  </si>
  <si>
    <t xml:space="preserve">Inertie </t>
  </si>
  <si>
    <t>rayon de giration</t>
  </si>
  <si>
    <t>Longueur (cm)</t>
  </si>
  <si>
    <t>ƛ</t>
  </si>
  <si>
    <t>ƛe</t>
  </si>
  <si>
    <t>ƛ relatif</t>
  </si>
  <si>
    <t>Kc</t>
  </si>
  <si>
    <t>Valeur maximale des solicitations
 (Newton)</t>
  </si>
  <si>
    <t xml:space="preserve">resistance de calcul </t>
  </si>
  <si>
    <t xml:space="preserve">Taux de travail </t>
  </si>
  <si>
    <t>K</t>
  </si>
  <si>
    <t>Effort Normal (N) (Newton)</t>
  </si>
  <si>
    <t>Type de contrainte</t>
  </si>
  <si>
    <t>Valeurs calculées</t>
  </si>
  <si>
    <r>
      <t>Aire de section (cm</t>
    </r>
    <r>
      <rPr>
        <vertAlign val="superscript"/>
        <sz val="12"/>
        <color theme="1"/>
        <rFont val="Calibri (Corps)"/>
      </rPr>
      <t>2</t>
    </r>
    <r>
      <rPr>
        <sz val="12"/>
        <color theme="1"/>
        <rFont val="Calibri"/>
        <family val="2"/>
        <scheme val="minor"/>
      </rPr>
      <t>)</t>
    </r>
  </si>
  <si>
    <t xml:space="preserve">Flambement - Bracon soutenant la structure (douglas C24) </t>
  </si>
  <si>
    <t>Critère de flexion composée</t>
  </si>
  <si>
    <t xml:space="preserve">élément </t>
  </si>
  <si>
    <t>Poutre de toiture</t>
  </si>
  <si>
    <t>Montant</t>
  </si>
  <si>
    <t>Calcul de Vérification</t>
  </si>
  <si>
    <t>Critère a ne pas depasser</t>
  </si>
  <si>
    <t>Combinaison des charges normales appliquées à la Toiture (ELU)</t>
  </si>
  <si>
    <t>Combinaison des charges parallèles appliquées à la Toiture (ELU)</t>
  </si>
  <si>
    <t>Combinaison des charges appliquées au plancher intérieur (ELU)</t>
  </si>
  <si>
    <t>Combinaison des charges pour la terrasse extérieure et la coursive (ELU)</t>
  </si>
  <si>
    <r>
      <t>Surfaces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</si>
  <si>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Effort Normal</t>
  </si>
  <si>
    <t xml:space="preserve">Effort Tranchant </t>
  </si>
  <si>
    <t>4.97 kN.m</t>
  </si>
  <si>
    <t>5.50 kN</t>
  </si>
  <si>
    <t>4.21 kN</t>
  </si>
  <si>
    <t>Moment fléchissant</t>
  </si>
  <si>
    <t>Montant de paroi - Efforts maximaux</t>
  </si>
  <si>
    <t>Poutre de toiture - Efforts maximaux</t>
  </si>
  <si>
    <t>1.45 kN.m</t>
  </si>
  <si>
    <t>9.49 kN</t>
  </si>
  <si>
    <t>2.53 kN</t>
  </si>
  <si>
    <t>Poutre de plancher - Efforts maximaux</t>
  </si>
  <si>
    <t>10.78 kN.m</t>
  </si>
  <si>
    <t>83.76 kN</t>
  </si>
  <si>
    <t>16.76 kN</t>
  </si>
  <si>
    <t>Bracon - Efforts maximaux</t>
  </si>
  <si>
    <t>0.13 kN.m</t>
  </si>
  <si>
    <t>100.64 kN</t>
  </si>
  <si>
    <t>0.14 kN</t>
  </si>
  <si>
    <t>Valeurs maximales des sollicitations
 (Newton ou Nm)</t>
  </si>
  <si>
    <t>Moment fléchissant (M) (N.m)</t>
  </si>
  <si>
    <t>Traction parallèle aux fibres</t>
  </si>
  <si>
    <t>Compression parallèle aux fibres</t>
  </si>
  <si>
    <t xml:space="preserve">Résistance de calcul </t>
  </si>
  <si>
    <t xml:space="preserve">Flambement - Montant de paroi verticale (douglas C24) </t>
  </si>
  <si>
    <t>VF ELU</t>
  </si>
  <si>
    <t>Combinaison des charges normales appliquées à la Toiture (ELS)</t>
  </si>
  <si>
    <t>Combinaison des charges parallèles appliquées à la Toiture (ELS)</t>
  </si>
  <si>
    <t>Combinaison des charges appliquées au plancher intérieur (ELS)</t>
  </si>
  <si>
    <t>Combinaison des charges pour la terrasse extérieure et la coursive (ELS)</t>
  </si>
  <si>
    <t>Critère de flexion composée (flexion et compression)</t>
  </si>
  <si>
    <t>Critère de flexion composée (flexion et traction)</t>
  </si>
  <si>
    <t>Calcul de vérification</t>
  </si>
  <si>
    <t>Critère a ne pas dépasser</t>
  </si>
  <si>
    <t>VF ELS Rare</t>
  </si>
  <si>
    <t>Quasi permanente ELS</t>
  </si>
  <si>
    <t>Toiture perp</t>
  </si>
  <si>
    <t>Toiture //</t>
  </si>
  <si>
    <t>Plancher</t>
  </si>
  <si>
    <t>Charge normale toiture</t>
  </si>
  <si>
    <t>Charge parallèle toiture</t>
  </si>
  <si>
    <t>Charge plancher exterieur</t>
  </si>
  <si>
    <t>Charges quasi-permanentes pour le calcul de Ucreep</t>
  </si>
  <si>
    <t>ELS rare</t>
  </si>
  <si>
    <t>ELS QP</t>
  </si>
  <si>
    <t xml:space="preserve">Poutre de toiture </t>
  </si>
  <si>
    <t>Eléments</t>
  </si>
  <si>
    <t>Longueur de poutre (m)</t>
  </si>
  <si>
    <r>
      <rPr>
        <sz val="12"/>
        <color theme="1"/>
        <rFont val="Calibri (Corps)"/>
      </rPr>
      <t>Flèche instantannée U</t>
    </r>
    <r>
      <rPr>
        <vertAlign val="subscript"/>
        <sz val="12"/>
        <color theme="1"/>
        <rFont val="Calibri (Corps)"/>
      </rPr>
      <t xml:space="preserve">inst </t>
    </r>
  </si>
  <si>
    <t xml:space="preserve">Position sur l'axe x (m) </t>
  </si>
  <si>
    <t>Deplacement max sur l'axe y (m)</t>
  </si>
  <si>
    <r>
      <rPr>
        <sz val="12"/>
        <color theme="1"/>
        <rFont val="Calibri (Corps)"/>
      </rPr>
      <t>Flèche de fluage U</t>
    </r>
    <r>
      <rPr>
        <vertAlign val="subscript"/>
        <sz val="12"/>
        <color theme="1"/>
        <rFont val="Calibri (Corps)"/>
      </rPr>
      <t>creep</t>
    </r>
  </si>
  <si>
    <r>
      <rPr>
        <sz val="12"/>
        <color theme="1"/>
        <rFont val="Calibri (Corps)"/>
      </rPr>
      <t>Verification de la flèche final U</t>
    </r>
    <r>
      <rPr>
        <vertAlign val="subscript"/>
        <sz val="12"/>
        <color theme="1"/>
        <rFont val="Calibri (Corps)"/>
      </rPr>
      <t>fin</t>
    </r>
  </si>
  <si>
    <t>Limite (L/150)</t>
  </si>
  <si>
    <t>Longueur de flambement Lf</t>
  </si>
  <si>
    <t>Liaision aux extrémités</t>
  </si>
  <si>
    <t>Encastré-Encastré</t>
  </si>
  <si>
    <t>Encastré-articulé</t>
  </si>
  <si>
    <t>Articulé-Encastré</t>
  </si>
  <si>
    <t>Articulé-Articulé</t>
  </si>
  <si>
    <t>Encastré-Libre</t>
  </si>
  <si>
    <t>Libre encastré</t>
  </si>
  <si>
    <t>L/2</t>
  </si>
  <si>
    <t>√2/2*L</t>
  </si>
  <si>
    <t>L</t>
  </si>
  <si>
    <t>2*L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</si>
</sst>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color theme="1"/>
      <name val="Calibri (Corps)"/>
    </font>
    <font>
      <sz val="12"/>
      <color theme="1"/>
      <name val="Calibri (Corps)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vertAlign val="subscript"/>
      <sz val="12"/>
      <color theme="1"/>
      <name val="Calibri (Corps)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/>
    <xf numFmtId="165" fontId="2" fillId="0" borderId="23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5" borderId="0" xfId="0" applyFill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164" fontId="0" fillId="0" borderId="35" xfId="0" applyNumberFormat="1" applyBorder="1" applyAlignment="1">
      <alignment horizontal="center" vertical="center" wrapText="1"/>
    </xf>
    <xf numFmtId="2" fontId="0" fillId="0" borderId="35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FB1F-DCB2-254D-83C5-3032EDC16D06}">
  <dimension ref="B2:V86"/>
  <sheetViews>
    <sheetView topLeftCell="A48" workbookViewId="0">
      <selection activeCell="K98" sqref="K98"/>
    </sheetView>
  </sheetViews>
  <sheetFormatPr baseColWidth="10" defaultRowHeight="16" x14ac:dyDescent="0.2"/>
  <cols>
    <col min="9" max="9" width="14" bestFit="1" customWidth="1"/>
    <col min="11" max="11" width="5.83203125" customWidth="1"/>
    <col min="12" max="12" width="5.6640625" customWidth="1"/>
    <col min="15" max="15" width="18.1640625" bestFit="1" customWidth="1"/>
    <col min="16" max="16" width="6.5" bestFit="1" customWidth="1"/>
    <col min="17" max="20" width="5.1640625" bestFit="1" customWidth="1"/>
    <col min="21" max="21" width="5.6640625" bestFit="1" customWidth="1"/>
    <col min="22" max="22" width="5.1640625" bestFit="1" customWidth="1"/>
  </cols>
  <sheetData>
    <row r="2" spans="2:22" x14ac:dyDescent="0.2">
      <c r="B2" s="136" t="s">
        <v>35</v>
      </c>
      <c r="C2" s="136"/>
      <c r="D2" s="136"/>
      <c r="E2" s="136"/>
      <c r="F2" s="136"/>
      <c r="H2" s="4"/>
      <c r="I2" s="4" t="s">
        <v>33</v>
      </c>
      <c r="J2" s="4" t="s">
        <v>8</v>
      </c>
    </row>
    <row r="3" spans="2:22" x14ac:dyDescent="0.2">
      <c r="B3" s="4" t="s">
        <v>6</v>
      </c>
      <c r="C3" s="136" t="s">
        <v>14</v>
      </c>
      <c r="D3" s="136"/>
      <c r="E3" s="136"/>
      <c r="F3" s="4" t="s">
        <v>13</v>
      </c>
      <c r="H3" s="4" t="s">
        <v>5</v>
      </c>
      <c r="I3" s="44">
        <f>0.45*0.89</f>
        <v>0.40050000000000002</v>
      </c>
      <c r="J3" s="4" t="s">
        <v>9</v>
      </c>
      <c r="O3" s="12"/>
      <c r="P3" s="12" t="s">
        <v>12</v>
      </c>
      <c r="Q3" s="12" t="s">
        <v>8</v>
      </c>
      <c r="R3" s="12" t="s">
        <v>10</v>
      </c>
      <c r="S3" s="12" t="s">
        <v>11</v>
      </c>
      <c r="T3" s="23" t="s">
        <v>10</v>
      </c>
      <c r="U3" s="11">
        <v>1.35</v>
      </c>
    </row>
    <row r="4" spans="2:22" x14ac:dyDescent="0.2">
      <c r="B4" s="4" t="s">
        <v>7</v>
      </c>
      <c r="C4" s="4">
        <f>$M$4*$I$3</f>
        <v>0.54067500000000002</v>
      </c>
      <c r="D4" s="4">
        <f>1.5*I4</f>
        <v>1.2000000000000002</v>
      </c>
      <c r="E4" s="4">
        <f>1.5*J5*I5+1.5*I6*J6</f>
        <v>0.36749999999999999</v>
      </c>
      <c r="F4" s="44">
        <f>SUM(C4:E4)</f>
        <v>2.1081750000000001</v>
      </c>
      <c r="H4" s="4" t="s">
        <v>2</v>
      </c>
      <c r="I4" s="44">
        <v>0.8</v>
      </c>
      <c r="J4" s="4">
        <v>0.6</v>
      </c>
      <c r="L4" s="10" t="s">
        <v>10</v>
      </c>
      <c r="M4" s="10">
        <v>1.35</v>
      </c>
      <c r="O4" s="12" t="s">
        <v>5</v>
      </c>
      <c r="P4" s="24">
        <v>0.4</v>
      </c>
      <c r="Q4" s="12" t="s">
        <v>9</v>
      </c>
      <c r="R4" s="136">
        <v>1.35</v>
      </c>
      <c r="S4" s="136">
        <v>1.5</v>
      </c>
      <c r="T4" s="23" t="s">
        <v>11</v>
      </c>
      <c r="U4" s="11">
        <v>1.5</v>
      </c>
    </row>
    <row r="5" spans="2:22" ht="17" thickBot="1" x14ac:dyDescent="0.25">
      <c r="B5" s="4" t="s">
        <v>3</v>
      </c>
      <c r="C5" s="4">
        <f>$M$4*$I$3</f>
        <v>0.54067500000000002</v>
      </c>
      <c r="D5" s="4">
        <f>1.5*I5</f>
        <v>0.73499999999999999</v>
      </c>
      <c r="E5" s="4">
        <f>(1.5*J4*I4)+(1.5*I6*J6)</f>
        <v>0.72</v>
      </c>
      <c r="F5" s="52">
        <f>SUM(C5:E5)</f>
        <v>1.9956750000000001</v>
      </c>
      <c r="H5" s="4" t="s">
        <v>3</v>
      </c>
      <c r="I5" s="44">
        <v>0.49</v>
      </c>
      <c r="J5" s="4">
        <v>0.5</v>
      </c>
      <c r="L5" s="10" t="s">
        <v>11</v>
      </c>
      <c r="M5" s="10">
        <v>1.5</v>
      </c>
      <c r="O5" s="12" t="s">
        <v>2</v>
      </c>
      <c r="P5" s="24">
        <v>0.8</v>
      </c>
      <c r="Q5" s="12">
        <v>0.6</v>
      </c>
      <c r="R5" s="136"/>
      <c r="S5" s="136"/>
    </row>
    <row r="6" spans="2:22" ht="17" thickBot="1" x14ac:dyDescent="0.25">
      <c r="B6" s="4" t="s">
        <v>4</v>
      </c>
      <c r="C6" s="4">
        <f>$M$4*$I$3</f>
        <v>0.54067500000000002</v>
      </c>
      <c r="D6" s="4">
        <f>1.5*I6</f>
        <v>0.53400000000000003</v>
      </c>
      <c r="E6" s="14">
        <f>1.5*I4*J4+1.5*I5*0.3</f>
        <v>0.94050000000000011</v>
      </c>
      <c r="F6" s="32">
        <f>SUM(C6:E6)</f>
        <v>2.0151750000000002</v>
      </c>
      <c r="H6" s="4" t="s">
        <v>4</v>
      </c>
      <c r="I6" s="44">
        <f>0.4*0.89</f>
        <v>0.35600000000000004</v>
      </c>
      <c r="J6" s="4">
        <v>0</v>
      </c>
      <c r="O6" s="12" t="s">
        <v>3</v>
      </c>
      <c r="P6" s="24">
        <v>0.38</v>
      </c>
      <c r="Q6" s="12">
        <v>0.5</v>
      </c>
      <c r="R6" s="136"/>
      <c r="S6" s="136"/>
    </row>
    <row r="7" spans="2:22" x14ac:dyDescent="0.2">
      <c r="O7" s="12" t="s">
        <v>4</v>
      </c>
      <c r="P7" s="24">
        <v>0.4</v>
      </c>
      <c r="Q7" s="12">
        <v>0</v>
      </c>
      <c r="R7" s="136"/>
      <c r="S7" s="136"/>
    </row>
    <row r="10" spans="2:22" x14ac:dyDescent="0.2">
      <c r="B10" s="136" t="s">
        <v>32</v>
      </c>
      <c r="C10" s="136"/>
      <c r="D10" s="136"/>
      <c r="E10" s="136"/>
      <c r="F10" s="136"/>
      <c r="H10" s="12"/>
      <c r="I10" s="12" t="s">
        <v>33</v>
      </c>
      <c r="J10" s="12" t="s">
        <v>8</v>
      </c>
    </row>
    <row r="11" spans="2:22" x14ac:dyDescent="0.2">
      <c r="B11" s="12" t="s">
        <v>6</v>
      </c>
      <c r="C11" s="136" t="s">
        <v>14</v>
      </c>
      <c r="D11" s="136"/>
      <c r="E11" s="136"/>
      <c r="F11" s="12" t="s">
        <v>13</v>
      </c>
      <c r="H11" s="12" t="s">
        <v>5</v>
      </c>
      <c r="I11" s="12">
        <v>0.55000000000000004</v>
      </c>
      <c r="J11" s="12" t="s">
        <v>9</v>
      </c>
    </row>
    <row r="12" spans="2:22" x14ac:dyDescent="0.2">
      <c r="B12" s="12" t="s">
        <v>7</v>
      </c>
      <c r="C12" s="12">
        <f>I11*M4</f>
        <v>0.74250000000000016</v>
      </c>
      <c r="D12" s="12">
        <f>1.5*I12</f>
        <v>0</v>
      </c>
      <c r="E12" s="12">
        <f>1.5*J13*I13+1.5*I14*J14</f>
        <v>2.0999999999999996</v>
      </c>
      <c r="F12" s="12">
        <f>SUM(C12:E12)</f>
        <v>2.8424999999999998</v>
      </c>
      <c r="H12" s="12" t="s">
        <v>2</v>
      </c>
      <c r="I12" s="12">
        <v>0</v>
      </c>
      <c r="J12" s="24">
        <v>0.6</v>
      </c>
    </row>
    <row r="13" spans="2:22" ht="17" thickBot="1" x14ac:dyDescent="0.25">
      <c r="B13" s="12" t="s">
        <v>3</v>
      </c>
      <c r="C13" s="12">
        <f>I11*M4</f>
        <v>0.74250000000000016</v>
      </c>
      <c r="D13" s="12">
        <f>1.5*I13</f>
        <v>0</v>
      </c>
      <c r="E13" s="12">
        <f>(1.5*J12*I12)+(1.5*I14*J14)</f>
        <v>2.0999999999999996</v>
      </c>
      <c r="F13" s="13">
        <f>SUM(C13:E13)</f>
        <v>2.8424999999999998</v>
      </c>
      <c r="H13" s="12" t="s">
        <v>3</v>
      </c>
      <c r="I13" s="12">
        <v>0</v>
      </c>
      <c r="J13" s="24">
        <v>0.5</v>
      </c>
      <c r="O13" s="26" t="s">
        <v>60</v>
      </c>
      <c r="P13" s="26">
        <v>0.19</v>
      </c>
      <c r="Q13" s="26">
        <v>0.45</v>
      </c>
      <c r="R13" s="26">
        <v>0.68</v>
      </c>
      <c r="S13" s="26">
        <v>0.92</v>
      </c>
      <c r="T13" s="26">
        <v>1.1499999999999999</v>
      </c>
      <c r="U13" s="26">
        <v>2.5099999999999998</v>
      </c>
      <c r="V13" s="26">
        <v>1.38</v>
      </c>
    </row>
    <row r="14" spans="2:22" ht="17" thickBot="1" x14ac:dyDescent="0.25">
      <c r="B14" s="12" t="s">
        <v>4</v>
      </c>
      <c r="C14" s="12">
        <f>I11*M4</f>
        <v>0.74250000000000016</v>
      </c>
      <c r="D14" s="12">
        <f>1.5*I14</f>
        <v>3</v>
      </c>
      <c r="E14" s="14">
        <f>1.5*I12*J12+1.5*I13*J13</f>
        <v>0</v>
      </c>
      <c r="F14" s="15">
        <f>SUM(C14:E14)</f>
        <v>3.7425000000000002</v>
      </c>
      <c r="H14" s="12" t="s">
        <v>4</v>
      </c>
      <c r="I14" s="12">
        <v>2</v>
      </c>
      <c r="J14" s="12">
        <v>0.7</v>
      </c>
      <c r="O14" s="26" t="s">
        <v>61</v>
      </c>
      <c r="P14" s="37">
        <f>7.21*P13</f>
        <v>1.3699000000000001</v>
      </c>
      <c r="Q14" s="37">
        <f t="shared" ref="Q14:V14" si="0">7.21*Q13</f>
        <v>3.2444999999999999</v>
      </c>
      <c r="R14" s="37">
        <f t="shared" si="0"/>
        <v>4.9028</v>
      </c>
      <c r="S14" s="37">
        <f t="shared" si="0"/>
        <v>6.6332000000000004</v>
      </c>
      <c r="T14" s="37">
        <f t="shared" si="0"/>
        <v>8.2914999999999992</v>
      </c>
      <c r="U14" s="37">
        <f t="shared" si="0"/>
        <v>18.097099999999998</v>
      </c>
      <c r="V14" s="37">
        <f t="shared" si="0"/>
        <v>9.9497999999999998</v>
      </c>
    </row>
    <row r="18" spans="2:10" x14ac:dyDescent="0.2">
      <c r="B18" s="136" t="s">
        <v>34</v>
      </c>
      <c r="C18" s="136"/>
      <c r="D18" s="136"/>
      <c r="E18" s="136"/>
      <c r="F18" s="136"/>
      <c r="H18" s="24"/>
      <c r="I18" s="24" t="s">
        <v>12</v>
      </c>
      <c r="J18" s="24" t="s">
        <v>8</v>
      </c>
    </row>
    <row r="19" spans="2:10" x14ac:dyDescent="0.2">
      <c r="B19" s="24" t="s">
        <v>6</v>
      </c>
      <c r="C19" s="136" t="s">
        <v>14</v>
      </c>
      <c r="D19" s="136"/>
      <c r="E19" s="136"/>
      <c r="F19" s="24" t="s">
        <v>13</v>
      </c>
      <c r="H19" s="24" t="s">
        <v>5</v>
      </c>
      <c r="I19" s="24">
        <v>0.7</v>
      </c>
      <c r="J19" s="24" t="s">
        <v>9</v>
      </c>
    </row>
    <row r="20" spans="2:10" x14ac:dyDescent="0.2">
      <c r="B20" s="24" t="s">
        <v>7</v>
      </c>
      <c r="C20" s="24">
        <f>$M$4*$I$19</f>
        <v>0.94499999999999995</v>
      </c>
      <c r="D20" s="24">
        <f>1.5*I20</f>
        <v>0</v>
      </c>
      <c r="E20" s="24">
        <f>1.5*J21*I21+1.5*I22*J22</f>
        <v>4.7999999999999989</v>
      </c>
      <c r="F20" s="24">
        <f>SUM(C20:E20)</f>
        <v>5.7449999999999992</v>
      </c>
      <c r="H20" s="24" t="s">
        <v>2</v>
      </c>
      <c r="I20" s="24">
        <v>0</v>
      </c>
      <c r="J20" s="24">
        <v>0.6</v>
      </c>
    </row>
    <row r="21" spans="2:10" ht="17" thickBot="1" x14ac:dyDescent="0.25">
      <c r="B21" s="24" t="s">
        <v>3</v>
      </c>
      <c r="C21" s="25">
        <f>$M$4*$I$19</f>
        <v>0.94499999999999995</v>
      </c>
      <c r="D21" s="24">
        <f>1.5*I21</f>
        <v>1.2000000000000002</v>
      </c>
      <c r="E21" s="24">
        <f>(1.5*J20*I20)+(1.5*I22*J22)</f>
        <v>4.1999999999999993</v>
      </c>
      <c r="F21" s="13">
        <f>SUM(C21:E21)</f>
        <v>6.3449999999999989</v>
      </c>
      <c r="H21" s="24" t="s">
        <v>3</v>
      </c>
      <c r="I21" s="24">
        <v>0.8</v>
      </c>
      <c r="J21" s="24">
        <v>0.5</v>
      </c>
    </row>
    <row r="22" spans="2:10" ht="17" thickBot="1" x14ac:dyDescent="0.25">
      <c r="B22" s="24" t="s">
        <v>4</v>
      </c>
      <c r="C22" s="25">
        <f>$M$4*$I$19</f>
        <v>0.94499999999999995</v>
      </c>
      <c r="D22" s="24">
        <f>1.5*I22</f>
        <v>6</v>
      </c>
      <c r="E22" s="14">
        <f>1.5*I20*J20+1.5*I21*J21</f>
        <v>0.60000000000000009</v>
      </c>
      <c r="F22" s="15">
        <f>SUM(C22:E22)</f>
        <v>7.5449999999999999</v>
      </c>
      <c r="H22" s="24" t="s">
        <v>4</v>
      </c>
      <c r="I22" s="24">
        <v>4</v>
      </c>
      <c r="J22" s="24">
        <v>0.7</v>
      </c>
    </row>
    <row r="26" spans="2:10" x14ac:dyDescent="0.2">
      <c r="B26" s="136" t="s">
        <v>37</v>
      </c>
      <c r="C26" s="136"/>
      <c r="D26" s="136"/>
      <c r="E26" s="136"/>
      <c r="F26" s="136"/>
      <c r="H26" s="24"/>
      <c r="I26" s="24" t="s">
        <v>12</v>
      </c>
      <c r="J26" s="24" t="s">
        <v>8</v>
      </c>
    </row>
    <row r="27" spans="2:10" x14ac:dyDescent="0.2">
      <c r="B27" s="24" t="s">
        <v>6</v>
      </c>
      <c r="C27" s="136" t="s">
        <v>14</v>
      </c>
      <c r="D27" s="136"/>
      <c r="E27" s="136"/>
      <c r="F27" s="24" t="s">
        <v>13</v>
      </c>
      <c r="H27" s="24" t="s">
        <v>5</v>
      </c>
      <c r="I27" s="24">
        <v>0.46</v>
      </c>
      <c r="J27" s="24" t="s">
        <v>9</v>
      </c>
    </row>
    <row r="28" spans="2:10" x14ac:dyDescent="0.2">
      <c r="B28" s="24" t="s">
        <v>7</v>
      </c>
      <c r="C28" s="24">
        <f>$M$4*$I$27</f>
        <v>0.62100000000000011</v>
      </c>
      <c r="D28" s="24">
        <f>1.5*I28</f>
        <v>0</v>
      </c>
      <c r="E28" s="24">
        <f>1.5*J29*I29+1.5*I30*J30</f>
        <v>4.7924999999999995</v>
      </c>
      <c r="F28" s="27">
        <f>SUM(C28:E28)</f>
        <v>5.4135</v>
      </c>
      <c r="H28" s="24" t="s">
        <v>2</v>
      </c>
      <c r="I28" s="24">
        <v>0</v>
      </c>
      <c r="J28" s="24">
        <v>0.6</v>
      </c>
    </row>
    <row r="29" spans="2:10" ht="17" thickBot="1" x14ac:dyDescent="0.25">
      <c r="B29" s="24" t="s">
        <v>3</v>
      </c>
      <c r="C29" s="25">
        <f>$M$4*$I$27</f>
        <v>0.62100000000000011</v>
      </c>
      <c r="D29" s="24">
        <f>1.5*I29</f>
        <v>1.1850000000000001</v>
      </c>
      <c r="E29" s="24">
        <f>(1.5*J28*I28)+(1.5*I30*J30)</f>
        <v>4.1999999999999993</v>
      </c>
      <c r="F29" s="13">
        <f>SUM(C29:E29)</f>
        <v>6.0059999999999993</v>
      </c>
      <c r="H29" s="24" t="s">
        <v>3</v>
      </c>
      <c r="I29" s="24">
        <v>0.79</v>
      </c>
      <c r="J29" s="24">
        <v>0.5</v>
      </c>
    </row>
    <row r="30" spans="2:10" ht="17" thickBot="1" x14ac:dyDescent="0.25">
      <c r="B30" s="24" t="s">
        <v>4</v>
      </c>
      <c r="C30" s="25">
        <f>$M$4*$I$27</f>
        <v>0.62100000000000011</v>
      </c>
      <c r="D30" s="24">
        <f>1.5*I30</f>
        <v>6</v>
      </c>
      <c r="E30" s="14">
        <f>1.5*I28*J28+1.5*I29*J29</f>
        <v>0.59250000000000003</v>
      </c>
      <c r="F30" s="32">
        <f>SUM(C30:E30)</f>
        <v>7.2135000000000007</v>
      </c>
      <c r="H30" s="24" t="s">
        <v>4</v>
      </c>
      <c r="I30" s="24">
        <v>4</v>
      </c>
      <c r="J30" s="24">
        <v>0.7</v>
      </c>
    </row>
    <row r="36" spans="2:10" x14ac:dyDescent="0.2">
      <c r="B36" s="136" t="s">
        <v>36</v>
      </c>
      <c r="C36" s="136"/>
      <c r="D36" s="136"/>
      <c r="E36" s="136"/>
      <c r="F36" s="136"/>
      <c r="H36" s="25"/>
      <c r="I36" s="25" t="s">
        <v>33</v>
      </c>
      <c r="J36" s="25" t="s">
        <v>8</v>
      </c>
    </row>
    <row r="37" spans="2:10" x14ac:dyDescent="0.2">
      <c r="B37" s="25" t="s">
        <v>6</v>
      </c>
      <c r="C37" s="136" t="s">
        <v>14</v>
      </c>
      <c r="D37" s="136"/>
      <c r="E37" s="136"/>
      <c r="F37" s="25" t="s">
        <v>13</v>
      </c>
      <c r="H37" s="25" t="s">
        <v>5</v>
      </c>
      <c r="I37" s="44">
        <f>0.45*0.454</f>
        <v>0.20430000000000001</v>
      </c>
      <c r="J37" s="25" t="s">
        <v>9</v>
      </c>
    </row>
    <row r="38" spans="2:10" x14ac:dyDescent="0.2">
      <c r="B38" s="25" t="s">
        <v>7</v>
      </c>
      <c r="C38" s="25">
        <f>$M$4*$I$37</f>
        <v>0.27580500000000002</v>
      </c>
      <c r="D38" s="25">
        <f>1.5*I38</f>
        <v>0</v>
      </c>
      <c r="E38" s="25">
        <f>1.5*J39*I39+1.5*I40*J40</f>
        <v>0.1875</v>
      </c>
      <c r="F38" s="25">
        <f>SUM(C38:E38)</f>
        <v>0.46330500000000002</v>
      </c>
      <c r="H38" s="25" t="s">
        <v>2</v>
      </c>
      <c r="I38" s="25">
        <v>0</v>
      </c>
      <c r="J38" s="25">
        <v>0.6</v>
      </c>
    </row>
    <row r="39" spans="2:10" ht="17" thickBot="1" x14ac:dyDescent="0.25">
      <c r="B39" s="25" t="s">
        <v>3</v>
      </c>
      <c r="C39" s="25">
        <f>$M$4*$I$37</f>
        <v>0.27580500000000002</v>
      </c>
      <c r="D39" s="25">
        <f>1.5*I39</f>
        <v>0.375</v>
      </c>
      <c r="E39" s="25">
        <f>(1.5*J38*I38)+(1.5*I40*J40)</f>
        <v>0</v>
      </c>
      <c r="F39" s="13">
        <f>SUM(C39:E39)</f>
        <v>0.65080500000000008</v>
      </c>
      <c r="H39" s="25" t="s">
        <v>3</v>
      </c>
      <c r="I39" s="25">
        <v>0.25</v>
      </c>
      <c r="J39" s="25">
        <v>0.5</v>
      </c>
    </row>
    <row r="40" spans="2:10" ht="17" thickBot="1" x14ac:dyDescent="0.25">
      <c r="B40" s="25" t="s">
        <v>4</v>
      </c>
      <c r="C40" s="25">
        <f>$M$4*$I$37</f>
        <v>0.27580500000000002</v>
      </c>
      <c r="D40" s="25">
        <f>1.5*I40</f>
        <v>0.27</v>
      </c>
      <c r="E40" s="14">
        <f>1.5*I38*J38+1.5*I39*J39</f>
        <v>0.1875</v>
      </c>
      <c r="F40" s="51">
        <f>SUM(C40:E40)</f>
        <v>0.7333050000000001</v>
      </c>
      <c r="H40" s="25" t="s">
        <v>4</v>
      </c>
      <c r="I40" s="25">
        <v>0.18</v>
      </c>
      <c r="J40" s="25">
        <v>0</v>
      </c>
    </row>
    <row r="45" spans="2:10" ht="17" thickBot="1" x14ac:dyDescent="0.25"/>
    <row r="46" spans="2:10" x14ac:dyDescent="0.2">
      <c r="B46" s="30"/>
      <c r="C46" s="31" t="s">
        <v>12</v>
      </c>
      <c r="D46" s="2" t="s">
        <v>8</v>
      </c>
      <c r="E46" s="127" t="s">
        <v>37</v>
      </c>
      <c r="F46" s="128"/>
      <c r="G46" s="128"/>
      <c r="H46" s="128"/>
      <c r="I46" s="129"/>
    </row>
    <row r="47" spans="2:10" x14ac:dyDescent="0.2">
      <c r="B47" s="6" t="s">
        <v>5</v>
      </c>
      <c r="C47" s="25">
        <v>0.36</v>
      </c>
      <c r="D47" s="5" t="s">
        <v>9</v>
      </c>
      <c r="E47" s="6" t="s">
        <v>6</v>
      </c>
      <c r="F47" s="130" t="s">
        <v>14</v>
      </c>
      <c r="G47" s="131"/>
      <c r="H47" s="132"/>
      <c r="I47" s="5" t="s">
        <v>13</v>
      </c>
    </row>
    <row r="48" spans="2:10" x14ac:dyDescent="0.2">
      <c r="B48" s="6" t="s">
        <v>3</v>
      </c>
      <c r="C48" s="25">
        <v>0.79</v>
      </c>
      <c r="D48" s="5">
        <v>0.5</v>
      </c>
      <c r="E48" s="6" t="s">
        <v>3</v>
      </c>
      <c r="F48" s="25">
        <v>0.62100000000000011</v>
      </c>
      <c r="G48" s="25">
        <v>1.1850000000000001</v>
      </c>
      <c r="H48" s="25">
        <v>4.1999999999999993</v>
      </c>
      <c r="I48" s="5">
        <v>6.0059999999999993</v>
      </c>
    </row>
    <row r="49" spans="2:9" ht="17" thickBot="1" x14ac:dyDescent="0.25">
      <c r="B49" s="28" t="s">
        <v>4</v>
      </c>
      <c r="C49" s="29">
        <v>4</v>
      </c>
      <c r="D49" s="3">
        <v>0.7</v>
      </c>
      <c r="E49" s="28" t="s">
        <v>4</v>
      </c>
      <c r="F49" s="29">
        <v>0.62100000000000011</v>
      </c>
      <c r="G49" s="29">
        <v>6</v>
      </c>
      <c r="H49" s="29">
        <v>0.59250000000000003</v>
      </c>
      <c r="I49" s="33">
        <v>7.2135000000000007</v>
      </c>
    </row>
    <row r="51" spans="2:9" ht="17" thickBot="1" x14ac:dyDescent="0.25"/>
    <row r="52" spans="2:9" x14ac:dyDescent="0.2">
      <c r="B52" s="49"/>
      <c r="C52" s="46" t="s">
        <v>12</v>
      </c>
      <c r="D52" s="2" t="s">
        <v>8</v>
      </c>
      <c r="E52" s="127" t="s">
        <v>37</v>
      </c>
      <c r="F52" s="128"/>
      <c r="G52" s="128"/>
      <c r="H52" s="128"/>
      <c r="I52" s="129"/>
    </row>
    <row r="53" spans="2:9" x14ac:dyDescent="0.2">
      <c r="B53" s="6" t="s">
        <v>5</v>
      </c>
      <c r="C53" s="43">
        <v>0.36</v>
      </c>
      <c r="D53" s="5" t="s">
        <v>9</v>
      </c>
      <c r="E53" s="6" t="s">
        <v>6</v>
      </c>
      <c r="F53" s="130" t="s">
        <v>14</v>
      </c>
      <c r="G53" s="131"/>
      <c r="H53" s="132"/>
      <c r="I53" s="5" t="s">
        <v>13</v>
      </c>
    </row>
    <row r="54" spans="2:9" x14ac:dyDescent="0.2">
      <c r="B54" s="6" t="s">
        <v>3</v>
      </c>
      <c r="C54" s="43">
        <v>0.79</v>
      </c>
      <c r="D54" s="5">
        <v>0.5</v>
      </c>
      <c r="E54" s="6" t="s">
        <v>3</v>
      </c>
      <c r="F54" s="43">
        <v>0.48599999999999999</v>
      </c>
      <c r="G54" s="43">
        <v>1.1850000000000001</v>
      </c>
      <c r="H54" s="43">
        <v>4.1999999999999993</v>
      </c>
      <c r="I54" s="5">
        <v>5.8709999999999996</v>
      </c>
    </row>
    <row r="55" spans="2:9" ht="17" thickBot="1" x14ac:dyDescent="0.25">
      <c r="B55" s="48" t="s">
        <v>4</v>
      </c>
      <c r="C55" s="47">
        <v>4</v>
      </c>
      <c r="D55" s="3">
        <v>0.7</v>
      </c>
      <c r="E55" s="48" t="s">
        <v>4</v>
      </c>
      <c r="F55" s="47">
        <v>0.48599999999999999</v>
      </c>
      <c r="G55" s="47">
        <v>6</v>
      </c>
      <c r="H55" s="47">
        <v>0.59250000000000003</v>
      </c>
      <c r="I55" s="33">
        <v>7.0785</v>
      </c>
    </row>
    <row r="57" spans="2:9" ht="17" thickBot="1" x14ac:dyDescent="0.25"/>
    <row r="58" spans="2:9" ht="17" thickBot="1" x14ac:dyDescent="0.25">
      <c r="B58" s="133" t="s">
        <v>129</v>
      </c>
      <c r="C58" s="134"/>
      <c r="D58" s="134"/>
      <c r="E58" s="134"/>
      <c r="F58" s="134"/>
      <c r="G58" s="134"/>
      <c r="H58" s="134"/>
      <c r="I58" s="135"/>
    </row>
    <row r="60" spans="2:9" x14ac:dyDescent="0.2">
      <c r="B60" s="126" t="s">
        <v>99</v>
      </c>
      <c r="C60" s="126"/>
      <c r="D60" s="126"/>
      <c r="E60" s="126"/>
      <c r="F60" s="126"/>
      <c r="G60" s="126"/>
      <c r="H60" s="126"/>
      <c r="I60" s="126"/>
    </row>
    <row r="61" spans="2:9" x14ac:dyDescent="0.2">
      <c r="B61" s="125" t="s">
        <v>70</v>
      </c>
      <c r="C61" s="125" t="s">
        <v>14</v>
      </c>
      <c r="D61" s="125"/>
      <c r="E61" s="125"/>
      <c r="F61" s="125" t="s">
        <v>71</v>
      </c>
      <c r="G61" s="125" t="s">
        <v>72</v>
      </c>
      <c r="H61" s="125"/>
      <c r="I61" s="43" t="s">
        <v>73</v>
      </c>
    </row>
    <row r="62" spans="2:9" ht="17" customHeight="1" x14ac:dyDescent="0.2">
      <c r="B62" s="125"/>
      <c r="C62" s="125"/>
      <c r="D62" s="125"/>
      <c r="E62" s="125"/>
      <c r="F62" s="125"/>
      <c r="G62" s="43" t="s">
        <v>5</v>
      </c>
      <c r="H62" s="44">
        <f>0.45*0.89</f>
        <v>0.40050000000000002</v>
      </c>
      <c r="I62" s="43" t="s">
        <v>9</v>
      </c>
    </row>
    <row r="63" spans="2:9" ht="17" x14ac:dyDescent="0.2">
      <c r="B63" s="45" t="s">
        <v>7</v>
      </c>
      <c r="C63" s="53">
        <f>$H$62*$M$4</f>
        <v>0.54067500000000002</v>
      </c>
      <c r="D63" s="53">
        <f>H63*$M$5</f>
        <v>1.2000000000000002</v>
      </c>
      <c r="E63" s="53">
        <f>$M$5*(H64*I64)+$M$5*(H65*I65)</f>
        <v>0.36749999999999999</v>
      </c>
      <c r="F63" s="61">
        <f>SUM(C63:E63)</f>
        <v>2.1081750000000001</v>
      </c>
      <c r="G63" s="43" t="s">
        <v>2</v>
      </c>
      <c r="H63" s="44">
        <v>0.8</v>
      </c>
      <c r="I63" s="43">
        <v>0.6</v>
      </c>
    </row>
    <row r="64" spans="2:9" ht="17" x14ac:dyDescent="0.2">
      <c r="B64" s="45" t="s">
        <v>3</v>
      </c>
      <c r="C64" s="53">
        <f t="shared" ref="C64:C65" si="1">$H$62*$M$4</f>
        <v>0.54067500000000002</v>
      </c>
      <c r="D64" s="53">
        <f t="shared" ref="D64:D65" si="2">H64*$M$5</f>
        <v>0.73499999999999999</v>
      </c>
      <c r="E64" s="53">
        <f>$M$5*(H63*I63)+$M$5*(H65*I65)</f>
        <v>0.72</v>
      </c>
      <c r="F64" s="61">
        <f t="shared" ref="F64:F65" si="3">SUM(C64:E64)</f>
        <v>1.9956750000000001</v>
      </c>
      <c r="G64" s="43" t="s">
        <v>3</v>
      </c>
      <c r="H64" s="44">
        <v>0.49</v>
      </c>
      <c r="I64" s="43">
        <v>0.5</v>
      </c>
    </row>
    <row r="65" spans="2:9" ht="17" x14ac:dyDescent="0.2">
      <c r="B65" s="45" t="s">
        <v>4</v>
      </c>
      <c r="C65" s="53">
        <f t="shared" si="1"/>
        <v>0.54067500000000002</v>
      </c>
      <c r="D65" s="53">
        <f t="shared" si="2"/>
        <v>0.53400000000000003</v>
      </c>
      <c r="E65" s="53">
        <f>$M$5*(H63*I63)+$M$5*(H64*0.3)</f>
        <v>0.94049999999999989</v>
      </c>
      <c r="F65" s="61">
        <f t="shared" si="3"/>
        <v>2.0151750000000002</v>
      </c>
      <c r="G65" s="43" t="s">
        <v>4</v>
      </c>
      <c r="H65" s="44">
        <f>0.4*0.89</f>
        <v>0.35600000000000004</v>
      </c>
      <c r="I65" s="43">
        <v>0</v>
      </c>
    </row>
    <row r="66" spans="2:9" x14ac:dyDescent="0.2">
      <c r="F66" s="62"/>
    </row>
    <row r="68" spans="2:9" x14ac:dyDescent="0.2">
      <c r="B68" s="126" t="s">
        <v>100</v>
      </c>
      <c r="C68" s="126"/>
      <c r="D68" s="126"/>
      <c r="E68" s="126"/>
      <c r="F68" s="126"/>
      <c r="G68" s="126"/>
      <c r="H68" s="126"/>
      <c r="I68" s="126"/>
    </row>
    <row r="69" spans="2:9" x14ac:dyDescent="0.2">
      <c r="B69" s="125" t="s">
        <v>70</v>
      </c>
      <c r="C69" s="125" t="s">
        <v>14</v>
      </c>
      <c r="D69" s="125"/>
      <c r="E69" s="125"/>
      <c r="F69" s="125" t="s">
        <v>71</v>
      </c>
      <c r="G69" s="125" t="s">
        <v>72</v>
      </c>
      <c r="H69" s="125"/>
      <c r="I69" s="43" t="s">
        <v>73</v>
      </c>
    </row>
    <row r="70" spans="2:9" x14ac:dyDescent="0.2">
      <c r="B70" s="125"/>
      <c r="C70" s="125"/>
      <c r="D70" s="125"/>
      <c r="E70" s="125"/>
      <c r="F70" s="125"/>
      <c r="G70" s="43" t="s">
        <v>5</v>
      </c>
      <c r="H70" s="44">
        <f>0.45*0.454</f>
        <v>0.20430000000000001</v>
      </c>
      <c r="I70" s="43" t="s">
        <v>9</v>
      </c>
    </row>
    <row r="71" spans="2:9" ht="17" x14ac:dyDescent="0.2">
      <c r="B71" s="45" t="s">
        <v>7</v>
      </c>
      <c r="C71" s="53">
        <f>$H$70*$M$4</f>
        <v>0.27580500000000002</v>
      </c>
      <c r="D71" s="53">
        <f>H71*$M$5</f>
        <v>0</v>
      </c>
      <c r="E71" s="53">
        <f>$M$5*(H72*I72)+$M$5*(H73*I73)</f>
        <v>0.1875</v>
      </c>
      <c r="F71" s="61">
        <f>SUM(C71:E71)</f>
        <v>0.46330500000000002</v>
      </c>
      <c r="G71" s="43" t="s">
        <v>2</v>
      </c>
      <c r="H71" s="43">
        <v>0</v>
      </c>
      <c r="I71" s="43">
        <v>0.6</v>
      </c>
    </row>
    <row r="72" spans="2:9" ht="17" x14ac:dyDescent="0.2">
      <c r="B72" s="45" t="s">
        <v>3</v>
      </c>
      <c r="C72" s="53">
        <f t="shared" ref="C72:C73" si="4">$H$70*$M$4</f>
        <v>0.27580500000000002</v>
      </c>
      <c r="D72" s="53">
        <f>H72*$M$5</f>
        <v>0.375</v>
      </c>
      <c r="E72" s="53">
        <f>$M$5*(H71*I71)+$M$5*(H73*I73)</f>
        <v>0</v>
      </c>
      <c r="F72" s="61">
        <f t="shared" ref="F72:F73" si="5">SUM(C72:E72)</f>
        <v>0.65080500000000008</v>
      </c>
      <c r="G72" s="43" t="s">
        <v>3</v>
      </c>
      <c r="H72" s="43">
        <v>0.25</v>
      </c>
      <c r="I72" s="43">
        <v>0.5</v>
      </c>
    </row>
    <row r="73" spans="2:9" ht="17" x14ac:dyDescent="0.2">
      <c r="B73" s="45" t="s">
        <v>4</v>
      </c>
      <c r="C73" s="53">
        <f t="shared" si="4"/>
        <v>0.27580500000000002</v>
      </c>
      <c r="D73" s="53">
        <f t="shared" ref="D73" si="6">H73*$M$5</f>
        <v>0.27</v>
      </c>
      <c r="E73" s="53">
        <f>$M$5*(H71*I71)+$M$5*(H72*I72)</f>
        <v>0.1875</v>
      </c>
      <c r="F73" s="61">
        <f t="shared" si="5"/>
        <v>0.7333050000000001</v>
      </c>
      <c r="G73" s="43" t="s">
        <v>4</v>
      </c>
      <c r="H73" s="43">
        <v>0.18</v>
      </c>
      <c r="I73" s="43">
        <v>0</v>
      </c>
    </row>
    <row r="77" spans="2:9" ht="16" customHeight="1" x14ac:dyDescent="0.2">
      <c r="B77" s="122" t="s">
        <v>101</v>
      </c>
      <c r="C77" s="123"/>
      <c r="D77" s="123"/>
      <c r="E77" s="123"/>
      <c r="F77" s="123"/>
      <c r="G77" s="123"/>
      <c r="H77" s="123"/>
      <c r="I77" s="124"/>
    </row>
    <row r="78" spans="2:9" ht="16" customHeight="1" x14ac:dyDescent="0.2">
      <c r="B78" s="109" t="s">
        <v>70</v>
      </c>
      <c r="C78" s="111" t="s">
        <v>14</v>
      </c>
      <c r="D78" s="112"/>
      <c r="E78" s="113"/>
      <c r="F78" s="109" t="s">
        <v>71</v>
      </c>
      <c r="G78" s="117" t="s">
        <v>72</v>
      </c>
      <c r="H78" s="118"/>
      <c r="I78" s="43" t="s">
        <v>73</v>
      </c>
    </row>
    <row r="79" spans="2:9" x14ac:dyDescent="0.2">
      <c r="B79" s="110"/>
      <c r="C79" s="114"/>
      <c r="D79" s="115"/>
      <c r="E79" s="116"/>
      <c r="F79" s="110"/>
      <c r="G79" s="43" t="s">
        <v>5</v>
      </c>
      <c r="H79" s="43">
        <v>0.55000000000000004</v>
      </c>
      <c r="I79" s="43" t="s">
        <v>9</v>
      </c>
    </row>
    <row r="80" spans="2:9" ht="17" x14ac:dyDescent="0.2">
      <c r="B80" s="45" t="s">
        <v>4</v>
      </c>
      <c r="C80" s="53">
        <f>H79*M4</f>
        <v>0.74250000000000016</v>
      </c>
      <c r="D80" s="53">
        <f>H80*M5</f>
        <v>3</v>
      </c>
      <c r="E80" s="53">
        <v>0</v>
      </c>
      <c r="F80" s="53">
        <v>3.7425000000000002</v>
      </c>
      <c r="G80" s="43" t="s">
        <v>4</v>
      </c>
      <c r="H80" s="43">
        <v>2</v>
      </c>
      <c r="I80" s="43">
        <v>0.7</v>
      </c>
    </row>
    <row r="82" spans="2:9" ht="16" customHeight="1" x14ac:dyDescent="0.2">
      <c r="B82" s="119" t="s">
        <v>102</v>
      </c>
      <c r="C82" s="120"/>
      <c r="D82" s="120"/>
      <c r="E82" s="120"/>
      <c r="F82" s="120"/>
      <c r="G82" s="120"/>
      <c r="H82" s="120"/>
      <c r="I82" s="121"/>
    </row>
    <row r="83" spans="2:9" ht="16" customHeight="1" x14ac:dyDescent="0.2">
      <c r="B83" s="109" t="s">
        <v>70</v>
      </c>
      <c r="C83" s="111" t="s">
        <v>14</v>
      </c>
      <c r="D83" s="112"/>
      <c r="E83" s="113"/>
      <c r="F83" s="109" t="s">
        <v>71</v>
      </c>
      <c r="G83" s="117" t="s">
        <v>72</v>
      </c>
      <c r="H83" s="118"/>
      <c r="I83" s="43" t="s">
        <v>73</v>
      </c>
    </row>
    <row r="84" spans="2:9" x14ac:dyDescent="0.2">
      <c r="B84" s="110"/>
      <c r="C84" s="114"/>
      <c r="D84" s="115"/>
      <c r="E84" s="116"/>
      <c r="F84" s="110"/>
      <c r="G84" s="43" t="s">
        <v>5</v>
      </c>
      <c r="H84" s="43">
        <v>0.46</v>
      </c>
      <c r="I84" s="43" t="s">
        <v>9</v>
      </c>
    </row>
    <row r="85" spans="2:9" ht="17" x14ac:dyDescent="0.2">
      <c r="B85" s="45" t="s">
        <v>3</v>
      </c>
      <c r="C85" s="43">
        <f>H84*$M$4</f>
        <v>0.62100000000000011</v>
      </c>
      <c r="D85" s="43">
        <f>H85*$M$5</f>
        <v>1.1850000000000001</v>
      </c>
      <c r="E85" s="43">
        <f>$M$5*(H86*I86)</f>
        <v>4.1999999999999993</v>
      </c>
      <c r="F85" s="60">
        <f>SUM(C85:E85)</f>
        <v>6.0059999999999993</v>
      </c>
      <c r="G85" s="43" t="s">
        <v>3</v>
      </c>
      <c r="H85" s="43">
        <v>0.79</v>
      </c>
      <c r="I85" s="43">
        <v>0.5</v>
      </c>
    </row>
    <row r="86" spans="2:9" ht="17" x14ac:dyDescent="0.2">
      <c r="B86" s="45" t="s">
        <v>4</v>
      </c>
      <c r="C86" s="58">
        <f>H84*$M$4</f>
        <v>0.62100000000000011</v>
      </c>
      <c r="D86" s="58">
        <f>H86*$M$5</f>
        <v>6</v>
      </c>
      <c r="E86" s="58">
        <f>$M$5*(H85*I85)</f>
        <v>0.59250000000000003</v>
      </c>
      <c r="F86" s="59">
        <f>SUM(C86:E86)</f>
        <v>7.2135000000000007</v>
      </c>
      <c r="G86" s="43" t="s">
        <v>4</v>
      </c>
      <c r="H86" s="43">
        <v>4</v>
      </c>
      <c r="I86" s="43">
        <v>0.7</v>
      </c>
    </row>
  </sheetData>
  <mergeCells count="37">
    <mergeCell ref="B36:F36"/>
    <mergeCell ref="C37:E37"/>
    <mergeCell ref="E46:I46"/>
    <mergeCell ref="F47:H47"/>
    <mergeCell ref="B2:F2"/>
    <mergeCell ref="C19:E19"/>
    <mergeCell ref="B26:F26"/>
    <mergeCell ref="C27:E27"/>
    <mergeCell ref="C3:E3"/>
    <mergeCell ref="R4:R7"/>
    <mergeCell ref="S4:S7"/>
    <mergeCell ref="B10:F10"/>
    <mergeCell ref="C11:E11"/>
    <mergeCell ref="B18:F18"/>
    <mergeCell ref="B60:I60"/>
    <mergeCell ref="C61:E62"/>
    <mergeCell ref="F61:F62"/>
    <mergeCell ref="B61:B62"/>
    <mergeCell ref="E52:I52"/>
    <mergeCell ref="F53:H53"/>
    <mergeCell ref="B58:I58"/>
    <mergeCell ref="B77:I77"/>
    <mergeCell ref="G61:H61"/>
    <mergeCell ref="B68:I68"/>
    <mergeCell ref="B69:B70"/>
    <mergeCell ref="C69:E70"/>
    <mergeCell ref="F69:F70"/>
    <mergeCell ref="G69:H69"/>
    <mergeCell ref="B83:B84"/>
    <mergeCell ref="C83:E84"/>
    <mergeCell ref="F83:F84"/>
    <mergeCell ref="G83:H83"/>
    <mergeCell ref="B78:B79"/>
    <mergeCell ref="C78:E79"/>
    <mergeCell ref="F78:F79"/>
    <mergeCell ref="G78:H78"/>
    <mergeCell ref="B82:I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DD60-5E10-A849-9118-67107F137BD0}">
  <dimension ref="B2:V86"/>
  <sheetViews>
    <sheetView topLeftCell="A55" workbookViewId="0">
      <selection activeCell="M66" sqref="M66:P69"/>
    </sheetView>
  </sheetViews>
  <sheetFormatPr baseColWidth="10" defaultRowHeight="16" x14ac:dyDescent="0.2"/>
  <cols>
    <col min="9" max="9" width="14" bestFit="1" customWidth="1"/>
    <col min="11" max="11" width="5.83203125" customWidth="1"/>
    <col min="12" max="12" width="5.6640625" customWidth="1"/>
    <col min="15" max="15" width="18.1640625" bestFit="1" customWidth="1"/>
    <col min="16" max="16" width="9.33203125" customWidth="1"/>
    <col min="17" max="20" width="5.1640625" bestFit="1" customWidth="1"/>
    <col min="21" max="21" width="5.6640625" bestFit="1" customWidth="1"/>
    <col min="22" max="22" width="5.1640625" bestFit="1" customWidth="1"/>
  </cols>
  <sheetData>
    <row r="2" spans="2:22" x14ac:dyDescent="0.2">
      <c r="B2" s="136" t="s">
        <v>35</v>
      </c>
      <c r="C2" s="136"/>
      <c r="D2" s="136"/>
      <c r="E2" s="136"/>
      <c r="F2" s="136"/>
      <c r="H2" s="72"/>
      <c r="I2" s="72" t="s">
        <v>33</v>
      </c>
      <c r="J2" s="72" t="s">
        <v>8</v>
      </c>
    </row>
    <row r="3" spans="2:22" x14ac:dyDescent="0.2">
      <c r="B3" s="72" t="s">
        <v>6</v>
      </c>
      <c r="C3" s="136" t="s">
        <v>14</v>
      </c>
      <c r="D3" s="136"/>
      <c r="E3" s="136"/>
      <c r="F3" s="72" t="s">
        <v>13</v>
      </c>
      <c r="H3" s="72" t="s">
        <v>5</v>
      </c>
      <c r="I3" s="76">
        <f>0.45*0.89</f>
        <v>0.40050000000000002</v>
      </c>
      <c r="J3" s="72" t="s">
        <v>9</v>
      </c>
      <c r="O3" s="72"/>
      <c r="P3" s="72" t="s">
        <v>12</v>
      </c>
      <c r="Q3" s="72" t="s">
        <v>8</v>
      </c>
      <c r="R3" s="72" t="s">
        <v>10</v>
      </c>
      <c r="S3" s="72" t="s">
        <v>11</v>
      </c>
      <c r="T3" s="23" t="s">
        <v>10</v>
      </c>
      <c r="U3" s="75">
        <v>1.35</v>
      </c>
    </row>
    <row r="4" spans="2:22" x14ac:dyDescent="0.2">
      <c r="B4" s="72" t="s">
        <v>7</v>
      </c>
      <c r="C4" s="72">
        <f>$M$4*$I$3</f>
        <v>0.40050000000000002</v>
      </c>
      <c r="D4" s="72">
        <f>1.5*I4</f>
        <v>1.2000000000000002</v>
      </c>
      <c r="E4" s="72">
        <f>1.5*J5*I5+1.5*I6*J6</f>
        <v>0.36749999999999999</v>
      </c>
      <c r="F4" s="76">
        <f>SUM(C4:E4)</f>
        <v>1.9680000000000002</v>
      </c>
      <c r="H4" s="72" t="s">
        <v>2</v>
      </c>
      <c r="I4" s="76">
        <v>0.8</v>
      </c>
      <c r="J4" s="72">
        <v>0.6</v>
      </c>
      <c r="L4" s="75" t="s">
        <v>10</v>
      </c>
      <c r="M4" s="75">
        <v>1</v>
      </c>
      <c r="O4" s="72" t="s">
        <v>5</v>
      </c>
      <c r="P4" s="72">
        <v>0.4</v>
      </c>
      <c r="Q4" s="72" t="s">
        <v>9</v>
      </c>
      <c r="R4" s="136">
        <v>1.35</v>
      </c>
      <c r="S4" s="136">
        <v>1.5</v>
      </c>
      <c r="T4" s="23" t="s">
        <v>11</v>
      </c>
      <c r="U4" s="75">
        <v>1.5</v>
      </c>
    </row>
    <row r="5" spans="2:22" ht="17" thickBot="1" x14ac:dyDescent="0.25">
      <c r="B5" s="72" t="s">
        <v>3</v>
      </c>
      <c r="C5" s="72">
        <f>$M$4*$I$3</f>
        <v>0.40050000000000002</v>
      </c>
      <c r="D5" s="72">
        <f>1.5*I5</f>
        <v>0.73499999999999999</v>
      </c>
      <c r="E5" s="72">
        <f>(1.5*J4*I4)+(1.5*I6*J6)</f>
        <v>0.72</v>
      </c>
      <c r="F5" s="52">
        <f>SUM(C5:E5)</f>
        <v>1.8554999999999999</v>
      </c>
      <c r="H5" s="72" t="s">
        <v>3</v>
      </c>
      <c r="I5" s="76">
        <v>0.49</v>
      </c>
      <c r="J5" s="72">
        <v>0.5</v>
      </c>
      <c r="L5" s="75" t="s">
        <v>11</v>
      </c>
      <c r="M5" s="75">
        <v>1</v>
      </c>
      <c r="O5" s="72" t="s">
        <v>2</v>
      </c>
      <c r="P5" s="72">
        <v>0.8</v>
      </c>
      <c r="Q5" s="72">
        <v>0.6</v>
      </c>
      <c r="R5" s="136"/>
      <c r="S5" s="136"/>
    </row>
    <row r="6" spans="2:22" ht="17" thickBot="1" x14ac:dyDescent="0.25">
      <c r="B6" s="72" t="s">
        <v>4</v>
      </c>
      <c r="C6" s="72">
        <f>$M$4*$I$3</f>
        <v>0.40050000000000002</v>
      </c>
      <c r="D6" s="72">
        <f>1.5*I6</f>
        <v>0.53400000000000003</v>
      </c>
      <c r="E6" s="73">
        <f>1.5*I4*J4+1.5*I5*0.3</f>
        <v>0.94050000000000011</v>
      </c>
      <c r="F6" s="32">
        <f>SUM(C6:E6)</f>
        <v>1.8750000000000002</v>
      </c>
      <c r="H6" s="72" t="s">
        <v>4</v>
      </c>
      <c r="I6" s="76">
        <f>0.4*0.89</f>
        <v>0.35600000000000004</v>
      </c>
      <c r="J6" s="72">
        <v>0</v>
      </c>
      <c r="O6" s="72" t="s">
        <v>3</v>
      </c>
      <c r="P6" s="72">
        <v>0.38</v>
      </c>
      <c r="Q6" s="72">
        <v>0.5</v>
      </c>
      <c r="R6" s="136"/>
      <c r="S6" s="136"/>
    </row>
    <row r="7" spans="2:22" x14ac:dyDescent="0.2">
      <c r="O7" s="72" t="s">
        <v>4</v>
      </c>
      <c r="P7" s="72">
        <v>0.4</v>
      </c>
      <c r="Q7" s="72">
        <v>0</v>
      </c>
      <c r="R7" s="136"/>
      <c r="S7" s="136"/>
    </row>
    <row r="10" spans="2:22" x14ac:dyDescent="0.2">
      <c r="B10" s="136" t="s">
        <v>32</v>
      </c>
      <c r="C10" s="136"/>
      <c r="D10" s="136"/>
      <c r="E10" s="136"/>
      <c r="F10" s="136"/>
      <c r="H10" s="72"/>
      <c r="I10" s="72" t="s">
        <v>33</v>
      </c>
      <c r="J10" s="72" t="s">
        <v>8</v>
      </c>
    </row>
    <row r="11" spans="2:22" x14ac:dyDescent="0.2">
      <c r="B11" s="72" t="s">
        <v>6</v>
      </c>
      <c r="C11" s="136" t="s">
        <v>14</v>
      </c>
      <c r="D11" s="136"/>
      <c r="E11" s="136"/>
      <c r="F11" s="72" t="s">
        <v>13</v>
      </c>
      <c r="H11" s="72" t="s">
        <v>5</v>
      </c>
      <c r="I11" s="72">
        <v>0.55000000000000004</v>
      </c>
      <c r="J11" s="72" t="s">
        <v>9</v>
      </c>
    </row>
    <row r="12" spans="2:22" x14ac:dyDescent="0.2">
      <c r="B12" s="72" t="s">
        <v>7</v>
      </c>
      <c r="C12" s="72">
        <f>I11*M4</f>
        <v>0.55000000000000004</v>
      </c>
      <c r="D12" s="72">
        <f>1.5*I12</f>
        <v>0</v>
      </c>
      <c r="E12" s="72">
        <f>1.5*J13*I13+1.5*I14*J14</f>
        <v>2.0999999999999996</v>
      </c>
      <c r="F12" s="72">
        <f>SUM(C12:E12)</f>
        <v>2.6499999999999995</v>
      </c>
      <c r="H12" s="72" t="s">
        <v>2</v>
      </c>
      <c r="I12" s="72">
        <v>0</v>
      </c>
      <c r="J12" s="72">
        <v>0.6</v>
      </c>
    </row>
    <row r="13" spans="2:22" ht="17" thickBot="1" x14ac:dyDescent="0.25">
      <c r="B13" s="72" t="s">
        <v>3</v>
      </c>
      <c r="C13" s="72">
        <f>I11*M4</f>
        <v>0.55000000000000004</v>
      </c>
      <c r="D13" s="72">
        <f>1.5*I13</f>
        <v>0</v>
      </c>
      <c r="E13" s="72">
        <f>(1.5*J12*I12)+(1.5*I14*J14)</f>
        <v>2.0999999999999996</v>
      </c>
      <c r="F13" s="13">
        <f>SUM(C13:E13)</f>
        <v>2.6499999999999995</v>
      </c>
      <c r="H13" s="72" t="s">
        <v>3</v>
      </c>
      <c r="I13" s="72">
        <v>0</v>
      </c>
      <c r="J13" s="72">
        <v>0.5</v>
      </c>
      <c r="O13" s="75" t="s">
        <v>60</v>
      </c>
      <c r="P13" s="75">
        <v>0.19</v>
      </c>
      <c r="Q13" s="75">
        <v>0.45</v>
      </c>
      <c r="R13" s="75">
        <v>0.68</v>
      </c>
      <c r="S13" s="75">
        <v>0.92</v>
      </c>
      <c r="T13" s="75">
        <v>1.1499999999999999</v>
      </c>
      <c r="U13" s="75">
        <v>2.5099999999999998</v>
      </c>
      <c r="V13" s="75">
        <v>1.38</v>
      </c>
    </row>
    <row r="14" spans="2:22" ht="17" thickBot="1" x14ac:dyDescent="0.25">
      <c r="B14" s="72" t="s">
        <v>4</v>
      </c>
      <c r="C14" s="72">
        <f>I11*M4</f>
        <v>0.55000000000000004</v>
      </c>
      <c r="D14" s="72">
        <f>1.5*I14</f>
        <v>3</v>
      </c>
      <c r="E14" s="73">
        <f>1.5*I12*J12+1.5*I13*J13</f>
        <v>0</v>
      </c>
      <c r="F14" s="15">
        <f>SUM(C14:E14)</f>
        <v>3.55</v>
      </c>
      <c r="H14" s="72" t="s">
        <v>4</v>
      </c>
      <c r="I14" s="72">
        <v>2</v>
      </c>
      <c r="J14" s="72">
        <v>0.7</v>
      </c>
      <c r="O14" s="75" t="s">
        <v>61</v>
      </c>
      <c r="P14" s="37">
        <f>7.21*P13</f>
        <v>1.3699000000000001</v>
      </c>
      <c r="Q14" s="37">
        <f t="shared" ref="Q14:V14" si="0">7.21*Q13</f>
        <v>3.2444999999999999</v>
      </c>
      <c r="R14" s="37">
        <f t="shared" si="0"/>
        <v>4.9028</v>
      </c>
      <c r="S14" s="37">
        <f t="shared" si="0"/>
        <v>6.6332000000000004</v>
      </c>
      <c r="T14" s="37">
        <f t="shared" si="0"/>
        <v>8.2914999999999992</v>
      </c>
      <c r="U14" s="37">
        <f t="shared" si="0"/>
        <v>18.097099999999998</v>
      </c>
      <c r="V14" s="37">
        <f t="shared" si="0"/>
        <v>9.9497999999999998</v>
      </c>
    </row>
    <row r="18" spans="2:10" x14ac:dyDescent="0.2">
      <c r="B18" s="136" t="s">
        <v>34</v>
      </c>
      <c r="C18" s="136"/>
      <c r="D18" s="136"/>
      <c r="E18" s="136"/>
      <c r="F18" s="136"/>
      <c r="H18" s="72"/>
      <c r="I18" s="72" t="s">
        <v>12</v>
      </c>
      <c r="J18" s="72" t="s">
        <v>8</v>
      </c>
    </row>
    <row r="19" spans="2:10" x14ac:dyDescent="0.2">
      <c r="B19" s="72" t="s">
        <v>6</v>
      </c>
      <c r="C19" s="136" t="s">
        <v>14</v>
      </c>
      <c r="D19" s="136"/>
      <c r="E19" s="136"/>
      <c r="F19" s="72" t="s">
        <v>13</v>
      </c>
      <c r="H19" s="72" t="s">
        <v>5</v>
      </c>
      <c r="I19" s="72">
        <v>0.7</v>
      </c>
      <c r="J19" s="72" t="s">
        <v>9</v>
      </c>
    </row>
    <row r="20" spans="2:10" x14ac:dyDescent="0.2">
      <c r="B20" s="72" t="s">
        <v>7</v>
      </c>
      <c r="C20" s="72">
        <f>$M$4*$I$19</f>
        <v>0.7</v>
      </c>
      <c r="D20" s="72">
        <f>1.5*I20</f>
        <v>0</v>
      </c>
      <c r="E20" s="72">
        <f>1.5*J21*I21+1.5*I22*J22</f>
        <v>4.7999999999999989</v>
      </c>
      <c r="F20" s="72">
        <f>SUM(C20:E20)</f>
        <v>5.4999999999999991</v>
      </c>
      <c r="H20" s="72" t="s">
        <v>2</v>
      </c>
      <c r="I20" s="72">
        <v>0</v>
      </c>
      <c r="J20" s="72">
        <v>0.6</v>
      </c>
    </row>
    <row r="21" spans="2:10" ht="17" thickBot="1" x14ac:dyDescent="0.25">
      <c r="B21" s="72" t="s">
        <v>3</v>
      </c>
      <c r="C21" s="72">
        <f>$M$4*$I$19</f>
        <v>0.7</v>
      </c>
      <c r="D21" s="72">
        <f>1.5*I21</f>
        <v>1.2000000000000002</v>
      </c>
      <c r="E21" s="72">
        <f>(1.5*J20*I20)+(1.5*I22*J22)</f>
        <v>4.1999999999999993</v>
      </c>
      <c r="F21" s="13">
        <f>SUM(C21:E21)</f>
        <v>6.1</v>
      </c>
      <c r="H21" s="72" t="s">
        <v>3</v>
      </c>
      <c r="I21" s="72">
        <v>0.8</v>
      </c>
      <c r="J21" s="72">
        <v>0.5</v>
      </c>
    </row>
    <row r="22" spans="2:10" ht="17" thickBot="1" x14ac:dyDescent="0.25">
      <c r="B22" s="72" t="s">
        <v>4</v>
      </c>
      <c r="C22" s="72">
        <f>$M$4*$I$19</f>
        <v>0.7</v>
      </c>
      <c r="D22" s="72">
        <f>1.5*I22</f>
        <v>6</v>
      </c>
      <c r="E22" s="73">
        <f>1.5*I20*J20+1.5*I21*J21</f>
        <v>0.60000000000000009</v>
      </c>
      <c r="F22" s="15">
        <f>SUM(C22:E22)</f>
        <v>7.3000000000000007</v>
      </c>
      <c r="H22" s="72" t="s">
        <v>4</v>
      </c>
      <c r="I22" s="72">
        <v>4</v>
      </c>
      <c r="J22" s="72">
        <v>0.7</v>
      </c>
    </row>
    <row r="26" spans="2:10" x14ac:dyDescent="0.2">
      <c r="B26" s="136" t="s">
        <v>37</v>
      </c>
      <c r="C26" s="136"/>
      <c r="D26" s="136"/>
      <c r="E26" s="136"/>
      <c r="F26" s="136"/>
      <c r="H26" s="72"/>
      <c r="I26" s="72" t="s">
        <v>12</v>
      </c>
      <c r="J26" s="72" t="s">
        <v>8</v>
      </c>
    </row>
    <row r="27" spans="2:10" x14ac:dyDescent="0.2">
      <c r="B27" s="72" t="s">
        <v>6</v>
      </c>
      <c r="C27" s="136" t="s">
        <v>14</v>
      </c>
      <c r="D27" s="136"/>
      <c r="E27" s="136"/>
      <c r="F27" s="72" t="s">
        <v>13</v>
      </c>
      <c r="H27" s="72" t="s">
        <v>5</v>
      </c>
      <c r="I27" s="72">
        <v>0.46</v>
      </c>
      <c r="J27" s="72" t="s">
        <v>9</v>
      </c>
    </row>
    <row r="28" spans="2:10" x14ac:dyDescent="0.2">
      <c r="B28" s="72" t="s">
        <v>7</v>
      </c>
      <c r="C28" s="72">
        <f>$M$4*$I$27</f>
        <v>0.46</v>
      </c>
      <c r="D28" s="72">
        <f>1.5*I28</f>
        <v>0</v>
      </c>
      <c r="E28" s="72">
        <f>1.5*J29*I29+1.5*I30*J30</f>
        <v>4.7924999999999995</v>
      </c>
      <c r="F28" s="76">
        <f>SUM(C28:E28)</f>
        <v>5.2524999999999995</v>
      </c>
      <c r="H28" s="72" t="s">
        <v>2</v>
      </c>
      <c r="I28" s="72">
        <v>0</v>
      </c>
      <c r="J28" s="72">
        <v>0.6</v>
      </c>
    </row>
    <row r="29" spans="2:10" ht="17" thickBot="1" x14ac:dyDescent="0.25">
      <c r="B29" s="72" t="s">
        <v>3</v>
      </c>
      <c r="C29" s="72">
        <f>$M$4*$I$27</f>
        <v>0.46</v>
      </c>
      <c r="D29" s="72">
        <f>1.5*I29</f>
        <v>1.1850000000000001</v>
      </c>
      <c r="E29" s="72">
        <f>(1.5*J28*I28)+(1.5*I30*J30)</f>
        <v>4.1999999999999993</v>
      </c>
      <c r="F29" s="13">
        <f>SUM(C29:E29)</f>
        <v>5.8449999999999989</v>
      </c>
      <c r="H29" s="72" t="s">
        <v>3</v>
      </c>
      <c r="I29" s="72">
        <v>0.79</v>
      </c>
      <c r="J29" s="72">
        <v>0.5</v>
      </c>
    </row>
    <row r="30" spans="2:10" ht="17" thickBot="1" x14ac:dyDescent="0.25">
      <c r="B30" s="72" t="s">
        <v>4</v>
      </c>
      <c r="C30" s="72">
        <f>$M$4*$I$27</f>
        <v>0.46</v>
      </c>
      <c r="D30" s="72">
        <f>1.5*I30</f>
        <v>6</v>
      </c>
      <c r="E30" s="73">
        <f>1.5*I28*J28+1.5*I29*J29</f>
        <v>0.59250000000000003</v>
      </c>
      <c r="F30" s="32">
        <f>SUM(C30:E30)</f>
        <v>7.0525000000000002</v>
      </c>
      <c r="H30" s="72" t="s">
        <v>4</v>
      </c>
      <c r="I30" s="72">
        <v>4</v>
      </c>
      <c r="J30" s="72">
        <v>0.7</v>
      </c>
    </row>
    <row r="36" spans="2:10" x14ac:dyDescent="0.2">
      <c r="B36" s="136" t="s">
        <v>36</v>
      </c>
      <c r="C36" s="136"/>
      <c r="D36" s="136"/>
      <c r="E36" s="136"/>
      <c r="F36" s="136"/>
      <c r="H36" s="72"/>
      <c r="I36" s="72" t="s">
        <v>33</v>
      </c>
      <c r="J36" s="72" t="s">
        <v>8</v>
      </c>
    </row>
    <row r="37" spans="2:10" x14ac:dyDescent="0.2">
      <c r="B37" s="72" t="s">
        <v>6</v>
      </c>
      <c r="C37" s="136" t="s">
        <v>14</v>
      </c>
      <c r="D37" s="136"/>
      <c r="E37" s="136"/>
      <c r="F37" s="72" t="s">
        <v>13</v>
      </c>
      <c r="H37" s="72" t="s">
        <v>5</v>
      </c>
      <c r="I37" s="76">
        <f>0.45*0.454</f>
        <v>0.20430000000000001</v>
      </c>
      <c r="J37" s="72" t="s">
        <v>9</v>
      </c>
    </row>
    <row r="38" spans="2:10" x14ac:dyDescent="0.2">
      <c r="B38" s="72" t="s">
        <v>7</v>
      </c>
      <c r="C38" s="72">
        <f>$M$4*$I$37</f>
        <v>0.20430000000000001</v>
      </c>
      <c r="D38" s="72">
        <f>1.5*I38</f>
        <v>0</v>
      </c>
      <c r="E38" s="72">
        <f>1.5*J39*I39+1.5*I40*J40</f>
        <v>0.1875</v>
      </c>
      <c r="F38" s="72">
        <f>SUM(C38:E38)</f>
        <v>0.39180000000000004</v>
      </c>
      <c r="H38" s="72" t="s">
        <v>2</v>
      </c>
      <c r="I38" s="72">
        <v>0</v>
      </c>
      <c r="J38" s="72">
        <v>0.6</v>
      </c>
    </row>
    <row r="39" spans="2:10" ht="17" thickBot="1" x14ac:dyDescent="0.25">
      <c r="B39" s="72" t="s">
        <v>3</v>
      </c>
      <c r="C39" s="72">
        <f>$M$4*$I$37</f>
        <v>0.20430000000000001</v>
      </c>
      <c r="D39" s="72">
        <f>1.5*I39</f>
        <v>0.375</v>
      </c>
      <c r="E39" s="72">
        <f>(1.5*J38*I38)+(1.5*I40*J40)</f>
        <v>0</v>
      </c>
      <c r="F39" s="13">
        <f>SUM(C39:E39)</f>
        <v>0.57930000000000004</v>
      </c>
      <c r="H39" s="72" t="s">
        <v>3</v>
      </c>
      <c r="I39" s="72">
        <v>0.25</v>
      </c>
      <c r="J39" s="72">
        <v>0.5</v>
      </c>
    </row>
    <row r="40" spans="2:10" ht="17" thickBot="1" x14ac:dyDescent="0.25">
      <c r="B40" s="72" t="s">
        <v>4</v>
      </c>
      <c r="C40" s="72">
        <f>$M$4*$I$37</f>
        <v>0.20430000000000001</v>
      </c>
      <c r="D40" s="72">
        <f>1.5*I40</f>
        <v>0.27</v>
      </c>
      <c r="E40" s="73">
        <f>1.5*I38*J38+1.5*I39*J39</f>
        <v>0.1875</v>
      </c>
      <c r="F40" s="51">
        <f>SUM(C40:E40)</f>
        <v>0.66180000000000005</v>
      </c>
      <c r="H40" s="72" t="s">
        <v>4</v>
      </c>
      <c r="I40" s="72">
        <v>0.18</v>
      </c>
      <c r="J40" s="72">
        <v>0</v>
      </c>
    </row>
    <row r="45" spans="2:10" ht="17" thickBot="1" x14ac:dyDescent="0.25"/>
    <row r="46" spans="2:10" x14ac:dyDescent="0.2">
      <c r="B46" s="81"/>
      <c r="C46" s="82" t="s">
        <v>12</v>
      </c>
      <c r="D46" s="2" t="s">
        <v>8</v>
      </c>
      <c r="E46" s="127" t="s">
        <v>37</v>
      </c>
      <c r="F46" s="128"/>
      <c r="G46" s="128"/>
      <c r="H46" s="128"/>
      <c r="I46" s="129"/>
    </row>
    <row r="47" spans="2:10" x14ac:dyDescent="0.2">
      <c r="B47" s="95" t="s">
        <v>5</v>
      </c>
      <c r="C47" s="72">
        <v>0.36</v>
      </c>
      <c r="D47" s="5" t="s">
        <v>9</v>
      </c>
      <c r="E47" s="95" t="s">
        <v>6</v>
      </c>
      <c r="F47" s="130" t="s">
        <v>14</v>
      </c>
      <c r="G47" s="131"/>
      <c r="H47" s="132"/>
      <c r="I47" s="5" t="s">
        <v>13</v>
      </c>
    </row>
    <row r="48" spans="2:10" x14ac:dyDescent="0.2">
      <c r="B48" s="95" t="s">
        <v>3</v>
      </c>
      <c r="C48" s="72">
        <v>0.79</v>
      </c>
      <c r="D48" s="5">
        <v>0.5</v>
      </c>
      <c r="E48" s="95" t="s">
        <v>3</v>
      </c>
      <c r="F48" s="72">
        <v>0.62100000000000011</v>
      </c>
      <c r="G48" s="72">
        <v>1.1850000000000001</v>
      </c>
      <c r="H48" s="72">
        <v>4.1999999999999993</v>
      </c>
      <c r="I48" s="5">
        <v>6.0059999999999993</v>
      </c>
    </row>
    <row r="49" spans="2:16" ht="17" thickBot="1" x14ac:dyDescent="0.25">
      <c r="B49" s="79" t="s">
        <v>4</v>
      </c>
      <c r="C49" s="80">
        <v>4</v>
      </c>
      <c r="D49" s="3">
        <v>0.7</v>
      </c>
      <c r="E49" s="79" t="s">
        <v>4</v>
      </c>
      <c r="F49" s="80">
        <v>0.62100000000000011</v>
      </c>
      <c r="G49" s="80">
        <v>6</v>
      </c>
      <c r="H49" s="80">
        <v>0.59250000000000003</v>
      </c>
      <c r="I49" s="96">
        <v>7.2135000000000007</v>
      </c>
    </row>
    <row r="51" spans="2:16" ht="17" thickBot="1" x14ac:dyDescent="0.25"/>
    <row r="52" spans="2:16" x14ac:dyDescent="0.2">
      <c r="B52" s="81"/>
      <c r="C52" s="82" t="s">
        <v>12</v>
      </c>
      <c r="D52" s="2" t="s">
        <v>8</v>
      </c>
      <c r="E52" s="127" t="s">
        <v>37</v>
      </c>
      <c r="F52" s="128"/>
      <c r="G52" s="128"/>
      <c r="H52" s="128"/>
      <c r="I52" s="129"/>
    </row>
    <row r="53" spans="2:16" x14ac:dyDescent="0.2">
      <c r="B53" s="95" t="s">
        <v>5</v>
      </c>
      <c r="C53" s="72">
        <v>0.36</v>
      </c>
      <c r="D53" s="5" t="s">
        <v>9</v>
      </c>
      <c r="E53" s="95" t="s">
        <v>6</v>
      </c>
      <c r="F53" s="130" t="s">
        <v>14</v>
      </c>
      <c r="G53" s="131"/>
      <c r="H53" s="132"/>
      <c r="I53" s="5" t="s">
        <v>13</v>
      </c>
    </row>
    <row r="54" spans="2:16" x14ac:dyDescent="0.2">
      <c r="B54" s="95" t="s">
        <v>3</v>
      </c>
      <c r="C54" s="72">
        <v>0.79</v>
      </c>
      <c r="D54" s="5">
        <v>0.5</v>
      </c>
      <c r="E54" s="95" t="s">
        <v>3</v>
      </c>
      <c r="F54" s="72">
        <v>0.48599999999999999</v>
      </c>
      <c r="G54" s="72">
        <v>1.1850000000000001</v>
      </c>
      <c r="H54" s="72">
        <v>4.1999999999999993</v>
      </c>
      <c r="I54" s="5">
        <v>5.8709999999999996</v>
      </c>
    </row>
    <row r="55" spans="2:16" ht="17" thickBot="1" x14ac:dyDescent="0.25">
      <c r="B55" s="79" t="s">
        <v>4</v>
      </c>
      <c r="C55" s="80">
        <v>4</v>
      </c>
      <c r="D55" s="3">
        <v>0.7</v>
      </c>
      <c r="E55" s="79" t="s">
        <v>4</v>
      </c>
      <c r="F55" s="80">
        <v>0.48599999999999999</v>
      </c>
      <c r="G55" s="80">
        <v>6</v>
      </c>
      <c r="H55" s="80">
        <v>0.59250000000000003</v>
      </c>
      <c r="I55" s="96">
        <v>7.0785</v>
      </c>
    </row>
    <row r="57" spans="2:16" ht="17" thickBot="1" x14ac:dyDescent="0.25"/>
    <row r="58" spans="2:16" ht="17" thickBot="1" x14ac:dyDescent="0.25">
      <c r="B58" s="133" t="s">
        <v>138</v>
      </c>
      <c r="C58" s="134"/>
      <c r="D58" s="134"/>
      <c r="E58" s="134"/>
      <c r="F58" s="134"/>
      <c r="G58" s="134"/>
      <c r="H58" s="134"/>
      <c r="I58" s="135"/>
      <c r="M58" t="s">
        <v>139</v>
      </c>
      <c r="O58">
        <v>0.8</v>
      </c>
      <c r="P58">
        <v>0.3</v>
      </c>
    </row>
    <row r="60" spans="2:16" x14ac:dyDescent="0.2">
      <c r="B60" s="126" t="s">
        <v>130</v>
      </c>
      <c r="C60" s="126"/>
      <c r="D60" s="126"/>
      <c r="E60" s="126"/>
      <c r="F60" s="126"/>
      <c r="G60" s="126"/>
      <c r="H60" s="126"/>
      <c r="I60" s="126"/>
      <c r="M60" t="s">
        <v>140</v>
      </c>
      <c r="N60" s="104">
        <f>O58*(H62+P58*H65)</f>
        <v>0.40584000000000009</v>
      </c>
    </row>
    <row r="61" spans="2:16" x14ac:dyDescent="0.2">
      <c r="B61" s="125" t="s">
        <v>70</v>
      </c>
      <c r="C61" s="125" t="s">
        <v>14</v>
      </c>
      <c r="D61" s="125"/>
      <c r="E61" s="125"/>
      <c r="F61" s="125" t="s">
        <v>71</v>
      </c>
      <c r="G61" s="125" t="s">
        <v>72</v>
      </c>
      <c r="H61" s="125"/>
      <c r="I61" s="72" t="s">
        <v>73</v>
      </c>
      <c r="M61" t="s">
        <v>141</v>
      </c>
      <c r="N61" s="104">
        <f>O58*(H70+P58*H73)</f>
        <v>0.20664000000000005</v>
      </c>
    </row>
    <row r="62" spans="2:16" ht="17" customHeight="1" x14ac:dyDescent="0.2">
      <c r="B62" s="125"/>
      <c r="C62" s="125"/>
      <c r="D62" s="125"/>
      <c r="E62" s="125"/>
      <c r="F62" s="125"/>
      <c r="G62" s="72" t="s">
        <v>5</v>
      </c>
      <c r="H62" s="76">
        <f>0.45*0.89</f>
        <v>0.40050000000000002</v>
      </c>
      <c r="I62" s="72" t="s">
        <v>9</v>
      </c>
    </row>
    <row r="63" spans="2:16" ht="17" x14ac:dyDescent="0.2">
      <c r="B63" s="74" t="s">
        <v>7</v>
      </c>
      <c r="C63" s="53">
        <f>$H$62*$M$4</f>
        <v>0.40050000000000002</v>
      </c>
      <c r="D63" s="53">
        <f>H63*$M$5</f>
        <v>0.8</v>
      </c>
      <c r="E63" s="53">
        <f>$M$5*(H64*I64)+$M$5*(H65*I65)</f>
        <v>0.245</v>
      </c>
      <c r="F63" s="99">
        <f>SUM(C63:E63)</f>
        <v>1.4455</v>
      </c>
      <c r="G63" s="72" t="s">
        <v>2</v>
      </c>
      <c r="H63" s="76">
        <v>0.8</v>
      </c>
      <c r="I63" s="72">
        <v>0.6</v>
      </c>
      <c r="M63" t="s">
        <v>142</v>
      </c>
      <c r="N63" s="104">
        <f>O58*(H84+P58*H86)</f>
        <v>1.3280000000000001</v>
      </c>
    </row>
    <row r="64" spans="2:16" ht="17" x14ac:dyDescent="0.2">
      <c r="B64" s="74" t="s">
        <v>3</v>
      </c>
      <c r="C64" s="53">
        <f t="shared" ref="C64:C65" si="1">$H$62*$M$4</f>
        <v>0.40050000000000002</v>
      </c>
      <c r="D64" s="53">
        <f t="shared" ref="D64:D65" si="2">H64*$M$5</f>
        <v>0.49</v>
      </c>
      <c r="E64" s="53">
        <f>$M$5*(H63*I63)+$M$5*(H65*I65)</f>
        <v>0.48</v>
      </c>
      <c r="F64" s="61">
        <f t="shared" ref="F64:F65" si="3">SUM(C64:E64)</f>
        <v>1.3705000000000001</v>
      </c>
      <c r="G64" s="72" t="s">
        <v>3</v>
      </c>
      <c r="H64" s="76">
        <v>0.49</v>
      </c>
      <c r="I64" s="72">
        <v>0.5</v>
      </c>
    </row>
    <row r="65" spans="2:17" ht="17" x14ac:dyDescent="0.2">
      <c r="B65" s="74" t="s">
        <v>4</v>
      </c>
      <c r="C65" s="53">
        <f t="shared" si="1"/>
        <v>0.40050000000000002</v>
      </c>
      <c r="D65" s="53">
        <f t="shared" si="2"/>
        <v>0.35600000000000004</v>
      </c>
      <c r="E65" s="53">
        <f>$M$5*(H63*I63)+$M$5*(H64*0.3)</f>
        <v>0.627</v>
      </c>
      <c r="F65" s="61">
        <f t="shared" si="3"/>
        <v>1.3835000000000002</v>
      </c>
      <c r="G65" s="72" t="s">
        <v>4</v>
      </c>
      <c r="H65" s="76">
        <f>0.4*0.89</f>
        <v>0.35600000000000004</v>
      </c>
      <c r="I65" s="72">
        <v>0</v>
      </c>
    </row>
    <row r="66" spans="2:17" x14ac:dyDescent="0.2">
      <c r="F66" s="62"/>
      <c r="M66" s="137" t="s">
        <v>146</v>
      </c>
      <c r="N66" s="137"/>
      <c r="O66" s="137"/>
      <c r="P66" s="137"/>
      <c r="Q66" s="34"/>
    </row>
    <row r="67" spans="2:17" x14ac:dyDescent="0.2">
      <c r="M67" s="137" t="s">
        <v>143</v>
      </c>
      <c r="N67" s="137"/>
      <c r="O67" s="138">
        <f>N60</f>
        <v>0.40584000000000009</v>
      </c>
      <c r="P67" s="137"/>
    </row>
    <row r="68" spans="2:17" x14ac:dyDescent="0.2">
      <c r="B68" s="126" t="s">
        <v>131</v>
      </c>
      <c r="C68" s="126"/>
      <c r="D68" s="126"/>
      <c r="E68" s="126"/>
      <c r="F68" s="126"/>
      <c r="G68" s="126"/>
      <c r="H68" s="126"/>
      <c r="I68" s="126"/>
      <c r="M68" s="137" t="s">
        <v>144</v>
      </c>
      <c r="N68" s="137"/>
      <c r="O68" s="138">
        <f>N61</f>
        <v>0.20664000000000005</v>
      </c>
      <c r="P68" s="137"/>
    </row>
    <row r="69" spans="2:17" x14ac:dyDescent="0.2">
      <c r="B69" s="125" t="s">
        <v>70</v>
      </c>
      <c r="C69" s="125" t="s">
        <v>14</v>
      </c>
      <c r="D69" s="125"/>
      <c r="E69" s="125"/>
      <c r="F69" s="125" t="s">
        <v>71</v>
      </c>
      <c r="G69" s="125" t="s">
        <v>72</v>
      </c>
      <c r="H69" s="125"/>
      <c r="I69" s="72" t="s">
        <v>73</v>
      </c>
      <c r="M69" s="137" t="s">
        <v>145</v>
      </c>
      <c r="N69" s="137"/>
      <c r="O69" s="138">
        <f>N63</f>
        <v>1.3280000000000001</v>
      </c>
      <c r="P69" s="137"/>
    </row>
    <row r="70" spans="2:17" x14ac:dyDescent="0.2">
      <c r="B70" s="125"/>
      <c r="C70" s="125"/>
      <c r="D70" s="125"/>
      <c r="E70" s="125"/>
      <c r="F70" s="125"/>
      <c r="G70" s="72" t="s">
        <v>5</v>
      </c>
      <c r="H70" s="76">
        <f>0.45*0.454</f>
        <v>0.20430000000000001</v>
      </c>
      <c r="I70" s="72" t="s">
        <v>9</v>
      </c>
    </row>
    <row r="71" spans="2:17" ht="17" x14ac:dyDescent="0.2">
      <c r="B71" s="74" t="s">
        <v>7</v>
      </c>
      <c r="C71" s="53">
        <f>$H$70*$M$4</f>
        <v>0.20430000000000001</v>
      </c>
      <c r="D71" s="53">
        <f>H71*$M$5</f>
        <v>0</v>
      </c>
      <c r="E71" s="53">
        <f>$M$5*(H72*I72)+$M$5*(H73*I73)</f>
        <v>0.125</v>
      </c>
      <c r="F71" s="61">
        <f>SUM(C71:E71)</f>
        <v>0.32930000000000004</v>
      </c>
      <c r="G71" s="72" t="s">
        <v>2</v>
      </c>
      <c r="H71" s="72">
        <v>0</v>
      </c>
      <c r="I71" s="72">
        <v>0.6</v>
      </c>
    </row>
    <row r="72" spans="2:17" ht="17" x14ac:dyDescent="0.2">
      <c r="B72" s="74" t="s">
        <v>3</v>
      </c>
      <c r="C72" s="53">
        <f t="shared" ref="C72:C73" si="4">$H$70*$M$4</f>
        <v>0.20430000000000001</v>
      </c>
      <c r="D72" s="53">
        <f>H72*$M$5</f>
        <v>0.25</v>
      </c>
      <c r="E72" s="53">
        <f>$M$5*(H71*I71)+$M$5*(H73*I73)</f>
        <v>0</v>
      </c>
      <c r="F72" s="61">
        <f t="shared" ref="F72:F73" si="5">SUM(C72:E72)</f>
        <v>0.45430000000000004</v>
      </c>
      <c r="G72" s="72" t="s">
        <v>3</v>
      </c>
      <c r="H72" s="72">
        <v>0.25</v>
      </c>
      <c r="I72" s="72">
        <v>0.5</v>
      </c>
    </row>
    <row r="73" spans="2:17" ht="17" x14ac:dyDescent="0.2">
      <c r="B73" s="74" t="s">
        <v>4</v>
      </c>
      <c r="C73" s="53">
        <f t="shared" si="4"/>
        <v>0.20430000000000001</v>
      </c>
      <c r="D73" s="53">
        <f t="shared" ref="D73" si="6">H73*$M$5</f>
        <v>0.18</v>
      </c>
      <c r="E73" s="53">
        <f>$M$5*(H71*I71)+$M$5*(H72*I72)</f>
        <v>0.125</v>
      </c>
      <c r="F73" s="99">
        <f t="shared" si="5"/>
        <v>0.50929999999999997</v>
      </c>
      <c r="G73" s="72" t="s">
        <v>4</v>
      </c>
      <c r="H73" s="72">
        <v>0.18</v>
      </c>
      <c r="I73" s="72">
        <v>0</v>
      </c>
    </row>
    <row r="77" spans="2:17" ht="16" customHeight="1" x14ac:dyDescent="0.2">
      <c r="B77" s="122" t="s">
        <v>132</v>
      </c>
      <c r="C77" s="123"/>
      <c r="D77" s="123"/>
      <c r="E77" s="123"/>
      <c r="F77" s="123"/>
      <c r="G77" s="123"/>
      <c r="H77" s="123"/>
      <c r="I77" s="124"/>
    </row>
    <row r="78" spans="2:17" ht="16" customHeight="1" x14ac:dyDescent="0.2">
      <c r="B78" s="109" t="s">
        <v>70</v>
      </c>
      <c r="C78" s="111" t="s">
        <v>14</v>
      </c>
      <c r="D78" s="112"/>
      <c r="E78" s="113"/>
      <c r="F78" s="109" t="s">
        <v>71</v>
      </c>
      <c r="G78" s="117" t="s">
        <v>72</v>
      </c>
      <c r="H78" s="118"/>
      <c r="I78" s="72" t="s">
        <v>73</v>
      </c>
    </row>
    <row r="79" spans="2:17" x14ac:dyDescent="0.2">
      <c r="B79" s="110"/>
      <c r="C79" s="114"/>
      <c r="D79" s="115"/>
      <c r="E79" s="116"/>
      <c r="F79" s="110"/>
      <c r="G79" s="72" t="s">
        <v>5</v>
      </c>
      <c r="H79" s="72">
        <v>0.55000000000000004</v>
      </c>
      <c r="I79" s="72" t="s">
        <v>9</v>
      </c>
    </row>
    <row r="80" spans="2:17" ht="17" x14ac:dyDescent="0.2">
      <c r="B80" s="74" t="s">
        <v>4</v>
      </c>
      <c r="C80" s="53">
        <f>H79*M4</f>
        <v>0.55000000000000004</v>
      </c>
      <c r="D80" s="53">
        <f>H80*M5</f>
        <v>2</v>
      </c>
      <c r="E80" s="53">
        <v>0</v>
      </c>
      <c r="F80" s="61">
        <v>3.7425000000000002</v>
      </c>
      <c r="G80" s="72" t="s">
        <v>4</v>
      </c>
      <c r="H80" s="72">
        <v>2</v>
      </c>
      <c r="I80" s="72">
        <v>0.7</v>
      </c>
    </row>
    <row r="82" spans="2:9" ht="16" customHeight="1" x14ac:dyDescent="0.2">
      <c r="B82" s="119" t="s">
        <v>133</v>
      </c>
      <c r="C82" s="120"/>
      <c r="D82" s="120"/>
      <c r="E82" s="120"/>
      <c r="F82" s="120"/>
      <c r="G82" s="120"/>
      <c r="H82" s="120"/>
      <c r="I82" s="121"/>
    </row>
    <row r="83" spans="2:9" ht="16" customHeight="1" x14ac:dyDescent="0.2">
      <c r="B83" s="109" t="s">
        <v>70</v>
      </c>
      <c r="C83" s="111" t="s">
        <v>14</v>
      </c>
      <c r="D83" s="112"/>
      <c r="E83" s="113"/>
      <c r="F83" s="109" t="s">
        <v>71</v>
      </c>
      <c r="G83" s="117" t="s">
        <v>72</v>
      </c>
      <c r="H83" s="118"/>
      <c r="I83" s="72" t="s">
        <v>73</v>
      </c>
    </row>
    <row r="84" spans="2:9" x14ac:dyDescent="0.2">
      <c r="B84" s="110"/>
      <c r="C84" s="114"/>
      <c r="D84" s="115"/>
      <c r="E84" s="116"/>
      <c r="F84" s="110"/>
      <c r="G84" s="72" t="s">
        <v>5</v>
      </c>
      <c r="H84" s="72">
        <v>0.46</v>
      </c>
      <c r="I84" s="72" t="s">
        <v>9</v>
      </c>
    </row>
    <row r="85" spans="2:9" ht="17" x14ac:dyDescent="0.2">
      <c r="B85" s="74" t="s">
        <v>3</v>
      </c>
      <c r="C85" s="72">
        <f>H84*$M$4</f>
        <v>0.46</v>
      </c>
      <c r="D85" s="72">
        <f>H85*$M$5</f>
        <v>0.79</v>
      </c>
      <c r="E85" s="72">
        <f>$M$5*(H86*I86)</f>
        <v>2.8</v>
      </c>
      <c r="F85" s="100">
        <f>SUM(C85:E85)</f>
        <v>4.05</v>
      </c>
      <c r="G85" s="72" t="s">
        <v>3</v>
      </c>
      <c r="H85" s="72">
        <v>0.79</v>
      </c>
      <c r="I85" s="72">
        <v>0.5</v>
      </c>
    </row>
    <row r="86" spans="2:9" ht="17" x14ac:dyDescent="0.2">
      <c r="B86" s="74" t="s">
        <v>4</v>
      </c>
      <c r="C86" s="72">
        <f>H84*$M$4</f>
        <v>0.46</v>
      </c>
      <c r="D86" s="72">
        <f>H86*$M$5</f>
        <v>4</v>
      </c>
      <c r="E86" s="72">
        <f>$M$5*(H85*I85)</f>
        <v>0.39500000000000002</v>
      </c>
      <c r="F86" s="101">
        <f>SUM(C86:E86)</f>
        <v>4.8550000000000004</v>
      </c>
      <c r="G86" s="72" t="s">
        <v>4</v>
      </c>
      <c r="H86" s="72">
        <v>4</v>
      </c>
      <c r="I86" s="72">
        <v>0.7</v>
      </c>
    </row>
  </sheetData>
  <mergeCells count="44">
    <mergeCell ref="M67:N67"/>
    <mergeCell ref="M68:N68"/>
    <mergeCell ref="M69:N69"/>
    <mergeCell ref="M66:P66"/>
    <mergeCell ref="O69:P69"/>
    <mergeCell ref="O68:P68"/>
    <mergeCell ref="O67:P67"/>
    <mergeCell ref="B83:B84"/>
    <mergeCell ref="C83:E84"/>
    <mergeCell ref="F83:F84"/>
    <mergeCell ref="G83:H83"/>
    <mergeCell ref="B77:I77"/>
    <mergeCell ref="B78:B79"/>
    <mergeCell ref="C78:E79"/>
    <mergeCell ref="F78:F79"/>
    <mergeCell ref="G78:H78"/>
    <mergeCell ref="B82:I82"/>
    <mergeCell ref="B69:B70"/>
    <mergeCell ref="C69:E70"/>
    <mergeCell ref="F69:F70"/>
    <mergeCell ref="G69:H69"/>
    <mergeCell ref="E46:I46"/>
    <mergeCell ref="F47:H47"/>
    <mergeCell ref="E52:I52"/>
    <mergeCell ref="F53:H53"/>
    <mergeCell ref="B58:I58"/>
    <mergeCell ref="B60:I60"/>
    <mergeCell ref="B61:B62"/>
    <mergeCell ref="C61:E62"/>
    <mergeCell ref="F61:F62"/>
    <mergeCell ref="G61:H61"/>
    <mergeCell ref="B68:I68"/>
    <mergeCell ref="C37:E37"/>
    <mergeCell ref="B2:F2"/>
    <mergeCell ref="C3:E3"/>
    <mergeCell ref="R4:R7"/>
    <mergeCell ref="S4:S7"/>
    <mergeCell ref="B10:F10"/>
    <mergeCell ref="C11:E11"/>
    <mergeCell ref="B18:F18"/>
    <mergeCell ref="C19:E19"/>
    <mergeCell ref="B26:F26"/>
    <mergeCell ref="C27:E27"/>
    <mergeCell ref="B36:F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3CCE-9328-5143-A40E-6E5A43150BCF}">
  <dimension ref="C2:T42"/>
  <sheetViews>
    <sheetView topLeftCell="A21" zoomScale="125" workbookViewId="0">
      <selection activeCell="F41" sqref="F41"/>
    </sheetView>
  </sheetViews>
  <sheetFormatPr baseColWidth="10" defaultRowHeight="16" x14ac:dyDescent="0.2"/>
  <cols>
    <col min="3" max="3" width="12.6640625" bestFit="1" customWidth="1"/>
    <col min="4" max="5" width="11.6640625" bestFit="1" customWidth="1"/>
    <col min="6" max="6" width="12.6640625" bestFit="1" customWidth="1"/>
    <col min="7" max="8" width="11.6640625" bestFit="1" customWidth="1"/>
  </cols>
  <sheetData>
    <row r="2" spans="3:20" x14ac:dyDescent="0.2">
      <c r="C2" s="137" t="s">
        <v>15</v>
      </c>
      <c r="D2" s="137"/>
      <c r="E2" s="137"/>
      <c r="F2" s="137"/>
      <c r="G2" s="137"/>
      <c r="H2" s="137"/>
      <c r="I2" s="137"/>
      <c r="J2" s="137"/>
      <c r="K2" s="137"/>
      <c r="L2" s="137"/>
    </row>
    <row r="3" spans="3:20" x14ac:dyDescent="0.2"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</row>
    <row r="4" spans="3:20" x14ac:dyDescent="0.2">
      <c r="C4" s="4">
        <v>24</v>
      </c>
      <c r="D4" s="4">
        <v>14</v>
      </c>
      <c r="E4" s="4">
        <v>0.4</v>
      </c>
      <c r="F4" s="4">
        <v>21</v>
      </c>
      <c r="G4" s="4">
        <v>5.3</v>
      </c>
      <c r="H4" s="4">
        <v>2.5</v>
      </c>
      <c r="I4" s="4">
        <v>11000</v>
      </c>
      <c r="J4" s="4">
        <v>370</v>
      </c>
      <c r="K4" s="4">
        <v>690</v>
      </c>
      <c r="L4" s="4">
        <v>350</v>
      </c>
    </row>
    <row r="5" spans="3:20" x14ac:dyDescent="0.2">
      <c r="C5" s="4" t="s">
        <v>26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22</v>
      </c>
      <c r="J5" s="4" t="s">
        <v>23</v>
      </c>
      <c r="K5" s="4" t="s">
        <v>24</v>
      </c>
      <c r="L5" s="4" t="s">
        <v>25</v>
      </c>
    </row>
    <row r="8" spans="3:20" x14ac:dyDescent="0.2">
      <c r="I8" s="16"/>
      <c r="J8" s="16"/>
      <c r="K8" s="16"/>
      <c r="L8" s="16"/>
      <c r="M8" s="16"/>
    </row>
    <row r="9" spans="3:20" x14ac:dyDescent="0.2">
      <c r="I9" s="17"/>
      <c r="J9" s="17"/>
      <c r="K9" s="17"/>
      <c r="L9" s="17"/>
      <c r="M9" s="16"/>
    </row>
    <row r="10" spans="3:20" x14ac:dyDescent="0.2">
      <c r="I10" s="16"/>
      <c r="J10" s="16"/>
      <c r="K10" s="16"/>
      <c r="L10" s="16"/>
      <c r="M10" s="16"/>
    </row>
    <row r="11" spans="3:20" x14ac:dyDescent="0.2">
      <c r="I11" s="16"/>
      <c r="J11" s="16"/>
      <c r="K11" s="16"/>
      <c r="L11" s="16"/>
      <c r="M11" s="16"/>
      <c r="O11" s="16"/>
      <c r="P11" s="16"/>
      <c r="Q11" s="16"/>
      <c r="R11" s="16"/>
      <c r="S11" s="16"/>
      <c r="T11" s="16"/>
    </row>
    <row r="12" spans="3:20" x14ac:dyDescent="0.2">
      <c r="O12" s="16"/>
      <c r="P12" s="16"/>
      <c r="Q12" s="16"/>
      <c r="R12" s="16"/>
      <c r="S12" s="16"/>
      <c r="T12" s="16"/>
    </row>
    <row r="13" spans="3:20" x14ac:dyDescent="0.2">
      <c r="O13" s="16"/>
      <c r="P13" s="7"/>
      <c r="Q13" s="7"/>
      <c r="R13" s="7"/>
      <c r="S13" s="7"/>
      <c r="T13" s="16"/>
    </row>
    <row r="14" spans="3:20" x14ac:dyDescent="0.2">
      <c r="O14" s="16"/>
      <c r="P14" s="7"/>
      <c r="Q14" s="7"/>
      <c r="R14" s="7"/>
      <c r="S14" s="7"/>
      <c r="T14" s="16"/>
    </row>
    <row r="15" spans="3:20" x14ac:dyDescent="0.2">
      <c r="C15" s="16"/>
      <c r="D15" s="16"/>
      <c r="E15" s="16"/>
      <c r="F15" s="16"/>
      <c r="G15" s="16"/>
      <c r="H15" s="16"/>
      <c r="I15" s="16"/>
      <c r="O15" s="16"/>
      <c r="P15" s="7"/>
      <c r="Q15" s="7"/>
      <c r="R15" s="7"/>
      <c r="S15" s="7"/>
      <c r="T15" s="16"/>
    </row>
    <row r="16" spans="3:20" x14ac:dyDescent="0.2">
      <c r="C16" s="137" t="s">
        <v>57</v>
      </c>
      <c r="D16" s="137"/>
      <c r="E16" s="137"/>
      <c r="F16" s="137"/>
      <c r="G16" s="137"/>
      <c r="H16" s="137"/>
      <c r="I16" s="16"/>
      <c r="J16" s="54" t="s">
        <v>53</v>
      </c>
      <c r="O16" s="16"/>
      <c r="P16" s="16"/>
      <c r="Q16" s="16"/>
      <c r="R16" s="16"/>
      <c r="S16" s="16"/>
      <c r="T16" s="16"/>
    </row>
    <row r="17" spans="3:20" x14ac:dyDescent="0.2">
      <c r="C17" s="4" t="s">
        <v>16</v>
      </c>
      <c r="D17" s="4" t="s">
        <v>17</v>
      </c>
      <c r="E17" s="4" t="s">
        <v>18</v>
      </c>
      <c r="F17" s="4" t="s">
        <v>19</v>
      </c>
      <c r="G17" s="4" t="s">
        <v>20</v>
      </c>
      <c r="H17" s="4" t="s">
        <v>21</v>
      </c>
      <c r="I17" s="16"/>
      <c r="O17" s="16"/>
      <c r="P17" s="16"/>
      <c r="Q17" s="16"/>
      <c r="R17" s="16"/>
      <c r="S17" s="16"/>
      <c r="T17" s="16"/>
    </row>
    <row r="18" spans="3:20" ht="17" thickBot="1" x14ac:dyDescent="0.25">
      <c r="C18" s="13">
        <v>24</v>
      </c>
      <c r="D18" s="13">
        <v>14</v>
      </c>
      <c r="E18" s="13">
        <v>0.4</v>
      </c>
      <c r="F18" s="13">
        <v>21</v>
      </c>
      <c r="G18" s="13">
        <v>5.3</v>
      </c>
      <c r="H18" s="13">
        <v>2.5</v>
      </c>
      <c r="O18" s="16"/>
      <c r="P18" s="16"/>
      <c r="Q18" s="16"/>
      <c r="R18" s="16"/>
      <c r="S18" s="16"/>
      <c r="T18" s="16"/>
    </row>
    <row r="19" spans="3:20" x14ac:dyDescent="0.2">
      <c r="C19" s="8" t="s">
        <v>26</v>
      </c>
      <c r="D19" s="9" t="s">
        <v>27</v>
      </c>
      <c r="E19" s="9" t="s">
        <v>28</v>
      </c>
      <c r="F19" s="9" t="s">
        <v>29</v>
      </c>
      <c r="G19" s="9" t="s">
        <v>30</v>
      </c>
      <c r="H19" s="2" t="s">
        <v>31</v>
      </c>
      <c r="O19" s="16"/>
      <c r="P19" s="16"/>
      <c r="Q19" s="16"/>
      <c r="R19" s="16"/>
      <c r="S19" s="16"/>
      <c r="T19" s="16"/>
    </row>
    <row r="20" spans="3:20" ht="17" thickBot="1" x14ac:dyDescent="0.25">
      <c r="C20" s="18">
        <f t="shared" ref="C20:H20" si="0">0.9*(C18/1.3)</f>
        <v>16.615384615384613</v>
      </c>
      <c r="D20" s="19">
        <f t="shared" si="0"/>
        <v>9.6923076923076916</v>
      </c>
      <c r="E20" s="19">
        <f t="shared" si="0"/>
        <v>0.27692307692307694</v>
      </c>
      <c r="F20" s="19">
        <f t="shared" si="0"/>
        <v>14.538461538461538</v>
      </c>
      <c r="G20" s="19">
        <f t="shared" si="0"/>
        <v>3.6692307692307691</v>
      </c>
      <c r="H20" s="20">
        <f t="shared" si="0"/>
        <v>1.7307692307692306</v>
      </c>
    </row>
    <row r="23" spans="3:20" x14ac:dyDescent="0.2">
      <c r="C23" s="137" t="s">
        <v>38</v>
      </c>
      <c r="D23" s="137"/>
      <c r="E23" s="137"/>
      <c r="F23" s="137"/>
      <c r="G23" s="137"/>
      <c r="H23" s="137"/>
      <c r="J23" s="54" t="s">
        <v>53</v>
      </c>
    </row>
    <row r="24" spans="3:20" x14ac:dyDescent="0.2">
      <c r="C24" s="25" t="s">
        <v>16</v>
      </c>
      <c r="D24" s="25" t="s">
        <v>17</v>
      </c>
      <c r="E24" s="25" t="s">
        <v>18</v>
      </c>
      <c r="F24" s="25" t="s">
        <v>19</v>
      </c>
      <c r="G24" s="25" t="s">
        <v>20</v>
      </c>
      <c r="H24" s="25" t="s">
        <v>21</v>
      </c>
    </row>
    <row r="25" spans="3:20" ht="17" thickBot="1" x14ac:dyDescent="0.25">
      <c r="C25" s="13">
        <v>24</v>
      </c>
      <c r="D25" s="13">
        <v>14</v>
      </c>
      <c r="E25" s="13">
        <v>0.4</v>
      </c>
      <c r="F25" s="13">
        <v>21</v>
      </c>
      <c r="G25" s="13">
        <v>5.3</v>
      </c>
      <c r="H25" s="13">
        <v>2.5</v>
      </c>
    </row>
    <row r="26" spans="3:20" x14ac:dyDescent="0.2">
      <c r="C26" s="30" t="s">
        <v>26</v>
      </c>
      <c r="D26" s="31" t="s">
        <v>27</v>
      </c>
      <c r="E26" s="31" t="s">
        <v>28</v>
      </c>
      <c r="F26" s="31" t="s">
        <v>29</v>
      </c>
      <c r="G26" s="31" t="s">
        <v>30</v>
      </c>
      <c r="H26" s="2" t="s">
        <v>31</v>
      </c>
    </row>
    <row r="27" spans="3:20" ht="17" thickBot="1" x14ac:dyDescent="0.25">
      <c r="C27" s="18">
        <f t="shared" ref="C27:H27" si="1">0.7*(C25/1.3)</f>
        <v>12.923076923076922</v>
      </c>
      <c r="D27" s="18">
        <f t="shared" si="1"/>
        <v>7.5384615384615374</v>
      </c>
      <c r="E27" s="18">
        <f t="shared" si="1"/>
        <v>0.2153846153846154</v>
      </c>
      <c r="F27" s="18">
        <f t="shared" si="1"/>
        <v>11.307692307692307</v>
      </c>
      <c r="G27" s="18">
        <f t="shared" si="1"/>
        <v>2.8538461538461535</v>
      </c>
      <c r="H27" s="18">
        <f t="shared" si="1"/>
        <v>1.346153846153846</v>
      </c>
    </row>
    <row r="30" spans="3:20" x14ac:dyDescent="0.2">
      <c r="C30" s="139"/>
      <c r="D30" s="139"/>
      <c r="E30" s="139"/>
      <c r="F30" s="139"/>
      <c r="G30" s="139"/>
      <c r="H30" s="139"/>
      <c r="I30" s="16"/>
      <c r="J30" s="16"/>
    </row>
    <row r="31" spans="3:20" x14ac:dyDescent="0.2">
      <c r="C31" s="137" t="s">
        <v>74</v>
      </c>
      <c r="D31" s="137"/>
      <c r="E31" s="137"/>
      <c r="F31" s="137"/>
      <c r="G31" s="137"/>
      <c r="H31" s="137"/>
      <c r="I31" s="16"/>
      <c r="J31" s="54" t="s">
        <v>53</v>
      </c>
    </row>
    <row r="32" spans="3:20" x14ac:dyDescent="0.2">
      <c r="C32" s="43" t="s">
        <v>16</v>
      </c>
      <c r="D32" s="43" t="s">
        <v>17</v>
      </c>
      <c r="E32" s="43" t="s">
        <v>18</v>
      </c>
      <c r="F32" s="43" t="s">
        <v>19</v>
      </c>
      <c r="G32" s="43" t="s">
        <v>20</v>
      </c>
      <c r="H32" s="43" t="s">
        <v>21</v>
      </c>
      <c r="I32" s="16"/>
      <c r="J32" s="16"/>
    </row>
    <row r="33" spans="3:10" ht="17" thickBot="1" x14ac:dyDescent="0.25">
      <c r="C33" s="13">
        <v>24</v>
      </c>
      <c r="D33" s="13">
        <v>14</v>
      </c>
      <c r="E33" s="13">
        <v>0.4</v>
      </c>
      <c r="F33" s="13">
        <v>21</v>
      </c>
      <c r="G33" s="13">
        <v>5.3</v>
      </c>
      <c r="H33" s="13">
        <v>2.5</v>
      </c>
      <c r="I33" s="16"/>
      <c r="J33" s="16"/>
    </row>
    <row r="34" spans="3:10" x14ac:dyDescent="0.2">
      <c r="C34" s="49" t="s">
        <v>26</v>
      </c>
      <c r="D34" s="46" t="s">
        <v>27</v>
      </c>
      <c r="E34" s="46" t="s">
        <v>28</v>
      </c>
      <c r="F34" s="46" t="s">
        <v>29</v>
      </c>
      <c r="G34" s="46" t="s">
        <v>30</v>
      </c>
      <c r="H34" s="2" t="s">
        <v>31</v>
      </c>
      <c r="I34" s="16"/>
      <c r="J34" s="16"/>
    </row>
    <row r="35" spans="3:10" ht="17" thickBot="1" x14ac:dyDescent="0.25">
      <c r="C35" s="18">
        <f t="shared" ref="C35:H35" si="2">0.8*(C33/1.3)</f>
        <v>14.769230769230768</v>
      </c>
      <c r="D35" s="18">
        <f t="shared" si="2"/>
        <v>8.615384615384615</v>
      </c>
      <c r="E35" s="18">
        <f t="shared" si="2"/>
        <v>0.24615384615384617</v>
      </c>
      <c r="F35" s="18">
        <f t="shared" si="2"/>
        <v>12.923076923076923</v>
      </c>
      <c r="G35" s="18">
        <f t="shared" si="2"/>
        <v>3.2615384615384615</v>
      </c>
      <c r="H35" s="18">
        <f t="shared" si="2"/>
        <v>1.5384615384615383</v>
      </c>
    </row>
    <row r="38" spans="3:10" x14ac:dyDescent="0.2">
      <c r="C38" s="137" t="s">
        <v>75</v>
      </c>
      <c r="D38" s="137"/>
      <c r="E38" s="137"/>
      <c r="F38" s="137"/>
      <c r="G38" s="137"/>
      <c r="H38" s="137"/>
      <c r="J38" s="54" t="s">
        <v>53</v>
      </c>
    </row>
    <row r="39" spans="3:10" x14ac:dyDescent="0.2">
      <c r="C39" s="43" t="s">
        <v>16</v>
      </c>
      <c r="D39" s="43" t="s">
        <v>17</v>
      </c>
      <c r="E39" s="43" t="s">
        <v>18</v>
      </c>
      <c r="F39" s="43" t="s">
        <v>19</v>
      </c>
      <c r="G39" s="43" t="s">
        <v>20</v>
      </c>
      <c r="H39" s="43" t="s">
        <v>21</v>
      </c>
    </row>
    <row r="40" spans="3:10" ht="17" thickBot="1" x14ac:dyDescent="0.25">
      <c r="C40" s="13">
        <v>24</v>
      </c>
      <c r="D40" s="13">
        <v>14</v>
      </c>
      <c r="E40" s="13">
        <v>0.4</v>
      </c>
      <c r="F40" s="13">
        <v>21</v>
      </c>
      <c r="G40" s="13">
        <v>5.3</v>
      </c>
      <c r="H40" s="13">
        <v>2.5</v>
      </c>
    </row>
    <row r="41" spans="3:10" x14ac:dyDescent="0.2">
      <c r="C41" s="49" t="s">
        <v>26</v>
      </c>
      <c r="D41" s="46" t="s">
        <v>27</v>
      </c>
      <c r="E41" s="46" t="s">
        <v>28</v>
      </c>
      <c r="F41" s="46" t="s">
        <v>29</v>
      </c>
      <c r="G41" s="46" t="s">
        <v>30</v>
      </c>
      <c r="H41" s="2" t="s">
        <v>31</v>
      </c>
    </row>
    <row r="42" spans="3:10" ht="17" thickBot="1" x14ac:dyDescent="0.25">
      <c r="C42" s="18">
        <f t="shared" ref="C42:H42" si="3">0.5*(C40/1.3)</f>
        <v>9.2307692307692299</v>
      </c>
      <c r="D42" s="18">
        <f t="shared" si="3"/>
        <v>5.3846153846153841</v>
      </c>
      <c r="E42" s="18">
        <f t="shared" si="3"/>
        <v>0.15384615384615385</v>
      </c>
      <c r="F42" s="18">
        <f t="shared" si="3"/>
        <v>8.0769230769230766</v>
      </c>
      <c r="G42" s="18">
        <f t="shared" si="3"/>
        <v>2.0384615384615383</v>
      </c>
      <c r="H42" s="18">
        <f t="shared" si="3"/>
        <v>0.96153846153846145</v>
      </c>
    </row>
  </sheetData>
  <mergeCells count="6">
    <mergeCell ref="C38:H38"/>
    <mergeCell ref="C2:L2"/>
    <mergeCell ref="C16:H16"/>
    <mergeCell ref="C23:H23"/>
    <mergeCell ref="C30:H30"/>
    <mergeCell ref="C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B15F-2E13-2D47-B88C-EDC0E8EDD6A9}">
  <dimension ref="B5:F23"/>
  <sheetViews>
    <sheetView workbookViewId="0">
      <selection activeCell="B16" sqref="B16"/>
    </sheetView>
  </sheetViews>
  <sheetFormatPr baseColWidth="10" defaultRowHeight="16" x14ac:dyDescent="0.2"/>
  <cols>
    <col min="2" max="2" width="17.83203125" bestFit="1" customWidth="1"/>
    <col min="3" max="3" width="16.6640625" bestFit="1" customWidth="1"/>
    <col min="4" max="4" width="17.1640625" customWidth="1"/>
    <col min="5" max="5" width="13.1640625" bestFit="1" customWidth="1"/>
    <col min="6" max="6" width="20.6640625" bestFit="1" customWidth="1"/>
    <col min="7" max="7" width="7.83203125" customWidth="1"/>
    <col min="8" max="8" width="8.1640625" customWidth="1"/>
  </cols>
  <sheetData>
    <row r="5" spans="3:6" ht="18" x14ac:dyDescent="0.2">
      <c r="C5" s="140" t="s">
        <v>152</v>
      </c>
      <c r="D5" s="141"/>
      <c r="E5" s="141"/>
      <c r="F5" s="142"/>
    </row>
    <row r="6" spans="3:6" ht="32" customHeight="1" x14ac:dyDescent="0.2">
      <c r="C6" s="105" t="s">
        <v>150</v>
      </c>
      <c r="D6" s="106" t="s">
        <v>154</v>
      </c>
      <c r="E6" s="97" t="s">
        <v>153</v>
      </c>
      <c r="F6" s="107" t="s">
        <v>151</v>
      </c>
    </row>
    <row r="7" spans="3:6" x14ac:dyDescent="0.2">
      <c r="C7" s="98" t="s">
        <v>149</v>
      </c>
      <c r="D7" s="98">
        <f>-1.28*10^-2</f>
        <v>-1.2800000000000001E-2</v>
      </c>
      <c r="E7" s="98">
        <v>1.77</v>
      </c>
      <c r="F7" s="98">
        <v>3.45</v>
      </c>
    </row>
    <row r="8" spans="3:6" x14ac:dyDescent="0.2">
      <c r="C8" s="98" t="s">
        <v>0</v>
      </c>
      <c r="D8" s="98">
        <f>-2.78*10^-3</f>
        <v>-2.7799999999999999E-3</v>
      </c>
      <c r="E8" s="98">
        <v>1.44</v>
      </c>
      <c r="F8" s="98">
        <v>4</v>
      </c>
    </row>
    <row r="11" spans="3:6" ht="18" x14ac:dyDescent="0.2">
      <c r="C11" s="140" t="s">
        <v>155</v>
      </c>
      <c r="D11" s="141"/>
      <c r="E11" s="141"/>
      <c r="F11" s="142"/>
    </row>
    <row r="12" spans="3:6" ht="34" x14ac:dyDescent="0.2">
      <c r="C12" s="105" t="s">
        <v>150</v>
      </c>
      <c r="D12" s="106" t="s">
        <v>154</v>
      </c>
      <c r="E12" s="97" t="s">
        <v>153</v>
      </c>
      <c r="F12" s="107" t="s">
        <v>151</v>
      </c>
    </row>
    <row r="13" spans="3:6" x14ac:dyDescent="0.2">
      <c r="C13" s="98" t="s">
        <v>149</v>
      </c>
      <c r="D13" s="98">
        <f>-4.05*10^-3</f>
        <v>-4.0499999999999998E-3</v>
      </c>
      <c r="E13" s="98">
        <v>1.77</v>
      </c>
      <c r="F13" s="98">
        <v>3.45</v>
      </c>
    </row>
    <row r="14" spans="3:6" x14ac:dyDescent="0.2">
      <c r="C14" s="98" t="s">
        <v>0</v>
      </c>
      <c r="D14" s="98">
        <f>-8.12*10^-4</f>
        <v>-8.12E-4</v>
      </c>
      <c r="E14" s="98">
        <v>1.44</v>
      </c>
      <c r="F14" s="98">
        <v>4</v>
      </c>
    </row>
    <row r="17" spans="2:6" ht="18" x14ac:dyDescent="0.2">
      <c r="C17" s="143" t="s">
        <v>156</v>
      </c>
      <c r="D17" s="143"/>
      <c r="E17" s="143"/>
      <c r="F17" s="143"/>
    </row>
    <row r="18" spans="2:6" ht="34" x14ac:dyDescent="0.2">
      <c r="C18" s="105" t="s">
        <v>150</v>
      </c>
      <c r="D18" s="106" t="s">
        <v>154</v>
      </c>
      <c r="E18" s="107" t="s">
        <v>151</v>
      </c>
      <c r="F18" s="107" t="s">
        <v>157</v>
      </c>
    </row>
    <row r="19" spans="2:6" x14ac:dyDescent="0.2">
      <c r="C19" s="98" t="s">
        <v>149</v>
      </c>
      <c r="D19" s="98">
        <f>ABS(D7+D13)</f>
        <v>1.685E-2</v>
      </c>
      <c r="E19" s="98">
        <v>3.45</v>
      </c>
      <c r="F19" s="98">
        <f>E19/150</f>
        <v>2.3E-2</v>
      </c>
    </row>
    <row r="20" spans="2:6" x14ac:dyDescent="0.2">
      <c r="C20" s="98" t="s">
        <v>0</v>
      </c>
      <c r="D20" s="98">
        <f>ABS(D8+D14)</f>
        <v>3.5919999999999997E-3</v>
      </c>
      <c r="E20" s="98">
        <v>4</v>
      </c>
      <c r="F20" s="108">
        <f>E20/150</f>
        <v>2.6666666666666668E-2</v>
      </c>
    </row>
    <row r="22" spans="2:6" x14ac:dyDescent="0.2">
      <c r="B22" s="21"/>
      <c r="C22" s="22"/>
    </row>
    <row r="23" spans="2:6" x14ac:dyDescent="0.2">
      <c r="B23" s="21"/>
      <c r="C23" s="21"/>
    </row>
  </sheetData>
  <mergeCells count="3">
    <mergeCell ref="C5:F5"/>
    <mergeCell ref="C11:F11"/>
    <mergeCell ref="C17:F17"/>
  </mergeCells>
  <conditionalFormatting sqref="D19">
    <cfRule type="cellIs" dxfId="48" priority="2" operator="lessThan">
      <formula>$F$19</formula>
    </cfRule>
  </conditionalFormatting>
  <conditionalFormatting sqref="D20">
    <cfRule type="cellIs" dxfId="47" priority="1" operator="lessThan">
      <formula>$F$20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401C-DE45-0547-9ADD-0BB4DCCCEFF6}">
  <dimension ref="B1:Y68"/>
  <sheetViews>
    <sheetView topLeftCell="F31" zoomScale="125" workbookViewId="0">
      <selection activeCell="L43" sqref="L43"/>
    </sheetView>
  </sheetViews>
  <sheetFormatPr baseColWidth="10" defaultRowHeight="16" x14ac:dyDescent="0.2"/>
  <cols>
    <col min="1" max="1" width="10.5" customWidth="1"/>
    <col min="2" max="2" width="11.6640625" customWidth="1"/>
    <col min="3" max="3" width="11.5" customWidth="1"/>
    <col min="4" max="4" width="22" customWidth="1"/>
    <col min="5" max="5" width="6.83203125" customWidth="1"/>
    <col min="6" max="6" width="24.83203125" bestFit="1" customWidth="1"/>
    <col min="7" max="7" width="8.5" customWidth="1"/>
    <col min="8" max="8" width="9.6640625" customWidth="1"/>
    <col min="12" max="12" width="11.1640625" customWidth="1"/>
    <col min="13" max="13" width="12.1640625" customWidth="1"/>
    <col min="14" max="14" width="29.1640625" customWidth="1"/>
    <col min="15" max="15" width="12.6640625" bestFit="1" customWidth="1"/>
    <col min="16" max="16" width="28.83203125" bestFit="1" customWidth="1"/>
    <col min="23" max="23" width="17.5" bestFit="1" customWidth="1"/>
    <col min="24" max="24" width="12.5" bestFit="1" customWidth="1"/>
    <col min="25" max="25" width="15" bestFit="1" customWidth="1"/>
  </cols>
  <sheetData>
    <row r="1" spans="2:25" x14ac:dyDescent="0.2">
      <c r="B1" s="136" t="s">
        <v>62</v>
      </c>
      <c r="C1" s="136"/>
      <c r="D1" s="136"/>
      <c r="E1" s="136"/>
      <c r="F1" s="136"/>
      <c r="G1" s="136"/>
      <c r="H1" s="136"/>
      <c r="L1" s="136" t="s">
        <v>63</v>
      </c>
      <c r="M1" s="136"/>
      <c r="N1" s="136"/>
      <c r="O1" s="136"/>
      <c r="P1" s="136"/>
      <c r="Q1" s="136"/>
      <c r="R1" s="136"/>
    </row>
    <row r="2" spans="2:25" x14ac:dyDescent="0.2">
      <c r="B2" s="136"/>
      <c r="C2" s="136"/>
      <c r="D2" s="136"/>
      <c r="E2" s="136"/>
      <c r="F2" s="136"/>
      <c r="G2" s="136"/>
      <c r="H2" s="136"/>
      <c r="L2" s="136"/>
      <c r="M2" s="136"/>
      <c r="N2" s="136"/>
      <c r="O2" s="136"/>
      <c r="P2" s="136"/>
      <c r="Q2" s="136"/>
      <c r="R2" s="136"/>
    </row>
    <row r="3" spans="2:25" x14ac:dyDescent="0.2">
      <c r="B3" s="136" t="s">
        <v>54</v>
      </c>
      <c r="C3" s="136"/>
      <c r="D3" s="136"/>
      <c r="E3" s="136"/>
      <c r="F3" s="136"/>
      <c r="G3" s="136"/>
      <c r="H3" s="136"/>
      <c r="I3" s="34"/>
      <c r="L3" s="136" t="s">
        <v>54</v>
      </c>
      <c r="M3" s="136"/>
      <c r="N3" s="136"/>
      <c r="O3" s="136"/>
      <c r="P3" s="136"/>
      <c r="Q3" s="136"/>
      <c r="R3" s="136"/>
    </row>
    <row r="4" spans="2:25" ht="60" customHeight="1" x14ac:dyDescent="0.2">
      <c r="B4" s="36" t="s">
        <v>47</v>
      </c>
      <c r="C4" s="36" t="s">
        <v>48</v>
      </c>
      <c r="D4" s="125" t="s">
        <v>44</v>
      </c>
      <c r="E4" s="125"/>
      <c r="F4" s="36" t="s">
        <v>39</v>
      </c>
      <c r="G4" s="36" t="s">
        <v>50</v>
      </c>
      <c r="H4" s="36" t="s">
        <v>59</v>
      </c>
      <c r="I4" s="35"/>
      <c r="J4" s="38"/>
      <c r="L4" s="42" t="s">
        <v>47</v>
      </c>
      <c r="M4" s="42" t="s">
        <v>48</v>
      </c>
      <c r="N4" s="125" t="s">
        <v>123</v>
      </c>
      <c r="O4" s="125"/>
      <c r="P4" s="42" t="s">
        <v>69</v>
      </c>
      <c r="Q4" s="42" t="s">
        <v>50</v>
      </c>
      <c r="R4" s="42" t="s">
        <v>59</v>
      </c>
      <c r="T4" s="39" t="s">
        <v>53</v>
      </c>
    </row>
    <row r="5" spans="2:25" x14ac:dyDescent="0.2">
      <c r="B5" s="25">
        <v>75</v>
      </c>
      <c r="C5" s="25">
        <v>180</v>
      </c>
      <c r="D5" s="25" t="s">
        <v>45</v>
      </c>
      <c r="E5" s="25">
        <v>2910</v>
      </c>
      <c r="F5" s="25" t="s">
        <v>40</v>
      </c>
      <c r="G5" s="27">
        <f>E5/(B5*C5)</f>
        <v>0.21555555555555556</v>
      </c>
      <c r="H5" s="25">
        <v>9.69</v>
      </c>
      <c r="I5" s="1"/>
      <c r="L5" s="40">
        <v>63</v>
      </c>
      <c r="M5" s="40">
        <v>175</v>
      </c>
      <c r="N5" s="40" t="s">
        <v>64</v>
      </c>
      <c r="O5" s="40">
        <v>5500</v>
      </c>
      <c r="P5" s="40" t="s">
        <v>125</v>
      </c>
      <c r="Q5" s="41">
        <f>O5/(L5*M5)</f>
        <v>0.49886621315192742</v>
      </c>
      <c r="R5" s="40">
        <v>9.69</v>
      </c>
    </row>
    <row r="6" spans="2:25" ht="32" customHeight="1" x14ac:dyDescent="0.2">
      <c r="B6" s="156" t="s">
        <v>49</v>
      </c>
      <c r="C6" s="156"/>
      <c r="D6" s="25" t="s">
        <v>51</v>
      </c>
      <c r="E6" s="25">
        <v>4610</v>
      </c>
      <c r="F6" s="25" t="s">
        <v>42</v>
      </c>
      <c r="G6" s="27">
        <f>(3*E6)/(2*0.67*B5*C5)</f>
        <v>0.76451077943615253</v>
      </c>
      <c r="H6" s="25">
        <v>1.73</v>
      </c>
      <c r="I6" s="1"/>
      <c r="L6" s="125" t="s">
        <v>68</v>
      </c>
      <c r="M6" s="125"/>
      <c r="N6" s="40" t="s">
        <v>65</v>
      </c>
      <c r="O6" s="40">
        <v>4210</v>
      </c>
      <c r="P6" s="40" t="s">
        <v>76</v>
      </c>
      <c r="Q6" s="41">
        <f>(3*O6)/(2*0.67*L5*M5)</f>
        <v>0.85490912783023654</v>
      </c>
      <c r="R6" s="40">
        <v>1.73</v>
      </c>
    </row>
    <row r="7" spans="2:25" x14ac:dyDescent="0.2">
      <c r="B7" s="136">
        <f>(B5/10*(C5/10*C5/10))/6</f>
        <v>405</v>
      </c>
      <c r="C7" s="136"/>
      <c r="D7" s="25" t="s">
        <v>46</v>
      </c>
      <c r="E7" s="25">
        <v>5720</v>
      </c>
      <c r="F7" s="25" t="s">
        <v>41</v>
      </c>
      <c r="G7" s="27">
        <f>E7/B7</f>
        <v>14.123456790123457</v>
      </c>
      <c r="H7" s="25">
        <v>16.62</v>
      </c>
      <c r="I7" s="1"/>
      <c r="L7" s="153">
        <f>(L5/10*(M5/10*M5/10))/6</f>
        <v>321.5625</v>
      </c>
      <c r="M7" s="154"/>
      <c r="N7" s="58" t="s">
        <v>124</v>
      </c>
      <c r="O7" s="58">
        <v>4970</v>
      </c>
      <c r="P7" s="40" t="s">
        <v>41</v>
      </c>
      <c r="Q7" s="41">
        <f>O7/L7</f>
        <v>15.455782312925169</v>
      </c>
      <c r="R7" s="40">
        <v>16.62</v>
      </c>
    </row>
    <row r="8" spans="2:25" x14ac:dyDescent="0.2">
      <c r="B8" s="78"/>
      <c r="C8" s="78"/>
      <c r="D8" s="78"/>
      <c r="E8" s="78"/>
      <c r="F8" s="78"/>
      <c r="G8" s="103"/>
      <c r="H8" s="78"/>
      <c r="I8" s="1"/>
      <c r="L8" s="155" t="s">
        <v>135</v>
      </c>
      <c r="M8" s="155"/>
      <c r="N8" s="155"/>
      <c r="O8" s="155"/>
      <c r="P8" s="77" t="s">
        <v>136</v>
      </c>
      <c r="Q8" s="155" t="s">
        <v>137</v>
      </c>
      <c r="R8" s="155"/>
    </row>
    <row r="9" spans="2:25" x14ac:dyDescent="0.2">
      <c r="B9" s="78"/>
      <c r="C9" s="78"/>
      <c r="D9" s="78"/>
      <c r="E9" s="78"/>
      <c r="F9" s="78"/>
      <c r="G9" s="103"/>
      <c r="H9" s="78"/>
      <c r="I9" s="1"/>
      <c r="L9" s="155"/>
      <c r="M9" s="155"/>
      <c r="N9" s="155"/>
      <c r="O9" s="155"/>
      <c r="P9" s="76">
        <f>(Q5/R5)+Q7/R7</f>
        <v>0.98143338235498967</v>
      </c>
      <c r="Q9" s="158">
        <v>1</v>
      </c>
      <c r="R9" s="158"/>
    </row>
    <row r="10" spans="2:25" x14ac:dyDescent="0.2">
      <c r="U10" s="50"/>
      <c r="W10" s="137" t="s">
        <v>111</v>
      </c>
      <c r="X10" s="137"/>
      <c r="Y10" s="137"/>
    </row>
    <row r="11" spans="2:25" x14ac:dyDescent="0.2">
      <c r="W11" s="69" t="s">
        <v>109</v>
      </c>
      <c r="X11" s="69" t="s">
        <v>104</v>
      </c>
      <c r="Y11" s="69" t="s">
        <v>105</v>
      </c>
    </row>
    <row r="12" spans="2:25" x14ac:dyDescent="0.2">
      <c r="B12" s="136" t="s">
        <v>55</v>
      </c>
      <c r="C12" s="136"/>
      <c r="D12" s="136"/>
      <c r="E12" s="136"/>
      <c r="F12" s="136"/>
      <c r="G12" s="136"/>
      <c r="H12" s="136"/>
      <c r="L12" s="136" t="s">
        <v>55</v>
      </c>
      <c r="M12" s="136"/>
      <c r="N12" s="136"/>
      <c r="O12" s="136"/>
      <c r="P12" s="136"/>
      <c r="Q12" s="136"/>
      <c r="R12" s="136"/>
      <c r="W12" s="69" t="s">
        <v>106</v>
      </c>
      <c r="X12" s="69" t="s">
        <v>107</v>
      </c>
      <c r="Y12" s="69" t="s">
        <v>108</v>
      </c>
    </row>
    <row r="13" spans="2:25" ht="57" customHeight="1" x14ac:dyDescent="0.2">
      <c r="B13" s="36" t="s">
        <v>47</v>
      </c>
      <c r="C13" s="36" t="s">
        <v>48</v>
      </c>
      <c r="D13" s="125" t="s">
        <v>44</v>
      </c>
      <c r="E13" s="125"/>
      <c r="F13" s="36" t="s">
        <v>39</v>
      </c>
      <c r="G13" s="36" t="s">
        <v>50</v>
      </c>
      <c r="H13" s="36" t="s">
        <v>58</v>
      </c>
      <c r="J13" s="38"/>
      <c r="L13" s="42" t="s">
        <v>47</v>
      </c>
      <c r="M13" s="42" t="s">
        <v>48</v>
      </c>
      <c r="N13" s="125" t="s">
        <v>123</v>
      </c>
      <c r="O13" s="125"/>
      <c r="P13" s="42" t="s">
        <v>69</v>
      </c>
      <c r="Q13" s="42" t="s">
        <v>50</v>
      </c>
      <c r="R13" s="42" t="s">
        <v>58</v>
      </c>
    </row>
    <row r="14" spans="2:25" x14ac:dyDescent="0.2">
      <c r="B14" s="25">
        <v>75</v>
      </c>
      <c r="C14" s="25">
        <v>110</v>
      </c>
      <c r="D14" s="25" t="s">
        <v>45</v>
      </c>
      <c r="E14" s="25">
        <v>7590</v>
      </c>
      <c r="F14" s="25" t="s">
        <v>40</v>
      </c>
      <c r="G14" s="27">
        <f>E14/(B14*C14)</f>
        <v>0.92</v>
      </c>
      <c r="H14" s="25">
        <v>7.54</v>
      </c>
      <c r="L14" s="40">
        <v>60</v>
      </c>
      <c r="M14" s="40">
        <v>140</v>
      </c>
      <c r="N14" s="40" t="s">
        <v>64</v>
      </c>
      <c r="O14" s="40">
        <v>9490</v>
      </c>
      <c r="P14" s="40" t="s">
        <v>126</v>
      </c>
      <c r="Q14" s="41">
        <f>O14/(L14*M14)</f>
        <v>1.1297619047619047</v>
      </c>
      <c r="R14" s="40">
        <v>11.31</v>
      </c>
    </row>
    <row r="15" spans="2:25" ht="32" customHeight="1" x14ac:dyDescent="0.2">
      <c r="B15" s="156" t="s">
        <v>49</v>
      </c>
      <c r="C15" s="156"/>
      <c r="D15" s="25" t="s">
        <v>51</v>
      </c>
      <c r="E15" s="25">
        <v>4630</v>
      </c>
      <c r="F15" s="25" t="s">
        <v>42</v>
      </c>
      <c r="G15" s="27">
        <f>(3*E15)/(2*0.67*B14*C14)</f>
        <v>1.2564450474898237</v>
      </c>
      <c r="H15" s="25">
        <v>1.35</v>
      </c>
      <c r="L15" s="125" t="s">
        <v>68</v>
      </c>
      <c r="M15" s="125"/>
      <c r="N15" s="40" t="s">
        <v>65</v>
      </c>
      <c r="O15" s="40">
        <v>2530</v>
      </c>
      <c r="P15" s="55" t="s">
        <v>76</v>
      </c>
      <c r="Q15" s="41">
        <f>(3*O15)/(2*0.67*L14*M14)</f>
        <v>0.67430703624733479</v>
      </c>
      <c r="R15" s="40">
        <v>1.35</v>
      </c>
      <c r="W15" s="137" t="s">
        <v>110</v>
      </c>
      <c r="X15" s="137"/>
      <c r="Y15" s="137"/>
    </row>
    <row r="16" spans="2:25" x14ac:dyDescent="0.2">
      <c r="B16" s="157">
        <f>(B14/10*(C14/10*C14/10))/6</f>
        <v>151.25</v>
      </c>
      <c r="C16" s="157"/>
      <c r="D16" s="25" t="s">
        <v>46</v>
      </c>
      <c r="E16" s="25">
        <v>960</v>
      </c>
      <c r="F16" s="25" t="s">
        <v>41</v>
      </c>
      <c r="G16" s="27">
        <f>E16/B16</f>
        <v>6.3471074380165291</v>
      </c>
      <c r="H16" s="25">
        <v>12.92</v>
      </c>
      <c r="L16" s="153">
        <f>(L14/10*(M14/10*M14/10))/6</f>
        <v>196</v>
      </c>
      <c r="M16" s="154"/>
      <c r="N16" s="68" t="s">
        <v>124</v>
      </c>
      <c r="O16" s="58">
        <v>1450</v>
      </c>
      <c r="P16" s="40" t="s">
        <v>41</v>
      </c>
      <c r="Q16" s="41">
        <f>O16/L16</f>
        <v>7.3979591836734695</v>
      </c>
      <c r="R16" s="40">
        <v>12.92</v>
      </c>
      <c r="W16" s="69" t="s">
        <v>109</v>
      </c>
      <c r="X16" s="69" t="s">
        <v>104</v>
      </c>
      <c r="Y16" s="69" t="s">
        <v>105</v>
      </c>
    </row>
    <row r="17" spans="2:25" x14ac:dyDescent="0.2">
      <c r="B17" s="102"/>
      <c r="C17" s="102"/>
      <c r="D17" s="78"/>
      <c r="E17" s="78"/>
      <c r="F17" s="78"/>
      <c r="G17" s="103"/>
      <c r="H17" s="78"/>
      <c r="L17" s="155" t="s">
        <v>134</v>
      </c>
      <c r="M17" s="155"/>
      <c r="N17" s="155"/>
      <c r="O17" s="155"/>
      <c r="P17" s="77" t="s">
        <v>136</v>
      </c>
      <c r="Q17" s="155" t="s">
        <v>137</v>
      </c>
      <c r="R17" s="155"/>
      <c r="W17" s="75"/>
      <c r="X17" s="75"/>
      <c r="Y17" s="75"/>
    </row>
    <row r="18" spans="2:25" x14ac:dyDescent="0.2">
      <c r="B18" s="102"/>
      <c r="C18" s="102"/>
      <c r="D18" s="78"/>
      <c r="E18" s="78"/>
      <c r="F18" s="78"/>
      <c r="G18" s="103"/>
      <c r="H18" s="78"/>
      <c r="L18" s="155"/>
      <c r="M18" s="155"/>
      <c r="N18" s="155"/>
      <c r="O18" s="155"/>
      <c r="P18" s="76">
        <f>(Q14/R14)^2+Q16/R16</f>
        <v>0.5825755782051274</v>
      </c>
      <c r="Q18" s="158">
        <v>1</v>
      </c>
      <c r="R18" s="158"/>
      <c r="W18" s="75"/>
      <c r="X18" s="75"/>
      <c r="Y18" s="75"/>
    </row>
    <row r="19" spans="2:25" x14ac:dyDescent="0.2">
      <c r="W19" s="69" t="s">
        <v>112</v>
      </c>
      <c r="X19" s="69" t="s">
        <v>113</v>
      </c>
      <c r="Y19" s="69" t="s">
        <v>114</v>
      </c>
    </row>
    <row r="21" spans="2:25" x14ac:dyDescent="0.2">
      <c r="B21" s="136" t="s">
        <v>56</v>
      </c>
      <c r="C21" s="136"/>
      <c r="D21" s="136"/>
      <c r="E21" s="136"/>
      <c r="F21" s="136"/>
      <c r="G21" s="136"/>
      <c r="H21" s="136"/>
      <c r="L21" s="136" t="s">
        <v>56</v>
      </c>
      <c r="M21" s="136"/>
      <c r="N21" s="136"/>
      <c r="O21" s="136"/>
      <c r="P21" s="136"/>
      <c r="Q21" s="136"/>
      <c r="R21" s="136"/>
    </row>
    <row r="22" spans="2:25" ht="68" x14ac:dyDescent="0.2">
      <c r="B22" s="36" t="s">
        <v>47</v>
      </c>
      <c r="C22" s="36" t="s">
        <v>48</v>
      </c>
      <c r="D22" s="125" t="s">
        <v>44</v>
      </c>
      <c r="E22" s="125"/>
      <c r="F22" s="36" t="s">
        <v>39</v>
      </c>
      <c r="G22" s="36" t="s">
        <v>50</v>
      </c>
      <c r="H22" s="36" t="s">
        <v>58</v>
      </c>
      <c r="J22" s="39"/>
      <c r="L22" s="42" t="s">
        <v>47</v>
      </c>
      <c r="M22" s="42" t="s">
        <v>48</v>
      </c>
      <c r="N22" s="125" t="s">
        <v>123</v>
      </c>
      <c r="O22" s="125"/>
      <c r="P22" s="42" t="s">
        <v>69</v>
      </c>
      <c r="Q22" s="42" t="s">
        <v>50</v>
      </c>
      <c r="R22" s="42" t="s">
        <v>58</v>
      </c>
      <c r="T22" s="39" t="s">
        <v>53</v>
      </c>
      <c r="W22" s="137" t="s">
        <v>115</v>
      </c>
      <c r="X22" s="137"/>
      <c r="Y22" s="137"/>
    </row>
    <row r="23" spans="2:25" x14ac:dyDescent="0.2">
      <c r="B23" s="25">
        <v>130</v>
      </c>
      <c r="C23" s="25">
        <v>200</v>
      </c>
      <c r="D23" s="25" t="s">
        <v>45</v>
      </c>
      <c r="E23" s="25">
        <v>15000</v>
      </c>
      <c r="F23" s="25" t="s">
        <v>40</v>
      </c>
      <c r="G23" s="27">
        <f>E23/(B23*C23)</f>
        <v>0.57692307692307687</v>
      </c>
      <c r="H23" s="25">
        <v>8.6199999999999992</v>
      </c>
      <c r="L23" s="40">
        <v>140</v>
      </c>
      <c r="M23" s="40">
        <v>220</v>
      </c>
      <c r="N23" s="40" t="s">
        <v>64</v>
      </c>
      <c r="O23" s="40">
        <v>83760</v>
      </c>
      <c r="P23" s="40" t="s">
        <v>40</v>
      </c>
      <c r="Q23" s="41">
        <f>O23/(L23*M23)</f>
        <v>2.7194805194805194</v>
      </c>
      <c r="R23" s="40">
        <v>8.6199999999999992</v>
      </c>
      <c r="W23" s="69" t="s">
        <v>109</v>
      </c>
      <c r="X23" s="69" t="s">
        <v>104</v>
      </c>
      <c r="Y23" s="69" t="s">
        <v>105</v>
      </c>
    </row>
    <row r="24" spans="2:25" ht="32" customHeight="1" x14ac:dyDescent="0.2">
      <c r="B24" s="136" t="s">
        <v>49</v>
      </c>
      <c r="C24" s="136"/>
      <c r="D24" s="25" t="s">
        <v>51</v>
      </c>
      <c r="E24" s="25">
        <v>16400</v>
      </c>
      <c r="F24" s="25" t="s">
        <v>42</v>
      </c>
      <c r="G24" s="27">
        <f>(3*E24)/(2*0.67*B23*C23)</f>
        <v>1.4121699196326063</v>
      </c>
      <c r="H24" s="25">
        <v>1.54</v>
      </c>
      <c r="L24" s="125" t="s">
        <v>68</v>
      </c>
      <c r="M24" s="125"/>
      <c r="N24" s="40" t="s">
        <v>65</v>
      </c>
      <c r="O24" s="40">
        <v>16760</v>
      </c>
      <c r="P24" s="55" t="s">
        <v>76</v>
      </c>
      <c r="Q24" s="41">
        <f>(3*O24)/(2*0.67*L23*M23)</f>
        <v>1.2182593525877106</v>
      </c>
      <c r="R24" s="40">
        <v>1.54</v>
      </c>
      <c r="W24" s="69" t="s">
        <v>116</v>
      </c>
      <c r="X24" s="69" t="s">
        <v>117</v>
      </c>
      <c r="Y24" s="69" t="s">
        <v>118</v>
      </c>
    </row>
    <row r="25" spans="2:25" x14ac:dyDescent="0.2">
      <c r="B25" s="157">
        <f>(B23/10*(C23/10*C23/10))/6</f>
        <v>866.66666666666663</v>
      </c>
      <c r="C25" s="157"/>
      <c r="D25" s="25" t="s">
        <v>46</v>
      </c>
      <c r="E25" s="25">
        <v>10600</v>
      </c>
      <c r="F25" s="25" t="s">
        <v>41</v>
      </c>
      <c r="G25" s="27">
        <f>E25/B25</f>
        <v>12.230769230769232</v>
      </c>
      <c r="H25" s="25">
        <v>14.77</v>
      </c>
      <c r="L25" s="153">
        <f>(L23/10*(M23/10*M23/10))/6</f>
        <v>1129.3333333333333</v>
      </c>
      <c r="M25" s="154"/>
      <c r="N25" s="68" t="s">
        <v>124</v>
      </c>
      <c r="O25" s="58">
        <v>10780</v>
      </c>
      <c r="P25" s="40" t="s">
        <v>41</v>
      </c>
      <c r="Q25" s="41">
        <f>O25/L25</f>
        <v>9.5454545454545467</v>
      </c>
      <c r="R25" s="40">
        <v>14.77</v>
      </c>
    </row>
    <row r="26" spans="2:25" x14ac:dyDescent="0.2">
      <c r="B26" s="102"/>
      <c r="C26" s="102"/>
      <c r="D26" s="78"/>
      <c r="E26" s="78"/>
      <c r="F26" s="78"/>
      <c r="G26" s="103"/>
      <c r="H26" s="78"/>
      <c r="L26" s="155" t="s">
        <v>135</v>
      </c>
      <c r="M26" s="155"/>
      <c r="N26" s="155"/>
      <c r="O26" s="155"/>
      <c r="P26" s="77" t="s">
        <v>136</v>
      </c>
      <c r="Q26" s="155" t="s">
        <v>137</v>
      </c>
      <c r="R26" s="155"/>
    </row>
    <row r="27" spans="2:25" x14ac:dyDescent="0.2">
      <c r="B27" s="102"/>
      <c r="C27" s="102"/>
      <c r="D27" s="78"/>
      <c r="E27" s="78"/>
      <c r="F27" s="78"/>
      <c r="G27" s="103"/>
      <c r="H27" s="78"/>
      <c r="L27" s="155"/>
      <c r="M27" s="155"/>
      <c r="N27" s="155"/>
      <c r="O27" s="155"/>
      <c r="P27" s="76">
        <f>(Q23/R23)+Q25/R25</f>
        <v>0.96175813717956438</v>
      </c>
      <c r="Q27" s="158">
        <v>1</v>
      </c>
      <c r="R27" s="158"/>
    </row>
    <row r="29" spans="2:25" x14ac:dyDescent="0.2">
      <c r="W29" s="137" t="s">
        <v>119</v>
      </c>
      <c r="X29" s="137"/>
      <c r="Y29" s="137"/>
    </row>
    <row r="30" spans="2:25" x14ac:dyDescent="0.2">
      <c r="B30" s="136" t="s">
        <v>52</v>
      </c>
      <c r="C30" s="136"/>
      <c r="D30" s="136"/>
      <c r="E30" s="136"/>
      <c r="F30" s="136"/>
      <c r="G30" s="136"/>
      <c r="H30" s="136"/>
      <c r="L30" s="136" t="s">
        <v>67</v>
      </c>
      <c r="M30" s="136"/>
      <c r="N30" s="136"/>
      <c r="O30" s="136"/>
      <c r="P30" s="136"/>
      <c r="Q30" s="136"/>
      <c r="R30" s="136"/>
      <c r="W30" s="69" t="s">
        <v>109</v>
      </c>
      <c r="X30" s="69" t="s">
        <v>104</v>
      </c>
      <c r="Y30" s="69" t="s">
        <v>105</v>
      </c>
    </row>
    <row r="31" spans="2:25" ht="51" x14ac:dyDescent="0.2">
      <c r="B31" s="36" t="s">
        <v>47</v>
      </c>
      <c r="C31" s="36" t="s">
        <v>48</v>
      </c>
      <c r="D31" s="125" t="s">
        <v>44</v>
      </c>
      <c r="E31" s="125"/>
      <c r="F31" s="36" t="s">
        <v>39</v>
      </c>
      <c r="G31" s="36" t="s">
        <v>50</v>
      </c>
      <c r="H31" s="36" t="s">
        <v>43</v>
      </c>
      <c r="L31" s="42" t="s">
        <v>47</v>
      </c>
      <c r="M31" s="42" t="s">
        <v>48</v>
      </c>
      <c r="N31" s="125" t="s">
        <v>123</v>
      </c>
      <c r="O31" s="125"/>
      <c r="P31" s="42" t="s">
        <v>69</v>
      </c>
      <c r="Q31" s="42" t="s">
        <v>50</v>
      </c>
      <c r="R31" s="42" t="s">
        <v>127</v>
      </c>
      <c r="T31" s="39" t="s">
        <v>53</v>
      </c>
      <c r="W31" s="69" t="s">
        <v>120</v>
      </c>
      <c r="X31" s="69" t="s">
        <v>121</v>
      </c>
      <c r="Y31" s="69" t="s">
        <v>122</v>
      </c>
    </row>
    <row r="32" spans="2:25" x14ac:dyDescent="0.2">
      <c r="B32" s="25">
        <v>200</v>
      </c>
      <c r="C32" s="25">
        <v>320</v>
      </c>
      <c r="D32" s="25" t="s">
        <v>45</v>
      </c>
      <c r="E32" s="25">
        <v>26850</v>
      </c>
      <c r="F32" s="25" t="s">
        <v>40</v>
      </c>
      <c r="G32" s="27">
        <f>E32/(B32*C32)</f>
        <v>0.41953125000000002</v>
      </c>
      <c r="H32" s="25">
        <v>9.69</v>
      </c>
      <c r="L32" s="40">
        <v>165</v>
      </c>
      <c r="M32" s="40">
        <v>165</v>
      </c>
      <c r="N32" s="40" t="s">
        <v>64</v>
      </c>
      <c r="O32" s="40">
        <v>100640</v>
      </c>
      <c r="P32" s="40" t="s">
        <v>66</v>
      </c>
      <c r="Q32" s="41">
        <f>O32/(L32*M32)</f>
        <v>3.6966023875114784</v>
      </c>
      <c r="R32" s="40">
        <v>8.08</v>
      </c>
    </row>
    <row r="33" spans="2:18" ht="33" customHeight="1" x14ac:dyDescent="0.2">
      <c r="B33" s="156" t="s">
        <v>49</v>
      </c>
      <c r="C33" s="156"/>
      <c r="D33" s="25" t="s">
        <v>51</v>
      </c>
      <c r="E33" s="25">
        <v>44000</v>
      </c>
      <c r="F33" s="25" t="s">
        <v>42</v>
      </c>
      <c r="G33" s="27">
        <f>(3*E33)/(2*0.67*B32*C32)</f>
        <v>1.539179104477612</v>
      </c>
      <c r="H33" s="25">
        <v>1.73</v>
      </c>
      <c r="L33" s="125" t="s">
        <v>68</v>
      </c>
      <c r="M33" s="125"/>
      <c r="N33" s="40" t="s">
        <v>65</v>
      </c>
      <c r="O33" s="40">
        <v>140</v>
      </c>
      <c r="P33" s="55" t="s">
        <v>76</v>
      </c>
      <c r="Q33" s="41">
        <f>(3*O33)/(2*0.67*L32*M32)</f>
        <v>1.1512684511327658E-2</v>
      </c>
      <c r="R33" s="40">
        <v>0.96</v>
      </c>
    </row>
    <row r="34" spans="2:18" x14ac:dyDescent="0.2">
      <c r="B34" s="157">
        <f>(B32/10*(C32/10*C32/10))/6</f>
        <v>3413.3333333333335</v>
      </c>
      <c r="C34" s="157"/>
      <c r="D34" s="25" t="s">
        <v>46</v>
      </c>
      <c r="E34" s="25">
        <v>78600</v>
      </c>
      <c r="F34" s="25" t="s">
        <v>41</v>
      </c>
      <c r="G34" s="27">
        <f>E34/B34</f>
        <v>23.02734375</v>
      </c>
      <c r="H34" s="25">
        <v>16.62</v>
      </c>
      <c r="L34" s="153">
        <f>(L32/10*(M32/10*M32/10))/6</f>
        <v>748.6875</v>
      </c>
      <c r="M34" s="154"/>
      <c r="N34" s="68" t="s">
        <v>124</v>
      </c>
      <c r="O34" s="58">
        <v>130</v>
      </c>
      <c r="P34" s="40" t="s">
        <v>41</v>
      </c>
      <c r="Q34" s="41">
        <f>O34/L34</f>
        <v>0.17363719843058686</v>
      </c>
      <c r="R34" s="40">
        <v>9.23</v>
      </c>
    </row>
    <row r="35" spans="2:18" x14ac:dyDescent="0.2">
      <c r="B35" s="102"/>
      <c r="C35" s="102"/>
      <c r="D35" s="78"/>
      <c r="E35" s="78"/>
      <c r="F35" s="78"/>
      <c r="G35" s="103"/>
      <c r="H35" s="78"/>
      <c r="L35" s="155" t="s">
        <v>134</v>
      </c>
      <c r="M35" s="155"/>
      <c r="N35" s="155"/>
      <c r="O35" s="155"/>
      <c r="P35" s="77" t="s">
        <v>136</v>
      </c>
      <c r="Q35" s="155" t="s">
        <v>137</v>
      </c>
      <c r="R35" s="155"/>
    </row>
    <row r="36" spans="2:18" x14ac:dyDescent="0.2">
      <c r="B36" s="102"/>
      <c r="C36" s="102"/>
      <c r="D36" s="78"/>
      <c r="E36" s="78"/>
      <c r="F36" s="78"/>
      <c r="G36" s="103"/>
      <c r="H36" s="78"/>
      <c r="L36" s="155"/>
      <c r="M36" s="155"/>
      <c r="N36" s="155"/>
      <c r="O36" s="155"/>
      <c r="P36" s="76">
        <f>(Q32/R32)^2+Q34/R34</f>
        <v>0.22811878455336224</v>
      </c>
      <c r="Q36" s="158">
        <v>1</v>
      </c>
      <c r="R36" s="158"/>
    </row>
    <row r="38" spans="2:18" ht="17" thickBot="1" x14ac:dyDescent="0.25"/>
    <row r="39" spans="2:18" ht="17" thickBot="1" x14ac:dyDescent="0.25">
      <c r="L39" s="150" t="s">
        <v>92</v>
      </c>
      <c r="M39" s="151"/>
      <c r="N39" s="151"/>
      <c r="O39" s="152"/>
      <c r="P39" s="56"/>
      <c r="Q39" s="56"/>
      <c r="R39" s="56"/>
    </row>
    <row r="40" spans="2:18" ht="37" x14ac:dyDescent="0.2">
      <c r="L40" s="92" t="s">
        <v>79</v>
      </c>
      <c r="M40" s="92" t="s">
        <v>91</v>
      </c>
      <c r="N40" s="148" t="s">
        <v>84</v>
      </c>
      <c r="O40" s="149"/>
    </row>
    <row r="41" spans="2:18" ht="17" thickBot="1" x14ac:dyDescent="0.25">
      <c r="L41" s="91">
        <v>370</v>
      </c>
      <c r="M41" s="91">
        <f>L32*0.1*M32*0.1</f>
        <v>272.25</v>
      </c>
      <c r="N41" s="6" t="s">
        <v>88</v>
      </c>
      <c r="O41" s="5">
        <f>O32</f>
        <v>100640</v>
      </c>
    </row>
    <row r="42" spans="2:18" ht="34" x14ac:dyDescent="0.2">
      <c r="L42" s="83" t="s">
        <v>77</v>
      </c>
      <c r="M42" s="83" t="s">
        <v>78</v>
      </c>
      <c r="N42" s="93" t="s">
        <v>89</v>
      </c>
      <c r="O42" s="94" t="s">
        <v>90</v>
      </c>
    </row>
    <row r="43" spans="2:18" ht="16" customHeight="1" thickBot="1" x14ac:dyDescent="0.25">
      <c r="L43" s="84">
        <f>L32*0.1*(M32*0.1)^3/12</f>
        <v>6176.671875</v>
      </c>
      <c r="M43" s="85">
        <f>SQRT(L43/M41)</f>
        <v>4.7631397208144124</v>
      </c>
      <c r="N43" s="144" t="s">
        <v>66</v>
      </c>
      <c r="O43" s="146">
        <f>Q32</f>
        <v>3.6966023875114784</v>
      </c>
    </row>
    <row r="44" spans="2:18" x14ac:dyDescent="0.2">
      <c r="L44" s="71" t="s">
        <v>80</v>
      </c>
      <c r="M44" s="86">
        <f>L41/M43</f>
        <v>77.679854400058744</v>
      </c>
      <c r="N44" s="144"/>
      <c r="O44" s="146"/>
    </row>
    <row r="45" spans="2:18" x14ac:dyDescent="0.2">
      <c r="L45" s="6" t="s">
        <v>81</v>
      </c>
      <c r="M45" s="87">
        <f>3.14*SQRT(7400/21)</f>
        <v>58.943491906191291</v>
      </c>
      <c r="N45" s="144" t="s">
        <v>85</v>
      </c>
      <c r="O45" s="146">
        <f>R32*M48</f>
        <v>3.8080474349766864</v>
      </c>
    </row>
    <row r="46" spans="2:18" x14ac:dyDescent="0.2">
      <c r="L46" s="6" t="s">
        <v>82</v>
      </c>
      <c r="M46" s="88">
        <f>M44/M45</f>
        <v>1.3178699104506129</v>
      </c>
      <c r="N46" s="144"/>
      <c r="O46" s="146"/>
    </row>
    <row r="47" spans="2:18" x14ac:dyDescent="0.2">
      <c r="L47" s="89" t="s">
        <v>87</v>
      </c>
      <c r="M47" s="88">
        <f>0.5*(1+0.2*(M46-0.3)+M46^2)</f>
        <v>1.4701775414806144</v>
      </c>
      <c r="N47" s="144" t="s">
        <v>86</v>
      </c>
      <c r="O47" s="146">
        <f>O43/O45</f>
        <v>0.97073433318041369</v>
      </c>
    </row>
    <row r="48" spans="2:18" ht="17" thickBot="1" x14ac:dyDescent="0.25">
      <c r="L48" s="90" t="s">
        <v>83</v>
      </c>
      <c r="M48" s="20">
        <f>1/(M47+SQRT(M47^2-M46^2))</f>
        <v>0.47129299937830277</v>
      </c>
      <c r="N48" s="145"/>
      <c r="O48" s="147"/>
    </row>
    <row r="50" spans="12:15" ht="17" thickBot="1" x14ac:dyDescent="0.25"/>
    <row r="51" spans="12:15" ht="17" thickBot="1" x14ac:dyDescent="0.25">
      <c r="L51" s="150" t="s">
        <v>128</v>
      </c>
      <c r="M51" s="151"/>
      <c r="N51" s="151"/>
      <c r="O51" s="152"/>
    </row>
    <row r="52" spans="12:15" ht="32" customHeight="1" x14ac:dyDescent="0.2">
      <c r="L52" s="92" t="s">
        <v>79</v>
      </c>
      <c r="M52" s="92" t="s">
        <v>91</v>
      </c>
      <c r="N52" s="148" t="s">
        <v>84</v>
      </c>
      <c r="O52" s="149"/>
    </row>
    <row r="53" spans="12:15" ht="17" thickBot="1" x14ac:dyDescent="0.25">
      <c r="L53" s="91">
        <v>230</v>
      </c>
      <c r="M53" s="91">
        <f>L14*0.1*M14*0.1</f>
        <v>84</v>
      </c>
      <c r="N53" s="6" t="s">
        <v>88</v>
      </c>
      <c r="O53" s="5">
        <f>O14</f>
        <v>9490</v>
      </c>
    </row>
    <row r="54" spans="12:15" ht="34" x14ac:dyDescent="0.2">
      <c r="L54" s="83" t="s">
        <v>77</v>
      </c>
      <c r="M54" s="83" t="s">
        <v>78</v>
      </c>
      <c r="N54" s="93" t="s">
        <v>89</v>
      </c>
      <c r="O54" s="94" t="s">
        <v>90</v>
      </c>
    </row>
    <row r="55" spans="12:15" ht="17" thickBot="1" x14ac:dyDescent="0.25">
      <c r="L55" s="84">
        <f>L14*0.1*(M14*0.1)^3/12</f>
        <v>1372</v>
      </c>
      <c r="M55" s="85">
        <f>SQRT(L55/M53)</f>
        <v>4.0414518843273806</v>
      </c>
      <c r="N55" s="144" t="s">
        <v>66</v>
      </c>
      <c r="O55" s="146">
        <f>Q14</f>
        <v>1.1297619047619047</v>
      </c>
    </row>
    <row r="56" spans="12:15" x14ac:dyDescent="0.2">
      <c r="L56" s="71" t="s">
        <v>80</v>
      </c>
      <c r="M56" s="86">
        <f>L53/M55</f>
        <v>56.910240820120251</v>
      </c>
      <c r="N56" s="144"/>
      <c r="O56" s="146"/>
    </row>
    <row r="57" spans="12:15" x14ac:dyDescent="0.2">
      <c r="L57" s="6" t="s">
        <v>81</v>
      </c>
      <c r="M57" s="87">
        <f>3.14*SQRT(7400/21)</f>
        <v>58.943491906191291</v>
      </c>
      <c r="N57" s="144" t="s">
        <v>85</v>
      </c>
      <c r="O57" s="146">
        <f>R14*M60</f>
        <v>8.084699775288696</v>
      </c>
    </row>
    <row r="58" spans="12:15" x14ac:dyDescent="0.2">
      <c r="L58" s="6" t="s">
        <v>82</v>
      </c>
      <c r="M58" s="88">
        <f>M56/M57</f>
        <v>0.96550507918148176</v>
      </c>
      <c r="N58" s="144"/>
      <c r="O58" s="146"/>
    </row>
    <row r="59" spans="12:15" x14ac:dyDescent="0.2">
      <c r="L59" s="89" t="s">
        <v>87</v>
      </c>
      <c r="M59" s="88">
        <f>0.5*(1+0.2*(M58-0.3)+M58^2)</f>
        <v>1.0326505368807679</v>
      </c>
      <c r="N59" s="144" t="s">
        <v>86</v>
      </c>
      <c r="O59" s="146">
        <f>O55/O57</f>
        <v>0.13974073696775738</v>
      </c>
    </row>
    <row r="60" spans="12:15" ht="17" thickBot="1" x14ac:dyDescent="0.25">
      <c r="L60" s="90" t="s">
        <v>83</v>
      </c>
      <c r="M60" s="20">
        <f>1/(M59+SQRT(M59^2-M58^2))</f>
        <v>0.71482756633852307</v>
      </c>
      <c r="N60" s="145"/>
      <c r="O60" s="147"/>
    </row>
    <row r="63" spans="12:15" x14ac:dyDescent="0.2">
      <c r="L63" s="155" t="s">
        <v>93</v>
      </c>
      <c r="M63" s="155"/>
      <c r="N63" s="155"/>
      <c r="O63" s="155"/>
    </row>
    <row r="64" spans="12:15" ht="34" x14ac:dyDescent="0.2">
      <c r="L64" s="125" t="s">
        <v>94</v>
      </c>
      <c r="M64" s="125"/>
      <c r="N64" s="57" t="s">
        <v>97</v>
      </c>
      <c r="O64" s="57" t="s">
        <v>98</v>
      </c>
    </row>
    <row r="65" spans="12:15" x14ac:dyDescent="0.2">
      <c r="L65" s="136" t="s">
        <v>95</v>
      </c>
      <c r="M65" s="136"/>
      <c r="N65" s="76">
        <f>(Q5/R5)+Q7/R7</f>
        <v>0.98143338235498967</v>
      </c>
      <c r="O65" s="58">
        <v>1</v>
      </c>
    </row>
    <row r="66" spans="12:15" x14ac:dyDescent="0.2">
      <c r="L66" s="136" t="s">
        <v>96</v>
      </c>
      <c r="M66" s="136"/>
      <c r="N66" s="76">
        <f>(Q14/R14)^2+Q16/R16</f>
        <v>0.5825755782051274</v>
      </c>
      <c r="O66" s="58">
        <v>1</v>
      </c>
    </row>
    <row r="67" spans="12:15" x14ac:dyDescent="0.2">
      <c r="L67" s="136" t="s">
        <v>0</v>
      </c>
      <c r="M67" s="136"/>
      <c r="N67" s="76">
        <f>(Q23/R23)+Q25/R25</f>
        <v>0.96175813717956438</v>
      </c>
      <c r="O67" s="58">
        <v>1</v>
      </c>
    </row>
    <row r="68" spans="12:15" x14ac:dyDescent="0.2">
      <c r="L68" s="136" t="s">
        <v>1</v>
      </c>
      <c r="M68" s="136"/>
      <c r="N68" s="76">
        <f>(Q32/R32)^2+Q34/R34</f>
        <v>0.22811878455336224</v>
      </c>
      <c r="O68" s="58">
        <v>1</v>
      </c>
    </row>
  </sheetData>
  <mergeCells count="72">
    <mergeCell ref="L35:O36"/>
    <mergeCell ref="Q35:R35"/>
    <mergeCell ref="Q36:R36"/>
    <mergeCell ref="L8:O9"/>
    <mergeCell ref="Q8:R8"/>
    <mergeCell ref="Q9:R9"/>
    <mergeCell ref="L17:O18"/>
    <mergeCell ref="Q17:R17"/>
    <mergeCell ref="Q18:R18"/>
    <mergeCell ref="L26:O27"/>
    <mergeCell ref="B16:C16"/>
    <mergeCell ref="B21:H21"/>
    <mergeCell ref="B24:C24"/>
    <mergeCell ref="B25:C25"/>
    <mergeCell ref="L30:R30"/>
    <mergeCell ref="L16:M16"/>
    <mergeCell ref="L21:R21"/>
    <mergeCell ref="N22:O22"/>
    <mergeCell ref="L24:M24"/>
    <mergeCell ref="L25:M25"/>
    <mergeCell ref="Q26:R26"/>
    <mergeCell ref="Q27:R27"/>
    <mergeCell ref="B7:C7"/>
    <mergeCell ref="D4:E4"/>
    <mergeCell ref="B12:H12"/>
    <mergeCell ref="D13:E13"/>
    <mergeCell ref="B15:C15"/>
    <mergeCell ref="D31:E31"/>
    <mergeCell ref="B33:C33"/>
    <mergeCell ref="B34:C34"/>
    <mergeCell ref="L7:M7"/>
    <mergeCell ref="L1:R2"/>
    <mergeCell ref="L12:R12"/>
    <mergeCell ref="N13:O13"/>
    <mergeCell ref="L15:M15"/>
    <mergeCell ref="B1:H2"/>
    <mergeCell ref="L3:R3"/>
    <mergeCell ref="N4:O4"/>
    <mergeCell ref="L6:M6"/>
    <mergeCell ref="B3:H3"/>
    <mergeCell ref="B30:H30"/>
    <mergeCell ref="D22:E22"/>
    <mergeCell ref="B6:C6"/>
    <mergeCell ref="L68:M68"/>
    <mergeCell ref="L63:O63"/>
    <mergeCell ref="L64:M64"/>
    <mergeCell ref="L65:M65"/>
    <mergeCell ref="L66:M66"/>
    <mergeCell ref="L67:M67"/>
    <mergeCell ref="W10:Y10"/>
    <mergeCell ref="W15:Y15"/>
    <mergeCell ref="W22:Y22"/>
    <mergeCell ref="W29:Y29"/>
    <mergeCell ref="L51:O51"/>
    <mergeCell ref="N47:N48"/>
    <mergeCell ref="N45:N46"/>
    <mergeCell ref="N43:N44"/>
    <mergeCell ref="O43:O44"/>
    <mergeCell ref="O45:O46"/>
    <mergeCell ref="O47:O48"/>
    <mergeCell ref="N40:O40"/>
    <mergeCell ref="L39:O39"/>
    <mergeCell ref="N31:O31"/>
    <mergeCell ref="L33:M33"/>
    <mergeCell ref="L34:M34"/>
    <mergeCell ref="N59:N60"/>
    <mergeCell ref="O59:O60"/>
    <mergeCell ref="N52:O52"/>
    <mergeCell ref="N55:N56"/>
    <mergeCell ref="O55:O56"/>
    <mergeCell ref="N57:N58"/>
    <mergeCell ref="O57:O58"/>
  </mergeCells>
  <conditionalFormatting sqref="G5 G14 G32">
    <cfRule type="cellIs" dxfId="46" priority="41" operator="lessThan">
      <formula>$H$5</formula>
    </cfRule>
  </conditionalFormatting>
  <conditionalFormatting sqref="G6 G15 G33">
    <cfRule type="cellIs" dxfId="45" priority="40" operator="lessThan">
      <formula>$H$6</formula>
    </cfRule>
  </conditionalFormatting>
  <conditionalFormatting sqref="G7 G16 G34">
    <cfRule type="cellIs" dxfId="44" priority="39" operator="lessThan">
      <formula>$H$7</formula>
    </cfRule>
  </conditionalFormatting>
  <conditionalFormatting sqref="G23">
    <cfRule type="cellIs" dxfId="43" priority="26" operator="lessThan">
      <formula>$H$23</formula>
    </cfRule>
    <cfRule type="cellIs" dxfId="42" priority="35" operator="lessThan">
      <formula>$H$5</formula>
    </cfRule>
  </conditionalFormatting>
  <conditionalFormatting sqref="G24">
    <cfRule type="cellIs" dxfId="41" priority="24" operator="lessThan">
      <formula>$H$24</formula>
    </cfRule>
  </conditionalFormatting>
  <conditionalFormatting sqref="G25">
    <cfRule type="cellIs" dxfId="40" priority="23" operator="lessThan">
      <formula>$H$25</formula>
    </cfRule>
  </conditionalFormatting>
  <conditionalFormatting sqref="Q5">
    <cfRule type="cellIs" dxfId="39" priority="22" operator="lessThan">
      <formula>$H$5</formula>
    </cfRule>
  </conditionalFormatting>
  <conditionalFormatting sqref="Q6">
    <cfRule type="cellIs" dxfId="38" priority="21" operator="lessThan">
      <formula>$H$6</formula>
    </cfRule>
  </conditionalFormatting>
  <conditionalFormatting sqref="Q7">
    <cfRule type="cellIs" dxfId="37" priority="20" operator="lessThan">
      <formula>$H$7</formula>
    </cfRule>
  </conditionalFormatting>
  <conditionalFormatting sqref="Q14">
    <cfRule type="cellIs" dxfId="36" priority="19" operator="lessThan">
      <formula>$H$5</formula>
    </cfRule>
  </conditionalFormatting>
  <conditionalFormatting sqref="Q15">
    <cfRule type="cellIs" dxfId="35" priority="18" operator="lessThan">
      <formula>$H$6</formula>
    </cfRule>
  </conditionalFormatting>
  <conditionalFormatting sqref="Q16">
    <cfRule type="cellIs" dxfId="34" priority="17" operator="lessThan">
      <formula>$H$7</formula>
    </cfRule>
  </conditionalFormatting>
  <conditionalFormatting sqref="Q23">
    <cfRule type="cellIs" dxfId="33" priority="15" operator="lessThan">
      <formula>$H$23</formula>
    </cfRule>
    <cfRule type="cellIs" dxfId="32" priority="16" operator="lessThan">
      <formula>$H$5</formula>
    </cfRule>
  </conditionalFormatting>
  <conditionalFormatting sqref="Q24">
    <cfRule type="cellIs" dxfId="31" priority="14" operator="lessThan">
      <formula>$H$24</formula>
    </cfRule>
  </conditionalFormatting>
  <conditionalFormatting sqref="Q25">
    <cfRule type="cellIs" dxfId="30" priority="13" operator="lessThan">
      <formula>$H$25</formula>
    </cfRule>
  </conditionalFormatting>
  <conditionalFormatting sqref="Q32">
    <cfRule type="cellIs" dxfId="29" priority="12" operator="lessThan">
      <formula>$H$5</formula>
    </cfRule>
  </conditionalFormatting>
  <conditionalFormatting sqref="Q33">
    <cfRule type="cellIs" dxfId="28" priority="11" operator="lessThan">
      <formula>$H$6</formula>
    </cfRule>
  </conditionalFormatting>
  <conditionalFormatting sqref="Q34">
    <cfRule type="cellIs" dxfId="27" priority="10" operator="lessThan">
      <formula>$H$7</formula>
    </cfRule>
  </conditionalFormatting>
  <conditionalFormatting sqref="O43:O44">
    <cfRule type="cellIs" dxfId="26" priority="5" operator="lessThan">
      <formula>$O$45</formula>
    </cfRule>
  </conditionalFormatting>
  <conditionalFormatting sqref="O47:O48">
    <cfRule type="cellIs" dxfId="25" priority="4" operator="lessThan">
      <formula>1</formula>
    </cfRule>
  </conditionalFormatting>
  <conditionalFormatting sqref="O55:O56">
    <cfRule type="cellIs" dxfId="24" priority="3" operator="lessThan">
      <formula>$O$45</formula>
    </cfRule>
  </conditionalFormatting>
  <conditionalFormatting sqref="O59:O60">
    <cfRule type="cellIs" dxfId="23" priority="2" operator="lessThan">
      <formula>1</formula>
    </cfRule>
  </conditionalFormatting>
  <conditionalFormatting sqref="P9 P18 P27 P36">
    <cfRule type="cellIs" dxfId="22" priority="1" operator="lessThan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0C84-A2E3-3842-8E17-F920C55E5221}">
  <dimension ref="B1:Y48"/>
  <sheetViews>
    <sheetView topLeftCell="F19" workbookViewId="0">
      <selection activeCell="K34" sqref="K34"/>
    </sheetView>
  </sheetViews>
  <sheetFormatPr baseColWidth="10" defaultRowHeight="16" x14ac:dyDescent="0.2"/>
  <cols>
    <col min="1" max="1" width="10.5" customWidth="1"/>
    <col min="2" max="2" width="11.6640625" customWidth="1"/>
    <col min="3" max="3" width="11.5" customWidth="1"/>
    <col min="4" max="4" width="22" customWidth="1"/>
    <col min="5" max="5" width="6.83203125" customWidth="1"/>
    <col min="6" max="6" width="24.83203125" bestFit="1" customWidth="1"/>
    <col min="7" max="7" width="8.5" customWidth="1"/>
    <col min="8" max="8" width="9.6640625" customWidth="1"/>
    <col min="12" max="12" width="11.1640625" customWidth="1"/>
    <col min="13" max="13" width="12.1640625" customWidth="1"/>
    <col min="14" max="14" width="29.1640625" customWidth="1"/>
    <col min="15" max="15" width="12.6640625" bestFit="1" customWidth="1"/>
    <col min="16" max="16" width="28.83203125" bestFit="1" customWidth="1"/>
    <col min="23" max="23" width="17.5" bestFit="1" customWidth="1"/>
    <col min="24" max="24" width="12.5" bestFit="1" customWidth="1"/>
    <col min="25" max="25" width="15" bestFit="1" customWidth="1"/>
  </cols>
  <sheetData>
    <row r="1" spans="2:25" x14ac:dyDescent="0.2">
      <c r="B1" s="136" t="s">
        <v>62</v>
      </c>
      <c r="C1" s="136"/>
      <c r="D1" s="136"/>
      <c r="E1" s="136"/>
      <c r="F1" s="136"/>
      <c r="G1" s="136"/>
      <c r="H1" s="136"/>
      <c r="L1" s="136" t="s">
        <v>63</v>
      </c>
      <c r="M1" s="136"/>
      <c r="N1" s="136"/>
      <c r="O1" s="136"/>
      <c r="P1" s="136"/>
      <c r="Q1" s="136"/>
      <c r="R1" s="136"/>
    </row>
    <row r="2" spans="2:25" x14ac:dyDescent="0.2">
      <c r="B2" s="136"/>
      <c r="C2" s="136"/>
      <c r="D2" s="136"/>
      <c r="E2" s="136"/>
      <c r="F2" s="136"/>
      <c r="G2" s="136"/>
      <c r="H2" s="136"/>
      <c r="L2" s="136"/>
      <c r="M2" s="136"/>
      <c r="N2" s="136"/>
      <c r="O2" s="136"/>
      <c r="P2" s="136"/>
      <c r="Q2" s="136"/>
      <c r="R2" s="136"/>
    </row>
    <row r="3" spans="2:25" x14ac:dyDescent="0.2">
      <c r="B3" s="136" t="s">
        <v>54</v>
      </c>
      <c r="C3" s="136"/>
      <c r="D3" s="136"/>
      <c r="E3" s="136"/>
      <c r="F3" s="136"/>
      <c r="G3" s="136"/>
      <c r="H3" s="136"/>
      <c r="I3" s="34"/>
      <c r="L3" s="136" t="s">
        <v>54</v>
      </c>
      <c r="M3" s="136"/>
      <c r="N3" s="136"/>
      <c r="O3" s="136"/>
      <c r="P3" s="136"/>
      <c r="Q3" s="136"/>
      <c r="R3" s="136"/>
    </row>
    <row r="4" spans="2:25" ht="60" customHeight="1" x14ac:dyDescent="0.2">
      <c r="B4" s="67" t="s">
        <v>47</v>
      </c>
      <c r="C4" s="67" t="s">
        <v>48</v>
      </c>
      <c r="D4" s="125" t="s">
        <v>44</v>
      </c>
      <c r="E4" s="125"/>
      <c r="F4" s="67" t="s">
        <v>39</v>
      </c>
      <c r="G4" s="67" t="s">
        <v>50</v>
      </c>
      <c r="H4" s="67" t="s">
        <v>59</v>
      </c>
      <c r="I4" s="35"/>
      <c r="J4" s="38"/>
      <c r="L4" s="67" t="s">
        <v>47</v>
      </c>
      <c r="M4" s="67" t="s">
        <v>48</v>
      </c>
      <c r="N4" s="125" t="s">
        <v>123</v>
      </c>
      <c r="O4" s="125"/>
      <c r="P4" s="67" t="s">
        <v>69</v>
      </c>
      <c r="Q4" s="67" t="s">
        <v>50</v>
      </c>
      <c r="R4" s="67" t="s">
        <v>59</v>
      </c>
      <c r="T4" s="39" t="s">
        <v>53</v>
      </c>
    </row>
    <row r="5" spans="2:25" x14ac:dyDescent="0.2">
      <c r="B5" s="68">
        <v>75</v>
      </c>
      <c r="C5" s="68">
        <v>180</v>
      </c>
      <c r="D5" s="68" t="s">
        <v>45</v>
      </c>
      <c r="E5" s="68">
        <v>2910</v>
      </c>
      <c r="F5" s="68" t="s">
        <v>40</v>
      </c>
      <c r="G5" s="70">
        <f>E5/(B5*C5)</f>
        <v>0.21555555555555556</v>
      </c>
      <c r="H5" s="68">
        <v>9.69</v>
      </c>
      <c r="I5" s="1"/>
      <c r="L5" s="68">
        <v>75</v>
      </c>
      <c r="M5" s="68">
        <v>160</v>
      </c>
      <c r="N5" s="68" t="s">
        <v>64</v>
      </c>
      <c r="O5" s="68">
        <v>5500</v>
      </c>
      <c r="P5" s="68" t="s">
        <v>40</v>
      </c>
      <c r="Q5" s="70">
        <f>O5/(L5*M5)</f>
        <v>0.45833333333333331</v>
      </c>
      <c r="R5" s="68">
        <v>9.69</v>
      </c>
    </row>
    <row r="6" spans="2:25" ht="32" customHeight="1" x14ac:dyDescent="0.2">
      <c r="B6" s="156" t="s">
        <v>49</v>
      </c>
      <c r="C6" s="156"/>
      <c r="D6" s="68" t="s">
        <v>51</v>
      </c>
      <c r="E6" s="68">
        <v>4610</v>
      </c>
      <c r="F6" s="68" t="s">
        <v>42</v>
      </c>
      <c r="G6" s="70">
        <f>(3*E6)/(2*0.67*B5*C5)</f>
        <v>0.76451077943615253</v>
      </c>
      <c r="H6" s="68">
        <v>1.73</v>
      </c>
      <c r="I6" s="1"/>
      <c r="L6" s="125" t="s">
        <v>68</v>
      </c>
      <c r="M6" s="125"/>
      <c r="N6" s="68" t="s">
        <v>65</v>
      </c>
      <c r="O6" s="68">
        <v>4210</v>
      </c>
      <c r="P6" s="68" t="s">
        <v>76</v>
      </c>
      <c r="Q6" s="70">
        <f>(3*O6)/(2*0.67*L5*M5)</f>
        <v>0.78544776119402981</v>
      </c>
      <c r="R6" s="68">
        <v>1.73</v>
      </c>
    </row>
    <row r="7" spans="2:25" x14ac:dyDescent="0.2">
      <c r="B7" s="136">
        <f>(B5/10*(C5/10*C5/10))/6</f>
        <v>405</v>
      </c>
      <c r="C7" s="136"/>
      <c r="D7" s="68" t="s">
        <v>46</v>
      </c>
      <c r="E7" s="68">
        <v>5720</v>
      </c>
      <c r="F7" s="68" t="s">
        <v>41</v>
      </c>
      <c r="G7" s="70">
        <f>E7/B7</f>
        <v>14.123456790123457</v>
      </c>
      <c r="H7" s="68">
        <v>16.62</v>
      </c>
      <c r="I7" s="1"/>
      <c r="L7" s="130">
        <f>(L5/10*(M5/10*M5/10))/6</f>
        <v>320</v>
      </c>
      <c r="M7" s="132"/>
      <c r="N7" s="68" t="s">
        <v>124</v>
      </c>
      <c r="O7" s="68">
        <v>4970</v>
      </c>
      <c r="P7" s="68" t="s">
        <v>41</v>
      </c>
      <c r="Q7" s="70">
        <f>O7/L7</f>
        <v>15.53125</v>
      </c>
      <c r="R7" s="68">
        <v>16.62</v>
      </c>
    </row>
    <row r="8" spans="2:25" x14ac:dyDescent="0.2">
      <c r="U8" s="50"/>
      <c r="W8" s="137" t="s">
        <v>111</v>
      </c>
      <c r="X8" s="137"/>
      <c r="Y8" s="137"/>
    </row>
    <row r="9" spans="2:25" x14ac:dyDescent="0.2">
      <c r="W9" s="69" t="s">
        <v>109</v>
      </c>
      <c r="X9" s="69" t="s">
        <v>104</v>
      </c>
      <c r="Y9" s="69" t="s">
        <v>105</v>
      </c>
    </row>
    <row r="10" spans="2:25" x14ac:dyDescent="0.2">
      <c r="B10" s="136" t="s">
        <v>55</v>
      </c>
      <c r="C10" s="136"/>
      <c r="D10" s="136"/>
      <c r="E10" s="136"/>
      <c r="F10" s="136"/>
      <c r="G10" s="136"/>
      <c r="H10" s="136"/>
      <c r="L10" s="136" t="s">
        <v>55</v>
      </c>
      <c r="M10" s="136"/>
      <c r="N10" s="136"/>
      <c r="O10" s="136"/>
      <c r="P10" s="136"/>
      <c r="Q10" s="136"/>
      <c r="R10" s="136"/>
      <c r="W10" s="69" t="s">
        <v>106</v>
      </c>
      <c r="X10" s="69" t="s">
        <v>107</v>
      </c>
      <c r="Y10" s="69" t="s">
        <v>108</v>
      </c>
    </row>
    <row r="11" spans="2:25" ht="57" customHeight="1" x14ac:dyDescent="0.2">
      <c r="B11" s="67" t="s">
        <v>47</v>
      </c>
      <c r="C11" s="67" t="s">
        <v>48</v>
      </c>
      <c r="D11" s="125" t="s">
        <v>44</v>
      </c>
      <c r="E11" s="125"/>
      <c r="F11" s="67" t="s">
        <v>39</v>
      </c>
      <c r="G11" s="67" t="s">
        <v>50</v>
      </c>
      <c r="H11" s="67" t="s">
        <v>58</v>
      </c>
      <c r="J11" s="38"/>
      <c r="L11" s="67" t="s">
        <v>47</v>
      </c>
      <c r="M11" s="67" t="s">
        <v>48</v>
      </c>
      <c r="N11" s="125" t="s">
        <v>123</v>
      </c>
      <c r="O11" s="125"/>
      <c r="P11" s="67" t="s">
        <v>69</v>
      </c>
      <c r="Q11" s="67" t="s">
        <v>50</v>
      </c>
      <c r="R11" s="67" t="s">
        <v>58</v>
      </c>
    </row>
    <row r="12" spans="2:25" x14ac:dyDescent="0.2">
      <c r="B12" s="68">
        <v>75</v>
      </c>
      <c r="C12" s="68">
        <v>110</v>
      </c>
      <c r="D12" s="68" t="s">
        <v>45</v>
      </c>
      <c r="E12" s="68">
        <v>7590</v>
      </c>
      <c r="F12" s="68" t="s">
        <v>40</v>
      </c>
      <c r="G12" s="70">
        <f>E12/(B12*C12)</f>
        <v>0.92</v>
      </c>
      <c r="H12" s="68">
        <v>7.54</v>
      </c>
      <c r="L12" s="68">
        <v>75</v>
      </c>
      <c r="M12" s="68">
        <v>100</v>
      </c>
      <c r="N12" s="68" t="s">
        <v>64</v>
      </c>
      <c r="O12" s="68">
        <v>9490</v>
      </c>
      <c r="P12" s="68" t="s">
        <v>66</v>
      </c>
      <c r="Q12" s="70">
        <f>O12/(L12*M12)</f>
        <v>1.2653333333333334</v>
      </c>
      <c r="R12" s="68">
        <v>11.31</v>
      </c>
    </row>
    <row r="13" spans="2:25" ht="32" customHeight="1" x14ac:dyDescent="0.2">
      <c r="B13" s="156" t="s">
        <v>49</v>
      </c>
      <c r="C13" s="156"/>
      <c r="D13" s="68" t="s">
        <v>51</v>
      </c>
      <c r="E13" s="68">
        <v>4630</v>
      </c>
      <c r="F13" s="68" t="s">
        <v>42</v>
      </c>
      <c r="G13" s="70">
        <f>(3*E13)/(2*0.67*B12*C12)</f>
        <v>1.2564450474898237</v>
      </c>
      <c r="H13" s="68">
        <v>1.35</v>
      </c>
      <c r="L13" s="125" t="s">
        <v>68</v>
      </c>
      <c r="M13" s="125"/>
      <c r="N13" s="68" t="s">
        <v>65</v>
      </c>
      <c r="O13" s="68">
        <v>2530</v>
      </c>
      <c r="P13" s="68" t="s">
        <v>76</v>
      </c>
      <c r="Q13" s="70">
        <f>(3*O13)/(2*0.67*L12*M12)</f>
        <v>0.75522388059701495</v>
      </c>
      <c r="R13" s="68">
        <v>1.35</v>
      </c>
      <c r="W13" s="137" t="s">
        <v>110</v>
      </c>
      <c r="X13" s="137"/>
      <c r="Y13" s="137"/>
    </row>
    <row r="14" spans="2:25" x14ac:dyDescent="0.2">
      <c r="B14" s="157">
        <f>(B12/10*(C12/10*C12/10))/6</f>
        <v>151.25</v>
      </c>
      <c r="C14" s="157"/>
      <c r="D14" s="68" t="s">
        <v>46</v>
      </c>
      <c r="E14" s="68">
        <v>960</v>
      </c>
      <c r="F14" s="68" t="s">
        <v>41</v>
      </c>
      <c r="G14" s="70">
        <f>E14/B14</f>
        <v>6.3471074380165291</v>
      </c>
      <c r="H14" s="68">
        <v>12.92</v>
      </c>
      <c r="L14" s="153">
        <f>(L12/10*(M12/10*M12/10))/6</f>
        <v>125</v>
      </c>
      <c r="M14" s="154"/>
      <c r="N14" s="68" t="s">
        <v>124</v>
      </c>
      <c r="O14" s="68">
        <v>1450</v>
      </c>
      <c r="P14" s="68" t="s">
        <v>41</v>
      </c>
      <c r="Q14" s="70">
        <f>O14/L14</f>
        <v>11.6</v>
      </c>
      <c r="R14" s="68">
        <v>12.92</v>
      </c>
      <c r="W14" s="69" t="s">
        <v>109</v>
      </c>
      <c r="X14" s="69" t="s">
        <v>104</v>
      </c>
      <c r="Y14" s="69" t="s">
        <v>105</v>
      </c>
    </row>
    <row r="15" spans="2:25" x14ac:dyDescent="0.2">
      <c r="W15" s="69" t="s">
        <v>112</v>
      </c>
      <c r="X15" s="69" t="s">
        <v>113</v>
      </c>
      <c r="Y15" s="69" t="s">
        <v>114</v>
      </c>
    </row>
    <row r="17" spans="2:25" x14ac:dyDescent="0.2">
      <c r="B17" s="136" t="s">
        <v>56</v>
      </c>
      <c r="C17" s="136"/>
      <c r="D17" s="136"/>
      <c r="E17" s="136"/>
      <c r="F17" s="136"/>
      <c r="G17" s="136"/>
      <c r="H17" s="136"/>
      <c r="L17" s="136" t="s">
        <v>56</v>
      </c>
      <c r="M17" s="136"/>
      <c r="N17" s="136"/>
      <c r="O17" s="136"/>
      <c r="P17" s="136"/>
      <c r="Q17" s="136"/>
      <c r="R17" s="136"/>
    </row>
    <row r="18" spans="2:25" ht="68" x14ac:dyDescent="0.2">
      <c r="B18" s="67" t="s">
        <v>47</v>
      </c>
      <c r="C18" s="67" t="s">
        <v>48</v>
      </c>
      <c r="D18" s="125" t="s">
        <v>44</v>
      </c>
      <c r="E18" s="125"/>
      <c r="F18" s="67" t="s">
        <v>39</v>
      </c>
      <c r="G18" s="67" t="s">
        <v>50</v>
      </c>
      <c r="H18" s="67" t="s">
        <v>58</v>
      </c>
      <c r="J18" s="39"/>
      <c r="L18" s="67" t="s">
        <v>47</v>
      </c>
      <c r="M18" s="67" t="s">
        <v>48</v>
      </c>
      <c r="N18" s="125" t="s">
        <v>123</v>
      </c>
      <c r="O18" s="125"/>
      <c r="P18" s="67" t="s">
        <v>69</v>
      </c>
      <c r="Q18" s="67" t="s">
        <v>50</v>
      </c>
      <c r="R18" s="67" t="s">
        <v>58</v>
      </c>
      <c r="T18" s="39" t="s">
        <v>53</v>
      </c>
      <c r="W18" s="137" t="s">
        <v>115</v>
      </c>
      <c r="X18" s="137"/>
      <c r="Y18" s="137"/>
    </row>
    <row r="19" spans="2:25" x14ac:dyDescent="0.2">
      <c r="B19" s="68">
        <v>130</v>
      </c>
      <c r="C19" s="68">
        <v>200</v>
      </c>
      <c r="D19" s="68" t="s">
        <v>45</v>
      </c>
      <c r="E19" s="68">
        <v>15000</v>
      </c>
      <c r="F19" s="68" t="s">
        <v>40</v>
      </c>
      <c r="G19" s="70">
        <f>E19/(B19*C19)</f>
        <v>0.57692307692307687</v>
      </c>
      <c r="H19" s="68">
        <v>8.6199999999999992</v>
      </c>
      <c r="L19" s="68">
        <v>150</v>
      </c>
      <c r="M19" s="68">
        <v>180</v>
      </c>
      <c r="N19" s="68" t="s">
        <v>64</v>
      </c>
      <c r="O19" s="68">
        <v>83760</v>
      </c>
      <c r="P19" s="68" t="s">
        <v>40</v>
      </c>
      <c r="Q19" s="70">
        <f>O19/(L19*M19)</f>
        <v>3.1022222222222222</v>
      </c>
      <c r="R19" s="68">
        <v>8.6199999999999992</v>
      </c>
      <c r="W19" s="69" t="s">
        <v>109</v>
      </c>
      <c r="X19" s="69" t="s">
        <v>104</v>
      </c>
      <c r="Y19" s="69" t="s">
        <v>105</v>
      </c>
    </row>
    <row r="20" spans="2:25" ht="32" customHeight="1" x14ac:dyDescent="0.2">
      <c r="B20" s="136" t="s">
        <v>49</v>
      </c>
      <c r="C20" s="136"/>
      <c r="D20" s="68" t="s">
        <v>51</v>
      </c>
      <c r="E20" s="68">
        <v>16400</v>
      </c>
      <c r="F20" s="68" t="s">
        <v>42</v>
      </c>
      <c r="G20" s="70">
        <f>(3*E20)/(2*0.67*B19*C19)</f>
        <v>1.4121699196326063</v>
      </c>
      <c r="H20" s="68">
        <v>1.54</v>
      </c>
      <c r="L20" s="125" t="s">
        <v>68</v>
      </c>
      <c r="M20" s="125"/>
      <c r="N20" s="68" t="s">
        <v>65</v>
      </c>
      <c r="O20" s="68">
        <v>16760</v>
      </c>
      <c r="P20" s="68" t="s">
        <v>76</v>
      </c>
      <c r="Q20" s="70">
        <f>(3*O20)/(2*0.67*L19*M19)</f>
        <v>1.3897180762852404</v>
      </c>
      <c r="R20" s="68">
        <v>1.54</v>
      </c>
      <c r="W20" s="69" t="s">
        <v>116</v>
      </c>
      <c r="X20" s="69" t="s">
        <v>117</v>
      </c>
      <c r="Y20" s="69" t="s">
        <v>118</v>
      </c>
    </row>
    <row r="21" spans="2:25" x14ac:dyDescent="0.2">
      <c r="B21" s="157">
        <f>(B19/10*(C19/10*C19/10))/6</f>
        <v>866.66666666666663</v>
      </c>
      <c r="C21" s="157"/>
      <c r="D21" s="68" t="s">
        <v>46</v>
      </c>
      <c r="E21" s="68">
        <v>10600</v>
      </c>
      <c r="F21" s="68" t="s">
        <v>41</v>
      </c>
      <c r="G21" s="70">
        <f>E21/B21</f>
        <v>12.230769230769232</v>
      </c>
      <c r="H21" s="68">
        <v>14.77</v>
      </c>
      <c r="L21" s="153">
        <f>(L19/10*(M19/10*M19/10))/6</f>
        <v>810</v>
      </c>
      <c r="M21" s="154"/>
      <c r="N21" s="68" t="s">
        <v>124</v>
      </c>
      <c r="O21" s="68">
        <v>10780</v>
      </c>
      <c r="P21" s="68" t="s">
        <v>41</v>
      </c>
      <c r="Q21" s="70">
        <f>O21/L21</f>
        <v>13.308641975308642</v>
      </c>
      <c r="R21" s="68">
        <v>14.77</v>
      </c>
    </row>
    <row r="23" spans="2:25" x14ac:dyDescent="0.2">
      <c r="W23" s="137" t="s">
        <v>119</v>
      </c>
      <c r="X23" s="137"/>
      <c r="Y23" s="137"/>
    </row>
    <row r="24" spans="2:25" x14ac:dyDescent="0.2">
      <c r="B24" s="136" t="s">
        <v>52</v>
      </c>
      <c r="C24" s="136"/>
      <c r="D24" s="136"/>
      <c r="E24" s="136"/>
      <c r="F24" s="136"/>
      <c r="G24" s="136"/>
      <c r="H24" s="136"/>
      <c r="L24" s="136" t="s">
        <v>67</v>
      </c>
      <c r="M24" s="136"/>
      <c r="N24" s="136"/>
      <c r="O24" s="136"/>
      <c r="P24" s="136"/>
      <c r="Q24" s="136"/>
      <c r="R24" s="136"/>
      <c r="W24" s="69" t="s">
        <v>109</v>
      </c>
      <c r="X24" s="69" t="s">
        <v>104</v>
      </c>
      <c r="Y24" s="69" t="s">
        <v>105</v>
      </c>
    </row>
    <row r="25" spans="2:25" ht="51" x14ac:dyDescent="0.2">
      <c r="B25" s="67" t="s">
        <v>47</v>
      </c>
      <c r="C25" s="67" t="s">
        <v>48</v>
      </c>
      <c r="D25" s="125" t="s">
        <v>44</v>
      </c>
      <c r="E25" s="125"/>
      <c r="F25" s="67" t="s">
        <v>39</v>
      </c>
      <c r="G25" s="67" t="s">
        <v>50</v>
      </c>
      <c r="H25" s="67" t="s">
        <v>43</v>
      </c>
      <c r="L25" s="67" t="s">
        <v>47</v>
      </c>
      <c r="M25" s="67" t="s">
        <v>48</v>
      </c>
      <c r="N25" s="125" t="s">
        <v>123</v>
      </c>
      <c r="O25" s="125"/>
      <c r="P25" s="67" t="s">
        <v>69</v>
      </c>
      <c r="Q25" s="67" t="s">
        <v>50</v>
      </c>
      <c r="R25" s="67" t="s">
        <v>43</v>
      </c>
      <c r="T25" s="39" t="s">
        <v>53</v>
      </c>
      <c r="W25" s="69" t="s">
        <v>120</v>
      </c>
      <c r="X25" s="69" t="s">
        <v>121</v>
      </c>
      <c r="Y25" s="69" t="s">
        <v>122</v>
      </c>
    </row>
    <row r="26" spans="2:25" x14ac:dyDescent="0.2">
      <c r="B26" s="68">
        <v>200</v>
      </c>
      <c r="C26" s="68">
        <v>320</v>
      </c>
      <c r="D26" s="68" t="s">
        <v>45</v>
      </c>
      <c r="E26" s="68">
        <v>26850</v>
      </c>
      <c r="F26" s="68" t="s">
        <v>40</v>
      </c>
      <c r="G26" s="70">
        <f>E26/(B26*C26)</f>
        <v>0.41953125000000002</v>
      </c>
      <c r="H26" s="68">
        <v>9.69</v>
      </c>
      <c r="L26" s="68">
        <v>140</v>
      </c>
      <c r="M26" s="68">
        <v>140</v>
      </c>
      <c r="N26" s="68" t="s">
        <v>64</v>
      </c>
      <c r="O26" s="68">
        <v>100640</v>
      </c>
      <c r="P26" s="68" t="s">
        <v>66</v>
      </c>
      <c r="Q26" s="70">
        <f>O26/(L26*M26)</f>
        <v>5.1346938775510207</v>
      </c>
      <c r="R26" s="68">
        <v>8.08</v>
      </c>
    </row>
    <row r="27" spans="2:25" ht="33" customHeight="1" x14ac:dyDescent="0.2">
      <c r="B27" s="156" t="s">
        <v>49</v>
      </c>
      <c r="C27" s="156"/>
      <c r="D27" s="68" t="s">
        <v>51</v>
      </c>
      <c r="E27" s="68">
        <v>44000</v>
      </c>
      <c r="F27" s="68" t="s">
        <v>42</v>
      </c>
      <c r="G27" s="70">
        <f>(3*E27)/(2*0.67*B26*C26)</f>
        <v>1.539179104477612</v>
      </c>
      <c r="H27" s="68">
        <v>1.73</v>
      </c>
      <c r="L27" s="125" t="s">
        <v>68</v>
      </c>
      <c r="M27" s="125"/>
      <c r="N27" s="68" t="s">
        <v>65</v>
      </c>
      <c r="O27" s="68">
        <v>140</v>
      </c>
      <c r="P27" s="68" t="s">
        <v>76</v>
      </c>
      <c r="Q27" s="70">
        <f>(3*O27)/(2*0.67*L26*M26)</f>
        <v>1.5991471215351809E-2</v>
      </c>
      <c r="R27" s="68">
        <v>0.96</v>
      </c>
    </row>
    <row r="28" spans="2:25" x14ac:dyDescent="0.2">
      <c r="B28" s="157">
        <f>(B26/10*(C26/10*C26/10))/6</f>
        <v>3413.3333333333335</v>
      </c>
      <c r="C28" s="157"/>
      <c r="D28" s="68" t="s">
        <v>46</v>
      </c>
      <c r="E28" s="68">
        <v>78600</v>
      </c>
      <c r="F28" s="68" t="s">
        <v>41</v>
      </c>
      <c r="G28" s="70">
        <f>E28/B28</f>
        <v>23.02734375</v>
      </c>
      <c r="H28" s="68">
        <v>16.62</v>
      </c>
      <c r="L28" s="153">
        <f>(L26/10*(M26/10*M26/10))/6</f>
        <v>457.33333333333331</v>
      </c>
      <c r="M28" s="154"/>
      <c r="N28" s="68" t="s">
        <v>124</v>
      </c>
      <c r="O28" s="68">
        <v>130</v>
      </c>
      <c r="P28" s="68" t="s">
        <v>41</v>
      </c>
      <c r="Q28" s="70">
        <f>O28/L28</f>
        <v>0.28425655976676384</v>
      </c>
      <c r="R28" s="68">
        <v>9.23</v>
      </c>
    </row>
    <row r="30" spans="2:25" ht="17" thickBot="1" x14ac:dyDescent="0.25"/>
    <row r="31" spans="2:25" ht="17" thickBot="1" x14ac:dyDescent="0.25">
      <c r="L31" s="150" t="s">
        <v>92</v>
      </c>
      <c r="M31" s="151"/>
      <c r="N31" s="151"/>
      <c r="O31" s="152"/>
      <c r="P31" s="56"/>
      <c r="Q31" s="56"/>
      <c r="R31" s="56"/>
    </row>
    <row r="32" spans="2:25" ht="37" x14ac:dyDescent="0.2">
      <c r="L32" s="92" t="s">
        <v>79</v>
      </c>
      <c r="M32" s="92" t="s">
        <v>91</v>
      </c>
      <c r="N32" s="148" t="s">
        <v>84</v>
      </c>
      <c r="O32" s="149"/>
    </row>
    <row r="33" spans="12:15" ht="17" thickBot="1" x14ac:dyDescent="0.25">
      <c r="L33" s="91">
        <v>367</v>
      </c>
      <c r="M33" s="91">
        <f>L26*0.1*M26*0.1</f>
        <v>196</v>
      </c>
      <c r="N33" s="6" t="s">
        <v>88</v>
      </c>
      <c r="O33" s="5">
        <v>100640</v>
      </c>
    </row>
    <row r="34" spans="12:15" ht="34" x14ac:dyDescent="0.2">
      <c r="L34" s="83" t="s">
        <v>77</v>
      </c>
      <c r="M34" s="83" t="s">
        <v>78</v>
      </c>
      <c r="N34" s="93" t="s">
        <v>89</v>
      </c>
      <c r="O34" s="94" t="s">
        <v>90</v>
      </c>
    </row>
    <row r="35" spans="12:15" ht="16" customHeight="1" thickBot="1" x14ac:dyDescent="0.25">
      <c r="L35" s="84">
        <f>L26*0.1*(M26*0.1)^3/12</f>
        <v>3201.3333333333335</v>
      </c>
      <c r="M35" s="85">
        <f>SQRT(L35/M33)</f>
        <v>4.0414518843273806</v>
      </c>
      <c r="N35" s="144" t="s">
        <v>66</v>
      </c>
      <c r="O35" s="146">
        <f>Q26</f>
        <v>5.1346938775510207</v>
      </c>
    </row>
    <row r="36" spans="12:15" x14ac:dyDescent="0.2">
      <c r="L36" s="71" t="s">
        <v>80</v>
      </c>
      <c r="M36" s="86">
        <f>L33/M35</f>
        <v>90.808949482539703</v>
      </c>
      <c r="N36" s="144"/>
      <c r="O36" s="146"/>
    </row>
    <row r="37" spans="12:15" x14ac:dyDescent="0.2">
      <c r="L37" s="6" t="s">
        <v>81</v>
      </c>
      <c r="M37" s="87">
        <f>3.14*SQRT(7400/21)</f>
        <v>58.943491906191291</v>
      </c>
      <c r="N37" s="144" t="s">
        <v>85</v>
      </c>
      <c r="O37" s="146">
        <f>R26*M40</f>
        <v>2.9250039917534116</v>
      </c>
    </row>
    <row r="38" spans="12:15" x14ac:dyDescent="0.2">
      <c r="L38" s="6" t="s">
        <v>82</v>
      </c>
      <c r="M38" s="88">
        <f>M36/M37</f>
        <v>1.5406102785200164</v>
      </c>
      <c r="N38" s="144"/>
      <c r="O38" s="146"/>
    </row>
    <row r="39" spans="12:15" x14ac:dyDescent="0.2">
      <c r="L39" s="89" t="s">
        <v>87</v>
      </c>
      <c r="M39" s="88">
        <f>0.5*(1+0.2*(M38-0.3)+M38^2)</f>
        <v>1.8108010429927628</v>
      </c>
      <c r="N39" s="144" t="s">
        <v>86</v>
      </c>
      <c r="O39" s="146">
        <f>O35/O37</f>
        <v>1.7554485026439217</v>
      </c>
    </row>
    <row r="40" spans="12:15" ht="17" thickBot="1" x14ac:dyDescent="0.25">
      <c r="L40" s="90" t="s">
        <v>83</v>
      </c>
      <c r="M40" s="20">
        <f>1/(M39+SQRT(M39^2-M38^2))</f>
        <v>0.36200544452393707</v>
      </c>
      <c r="N40" s="145"/>
      <c r="O40" s="147"/>
    </row>
    <row r="43" spans="12:15" x14ac:dyDescent="0.2">
      <c r="L43" s="155" t="s">
        <v>93</v>
      </c>
      <c r="M43" s="155"/>
      <c r="N43" s="155"/>
      <c r="O43" s="155"/>
    </row>
    <row r="44" spans="12:15" ht="32" customHeight="1" x14ac:dyDescent="0.2">
      <c r="L44" s="125" t="s">
        <v>94</v>
      </c>
      <c r="M44" s="125"/>
      <c r="N44" s="67" t="s">
        <v>97</v>
      </c>
      <c r="O44" s="67" t="s">
        <v>98</v>
      </c>
    </row>
    <row r="45" spans="12:15" x14ac:dyDescent="0.2">
      <c r="L45" s="136" t="s">
        <v>95</v>
      </c>
      <c r="M45" s="136"/>
      <c r="N45" s="68"/>
      <c r="O45" s="68">
        <v>1</v>
      </c>
    </row>
    <row r="46" spans="12:15" x14ac:dyDescent="0.2">
      <c r="L46" s="136" t="s">
        <v>96</v>
      </c>
      <c r="M46" s="136"/>
      <c r="N46" s="68"/>
      <c r="O46" s="68">
        <v>1</v>
      </c>
    </row>
    <row r="47" spans="12:15" x14ac:dyDescent="0.2">
      <c r="L47" s="136" t="s">
        <v>0</v>
      </c>
      <c r="M47" s="136"/>
      <c r="N47" s="68"/>
      <c r="O47" s="68">
        <v>1</v>
      </c>
    </row>
    <row r="48" spans="12:15" x14ac:dyDescent="0.2">
      <c r="L48" s="136" t="s">
        <v>1</v>
      </c>
      <c r="M48" s="136"/>
      <c r="N48" s="68"/>
      <c r="O48" s="68">
        <v>1</v>
      </c>
    </row>
  </sheetData>
  <mergeCells count="52">
    <mergeCell ref="B10:H10"/>
    <mergeCell ref="L10:R10"/>
    <mergeCell ref="B1:H2"/>
    <mergeCell ref="L1:R2"/>
    <mergeCell ref="B3:H3"/>
    <mergeCell ref="L3:R3"/>
    <mergeCell ref="D4:E4"/>
    <mergeCell ref="N4:O4"/>
    <mergeCell ref="B6:C6"/>
    <mergeCell ref="L6:M6"/>
    <mergeCell ref="B7:C7"/>
    <mergeCell ref="L7:M7"/>
    <mergeCell ref="W8:Y8"/>
    <mergeCell ref="D18:E18"/>
    <mergeCell ref="N18:O18"/>
    <mergeCell ref="W13:Y13"/>
    <mergeCell ref="B14:C14"/>
    <mergeCell ref="L14:M14"/>
    <mergeCell ref="D11:E11"/>
    <mergeCell ref="N11:O11"/>
    <mergeCell ref="B13:C13"/>
    <mergeCell ref="L13:M13"/>
    <mergeCell ref="B17:H17"/>
    <mergeCell ref="L17:R17"/>
    <mergeCell ref="W18:Y18"/>
    <mergeCell ref="N32:O32"/>
    <mergeCell ref="B21:C21"/>
    <mergeCell ref="L21:M21"/>
    <mergeCell ref="W23:Y23"/>
    <mergeCell ref="B24:H24"/>
    <mergeCell ref="L24:R24"/>
    <mergeCell ref="D25:E25"/>
    <mergeCell ref="N25:O25"/>
    <mergeCell ref="B27:C27"/>
    <mergeCell ref="L27:M27"/>
    <mergeCell ref="B28:C28"/>
    <mergeCell ref="L28:M28"/>
    <mergeCell ref="L31:O31"/>
    <mergeCell ref="B20:C20"/>
    <mergeCell ref="L20:M20"/>
    <mergeCell ref="L48:M48"/>
    <mergeCell ref="N35:N36"/>
    <mergeCell ref="O35:O36"/>
    <mergeCell ref="N37:N38"/>
    <mergeCell ref="O37:O38"/>
    <mergeCell ref="N39:N40"/>
    <mergeCell ref="O39:O40"/>
    <mergeCell ref="L43:O43"/>
    <mergeCell ref="L44:M44"/>
    <mergeCell ref="L45:M45"/>
    <mergeCell ref="L46:M46"/>
    <mergeCell ref="L47:M47"/>
  </mergeCells>
  <conditionalFormatting sqref="G5 G12 G26">
    <cfRule type="cellIs" dxfId="21" priority="22" operator="lessThan">
      <formula>$H$5</formula>
    </cfRule>
  </conditionalFormatting>
  <conditionalFormatting sqref="G6 G13 G27">
    <cfRule type="cellIs" dxfId="20" priority="21" operator="lessThan">
      <formula>$H$6</formula>
    </cfRule>
  </conditionalFormatting>
  <conditionalFormatting sqref="G7 G14 G28">
    <cfRule type="cellIs" dxfId="19" priority="20" operator="lessThan">
      <formula>$H$7</formula>
    </cfRule>
  </conditionalFormatting>
  <conditionalFormatting sqref="G19">
    <cfRule type="cellIs" dxfId="18" priority="18" operator="lessThan">
      <formula>$H$19</formula>
    </cfRule>
    <cfRule type="cellIs" dxfId="17" priority="19" operator="lessThan">
      <formula>$H$5</formula>
    </cfRule>
  </conditionalFormatting>
  <conditionalFormatting sqref="G20">
    <cfRule type="cellIs" dxfId="16" priority="17" operator="lessThan">
      <formula>$H$20</formula>
    </cfRule>
  </conditionalFormatting>
  <conditionalFormatting sqref="G21">
    <cfRule type="cellIs" dxfId="15" priority="16" operator="lessThan">
      <formula>$H$21</formula>
    </cfRule>
  </conditionalFormatting>
  <conditionalFormatting sqref="Q5">
    <cfRule type="cellIs" dxfId="14" priority="15" operator="lessThan">
      <formula>$H$5</formula>
    </cfRule>
  </conditionalFormatting>
  <conditionalFormatting sqref="Q6">
    <cfRule type="cellIs" dxfId="13" priority="14" operator="lessThan">
      <formula>$H$6</formula>
    </cfRule>
  </conditionalFormatting>
  <conditionalFormatting sqref="Q7">
    <cfRule type="cellIs" dxfId="12" priority="13" operator="lessThan">
      <formula>$H$7</formula>
    </cfRule>
  </conditionalFormatting>
  <conditionalFormatting sqref="Q12">
    <cfRule type="cellIs" dxfId="11" priority="12" operator="lessThan">
      <formula>$H$5</formula>
    </cfRule>
  </conditionalFormatting>
  <conditionalFormatting sqref="Q13">
    <cfRule type="cellIs" dxfId="10" priority="11" operator="lessThan">
      <formula>$H$6</formula>
    </cfRule>
  </conditionalFormatting>
  <conditionalFormatting sqref="Q14">
    <cfRule type="cellIs" dxfId="9" priority="10" operator="lessThan">
      <formula>$H$7</formula>
    </cfRule>
  </conditionalFormatting>
  <conditionalFormatting sqref="Q19">
    <cfRule type="cellIs" dxfId="8" priority="8" operator="lessThan">
      <formula>$H$19</formula>
    </cfRule>
    <cfRule type="cellIs" dxfId="7" priority="9" operator="lessThan">
      <formula>$H$5</formula>
    </cfRule>
  </conditionalFormatting>
  <conditionalFormatting sqref="Q20">
    <cfRule type="cellIs" dxfId="6" priority="7" operator="lessThan">
      <formula>$H$20</formula>
    </cfRule>
  </conditionalFormatting>
  <conditionalFormatting sqref="Q21">
    <cfRule type="cellIs" dxfId="5" priority="6" operator="lessThan">
      <formula>$H$21</formula>
    </cfRule>
  </conditionalFormatting>
  <conditionalFormatting sqref="Q26">
    <cfRule type="cellIs" dxfId="4" priority="5" operator="lessThan">
      <formula>$H$5</formula>
    </cfRule>
  </conditionalFormatting>
  <conditionalFormatting sqref="Q27">
    <cfRule type="cellIs" dxfId="3" priority="4" operator="lessThan">
      <formula>$H$6</formula>
    </cfRule>
  </conditionalFormatting>
  <conditionalFormatting sqref="Q28">
    <cfRule type="cellIs" dxfId="2" priority="3" operator="lessThan">
      <formula>$H$7</formula>
    </cfRule>
  </conditionalFormatting>
  <conditionalFormatting sqref="O35:O36">
    <cfRule type="cellIs" dxfId="1" priority="2" operator="lessThan">
      <formula>$O$37</formula>
    </cfRule>
  </conditionalFormatting>
  <conditionalFormatting sqref="O39:O40">
    <cfRule type="cellIs" dxfId="0" priority="1" operator="less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74C7-0625-1647-AE64-3995290F5B15}">
  <dimension ref="C4:E21"/>
  <sheetViews>
    <sheetView tabSelected="1" workbookViewId="0">
      <selection activeCell="O25" sqref="O25"/>
    </sheetView>
  </sheetViews>
  <sheetFormatPr baseColWidth="10" defaultRowHeight="16" x14ac:dyDescent="0.2"/>
  <cols>
    <col min="3" max="3" width="17.6640625" bestFit="1" customWidth="1"/>
    <col min="4" max="4" width="12.5" bestFit="1" customWidth="1"/>
    <col min="5" max="5" width="15" bestFit="1" customWidth="1"/>
  </cols>
  <sheetData>
    <row r="4" spans="3:5" x14ac:dyDescent="0.2">
      <c r="C4" s="137" t="s">
        <v>111</v>
      </c>
      <c r="D4" s="137"/>
      <c r="E4" s="137"/>
    </row>
    <row r="5" spans="3:5" x14ac:dyDescent="0.2">
      <c r="C5" s="69" t="s">
        <v>109</v>
      </c>
      <c r="D5" s="69" t="s">
        <v>104</v>
      </c>
      <c r="E5" s="69" t="s">
        <v>105</v>
      </c>
    </row>
    <row r="6" spans="3:5" x14ac:dyDescent="0.2">
      <c r="C6" s="69" t="s">
        <v>106</v>
      </c>
      <c r="D6" s="69" t="s">
        <v>107</v>
      </c>
      <c r="E6" s="69" t="s">
        <v>108</v>
      </c>
    </row>
    <row r="9" spans="3:5" x14ac:dyDescent="0.2">
      <c r="C9" s="137" t="s">
        <v>110</v>
      </c>
      <c r="D9" s="137"/>
      <c r="E9" s="137"/>
    </row>
    <row r="10" spans="3:5" x14ac:dyDescent="0.2">
      <c r="C10" s="69" t="s">
        <v>109</v>
      </c>
      <c r="D10" s="69" t="s">
        <v>104</v>
      </c>
      <c r="E10" s="69" t="s">
        <v>105</v>
      </c>
    </row>
    <row r="11" spans="3:5" x14ac:dyDescent="0.2">
      <c r="C11" s="69" t="s">
        <v>112</v>
      </c>
      <c r="D11" s="69" t="s">
        <v>113</v>
      </c>
      <c r="E11" s="69" t="s">
        <v>114</v>
      </c>
    </row>
    <row r="14" spans="3:5" x14ac:dyDescent="0.2">
      <c r="C14" s="137" t="s">
        <v>115</v>
      </c>
      <c r="D14" s="137"/>
      <c r="E14" s="137"/>
    </row>
    <row r="15" spans="3:5" x14ac:dyDescent="0.2">
      <c r="C15" s="69" t="s">
        <v>109</v>
      </c>
      <c r="D15" s="69" t="s">
        <v>104</v>
      </c>
      <c r="E15" s="69" t="s">
        <v>105</v>
      </c>
    </row>
    <row r="16" spans="3:5" x14ac:dyDescent="0.2">
      <c r="C16" s="69" t="s">
        <v>116</v>
      </c>
      <c r="D16" s="69" t="s">
        <v>117</v>
      </c>
      <c r="E16" s="69" t="s">
        <v>118</v>
      </c>
    </row>
    <row r="19" spans="3:5" x14ac:dyDescent="0.2">
      <c r="C19" s="137" t="s">
        <v>119</v>
      </c>
      <c r="D19" s="137"/>
      <c r="E19" s="137"/>
    </row>
    <row r="20" spans="3:5" x14ac:dyDescent="0.2">
      <c r="C20" s="69" t="s">
        <v>109</v>
      </c>
      <c r="D20" s="69" t="s">
        <v>104</v>
      </c>
      <c r="E20" s="69" t="s">
        <v>105</v>
      </c>
    </row>
    <row r="21" spans="3:5" x14ac:dyDescent="0.2">
      <c r="C21" s="69" t="s">
        <v>120</v>
      </c>
      <c r="D21" s="69" t="s">
        <v>121</v>
      </c>
      <c r="E21" s="69" t="s">
        <v>122</v>
      </c>
    </row>
  </sheetData>
  <mergeCells count="4">
    <mergeCell ref="C4:E4"/>
    <mergeCell ref="C9:E9"/>
    <mergeCell ref="C14:E14"/>
    <mergeCell ref="C19:E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127A-D24D-FD4C-B456-29C8778218E0}">
  <dimension ref="C5:P15"/>
  <sheetViews>
    <sheetView topLeftCell="E1" workbookViewId="0">
      <selection activeCell="O5" sqref="O5:P11"/>
    </sheetView>
  </sheetViews>
  <sheetFormatPr baseColWidth="10" defaultRowHeight="16" x14ac:dyDescent="0.2"/>
  <cols>
    <col min="4" max="4" width="18.1640625" bestFit="1" customWidth="1"/>
    <col min="15" max="15" width="17" customWidth="1"/>
    <col min="16" max="16" width="14.6640625" customWidth="1"/>
  </cols>
  <sheetData>
    <row r="5" spans="3:16" ht="36" customHeight="1" thickBot="1" x14ac:dyDescent="0.25">
      <c r="O5" s="97" t="s">
        <v>159</v>
      </c>
      <c r="P5" s="97" t="s">
        <v>158</v>
      </c>
    </row>
    <row r="6" spans="3:16" ht="20" thickBot="1" x14ac:dyDescent="0.25">
      <c r="D6" s="63" t="s">
        <v>103</v>
      </c>
      <c r="E6" s="64">
        <v>0.19</v>
      </c>
      <c r="F6" s="64">
        <v>0.45</v>
      </c>
      <c r="G6" s="64">
        <v>0.68</v>
      </c>
      <c r="H6" s="64">
        <v>0.92</v>
      </c>
      <c r="I6" s="64">
        <v>1.1499999999999999</v>
      </c>
      <c r="J6" s="64">
        <v>2.5099999999999998</v>
      </c>
      <c r="K6" s="64">
        <v>1.38</v>
      </c>
      <c r="O6" s="98" t="s">
        <v>160</v>
      </c>
      <c r="P6" s="98" t="s">
        <v>166</v>
      </c>
    </row>
    <row r="7" spans="3:16" ht="17" thickBot="1" x14ac:dyDescent="0.25">
      <c r="D7" s="65" t="s">
        <v>61</v>
      </c>
      <c r="E7" s="66">
        <f>7.21*E6</f>
        <v>1.3699000000000001</v>
      </c>
      <c r="F7" s="66">
        <f t="shared" ref="F7:K7" si="0">7.21*F6</f>
        <v>3.2444999999999999</v>
      </c>
      <c r="G7" s="66">
        <f t="shared" si="0"/>
        <v>4.9028</v>
      </c>
      <c r="H7" s="66">
        <f t="shared" si="0"/>
        <v>6.6332000000000004</v>
      </c>
      <c r="I7" s="66">
        <f t="shared" si="0"/>
        <v>8.2914999999999992</v>
      </c>
      <c r="J7" s="66">
        <f t="shared" si="0"/>
        <v>18.097099999999998</v>
      </c>
      <c r="K7" s="66">
        <f t="shared" si="0"/>
        <v>9.9497999999999998</v>
      </c>
      <c r="O7" s="98" t="s">
        <v>161</v>
      </c>
      <c r="P7" s="136" t="s">
        <v>167</v>
      </c>
    </row>
    <row r="8" spans="3:16" x14ac:dyDescent="0.2">
      <c r="O8" s="98" t="s">
        <v>162</v>
      </c>
      <c r="P8" s="136"/>
    </row>
    <row r="9" spans="3:16" ht="17" thickBot="1" x14ac:dyDescent="0.25">
      <c r="O9" s="98" t="s">
        <v>163</v>
      </c>
      <c r="P9" s="98" t="s">
        <v>168</v>
      </c>
    </row>
    <row r="10" spans="3:16" ht="20" thickBot="1" x14ac:dyDescent="0.25">
      <c r="C10" t="s">
        <v>147</v>
      </c>
      <c r="D10" s="63" t="s">
        <v>103</v>
      </c>
      <c r="E10" s="64">
        <v>0.19</v>
      </c>
      <c r="F10" s="64">
        <v>0.45</v>
      </c>
      <c r="G10" s="64">
        <v>0.68</v>
      </c>
      <c r="H10" s="64">
        <v>0.92</v>
      </c>
      <c r="I10" s="64">
        <v>1.1499999999999999</v>
      </c>
      <c r="J10" s="64">
        <v>2.5099999999999998</v>
      </c>
      <c r="K10" s="64">
        <v>1.38</v>
      </c>
      <c r="O10" s="98" t="s">
        <v>164</v>
      </c>
      <c r="P10" s="136" t="s">
        <v>169</v>
      </c>
    </row>
    <row r="11" spans="3:16" ht="17" thickBot="1" x14ac:dyDescent="0.25">
      <c r="D11" s="65" t="s">
        <v>61</v>
      </c>
      <c r="E11" s="66">
        <f>4.86*E10</f>
        <v>0.92340000000000011</v>
      </c>
      <c r="F11" s="66">
        <f t="shared" ref="F11:K11" si="1">4.86*F10</f>
        <v>2.1870000000000003</v>
      </c>
      <c r="G11" s="66">
        <f t="shared" si="1"/>
        <v>3.3048000000000006</v>
      </c>
      <c r="H11" s="66">
        <f t="shared" si="1"/>
        <v>4.4712000000000005</v>
      </c>
      <c r="I11" s="66">
        <f t="shared" si="1"/>
        <v>5.5889999999999995</v>
      </c>
      <c r="J11" s="66">
        <f t="shared" si="1"/>
        <v>12.198599999999999</v>
      </c>
      <c r="K11" s="66">
        <f t="shared" si="1"/>
        <v>6.7068000000000003</v>
      </c>
      <c r="O11" s="98" t="s">
        <v>165</v>
      </c>
      <c r="P11" s="136"/>
    </row>
    <row r="13" spans="3:16" ht="17" thickBot="1" x14ac:dyDescent="0.25"/>
    <row r="14" spans="3:16" ht="20" thickBot="1" x14ac:dyDescent="0.25">
      <c r="C14" t="s">
        <v>148</v>
      </c>
      <c r="D14" s="63" t="s">
        <v>103</v>
      </c>
      <c r="E14" s="64">
        <v>0.19</v>
      </c>
      <c r="F14" s="64">
        <v>0.45</v>
      </c>
      <c r="G14" s="64">
        <v>0.68</v>
      </c>
      <c r="H14" s="64">
        <v>0.92</v>
      </c>
      <c r="I14" s="64">
        <v>1.1499999999999999</v>
      </c>
      <c r="J14" s="64">
        <v>2.5099999999999998</v>
      </c>
      <c r="K14" s="64">
        <v>1.38</v>
      </c>
    </row>
    <row r="15" spans="3:16" ht="17" thickBot="1" x14ac:dyDescent="0.25">
      <c r="D15" s="65" t="s">
        <v>61</v>
      </c>
      <c r="E15" s="66">
        <f>1.33*E14</f>
        <v>0.25270000000000004</v>
      </c>
      <c r="F15" s="66">
        <f t="shared" ref="F15:J15" si="2">1.33*F14</f>
        <v>0.59850000000000003</v>
      </c>
      <c r="G15" s="66">
        <f t="shared" si="2"/>
        <v>0.90440000000000009</v>
      </c>
      <c r="H15" s="66">
        <f t="shared" si="2"/>
        <v>1.2236</v>
      </c>
      <c r="I15" s="66">
        <f t="shared" si="2"/>
        <v>1.5294999999999999</v>
      </c>
      <c r="J15" s="66">
        <f t="shared" si="2"/>
        <v>3.3382999999999998</v>
      </c>
      <c r="K15" s="66">
        <f>1.33*K14</f>
        <v>1.8353999999999999</v>
      </c>
    </row>
  </sheetData>
  <mergeCells count="2">
    <mergeCell ref="P7:P8"/>
    <mergeCell ref="P10:P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Combinaison des charges ELU</vt:lpstr>
      <vt:lpstr>Combinaison des charges ELS</vt:lpstr>
      <vt:lpstr>Sortie resistance </vt:lpstr>
      <vt:lpstr>Flèche</vt:lpstr>
      <vt:lpstr>Verification</vt:lpstr>
      <vt:lpstr>flambement bis</vt:lpstr>
      <vt:lpstr>efforts maximaux</vt:lpstr>
      <vt:lpstr>Divers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 claustre</dc:creator>
  <cp:lastModifiedBy>antonin claustre</cp:lastModifiedBy>
  <dcterms:created xsi:type="dcterms:W3CDTF">2021-03-11T00:33:40Z</dcterms:created>
  <dcterms:modified xsi:type="dcterms:W3CDTF">2021-08-22T22:38:14Z</dcterms:modified>
</cp:coreProperties>
</file>