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Fanny\Documents\Université\TFE bis\7_Analyse\"/>
    </mc:Choice>
  </mc:AlternateContent>
  <xr:revisionPtr revIDLastSave="0" documentId="13_ncr:1_{4793EF5D-1C86-45F2-8E99-78CD0E0EFCE7}" xr6:coauthVersionLast="47" xr6:coauthVersionMax="47" xr10:uidLastSave="{00000000-0000-0000-0000-000000000000}"/>
  <bookViews>
    <workbookView xWindow="0" yWindow="105" windowWidth="28800" windowHeight="9360" xr2:uid="{62804DEA-A607-4EC8-A463-BEB0A3A124D3}"/>
  </bookViews>
  <sheets>
    <sheet name="CONSO D'ENERGIE" sheetId="1" r:id="rId1"/>
    <sheet name="EMISSIONS DE CO2" sheetId="6" r:id="rId2"/>
    <sheet name="CONFORT" sheetId="2" r:id="rId3"/>
    <sheet name="MÉTRÉ" sheetId="8" r:id="rId4"/>
    <sheet name="COÛTS D'INVEST" sheetId="9" r:id="rId5"/>
    <sheet name="COÛTS DE MAINT-REMPL" sheetId="10" r:id="rId6"/>
    <sheet name="COÛTS DE FCT" sheetId="3" r:id="rId7"/>
    <sheet name="COÛTS DE TAXE CO2" sheetId="4" r:id="rId8"/>
    <sheet name="RÉCAP DES COÛTS" sheetId="11" r:id="rId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9" l="1"/>
  <c r="H5" i="9"/>
  <c r="I5" i="9"/>
  <c r="J5" i="9"/>
  <c r="K5" i="9"/>
  <c r="L5" i="9"/>
  <c r="M5" i="9"/>
  <c r="N5" i="9"/>
  <c r="O5" i="9"/>
  <c r="P5" i="9"/>
  <c r="Q5" i="9"/>
  <c r="R5" i="9"/>
  <c r="S5" i="9"/>
  <c r="J6" i="9"/>
  <c r="K6" i="9"/>
  <c r="L6" i="9"/>
  <c r="S6" i="9"/>
  <c r="M7" i="9"/>
  <c r="N7" i="9"/>
  <c r="O7" i="9"/>
  <c r="S7" i="9"/>
  <c r="G8" i="9"/>
  <c r="H8" i="9"/>
  <c r="I8" i="9"/>
  <c r="J8" i="9"/>
  <c r="K8" i="9"/>
  <c r="L8" i="9"/>
  <c r="M8" i="9"/>
  <c r="N8" i="9"/>
  <c r="O8" i="9"/>
  <c r="P8" i="9"/>
  <c r="Q8" i="9"/>
  <c r="R8" i="9"/>
  <c r="S8" i="9"/>
  <c r="P9" i="9"/>
  <c r="Q9" i="9"/>
  <c r="R9" i="9"/>
  <c r="S9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F8" i="9"/>
  <c r="F10" i="9"/>
  <c r="F5" i="9"/>
  <c r="S44" i="9"/>
  <c r="S43" i="9"/>
  <c r="S42" i="9"/>
  <c r="L47" i="9"/>
  <c r="L46" i="9"/>
  <c r="L45" i="9"/>
  <c r="S37" i="6" l="1"/>
  <c r="N37" i="6"/>
  <c r="O37" i="6"/>
  <c r="M37" i="6"/>
  <c r="P151" i="1"/>
  <c r="Q152" i="1"/>
  <c r="R152" i="1"/>
  <c r="S152" i="1"/>
  <c r="P152" i="1"/>
  <c r="F151" i="1"/>
  <c r="G151" i="1"/>
  <c r="H151" i="1"/>
  <c r="I151" i="1"/>
  <c r="J151" i="1"/>
  <c r="K151" i="1"/>
  <c r="L151" i="1"/>
  <c r="M151" i="1"/>
  <c r="N151" i="1"/>
  <c r="O151" i="1"/>
  <c r="Q151" i="1"/>
  <c r="R151" i="1"/>
  <c r="S151" i="1"/>
  <c r="E151" i="1"/>
  <c r="S94" i="1"/>
  <c r="N94" i="1"/>
  <c r="O94" i="1"/>
  <c r="M94" i="1"/>
  <c r="G7" i="2"/>
  <c r="H7" i="2"/>
  <c r="I7" i="2"/>
  <c r="J7" i="2"/>
  <c r="K7" i="2"/>
  <c r="L7" i="2"/>
  <c r="M7" i="2"/>
  <c r="N7" i="2"/>
  <c r="O7" i="2"/>
  <c r="P7" i="2"/>
  <c r="Q7" i="2"/>
  <c r="R7" i="2"/>
  <c r="S7" i="2"/>
  <c r="F7" i="2"/>
  <c r="Q4" i="2"/>
  <c r="R4" i="2"/>
  <c r="S4" i="2"/>
  <c r="G4" i="2"/>
  <c r="H4" i="2"/>
  <c r="I4" i="2"/>
  <c r="J4" i="2"/>
  <c r="K4" i="2"/>
  <c r="L4" i="2"/>
  <c r="M4" i="2"/>
  <c r="N4" i="2"/>
  <c r="O4" i="2"/>
  <c r="P4" i="2"/>
  <c r="F4" i="2"/>
  <c r="E13" i="11" l="1"/>
  <c r="E14" i="11"/>
  <c r="E16" i="11"/>
  <c r="E17" i="11"/>
  <c r="E15" i="11"/>
  <c r="E12" i="11"/>
  <c r="B6" i="4"/>
  <c r="U37" i="4"/>
  <c r="C17" i="3"/>
  <c r="C27" i="3"/>
  <c r="C22" i="3"/>
  <c r="C12" i="3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E25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E6" i="2"/>
  <c r="E3" i="2"/>
  <c r="D24" i="10"/>
  <c r="T24" i="10" s="1"/>
  <c r="D23" i="10"/>
  <c r="O23" i="10" s="1"/>
  <c r="D22" i="10"/>
  <c r="D21" i="10"/>
  <c r="O21" i="10" s="1"/>
  <c r="D20" i="10"/>
  <c r="N20" i="10" s="1"/>
  <c r="E39" i="6"/>
  <c r="J39" i="6"/>
  <c r="K39" i="6"/>
  <c r="M97" i="1"/>
  <c r="M39" i="6" s="1"/>
  <c r="N97" i="1"/>
  <c r="N39" i="6" s="1"/>
  <c r="O97" i="1"/>
  <c r="O39" i="6" s="1"/>
  <c r="P39" i="6"/>
  <c r="Q39" i="6"/>
  <c r="S97" i="1"/>
  <c r="G40" i="6"/>
  <c r="H40" i="6"/>
  <c r="L40" i="6"/>
  <c r="M98" i="1"/>
  <c r="N98" i="1"/>
  <c r="N40" i="6" s="1"/>
  <c r="O98" i="1"/>
  <c r="O40" i="6" s="1"/>
  <c r="Q40" i="6"/>
  <c r="S98" i="1"/>
  <c r="E41" i="6"/>
  <c r="I41" i="6"/>
  <c r="J41" i="6"/>
  <c r="K41" i="6"/>
  <c r="M99" i="1"/>
  <c r="M41" i="6" s="1"/>
  <c r="N99" i="1"/>
  <c r="N41" i="6" s="1"/>
  <c r="O99" i="1"/>
  <c r="O41" i="6" s="1"/>
  <c r="P41" i="6"/>
  <c r="Q41" i="6"/>
  <c r="S99" i="1"/>
  <c r="G42" i="6"/>
  <c r="H42" i="6"/>
  <c r="K42" i="6"/>
  <c r="M100" i="1"/>
  <c r="M42" i="6" s="1"/>
  <c r="N100" i="1"/>
  <c r="N42" i="6" s="1"/>
  <c r="O100" i="1"/>
  <c r="O42" i="6" s="1"/>
  <c r="S100" i="1"/>
  <c r="S42" i="6" s="1"/>
  <c r="E43" i="6"/>
  <c r="H43" i="6"/>
  <c r="J43" i="6"/>
  <c r="K43" i="6"/>
  <c r="M101" i="1"/>
  <c r="M43" i="6" s="1"/>
  <c r="N101" i="1"/>
  <c r="N43" i="6" s="1"/>
  <c r="O101" i="1"/>
  <c r="O43" i="6" s="1"/>
  <c r="Q43" i="6"/>
  <c r="S101" i="1"/>
  <c r="S43" i="6" s="1"/>
  <c r="E44" i="6"/>
  <c r="G44" i="6"/>
  <c r="H44" i="6"/>
  <c r="L44" i="6"/>
  <c r="M102" i="1"/>
  <c r="M44" i="6" s="1"/>
  <c r="N102" i="1"/>
  <c r="N44" i="6" s="1"/>
  <c r="O102" i="1"/>
  <c r="O44" i="6" s="1"/>
  <c r="Q44" i="6"/>
  <c r="S102" i="1"/>
  <c r="S44" i="6" s="1"/>
  <c r="E45" i="6"/>
  <c r="I45" i="6"/>
  <c r="J45" i="6"/>
  <c r="K45" i="6"/>
  <c r="M103" i="1"/>
  <c r="M45" i="6" s="1"/>
  <c r="N103" i="1"/>
  <c r="N45" i="6" s="1"/>
  <c r="O103" i="1"/>
  <c r="O45" i="6" s="1"/>
  <c r="P45" i="6"/>
  <c r="Q45" i="6"/>
  <c r="S103" i="1"/>
  <c r="S45" i="6" s="1"/>
  <c r="G46" i="6"/>
  <c r="H46" i="6"/>
  <c r="K46" i="6"/>
  <c r="M104" i="1"/>
  <c r="M46" i="6" s="1"/>
  <c r="N104" i="1"/>
  <c r="N46" i="6" s="1"/>
  <c r="O104" i="1"/>
  <c r="O46" i="6" s="1"/>
  <c r="S104" i="1"/>
  <c r="S46" i="6" s="1"/>
  <c r="E47" i="6"/>
  <c r="F47" i="6"/>
  <c r="H47" i="6"/>
  <c r="J47" i="6"/>
  <c r="K47" i="6"/>
  <c r="M105" i="1"/>
  <c r="M47" i="6" s="1"/>
  <c r="N105" i="1"/>
  <c r="N47" i="6" s="1"/>
  <c r="O105" i="1"/>
  <c r="O47" i="6" s="1"/>
  <c r="P47" i="6"/>
  <c r="Q47" i="6"/>
  <c r="R47" i="6"/>
  <c r="S105" i="1"/>
  <c r="S47" i="6" s="1"/>
  <c r="E48" i="6"/>
  <c r="G48" i="6"/>
  <c r="J48" i="6"/>
  <c r="M106" i="1"/>
  <c r="M48" i="6" s="1"/>
  <c r="N106" i="1"/>
  <c r="N48" i="6" s="1"/>
  <c r="O106" i="1"/>
  <c r="O48" i="6" s="1"/>
  <c r="Q48" i="6"/>
  <c r="S106" i="1"/>
  <c r="S48" i="6" s="1"/>
  <c r="E49" i="6"/>
  <c r="I49" i="6"/>
  <c r="J49" i="6"/>
  <c r="K49" i="6"/>
  <c r="M107" i="1"/>
  <c r="M49" i="6" s="1"/>
  <c r="N107" i="1"/>
  <c r="N49" i="6" s="1"/>
  <c r="O107" i="1"/>
  <c r="O49" i="6" s="1"/>
  <c r="P49" i="6"/>
  <c r="Q49" i="6"/>
  <c r="S107" i="1"/>
  <c r="S49" i="6" s="1"/>
  <c r="G38" i="6"/>
  <c r="H38" i="6"/>
  <c r="I38" i="6"/>
  <c r="K38" i="6"/>
  <c r="L38" i="6"/>
  <c r="M96" i="1"/>
  <c r="M38" i="6" s="1"/>
  <c r="N96" i="1"/>
  <c r="N38" i="6" s="1"/>
  <c r="O96" i="1"/>
  <c r="O38" i="6" s="1"/>
  <c r="S96" i="1"/>
  <c r="S38" i="6" s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E53" i="1"/>
  <c r="E24" i="6" s="1"/>
  <c r="E54" i="1"/>
  <c r="E25" i="6" s="1"/>
  <c r="E55" i="1"/>
  <c r="E56" i="1"/>
  <c r="E27" i="6" s="1"/>
  <c r="E57" i="1"/>
  <c r="E28" i="6" s="1"/>
  <c r="E58" i="1"/>
  <c r="E29" i="6" s="1"/>
  <c r="E59" i="1"/>
  <c r="E30" i="6" s="1"/>
  <c r="E60" i="1"/>
  <c r="E31" i="6" s="1"/>
  <c r="E61" i="1"/>
  <c r="E32" i="6" s="1"/>
  <c r="E62" i="1"/>
  <c r="E33" i="6" s="1"/>
  <c r="E63" i="1"/>
  <c r="E34" i="6" s="1"/>
  <c r="E52" i="1"/>
  <c r="E23" i="6" s="1"/>
  <c r="F38" i="6"/>
  <c r="J38" i="6"/>
  <c r="R38" i="6"/>
  <c r="F39" i="6"/>
  <c r="G39" i="6"/>
  <c r="I39" i="6"/>
  <c r="L39" i="6"/>
  <c r="R39" i="6"/>
  <c r="S39" i="6"/>
  <c r="F40" i="6"/>
  <c r="I40" i="6"/>
  <c r="J40" i="6"/>
  <c r="K40" i="6"/>
  <c r="P40" i="6"/>
  <c r="R40" i="6"/>
  <c r="F41" i="6"/>
  <c r="G41" i="6"/>
  <c r="H41" i="6"/>
  <c r="L41" i="6"/>
  <c r="R41" i="6"/>
  <c r="S41" i="6"/>
  <c r="F42" i="6"/>
  <c r="I42" i="6"/>
  <c r="J42" i="6"/>
  <c r="L42" i="6"/>
  <c r="P42" i="6"/>
  <c r="Q42" i="6"/>
  <c r="R42" i="6"/>
  <c r="F43" i="6"/>
  <c r="G43" i="6"/>
  <c r="I43" i="6"/>
  <c r="L43" i="6"/>
  <c r="P43" i="6"/>
  <c r="R43" i="6"/>
  <c r="F44" i="6"/>
  <c r="I44" i="6"/>
  <c r="J44" i="6"/>
  <c r="K44" i="6"/>
  <c r="P44" i="6"/>
  <c r="R44" i="6"/>
  <c r="F45" i="6"/>
  <c r="G45" i="6"/>
  <c r="H45" i="6"/>
  <c r="L45" i="6"/>
  <c r="R45" i="6"/>
  <c r="F46" i="6"/>
  <c r="I46" i="6"/>
  <c r="J46" i="6"/>
  <c r="L46" i="6"/>
  <c r="P46" i="6"/>
  <c r="Q46" i="6"/>
  <c r="R46" i="6"/>
  <c r="G47" i="6"/>
  <c r="I47" i="6"/>
  <c r="L47" i="6"/>
  <c r="F48" i="6"/>
  <c r="H48" i="6"/>
  <c r="I48" i="6"/>
  <c r="K48" i="6"/>
  <c r="L48" i="6"/>
  <c r="P48" i="6"/>
  <c r="R48" i="6"/>
  <c r="F49" i="6"/>
  <c r="G49" i="6"/>
  <c r="H49" i="6"/>
  <c r="L49" i="6"/>
  <c r="R49" i="6"/>
  <c r="E42" i="6"/>
  <c r="E46" i="6"/>
  <c r="E38" i="6"/>
  <c r="S137" i="1"/>
  <c r="S27" i="3" s="1"/>
  <c r="S33" i="11" s="1"/>
  <c r="R137" i="1"/>
  <c r="R27" i="3" s="1"/>
  <c r="R33" i="11" s="1"/>
  <c r="Q137" i="1"/>
  <c r="Q27" i="3" s="1"/>
  <c r="Q33" i="11" s="1"/>
  <c r="P137" i="1"/>
  <c r="P27" i="3" s="1"/>
  <c r="P33" i="11" s="1"/>
  <c r="O137" i="1"/>
  <c r="O27" i="3" s="1"/>
  <c r="O29" i="3" s="1"/>
  <c r="N137" i="1"/>
  <c r="N27" i="3" s="1"/>
  <c r="M137" i="1"/>
  <c r="M27" i="3" s="1"/>
  <c r="L137" i="1"/>
  <c r="L27" i="3" s="1"/>
  <c r="K137" i="1"/>
  <c r="K27" i="3" s="1"/>
  <c r="J137" i="1"/>
  <c r="J27" i="3" s="1"/>
  <c r="I137" i="1"/>
  <c r="I27" i="3" s="1"/>
  <c r="H137" i="1"/>
  <c r="H27" i="3" s="1"/>
  <c r="G137" i="1"/>
  <c r="G27" i="3" s="1"/>
  <c r="F137" i="1"/>
  <c r="F27" i="3" s="1"/>
  <c r="E137" i="1"/>
  <c r="E27" i="3" s="1"/>
  <c r="S79" i="1"/>
  <c r="S193" i="1" s="1"/>
  <c r="R79" i="1"/>
  <c r="R193" i="1" s="1"/>
  <c r="Q79" i="1"/>
  <c r="Q193" i="1" s="1"/>
  <c r="P79" i="1"/>
  <c r="P193" i="1" s="1"/>
  <c r="O79" i="1"/>
  <c r="N79" i="1"/>
  <c r="M79" i="1"/>
  <c r="L79" i="1"/>
  <c r="K79" i="1"/>
  <c r="J79" i="1"/>
  <c r="I79" i="1"/>
  <c r="H79" i="1"/>
  <c r="G79" i="1"/>
  <c r="F79" i="1"/>
  <c r="E79" i="1"/>
  <c r="S65" i="1"/>
  <c r="S192" i="1" s="1"/>
  <c r="R65" i="1"/>
  <c r="R192" i="1" s="1"/>
  <c r="Q65" i="1"/>
  <c r="Q192" i="1" s="1"/>
  <c r="P65" i="1"/>
  <c r="P192" i="1" s="1"/>
  <c r="O65" i="1"/>
  <c r="N65" i="1"/>
  <c r="M65" i="1"/>
  <c r="L65" i="1"/>
  <c r="K65" i="1"/>
  <c r="J65" i="1"/>
  <c r="I65" i="1"/>
  <c r="H65" i="1"/>
  <c r="G65" i="1"/>
  <c r="F65" i="1"/>
  <c r="E65" i="1"/>
  <c r="S36" i="1"/>
  <c r="S191" i="1" s="1"/>
  <c r="R36" i="1"/>
  <c r="R191" i="1" s="1"/>
  <c r="Q36" i="1"/>
  <c r="Q191" i="1" s="1"/>
  <c r="P36" i="1"/>
  <c r="P191" i="1" s="1"/>
  <c r="O36" i="1"/>
  <c r="N36" i="1"/>
  <c r="M36" i="1"/>
  <c r="L36" i="1"/>
  <c r="K36" i="1"/>
  <c r="J36" i="1"/>
  <c r="I36" i="1"/>
  <c r="H36" i="1"/>
  <c r="G36" i="1"/>
  <c r="F36" i="1"/>
  <c r="E36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E22" i="1"/>
  <c r="F52" i="1"/>
  <c r="F23" i="6" s="1"/>
  <c r="G52" i="1"/>
  <c r="G23" i="6" s="1"/>
  <c r="H52" i="1"/>
  <c r="H23" i="6" s="1"/>
  <c r="I52" i="1"/>
  <c r="I23" i="6" s="1"/>
  <c r="J52" i="1"/>
  <c r="J23" i="6" s="1"/>
  <c r="K52" i="1"/>
  <c r="K23" i="6" s="1"/>
  <c r="L52" i="1"/>
  <c r="L23" i="6" s="1"/>
  <c r="M52" i="1"/>
  <c r="M23" i="6" s="1"/>
  <c r="N52" i="1"/>
  <c r="N23" i="6" s="1"/>
  <c r="O52" i="1"/>
  <c r="O23" i="6" s="1"/>
  <c r="P52" i="1"/>
  <c r="P23" i="6" s="1"/>
  <c r="Q52" i="1"/>
  <c r="Q23" i="6" s="1"/>
  <c r="R52" i="1"/>
  <c r="R23" i="6" s="1"/>
  <c r="S52" i="1"/>
  <c r="S23" i="6" s="1"/>
  <c r="F53" i="1"/>
  <c r="F24" i="6" s="1"/>
  <c r="G53" i="1"/>
  <c r="G24" i="6" s="1"/>
  <c r="H53" i="1"/>
  <c r="H24" i="6" s="1"/>
  <c r="I53" i="1"/>
  <c r="I24" i="6" s="1"/>
  <c r="J53" i="1"/>
  <c r="J24" i="6" s="1"/>
  <c r="K53" i="1"/>
  <c r="K24" i="6" s="1"/>
  <c r="L53" i="1"/>
  <c r="L24" i="6" s="1"/>
  <c r="M53" i="1"/>
  <c r="M24" i="6" s="1"/>
  <c r="N53" i="1"/>
  <c r="N24" i="6" s="1"/>
  <c r="O53" i="1"/>
  <c r="O24" i="6" s="1"/>
  <c r="P53" i="1"/>
  <c r="P24" i="6" s="1"/>
  <c r="Q53" i="1"/>
  <c r="Q24" i="6" s="1"/>
  <c r="R53" i="1"/>
  <c r="R24" i="6" s="1"/>
  <c r="S53" i="1"/>
  <c r="S24" i="6" s="1"/>
  <c r="F54" i="1"/>
  <c r="F25" i="6" s="1"/>
  <c r="G54" i="1"/>
  <c r="G25" i="6" s="1"/>
  <c r="H54" i="1"/>
  <c r="H25" i="6" s="1"/>
  <c r="I54" i="1"/>
  <c r="I25" i="6" s="1"/>
  <c r="J54" i="1"/>
  <c r="J25" i="6" s="1"/>
  <c r="K54" i="1"/>
  <c r="K25" i="6" s="1"/>
  <c r="L54" i="1"/>
  <c r="L25" i="6" s="1"/>
  <c r="M54" i="1"/>
  <c r="M25" i="6" s="1"/>
  <c r="N54" i="1"/>
  <c r="N25" i="6" s="1"/>
  <c r="O54" i="1"/>
  <c r="O25" i="6" s="1"/>
  <c r="P54" i="1"/>
  <c r="P25" i="6" s="1"/>
  <c r="Q54" i="1"/>
  <c r="Q25" i="6" s="1"/>
  <c r="R54" i="1"/>
  <c r="R25" i="6" s="1"/>
  <c r="S54" i="1"/>
  <c r="S25" i="6" s="1"/>
  <c r="F55" i="1"/>
  <c r="F26" i="6" s="1"/>
  <c r="G55" i="1"/>
  <c r="G26" i="6" s="1"/>
  <c r="H55" i="1"/>
  <c r="H26" i="6" s="1"/>
  <c r="I55" i="1"/>
  <c r="I26" i="6" s="1"/>
  <c r="J55" i="1"/>
  <c r="J26" i="6" s="1"/>
  <c r="K55" i="1"/>
  <c r="K26" i="6" s="1"/>
  <c r="L55" i="1"/>
  <c r="L26" i="6" s="1"/>
  <c r="M55" i="1"/>
  <c r="M26" i="6" s="1"/>
  <c r="N55" i="1"/>
  <c r="N26" i="6" s="1"/>
  <c r="O55" i="1"/>
  <c r="O26" i="6" s="1"/>
  <c r="P55" i="1"/>
  <c r="P26" i="6" s="1"/>
  <c r="Q55" i="1"/>
  <c r="Q26" i="6" s="1"/>
  <c r="R55" i="1"/>
  <c r="R26" i="6" s="1"/>
  <c r="S55" i="1"/>
  <c r="S26" i="6" s="1"/>
  <c r="F56" i="1"/>
  <c r="F27" i="6" s="1"/>
  <c r="G56" i="1"/>
  <c r="G27" i="6" s="1"/>
  <c r="H56" i="1"/>
  <c r="H27" i="6" s="1"/>
  <c r="I56" i="1"/>
  <c r="I27" i="6" s="1"/>
  <c r="J56" i="1"/>
  <c r="J27" i="6" s="1"/>
  <c r="K56" i="1"/>
  <c r="K27" i="6" s="1"/>
  <c r="L56" i="1"/>
  <c r="L27" i="6" s="1"/>
  <c r="M56" i="1"/>
  <c r="M27" i="6" s="1"/>
  <c r="N56" i="1"/>
  <c r="N27" i="6" s="1"/>
  <c r="O56" i="1"/>
  <c r="O27" i="6" s="1"/>
  <c r="P56" i="1"/>
  <c r="P27" i="6" s="1"/>
  <c r="Q56" i="1"/>
  <c r="Q27" i="6" s="1"/>
  <c r="R56" i="1"/>
  <c r="R27" i="6" s="1"/>
  <c r="S56" i="1"/>
  <c r="S27" i="6" s="1"/>
  <c r="F57" i="1"/>
  <c r="F28" i="6" s="1"/>
  <c r="G57" i="1"/>
  <c r="G28" i="6" s="1"/>
  <c r="H57" i="1"/>
  <c r="H28" i="6" s="1"/>
  <c r="I57" i="1"/>
  <c r="I28" i="6" s="1"/>
  <c r="J57" i="1"/>
  <c r="J28" i="6" s="1"/>
  <c r="K57" i="1"/>
  <c r="K28" i="6" s="1"/>
  <c r="L57" i="1"/>
  <c r="L28" i="6" s="1"/>
  <c r="M57" i="1"/>
  <c r="M28" i="6" s="1"/>
  <c r="N57" i="1"/>
  <c r="N28" i="6" s="1"/>
  <c r="O57" i="1"/>
  <c r="O28" i="6" s="1"/>
  <c r="P57" i="1"/>
  <c r="P28" i="6" s="1"/>
  <c r="Q57" i="1"/>
  <c r="Q28" i="6" s="1"/>
  <c r="R57" i="1"/>
  <c r="R28" i="6" s="1"/>
  <c r="S57" i="1"/>
  <c r="S28" i="6" s="1"/>
  <c r="F58" i="1"/>
  <c r="F29" i="6" s="1"/>
  <c r="G58" i="1"/>
  <c r="G29" i="6" s="1"/>
  <c r="H58" i="1"/>
  <c r="H29" i="6" s="1"/>
  <c r="I58" i="1"/>
  <c r="I29" i="6" s="1"/>
  <c r="J58" i="1"/>
  <c r="J29" i="6" s="1"/>
  <c r="K58" i="1"/>
  <c r="K29" i="6" s="1"/>
  <c r="L58" i="1"/>
  <c r="L29" i="6" s="1"/>
  <c r="M58" i="1"/>
  <c r="M29" i="6" s="1"/>
  <c r="N58" i="1"/>
  <c r="N29" i="6" s="1"/>
  <c r="O58" i="1"/>
  <c r="O29" i="6" s="1"/>
  <c r="P58" i="1"/>
  <c r="P29" i="6" s="1"/>
  <c r="Q58" i="1"/>
  <c r="Q29" i="6" s="1"/>
  <c r="R58" i="1"/>
  <c r="R29" i="6" s="1"/>
  <c r="S58" i="1"/>
  <c r="S29" i="6" s="1"/>
  <c r="F59" i="1"/>
  <c r="F30" i="6" s="1"/>
  <c r="G59" i="1"/>
  <c r="G30" i="6" s="1"/>
  <c r="H59" i="1"/>
  <c r="H30" i="6" s="1"/>
  <c r="I59" i="1"/>
  <c r="I30" i="6" s="1"/>
  <c r="J59" i="1"/>
  <c r="J30" i="6" s="1"/>
  <c r="K59" i="1"/>
  <c r="K30" i="6" s="1"/>
  <c r="L59" i="1"/>
  <c r="L30" i="6" s="1"/>
  <c r="M59" i="1"/>
  <c r="M30" i="6" s="1"/>
  <c r="N59" i="1"/>
  <c r="N30" i="6" s="1"/>
  <c r="O59" i="1"/>
  <c r="O30" i="6" s="1"/>
  <c r="P59" i="1"/>
  <c r="P30" i="6" s="1"/>
  <c r="Q59" i="1"/>
  <c r="Q30" i="6" s="1"/>
  <c r="R59" i="1"/>
  <c r="R30" i="6" s="1"/>
  <c r="S59" i="1"/>
  <c r="S30" i="6" s="1"/>
  <c r="F60" i="1"/>
  <c r="F31" i="6" s="1"/>
  <c r="G60" i="1"/>
  <c r="G31" i="6" s="1"/>
  <c r="H60" i="1"/>
  <c r="H31" i="6" s="1"/>
  <c r="I60" i="1"/>
  <c r="I31" i="6" s="1"/>
  <c r="J60" i="1"/>
  <c r="J31" i="6" s="1"/>
  <c r="K60" i="1"/>
  <c r="K31" i="6" s="1"/>
  <c r="L60" i="1"/>
  <c r="L31" i="6" s="1"/>
  <c r="M60" i="1"/>
  <c r="M31" i="6" s="1"/>
  <c r="N60" i="1"/>
  <c r="N31" i="6" s="1"/>
  <c r="O60" i="1"/>
  <c r="O31" i="6" s="1"/>
  <c r="P60" i="1"/>
  <c r="P31" i="6" s="1"/>
  <c r="Q60" i="1"/>
  <c r="Q31" i="6" s="1"/>
  <c r="R60" i="1"/>
  <c r="R31" i="6" s="1"/>
  <c r="S60" i="1"/>
  <c r="S31" i="6" s="1"/>
  <c r="F61" i="1"/>
  <c r="F32" i="6" s="1"/>
  <c r="G61" i="1"/>
  <c r="G32" i="6" s="1"/>
  <c r="H61" i="1"/>
  <c r="H32" i="6" s="1"/>
  <c r="I61" i="1"/>
  <c r="I32" i="6" s="1"/>
  <c r="J61" i="1"/>
  <c r="J32" i="6" s="1"/>
  <c r="K61" i="1"/>
  <c r="K32" i="6" s="1"/>
  <c r="L61" i="1"/>
  <c r="L32" i="6" s="1"/>
  <c r="M61" i="1"/>
  <c r="M32" i="6" s="1"/>
  <c r="N61" i="1"/>
  <c r="N32" i="6" s="1"/>
  <c r="O61" i="1"/>
  <c r="O32" i="6" s="1"/>
  <c r="P61" i="1"/>
  <c r="P32" i="6" s="1"/>
  <c r="Q61" i="1"/>
  <c r="Q32" i="6" s="1"/>
  <c r="R61" i="1"/>
  <c r="R32" i="6" s="1"/>
  <c r="S61" i="1"/>
  <c r="S32" i="6" s="1"/>
  <c r="F62" i="1"/>
  <c r="F33" i="6" s="1"/>
  <c r="G62" i="1"/>
  <c r="G33" i="6" s="1"/>
  <c r="H62" i="1"/>
  <c r="H33" i="6" s="1"/>
  <c r="I62" i="1"/>
  <c r="I33" i="6" s="1"/>
  <c r="J62" i="1"/>
  <c r="J33" i="6" s="1"/>
  <c r="K62" i="1"/>
  <c r="K33" i="6" s="1"/>
  <c r="L62" i="1"/>
  <c r="L33" i="6" s="1"/>
  <c r="M62" i="1"/>
  <c r="M33" i="6" s="1"/>
  <c r="N62" i="1"/>
  <c r="N33" i="6" s="1"/>
  <c r="O62" i="1"/>
  <c r="O33" i="6" s="1"/>
  <c r="P62" i="1"/>
  <c r="P33" i="6" s="1"/>
  <c r="Q62" i="1"/>
  <c r="Q33" i="6" s="1"/>
  <c r="R62" i="1"/>
  <c r="R33" i="6" s="1"/>
  <c r="S62" i="1"/>
  <c r="S33" i="6" s="1"/>
  <c r="F63" i="1"/>
  <c r="F34" i="6" s="1"/>
  <c r="G63" i="1"/>
  <c r="G34" i="6" s="1"/>
  <c r="H63" i="1"/>
  <c r="H34" i="6" s="1"/>
  <c r="I63" i="1"/>
  <c r="I34" i="6" s="1"/>
  <c r="J63" i="1"/>
  <c r="J34" i="6" s="1"/>
  <c r="K63" i="1"/>
  <c r="K34" i="6" s="1"/>
  <c r="L63" i="1"/>
  <c r="L34" i="6" s="1"/>
  <c r="M63" i="1"/>
  <c r="M34" i="6" s="1"/>
  <c r="N63" i="1"/>
  <c r="N34" i="6" s="1"/>
  <c r="O63" i="1"/>
  <c r="O34" i="6" s="1"/>
  <c r="P63" i="1"/>
  <c r="P34" i="6" s="1"/>
  <c r="Q63" i="1"/>
  <c r="Q34" i="6" s="1"/>
  <c r="R63" i="1"/>
  <c r="R34" i="6" s="1"/>
  <c r="S63" i="1"/>
  <c r="S34" i="6" s="1"/>
  <c r="E26" i="6"/>
  <c r="F9" i="1"/>
  <c r="F9" i="6" s="1"/>
  <c r="G9" i="1"/>
  <c r="G9" i="6" s="1"/>
  <c r="H9" i="1"/>
  <c r="H9" i="6" s="1"/>
  <c r="I9" i="1"/>
  <c r="I9" i="6" s="1"/>
  <c r="J9" i="1"/>
  <c r="J9" i="6" s="1"/>
  <c r="K9" i="1"/>
  <c r="K9" i="6" s="1"/>
  <c r="L9" i="1"/>
  <c r="L9" i="6" s="1"/>
  <c r="M9" i="6"/>
  <c r="N9" i="6"/>
  <c r="O9" i="6"/>
  <c r="P9" i="1"/>
  <c r="P9" i="6" s="1"/>
  <c r="Q9" i="1"/>
  <c r="Q9" i="6" s="1"/>
  <c r="R9" i="1"/>
  <c r="R9" i="6" s="1"/>
  <c r="S9" i="6"/>
  <c r="F10" i="1"/>
  <c r="F10" i="6" s="1"/>
  <c r="G10" i="1"/>
  <c r="G10" i="6" s="1"/>
  <c r="H10" i="1"/>
  <c r="H10" i="6" s="1"/>
  <c r="I10" i="1"/>
  <c r="I10" i="6" s="1"/>
  <c r="J10" i="1"/>
  <c r="J10" i="6" s="1"/>
  <c r="K10" i="1"/>
  <c r="K10" i="6" s="1"/>
  <c r="L10" i="1"/>
  <c r="L10" i="6" s="1"/>
  <c r="M10" i="6"/>
  <c r="N10" i="6"/>
  <c r="O10" i="6"/>
  <c r="P10" i="1"/>
  <c r="P10" i="6" s="1"/>
  <c r="Q10" i="1"/>
  <c r="Q10" i="6" s="1"/>
  <c r="R10" i="1"/>
  <c r="R10" i="6" s="1"/>
  <c r="S10" i="6"/>
  <c r="F11" i="1"/>
  <c r="F11" i="6" s="1"/>
  <c r="G11" i="1"/>
  <c r="G11" i="6" s="1"/>
  <c r="H11" i="1"/>
  <c r="H11" i="6" s="1"/>
  <c r="I11" i="1"/>
  <c r="I11" i="6" s="1"/>
  <c r="J11" i="1"/>
  <c r="J11" i="6" s="1"/>
  <c r="K11" i="1"/>
  <c r="K11" i="6" s="1"/>
  <c r="L11" i="1"/>
  <c r="L11" i="6" s="1"/>
  <c r="M11" i="6"/>
  <c r="N11" i="6"/>
  <c r="O11" i="6"/>
  <c r="P11" i="1"/>
  <c r="P11" i="6" s="1"/>
  <c r="Q11" i="1"/>
  <c r="Q11" i="6" s="1"/>
  <c r="R11" i="1"/>
  <c r="R11" i="6" s="1"/>
  <c r="S11" i="6"/>
  <c r="F12" i="1"/>
  <c r="F12" i="6" s="1"/>
  <c r="G12" i="1"/>
  <c r="G12" i="6" s="1"/>
  <c r="H12" i="1"/>
  <c r="H12" i="6" s="1"/>
  <c r="I12" i="1"/>
  <c r="I12" i="6" s="1"/>
  <c r="J12" i="1"/>
  <c r="J12" i="6" s="1"/>
  <c r="K12" i="1"/>
  <c r="K12" i="6" s="1"/>
  <c r="L12" i="1"/>
  <c r="L12" i="6" s="1"/>
  <c r="M12" i="6"/>
  <c r="N12" i="6"/>
  <c r="O12" i="6"/>
  <c r="P12" i="1"/>
  <c r="P12" i="6" s="1"/>
  <c r="Q12" i="1"/>
  <c r="Q12" i="6" s="1"/>
  <c r="R12" i="1"/>
  <c r="R12" i="6" s="1"/>
  <c r="S12" i="6"/>
  <c r="F13" i="1"/>
  <c r="F13" i="6" s="1"/>
  <c r="G13" i="1"/>
  <c r="G13" i="6" s="1"/>
  <c r="H13" i="1"/>
  <c r="H13" i="6" s="1"/>
  <c r="I13" i="1"/>
  <c r="I13" i="6" s="1"/>
  <c r="J13" i="1"/>
  <c r="J13" i="6" s="1"/>
  <c r="K13" i="1"/>
  <c r="K13" i="6" s="1"/>
  <c r="L13" i="1"/>
  <c r="L13" i="6" s="1"/>
  <c r="M13" i="6"/>
  <c r="N13" i="6"/>
  <c r="O13" i="6"/>
  <c r="P13" i="1"/>
  <c r="P13" i="6" s="1"/>
  <c r="Q13" i="1"/>
  <c r="Q13" i="6" s="1"/>
  <c r="R13" i="1"/>
  <c r="R13" i="6" s="1"/>
  <c r="S13" i="6"/>
  <c r="F14" i="1"/>
  <c r="F14" i="6" s="1"/>
  <c r="G14" i="1"/>
  <c r="G14" i="6" s="1"/>
  <c r="H14" i="1"/>
  <c r="H14" i="6" s="1"/>
  <c r="I14" i="1"/>
  <c r="I14" i="6" s="1"/>
  <c r="J14" i="1"/>
  <c r="J14" i="6" s="1"/>
  <c r="K14" i="1"/>
  <c r="K14" i="6" s="1"/>
  <c r="L14" i="1"/>
  <c r="L14" i="6" s="1"/>
  <c r="M14" i="6"/>
  <c r="N14" i="6"/>
  <c r="O14" i="6"/>
  <c r="P14" i="1"/>
  <c r="P14" i="6" s="1"/>
  <c r="Q14" i="1"/>
  <c r="Q14" i="6" s="1"/>
  <c r="R14" i="1"/>
  <c r="R14" i="6" s="1"/>
  <c r="S14" i="6"/>
  <c r="F15" i="1"/>
  <c r="F15" i="6" s="1"/>
  <c r="G15" i="1"/>
  <c r="G15" i="6" s="1"/>
  <c r="H15" i="1"/>
  <c r="H15" i="6" s="1"/>
  <c r="I15" i="1"/>
  <c r="I15" i="6" s="1"/>
  <c r="J15" i="1"/>
  <c r="J15" i="6" s="1"/>
  <c r="K15" i="1"/>
  <c r="K15" i="6" s="1"/>
  <c r="L15" i="1"/>
  <c r="L15" i="6" s="1"/>
  <c r="M15" i="6"/>
  <c r="N15" i="6"/>
  <c r="O15" i="6"/>
  <c r="P15" i="1"/>
  <c r="P15" i="6" s="1"/>
  <c r="Q15" i="1"/>
  <c r="Q15" i="6" s="1"/>
  <c r="R15" i="1"/>
  <c r="R15" i="6" s="1"/>
  <c r="S15" i="6"/>
  <c r="F16" i="1"/>
  <c r="F16" i="6" s="1"/>
  <c r="G16" i="1"/>
  <c r="G16" i="6" s="1"/>
  <c r="H16" i="1"/>
  <c r="H16" i="6" s="1"/>
  <c r="I16" i="1"/>
  <c r="I16" i="6" s="1"/>
  <c r="J16" i="1"/>
  <c r="J16" i="6" s="1"/>
  <c r="K16" i="1"/>
  <c r="K16" i="6" s="1"/>
  <c r="L16" i="1"/>
  <c r="L16" i="6" s="1"/>
  <c r="M16" i="6"/>
  <c r="N16" i="6"/>
  <c r="O16" i="6"/>
  <c r="P16" i="1"/>
  <c r="P16" i="6" s="1"/>
  <c r="Q16" i="1"/>
  <c r="Q16" i="6" s="1"/>
  <c r="R16" i="1"/>
  <c r="R16" i="6" s="1"/>
  <c r="S16" i="6"/>
  <c r="F17" i="1"/>
  <c r="F17" i="6" s="1"/>
  <c r="G17" i="1"/>
  <c r="G17" i="6" s="1"/>
  <c r="H17" i="1"/>
  <c r="H17" i="6" s="1"/>
  <c r="I17" i="1"/>
  <c r="I17" i="6" s="1"/>
  <c r="J17" i="1"/>
  <c r="J17" i="6" s="1"/>
  <c r="K17" i="1"/>
  <c r="K17" i="6" s="1"/>
  <c r="L17" i="1"/>
  <c r="L17" i="6" s="1"/>
  <c r="M17" i="6"/>
  <c r="N17" i="6"/>
  <c r="O17" i="6"/>
  <c r="P17" i="1"/>
  <c r="P17" i="6" s="1"/>
  <c r="Q17" i="1"/>
  <c r="Q17" i="6" s="1"/>
  <c r="R17" i="1"/>
  <c r="R17" i="6" s="1"/>
  <c r="S17" i="6"/>
  <c r="F18" i="1"/>
  <c r="F18" i="6" s="1"/>
  <c r="G18" i="1"/>
  <c r="G18" i="6" s="1"/>
  <c r="H18" i="1"/>
  <c r="H18" i="6" s="1"/>
  <c r="I18" i="1"/>
  <c r="I18" i="6" s="1"/>
  <c r="J18" i="1"/>
  <c r="J18" i="6" s="1"/>
  <c r="K18" i="1"/>
  <c r="K18" i="6" s="1"/>
  <c r="L18" i="1"/>
  <c r="L18" i="6" s="1"/>
  <c r="M18" i="6"/>
  <c r="N18" i="6"/>
  <c r="O18" i="6"/>
  <c r="P18" i="1"/>
  <c r="P18" i="6" s="1"/>
  <c r="Q18" i="1"/>
  <c r="Q18" i="6" s="1"/>
  <c r="R18" i="1"/>
  <c r="R18" i="6" s="1"/>
  <c r="S18" i="6"/>
  <c r="F19" i="1"/>
  <c r="F19" i="6" s="1"/>
  <c r="G19" i="1"/>
  <c r="G19" i="6" s="1"/>
  <c r="H19" i="1"/>
  <c r="H19" i="6" s="1"/>
  <c r="I19" i="1"/>
  <c r="I19" i="6" s="1"/>
  <c r="J19" i="1"/>
  <c r="J19" i="6" s="1"/>
  <c r="K19" i="1"/>
  <c r="K19" i="6" s="1"/>
  <c r="L19" i="1"/>
  <c r="L19" i="6" s="1"/>
  <c r="M19" i="6"/>
  <c r="N19" i="6"/>
  <c r="O19" i="6"/>
  <c r="P19" i="1"/>
  <c r="P19" i="6" s="1"/>
  <c r="Q19" i="1"/>
  <c r="Q19" i="6" s="1"/>
  <c r="R19" i="1"/>
  <c r="R19" i="6" s="1"/>
  <c r="S19" i="6"/>
  <c r="F20" i="1"/>
  <c r="F20" i="6" s="1"/>
  <c r="G20" i="1"/>
  <c r="G20" i="6" s="1"/>
  <c r="H20" i="1"/>
  <c r="H20" i="6" s="1"/>
  <c r="I20" i="1"/>
  <c r="I20" i="6" s="1"/>
  <c r="J20" i="1"/>
  <c r="J20" i="6" s="1"/>
  <c r="K20" i="1"/>
  <c r="K20" i="6" s="1"/>
  <c r="L20" i="1"/>
  <c r="L20" i="6" s="1"/>
  <c r="M20" i="6"/>
  <c r="N20" i="6"/>
  <c r="O20" i="6"/>
  <c r="P20" i="1"/>
  <c r="P20" i="6" s="1"/>
  <c r="Q20" i="1"/>
  <c r="Q20" i="6" s="1"/>
  <c r="R20" i="1"/>
  <c r="R20" i="6" s="1"/>
  <c r="S20" i="6"/>
  <c r="E10" i="1"/>
  <c r="E10" i="6" s="1"/>
  <c r="E11" i="1"/>
  <c r="E11" i="6" s="1"/>
  <c r="E12" i="1"/>
  <c r="E12" i="6" s="1"/>
  <c r="E13" i="1"/>
  <c r="E13" i="6" s="1"/>
  <c r="E14" i="1"/>
  <c r="E14" i="6" s="1"/>
  <c r="E15" i="1"/>
  <c r="E15" i="6" s="1"/>
  <c r="E16" i="1"/>
  <c r="E16" i="6" s="1"/>
  <c r="E17" i="1"/>
  <c r="E17" i="6" s="1"/>
  <c r="E18" i="1"/>
  <c r="E18" i="6" s="1"/>
  <c r="E19" i="1"/>
  <c r="E19" i="6" s="1"/>
  <c r="E20" i="1"/>
  <c r="E20" i="6" s="1"/>
  <c r="E9" i="1"/>
  <c r="E9" i="6" s="1"/>
  <c r="J44" i="9"/>
  <c r="J43" i="9"/>
  <c r="J42" i="9"/>
  <c r="R99" i="8"/>
  <c r="K99" i="8"/>
  <c r="J99" i="8"/>
  <c r="I99" i="8"/>
  <c r="R25" i="10"/>
  <c r="S25" i="10"/>
  <c r="T25" i="10"/>
  <c r="Q25" i="10"/>
  <c r="L23" i="10"/>
  <c r="F19" i="10"/>
  <c r="G19" i="10"/>
  <c r="H19" i="10"/>
  <c r="I19" i="10"/>
  <c r="J19" i="10"/>
  <c r="K19" i="10"/>
  <c r="L19" i="10"/>
  <c r="M19" i="10"/>
  <c r="Q19" i="10"/>
  <c r="R19" i="10"/>
  <c r="S19" i="10"/>
  <c r="S18" i="10"/>
  <c r="R18" i="10"/>
  <c r="Q18" i="10"/>
  <c r="G18" i="10"/>
  <c r="H18" i="10"/>
  <c r="I18" i="10"/>
  <c r="J18" i="10"/>
  <c r="K18" i="10"/>
  <c r="L18" i="10"/>
  <c r="M18" i="10"/>
  <c r="F18" i="10"/>
  <c r="F8" i="10"/>
  <c r="F7" i="10" s="1"/>
  <c r="E23" i="11" s="1"/>
  <c r="T11" i="10"/>
  <c r="H8" i="10"/>
  <c r="I8" i="10"/>
  <c r="J8" i="10"/>
  <c r="K8" i="10"/>
  <c r="L8" i="10"/>
  <c r="M8" i="10"/>
  <c r="Q8" i="10"/>
  <c r="R8" i="10"/>
  <c r="S8" i="10"/>
  <c r="N9" i="10"/>
  <c r="O9" i="10"/>
  <c r="P9" i="10"/>
  <c r="T9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Q12" i="10"/>
  <c r="R12" i="10"/>
  <c r="S12" i="10"/>
  <c r="T12" i="10"/>
  <c r="G10" i="10"/>
  <c r="G8" i="10"/>
  <c r="U8" i="4"/>
  <c r="U9" i="4" s="1"/>
  <c r="U10" i="4" s="1"/>
  <c r="U11" i="4" s="1"/>
  <c r="U12" i="4" s="1"/>
  <c r="U13" i="4" s="1"/>
  <c r="U14" i="4" s="1"/>
  <c r="U15" i="4" s="1"/>
  <c r="U16" i="4" s="1"/>
  <c r="U17" i="4" s="1"/>
  <c r="U18" i="4" s="1"/>
  <c r="U19" i="4" s="1"/>
  <c r="U20" i="4" s="1"/>
  <c r="U21" i="4" s="1"/>
  <c r="U22" i="4" s="1"/>
  <c r="U23" i="4" s="1"/>
  <c r="U24" i="4" s="1"/>
  <c r="U25" i="4" s="1"/>
  <c r="U26" i="4" s="1"/>
  <c r="U27" i="4" s="1"/>
  <c r="U28" i="4" s="1"/>
  <c r="U29" i="4" s="1"/>
  <c r="U30" i="4" s="1"/>
  <c r="U31" i="4" s="1"/>
  <c r="U32" i="4" s="1"/>
  <c r="U33" i="4" s="1"/>
  <c r="U34" i="4" s="1"/>
  <c r="U35" i="4" s="1"/>
  <c r="U36" i="4" s="1"/>
  <c r="Y7" i="3"/>
  <c r="Y8" i="3" s="1"/>
  <c r="Y9" i="3" s="1"/>
  <c r="Y10" i="3" s="1"/>
  <c r="Y11" i="3" s="1"/>
  <c r="Y12" i="3" s="1"/>
  <c r="Y13" i="3" s="1"/>
  <c r="Y14" i="3" s="1"/>
  <c r="Y15" i="3" s="1"/>
  <c r="Y16" i="3" s="1"/>
  <c r="Y17" i="3" s="1"/>
  <c r="Y18" i="3" s="1"/>
  <c r="Y19" i="3" s="1"/>
  <c r="Y20" i="3" s="1"/>
  <c r="Y21" i="3" s="1"/>
  <c r="V7" i="3"/>
  <c r="H65" i="8"/>
  <c r="H64" i="8"/>
  <c r="H63" i="8"/>
  <c r="H62" i="8"/>
  <c r="P59" i="9"/>
  <c r="Q59" i="9"/>
  <c r="R59" i="9"/>
  <c r="S59" i="9"/>
  <c r="P60" i="9"/>
  <c r="Q60" i="9"/>
  <c r="R60" i="9"/>
  <c r="S60" i="9"/>
  <c r="P61" i="9"/>
  <c r="Q61" i="9"/>
  <c r="R61" i="9"/>
  <c r="S61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M50" i="9"/>
  <c r="N50" i="9"/>
  <c r="O50" i="9"/>
  <c r="S50" i="9"/>
  <c r="M51" i="9"/>
  <c r="N51" i="9"/>
  <c r="O51" i="9"/>
  <c r="S51" i="9"/>
  <c r="M52" i="9"/>
  <c r="N52" i="9"/>
  <c r="O52" i="9"/>
  <c r="S52" i="9"/>
  <c r="K39" i="9"/>
  <c r="K40" i="9"/>
  <c r="G23" i="9"/>
  <c r="I23" i="9"/>
  <c r="S23" i="9"/>
  <c r="H24" i="9"/>
  <c r="I24" i="9"/>
  <c r="G25" i="9"/>
  <c r="I25" i="9"/>
  <c r="S25" i="9"/>
  <c r="G26" i="9"/>
  <c r="H26" i="9"/>
  <c r="G27" i="9"/>
  <c r="H27" i="9"/>
  <c r="N27" i="9"/>
  <c r="O27" i="9"/>
  <c r="G28" i="9"/>
  <c r="I28" i="9"/>
  <c r="H29" i="9"/>
  <c r="I29" i="9"/>
  <c r="G30" i="9"/>
  <c r="H30" i="9"/>
  <c r="I31" i="9"/>
  <c r="F56" i="9"/>
  <c r="F55" i="9"/>
  <c r="R113" i="8"/>
  <c r="AB170" i="3"/>
  <c r="AB184" i="3" s="1"/>
  <c r="AC170" i="3"/>
  <c r="AC184" i="3" s="1"/>
  <c r="AC158" i="3"/>
  <c r="AC183" i="3" s="1"/>
  <c r="AB158" i="3"/>
  <c r="AB183" i="3" s="1"/>
  <c r="AC18" i="3"/>
  <c r="AC173" i="3" s="1"/>
  <c r="AC46" i="3"/>
  <c r="AC175" i="3" s="1"/>
  <c r="AC60" i="3"/>
  <c r="AC176" i="3" s="1"/>
  <c r="AC74" i="3"/>
  <c r="AC177" i="3" s="1"/>
  <c r="AC88" i="3"/>
  <c r="AC178" i="3" s="1"/>
  <c r="AC102" i="3"/>
  <c r="AC179" i="3" s="1"/>
  <c r="AC116" i="3"/>
  <c r="AC180" i="3" s="1"/>
  <c r="AC130" i="3"/>
  <c r="AC181" i="3" s="1"/>
  <c r="AC144" i="3"/>
  <c r="AC182" i="3" s="1"/>
  <c r="AB18" i="3"/>
  <c r="AB173" i="3" s="1"/>
  <c r="AB46" i="3"/>
  <c r="AB175" i="3" s="1"/>
  <c r="AB60" i="3"/>
  <c r="AB176" i="3" s="1"/>
  <c r="AB74" i="3"/>
  <c r="AB177" i="3" s="1"/>
  <c r="AB88" i="3"/>
  <c r="AB178" i="3" s="1"/>
  <c r="AB102" i="3"/>
  <c r="AB179" i="3" s="1"/>
  <c r="AB116" i="3"/>
  <c r="AB180" i="3" s="1"/>
  <c r="AB130" i="3"/>
  <c r="AB181" i="3" s="1"/>
  <c r="AB144" i="3"/>
  <c r="AB182" i="3" s="1"/>
  <c r="K113" i="8"/>
  <c r="J113" i="8"/>
  <c r="K41" i="9" s="1"/>
  <c r="I113" i="8"/>
  <c r="Q65" i="8"/>
  <c r="Q64" i="8"/>
  <c r="Q63" i="8"/>
  <c r="Q39" i="8"/>
  <c r="Q38" i="8"/>
  <c r="R27" i="9" s="1"/>
  <c r="P65" i="8"/>
  <c r="P64" i="8"/>
  <c r="P63" i="8"/>
  <c r="P39" i="8"/>
  <c r="P38" i="8" s="1"/>
  <c r="Q27" i="9" s="1"/>
  <c r="O65" i="8"/>
  <c r="O64" i="8"/>
  <c r="O63" i="8"/>
  <c r="O39" i="8"/>
  <c r="O38" i="8" s="1"/>
  <c r="P27" i="9" s="1"/>
  <c r="N65" i="8"/>
  <c r="N64" i="8"/>
  <c r="N63" i="8"/>
  <c r="N39" i="8"/>
  <c r="N38" i="8" s="1"/>
  <c r="M65" i="8"/>
  <c r="M64" i="8"/>
  <c r="M63" i="8"/>
  <c r="M39" i="8"/>
  <c r="M38" i="8" s="1"/>
  <c r="L65" i="8"/>
  <c r="L64" i="8"/>
  <c r="L63" i="8"/>
  <c r="L39" i="8"/>
  <c r="L38" i="8" s="1"/>
  <c r="M27" i="9" s="1"/>
  <c r="K65" i="8"/>
  <c r="K64" i="8"/>
  <c r="K63" i="8"/>
  <c r="K39" i="8"/>
  <c r="K38" i="8" s="1"/>
  <c r="L27" i="9" s="1"/>
  <c r="J65" i="8"/>
  <c r="J64" i="8"/>
  <c r="J63" i="8"/>
  <c r="J39" i="8"/>
  <c r="J38" i="8" s="1"/>
  <c r="K27" i="9" s="1"/>
  <c r="I65" i="8"/>
  <c r="I64" i="8"/>
  <c r="I63" i="8"/>
  <c r="I39" i="8"/>
  <c r="I38" i="8" s="1"/>
  <c r="J27" i="9" s="1"/>
  <c r="R96" i="8"/>
  <c r="R95" i="8"/>
  <c r="R94" i="8"/>
  <c r="R91" i="8"/>
  <c r="R90" i="8"/>
  <c r="R89" i="8"/>
  <c r="R86" i="8"/>
  <c r="R85" i="8"/>
  <c r="R84" i="8"/>
  <c r="R83" i="8"/>
  <c r="R80" i="8"/>
  <c r="R79" i="8"/>
  <c r="R78" i="8"/>
  <c r="R77" i="8"/>
  <c r="R74" i="8"/>
  <c r="R73" i="8"/>
  <c r="R72" i="8"/>
  <c r="R71" i="8"/>
  <c r="R70" i="8"/>
  <c r="R69" i="8"/>
  <c r="R65" i="8"/>
  <c r="R64" i="8"/>
  <c r="R63" i="8"/>
  <c r="R56" i="8"/>
  <c r="S30" i="9" s="1"/>
  <c r="R54" i="8"/>
  <c r="R53" i="8"/>
  <c r="R52" i="8"/>
  <c r="R51" i="8"/>
  <c r="R44" i="8"/>
  <c r="S28" i="9" s="1"/>
  <c r="R38" i="8"/>
  <c r="S27" i="9" s="1"/>
  <c r="R33" i="8"/>
  <c r="R32" i="8"/>
  <c r="R31" i="8"/>
  <c r="R25" i="8"/>
  <c r="R23" i="8"/>
  <c r="R22" i="8"/>
  <c r="R21" i="8"/>
  <c r="F73" i="8"/>
  <c r="H96" i="8"/>
  <c r="G96" i="8"/>
  <c r="F96" i="8"/>
  <c r="H95" i="8"/>
  <c r="G95" i="8"/>
  <c r="F95" i="8"/>
  <c r="H94" i="8"/>
  <c r="G94" i="8"/>
  <c r="F94" i="8"/>
  <c r="H91" i="8"/>
  <c r="G91" i="8"/>
  <c r="F91" i="8"/>
  <c r="H90" i="8"/>
  <c r="G90" i="8"/>
  <c r="F90" i="8"/>
  <c r="H89" i="8"/>
  <c r="G89" i="8"/>
  <c r="F89" i="8"/>
  <c r="H80" i="8"/>
  <c r="G80" i="8"/>
  <c r="F80" i="8"/>
  <c r="H79" i="8"/>
  <c r="G79" i="8"/>
  <c r="F79" i="8"/>
  <c r="H78" i="8"/>
  <c r="G78" i="8"/>
  <c r="F78" i="8"/>
  <c r="H77" i="8"/>
  <c r="G77" i="8"/>
  <c r="F77" i="8"/>
  <c r="G83" i="8"/>
  <c r="H83" i="8"/>
  <c r="G84" i="8"/>
  <c r="H84" i="8"/>
  <c r="G85" i="8"/>
  <c r="H85" i="8"/>
  <c r="G86" i="8"/>
  <c r="H86" i="8"/>
  <c r="F86" i="8"/>
  <c r="F85" i="8"/>
  <c r="F84" i="8"/>
  <c r="F83" i="8"/>
  <c r="G69" i="8"/>
  <c r="H69" i="8"/>
  <c r="G70" i="8"/>
  <c r="H70" i="8"/>
  <c r="G71" i="8"/>
  <c r="H71" i="8"/>
  <c r="G72" i="8"/>
  <c r="H72" i="8"/>
  <c r="G73" i="8"/>
  <c r="H73" i="8"/>
  <c r="G74" i="8"/>
  <c r="H74" i="8"/>
  <c r="F72" i="8"/>
  <c r="F74" i="8"/>
  <c r="F71" i="8"/>
  <c r="F70" i="8"/>
  <c r="F69" i="8"/>
  <c r="G18" i="8"/>
  <c r="G17" i="8"/>
  <c r="G16" i="8"/>
  <c r="F23" i="8"/>
  <c r="F22" i="8"/>
  <c r="F21" i="8"/>
  <c r="H35" i="8"/>
  <c r="H34" i="8"/>
  <c r="H36" i="8"/>
  <c r="E39" i="8"/>
  <c r="E38" i="8" s="1"/>
  <c r="F27" i="9" s="1"/>
  <c r="G65" i="8"/>
  <c r="G64" i="8"/>
  <c r="G63" i="8"/>
  <c r="F65" i="8"/>
  <c r="F64" i="8"/>
  <c r="F63" i="8"/>
  <c r="E65" i="8"/>
  <c r="E64" i="8"/>
  <c r="E63" i="8"/>
  <c r="H60" i="8"/>
  <c r="F54" i="8"/>
  <c r="G48" i="8"/>
  <c r="H59" i="8"/>
  <c r="H58" i="8"/>
  <c r="F53" i="8"/>
  <c r="F52" i="8"/>
  <c r="G47" i="8"/>
  <c r="G46" i="8"/>
  <c r="G45" i="8"/>
  <c r="H57" i="8"/>
  <c r="F51" i="8"/>
  <c r="H42" i="8"/>
  <c r="F33" i="8"/>
  <c r="G28" i="8"/>
  <c r="H41" i="8"/>
  <c r="F32" i="8"/>
  <c r="G27" i="8"/>
  <c r="H40" i="8"/>
  <c r="G26" i="8"/>
  <c r="F31" i="8"/>
  <c r="F30" i="8" s="1"/>
  <c r="J23" i="10" l="1"/>
  <c r="G23" i="10"/>
  <c r="S23" i="10"/>
  <c r="R23" i="10"/>
  <c r="P23" i="10"/>
  <c r="M23" i="10"/>
  <c r="S190" i="1"/>
  <c r="R190" i="1"/>
  <c r="Q190" i="1"/>
  <c r="K6" i="1"/>
  <c r="P6" i="1"/>
  <c r="AB23" i="3"/>
  <c r="AC23" i="3"/>
  <c r="AB28" i="3"/>
  <c r="AC28" i="3"/>
  <c r="V8" i="3"/>
  <c r="V9" i="3" s="1"/>
  <c r="V10" i="3" s="1"/>
  <c r="V11" i="3" s="1"/>
  <c r="V12" i="3" s="1"/>
  <c r="V13" i="3" s="1"/>
  <c r="V14" i="3" s="1"/>
  <c r="V15" i="3" s="1"/>
  <c r="V16" i="3" s="1"/>
  <c r="V17" i="3" s="1"/>
  <c r="V18" i="3" s="1"/>
  <c r="V19" i="3" s="1"/>
  <c r="V20" i="3" s="1"/>
  <c r="V21" i="3" s="1"/>
  <c r="V22" i="3" s="1"/>
  <c r="V23" i="3" s="1"/>
  <c r="V24" i="3" s="1"/>
  <c r="T21" i="10"/>
  <c r="T17" i="10" s="1"/>
  <c r="S24" i="11" s="1"/>
  <c r="O50" i="1"/>
  <c r="P190" i="1"/>
  <c r="F29" i="3"/>
  <c r="R29" i="3"/>
  <c r="G29" i="3"/>
  <c r="S29" i="3"/>
  <c r="H29" i="3"/>
  <c r="P29" i="3"/>
  <c r="I29" i="3"/>
  <c r="Q29" i="3"/>
  <c r="J29" i="3"/>
  <c r="E29" i="3"/>
  <c r="K29" i="3"/>
  <c r="L29" i="3"/>
  <c r="M29" i="3"/>
  <c r="N29" i="3"/>
  <c r="Y22" i="3"/>
  <c r="Y23" i="3" s="1"/>
  <c r="Y24" i="3" s="1"/>
  <c r="Y25" i="3" s="1"/>
  <c r="Y26" i="3" s="1"/>
  <c r="Y27" i="3" s="1"/>
  <c r="Y28" i="3" s="1"/>
  <c r="J6" i="1"/>
  <c r="N7" i="10"/>
  <c r="M23" i="11" s="1"/>
  <c r="N23" i="10"/>
  <c r="H7" i="10"/>
  <c r="G23" i="11" s="1"/>
  <c r="G17" i="10"/>
  <c r="F24" i="11" s="1"/>
  <c r="K23" i="10"/>
  <c r="K17" i="10" s="1"/>
  <c r="I23" i="10"/>
  <c r="I17" i="10" s="1"/>
  <c r="H23" i="10"/>
  <c r="H17" i="10" s="1"/>
  <c r="G7" i="10"/>
  <c r="F23" i="11" s="1"/>
  <c r="Q23" i="10"/>
  <c r="P22" i="10"/>
  <c r="F17" i="10"/>
  <c r="F3" i="10" s="1"/>
  <c r="E19" i="11" s="1"/>
  <c r="O7" i="10"/>
  <c r="N23" i="11" s="1"/>
  <c r="K7" i="10"/>
  <c r="J23" i="11" s="1"/>
  <c r="P7" i="10"/>
  <c r="O23" i="11" s="1"/>
  <c r="Q7" i="10"/>
  <c r="P23" i="11" s="1"/>
  <c r="T7" i="10"/>
  <c r="S23" i="11" s="1"/>
  <c r="R7" i="10"/>
  <c r="Q23" i="11" s="1"/>
  <c r="M7" i="10"/>
  <c r="L23" i="11" s="1"/>
  <c r="L7" i="10"/>
  <c r="K23" i="11" s="1"/>
  <c r="J7" i="10"/>
  <c r="I23" i="11" s="1"/>
  <c r="I7" i="10"/>
  <c r="H23" i="11" s="1"/>
  <c r="S7" i="10"/>
  <c r="R23" i="11" s="1"/>
  <c r="E93" i="1"/>
  <c r="E40" i="6"/>
  <c r="H39" i="6"/>
  <c r="H93" i="1"/>
  <c r="H95" i="1" s="1"/>
  <c r="L93" i="1"/>
  <c r="L95" i="1" s="1"/>
  <c r="P50" i="1"/>
  <c r="Q93" i="1"/>
  <c r="Q95" i="1" s="1"/>
  <c r="I50" i="1"/>
  <c r="F50" i="1"/>
  <c r="M6" i="1"/>
  <c r="P12" i="3"/>
  <c r="O6" i="1"/>
  <c r="N93" i="1"/>
  <c r="N95" i="1" s="1"/>
  <c r="M93" i="1"/>
  <c r="M95" i="1" s="1"/>
  <c r="S93" i="1"/>
  <c r="S95" i="1" s="1"/>
  <c r="J93" i="1"/>
  <c r="J95" i="1" s="1"/>
  <c r="I93" i="1"/>
  <c r="I95" i="1" s="1"/>
  <c r="R93" i="1"/>
  <c r="R95" i="1" s="1"/>
  <c r="F93" i="1"/>
  <c r="F95" i="1" s="1"/>
  <c r="S40" i="6"/>
  <c r="P93" i="1"/>
  <c r="P95" i="1" s="1"/>
  <c r="G93" i="1"/>
  <c r="G95" i="1" s="1"/>
  <c r="O93" i="1"/>
  <c r="O95" i="1" s="1"/>
  <c r="M40" i="6"/>
  <c r="P38" i="6"/>
  <c r="Q38" i="6"/>
  <c r="K93" i="1"/>
  <c r="K95" i="1" s="1"/>
  <c r="I6" i="1"/>
  <c r="H6" i="1"/>
  <c r="H50" i="1"/>
  <c r="Q6" i="1"/>
  <c r="R6" i="1"/>
  <c r="N6" i="1"/>
  <c r="N50" i="1"/>
  <c r="R50" i="1"/>
  <c r="L6" i="1"/>
  <c r="S6" i="1"/>
  <c r="G6" i="1"/>
  <c r="F6" i="1"/>
  <c r="G50" i="1"/>
  <c r="S50" i="1"/>
  <c r="J50" i="1"/>
  <c r="K50" i="1"/>
  <c r="L50" i="1"/>
  <c r="M50" i="1"/>
  <c r="Q50" i="1"/>
  <c r="E50" i="1"/>
  <c r="E6" i="1"/>
  <c r="A180" i="3"/>
  <c r="A176" i="3"/>
  <c r="H38" i="8"/>
  <c r="I27" i="9" s="1"/>
  <c r="E24" i="11"/>
  <c r="P7" i="6"/>
  <c r="P94" i="6" s="1"/>
  <c r="E20" i="9"/>
  <c r="A178" i="3"/>
  <c r="A181" i="3"/>
  <c r="A179" i="3"/>
  <c r="A182" i="3"/>
  <c r="A177" i="3"/>
  <c r="N54" i="9"/>
  <c r="M54" i="9"/>
  <c r="S49" i="9"/>
  <c r="S14" i="9" s="1"/>
  <c r="H54" i="9"/>
  <c r="H15" i="9" s="1"/>
  <c r="Q54" i="9"/>
  <c r="Q15" i="9" s="1"/>
  <c r="R58" i="9"/>
  <c r="J38" i="9"/>
  <c r="J13" i="9" s="1"/>
  <c r="L38" i="9"/>
  <c r="L13" i="9" s="1"/>
  <c r="O49" i="9"/>
  <c r="O14" i="9" s="1"/>
  <c r="K38" i="9"/>
  <c r="K13" i="9" s="1"/>
  <c r="N49" i="9"/>
  <c r="N14" i="9" s="1"/>
  <c r="M49" i="9"/>
  <c r="M14" i="9" s="1"/>
  <c r="I54" i="9"/>
  <c r="I15" i="9" s="1"/>
  <c r="L54" i="9"/>
  <c r="L15" i="9" s="1"/>
  <c r="Q58" i="9"/>
  <c r="S54" i="9"/>
  <c r="G54" i="9"/>
  <c r="G15" i="9" s="1"/>
  <c r="P58" i="9"/>
  <c r="R54" i="9"/>
  <c r="R15" i="9" s="1"/>
  <c r="K54" i="9"/>
  <c r="K15" i="9" s="1"/>
  <c r="S38" i="9"/>
  <c r="S13" i="9" s="1"/>
  <c r="F54" i="9"/>
  <c r="F15" i="9" s="1"/>
  <c r="P54" i="9"/>
  <c r="P15" i="9" s="1"/>
  <c r="O54" i="9"/>
  <c r="J54" i="9"/>
  <c r="J15" i="9" s="1"/>
  <c r="S58" i="9"/>
  <c r="H30" i="8"/>
  <c r="I26" i="9" s="1"/>
  <c r="R93" i="8"/>
  <c r="S36" i="9" s="1"/>
  <c r="R30" i="8"/>
  <c r="S26" i="9" s="1"/>
  <c r="K62" i="8"/>
  <c r="L31" i="9" s="1"/>
  <c r="L22" i="9" s="1"/>
  <c r="L12" i="9" s="1"/>
  <c r="L62" i="8"/>
  <c r="M31" i="9" s="1"/>
  <c r="M22" i="9" s="1"/>
  <c r="M12" i="9" s="1"/>
  <c r="M62" i="8"/>
  <c r="N31" i="9" s="1"/>
  <c r="N22" i="9" s="1"/>
  <c r="N12" i="9" s="1"/>
  <c r="R20" i="8"/>
  <c r="S24" i="9" s="1"/>
  <c r="N62" i="8"/>
  <c r="O31" i="9" s="1"/>
  <c r="O22" i="9" s="1"/>
  <c r="O12" i="9" s="1"/>
  <c r="R68" i="8"/>
  <c r="S32" i="9" s="1"/>
  <c r="I62" i="8"/>
  <c r="J31" i="9" s="1"/>
  <c r="J22" i="9" s="1"/>
  <c r="J12" i="9" s="1"/>
  <c r="O62" i="8"/>
  <c r="P31" i="9" s="1"/>
  <c r="P22" i="9" s="1"/>
  <c r="P12" i="9" s="1"/>
  <c r="R76" i="8"/>
  <c r="S33" i="9" s="1"/>
  <c r="R62" i="8"/>
  <c r="S31" i="9" s="1"/>
  <c r="P62" i="8"/>
  <c r="Q31" i="9" s="1"/>
  <c r="Q22" i="9" s="1"/>
  <c r="Q12" i="9" s="1"/>
  <c r="R82" i="8"/>
  <c r="S34" i="9" s="1"/>
  <c r="R88" i="8"/>
  <c r="S35" i="9" s="1"/>
  <c r="Q62" i="8"/>
  <c r="R31" i="9" s="1"/>
  <c r="R22" i="9" s="1"/>
  <c r="R12" i="9" s="1"/>
  <c r="J62" i="8"/>
  <c r="K31" i="9" s="1"/>
  <c r="K22" i="9" s="1"/>
  <c r="K12" i="9" s="1"/>
  <c r="R50" i="8"/>
  <c r="S29" i="9" s="1"/>
  <c r="H93" i="8"/>
  <c r="I36" i="9" s="1"/>
  <c r="H88" i="8"/>
  <c r="I35" i="9" s="1"/>
  <c r="F82" i="8"/>
  <c r="G34" i="9" s="1"/>
  <c r="H56" i="8"/>
  <c r="I30" i="9" s="1"/>
  <c r="G93" i="8"/>
  <c r="H36" i="9" s="1"/>
  <c r="G62" i="8"/>
  <c r="H31" i="9" s="1"/>
  <c r="F68" i="8"/>
  <c r="G32" i="9" s="1"/>
  <c r="H68" i="8"/>
  <c r="I32" i="9" s="1"/>
  <c r="F93" i="8"/>
  <c r="G36" i="9" s="1"/>
  <c r="G44" i="8"/>
  <c r="H28" i="9" s="1"/>
  <c r="G25" i="8"/>
  <c r="H25" i="9" s="1"/>
  <c r="F62" i="8"/>
  <c r="G31" i="9" s="1"/>
  <c r="E62" i="8"/>
  <c r="F31" i="9" s="1"/>
  <c r="F22" i="9" s="1"/>
  <c r="F12" i="9" s="1"/>
  <c r="H82" i="8"/>
  <c r="I34" i="9" s="1"/>
  <c r="G15" i="8"/>
  <c r="H23" i="9" s="1"/>
  <c r="G68" i="8"/>
  <c r="H32" i="9" s="1"/>
  <c r="G82" i="8"/>
  <c r="H34" i="9" s="1"/>
  <c r="F76" i="8"/>
  <c r="G33" i="9" s="1"/>
  <c r="F88" i="8"/>
  <c r="G35" i="9" s="1"/>
  <c r="G76" i="8"/>
  <c r="H33" i="9" s="1"/>
  <c r="G88" i="8"/>
  <c r="H35" i="9" s="1"/>
  <c r="F50" i="8"/>
  <c r="G29" i="9" s="1"/>
  <c r="F20" i="8"/>
  <c r="G24" i="9" s="1"/>
  <c r="H76" i="8"/>
  <c r="I33" i="9" s="1"/>
  <c r="E95" i="1" l="1"/>
  <c r="K12" i="3"/>
  <c r="K14" i="3" s="1"/>
  <c r="S7" i="1"/>
  <c r="G7" i="1"/>
  <c r="H7" i="1"/>
  <c r="R7" i="1"/>
  <c r="F7" i="1"/>
  <c r="Q7" i="1"/>
  <c r="P7" i="1"/>
  <c r="O7" i="1"/>
  <c r="N7" i="1"/>
  <c r="M7" i="1"/>
  <c r="L7" i="1"/>
  <c r="K7" i="1"/>
  <c r="J7" i="1"/>
  <c r="I7" i="1"/>
  <c r="S22" i="6"/>
  <c r="S95" i="6" s="1"/>
  <c r="E22" i="6"/>
  <c r="E95" i="6" s="1"/>
  <c r="R22" i="6"/>
  <c r="R95" i="6" s="1"/>
  <c r="F22" i="6"/>
  <c r="F95" i="6" s="1"/>
  <c r="O22" i="6"/>
  <c r="O95" i="6" s="1"/>
  <c r="Q22" i="6"/>
  <c r="Q95" i="6" s="1"/>
  <c r="N22" i="6"/>
  <c r="N95" i="6" s="1"/>
  <c r="I22" i="6"/>
  <c r="I95" i="6" s="1"/>
  <c r="G22" i="6"/>
  <c r="G95" i="6" s="1"/>
  <c r="M22" i="6"/>
  <c r="M95" i="6" s="1"/>
  <c r="L17" i="3"/>
  <c r="L31" i="11" s="1"/>
  <c r="P22" i="6"/>
  <c r="P95" i="6" s="1"/>
  <c r="K22" i="6"/>
  <c r="K95" i="6" s="1"/>
  <c r="J22" i="6"/>
  <c r="J95" i="6" s="1"/>
  <c r="H22" i="6"/>
  <c r="H95" i="6" s="1"/>
  <c r="E7" i="6"/>
  <c r="L7" i="6"/>
  <c r="L94" i="6" s="1"/>
  <c r="O7" i="6"/>
  <c r="O94" i="6" s="1"/>
  <c r="M7" i="6"/>
  <c r="M94" i="6" s="1"/>
  <c r="G7" i="6"/>
  <c r="G94" i="6" s="1"/>
  <c r="R7" i="6"/>
  <c r="R94" i="6" s="1"/>
  <c r="J7" i="6"/>
  <c r="J94" i="6" s="1"/>
  <c r="N7" i="6"/>
  <c r="N94" i="6" s="1"/>
  <c r="H7" i="6"/>
  <c r="H94" i="6" s="1"/>
  <c r="S7" i="6"/>
  <c r="S94" i="6" s="1"/>
  <c r="Q7" i="6"/>
  <c r="Q94" i="6" s="1"/>
  <c r="I7" i="6"/>
  <c r="I94" i="6" s="1"/>
  <c r="F7" i="6"/>
  <c r="F94" i="6" s="1"/>
  <c r="K7" i="6"/>
  <c r="O17" i="3"/>
  <c r="O31" i="11" s="1"/>
  <c r="AC32" i="3"/>
  <c r="AC174" i="3" s="1"/>
  <c r="AB32" i="3"/>
  <c r="AB174" i="3" s="1"/>
  <c r="Q17" i="3"/>
  <c r="Q31" i="11" s="1"/>
  <c r="O12" i="3"/>
  <c r="O14" i="3" s="1"/>
  <c r="P17" i="3"/>
  <c r="P31" i="11" s="1"/>
  <c r="R17" i="3"/>
  <c r="R31" i="11" s="1"/>
  <c r="G17" i="3"/>
  <c r="G31" i="11" s="1"/>
  <c r="H17" i="3"/>
  <c r="H31" i="11" s="1"/>
  <c r="S17" i="3"/>
  <c r="S31" i="11" s="1"/>
  <c r="R36" i="6"/>
  <c r="R96" i="6" s="1"/>
  <c r="R22" i="3"/>
  <c r="R24" i="3" s="1"/>
  <c r="Q36" i="6"/>
  <c r="Q96" i="6" s="1"/>
  <c r="Q22" i="3"/>
  <c r="Q24" i="3" s="1"/>
  <c r="I36" i="6"/>
  <c r="I96" i="6" s="1"/>
  <c r="I22" i="3"/>
  <c r="I24" i="3" s="1"/>
  <c r="J36" i="6"/>
  <c r="J96" i="6" s="1"/>
  <c r="J22" i="3"/>
  <c r="J24" i="3" s="1"/>
  <c r="L36" i="6"/>
  <c r="L96" i="6" s="1"/>
  <c r="L22" i="3"/>
  <c r="L24" i="3" s="1"/>
  <c r="F17" i="3"/>
  <c r="F31" i="11" s="1"/>
  <c r="K36" i="6"/>
  <c r="K96" i="6" s="1"/>
  <c r="K22" i="3"/>
  <c r="K24" i="3" s="1"/>
  <c r="H36" i="6"/>
  <c r="H96" i="6" s="1"/>
  <c r="H22" i="3"/>
  <c r="H24" i="3" s="1"/>
  <c r="S36" i="6"/>
  <c r="S22" i="3"/>
  <c r="M36" i="6"/>
  <c r="L9" i="4" s="1"/>
  <c r="M51" i="11" s="1"/>
  <c r="M22" i="3"/>
  <c r="E36" i="6"/>
  <c r="E22" i="3"/>
  <c r="E24" i="3" s="1"/>
  <c r="J17" i="3"/>
  <c r="J31" i="11" s="1"/>
  <c r="N36" i="6"/>
  <c r="N22" i="3"/>
  <c r="O36" i="6"/>
  <c r="O22" i="3"/>
  <c r="J12" i="3"/>
  <c r="J14" i="3" s="1"/>
  <c r="M17" i="3"/>
  <c r="M31" i="11" s="1"/>
  <c r="I17" i="3"/>
  <c r="I31" i="11" s="1"/>
  <c r="G36" i="6"/>
  <c r="G96" i="6" s="1"/>
  <c r="G22" i="3"/>
  <c r="G24" i="3" s="1"/>
  <c r="N17" i="3"/>
  <c r="N31" i="11" s="1"/>
  <c r="K17" i="3"/>
  <c r="K31" i="11" s="1"/>
  <c r="P36" i="6"/>
  <c r="P96" i="6" s="1"/>
  <c r="P22" i="3"/>
  <c r="P24" i="3" s="1"/>
  <c r="F36" i="6"/>
  <c r="F96" i="6" s="1"/>
  <c r="F22" i="3"/>
  <c r="F24" i="3" s="1"/>
  <c r="E17" i="3"/>
  <c r="E31" i="11" s="1"/>
  <c r="P14" i="3"/>
  <c r="P30" i="11"/>
  <c r="J8" i="4"/>
  <c r="K50" i="11" s="1"/>
  <c r="P7" i="4"/>
  <c r="Q49" i="11" s="1"/>
  <c r="O7" i="4"/>
  <c r="P49" i="11" s="1"/>
  <c r="R8" i="4"/>
  <c r="S50" i="11" s="1"/>
  <c r="V25" i="3"/>
  <c r="V26" i="3" s="1"/>
  <c r="V27" i="3" s="1"/>
  <c r="V28" i="3" s="1"/>
  <c r="V29" i="3" s="1"/>
  <c r="Y29" i="3"/>
  <c r="E12" i="3"/>
  <c r="L12" i="3"/>
  <c r="G12" i="3"/>
  <c r="S12" i="3"/>
  <c r="G3" i="10"/>
  <c r="G4" i="10" s="1"/>
  <c r="T3" i="10"/>
  <c r="T4" i="10" s="1"/>
  <c r="O19" i="3"/>
  <c r="L22" i="6"/>
  <c r="L95" i="6" s="1"/>
  <c r="M12" i="3"/>
  <c r="N12" i="3"/>
  <c r="H12" i="3"/>
  <c r="P3" i="1"/>
  <c r="P51" i="1" s="1"/>
  <c r="Q12" i="3"/>
  <c r="I12" i="3"/>
  <c r="F12" i="3"/>
  <c r="R12" i="3"/>
  <c r="N3" i="1"/>
  <c r="N8" i="1" s="1"/>
  <c r="O3" i="1"/>
  <c r="O51" i="1" s="1"/>
  <c r="M3" i="1"/>
  <c r="M8" i="1" s="1"/>
  <c r="J3" i="1"/>
  <c r="J8" i="1" s="1"/>
  <c r="K3" i="1"/>
  <c r="K51" i="1" s="1"/>
  <c r="I3" i="1"/>
  <c r="I8" i="1" s="1"/>
  <c r="H3" i="1"/>
  <c r="H51" i="1" s="1"/>
  <c r="G3" i="1"/>
  <c r="G51" i="1" s="1"/>
  <c r="L3" i="1"/>
  <c r="L8" i="1" s="1"/>
  <c r="S3" i="1"/>
  <c r="S51" i="1" s="1"/>
  <c r="Q3" i="1"/>
  <c r="Q8" i="1" s="1"/>
  <c r="R3" i="1"/>
  <c r="R51" i="1" s="1"/>
  <c r="F3" i="1"/>
  <c r="F8" i="1" s="1"/>
  <c r="E3" i="1"/>
  <c r="E8" i="1" s="1"/>
  <c r="G22" i="9"/>
  <c r="G12" i="9" s="1"/>
  <c r="G12" i="11" s="1"/>
  <c r="I22" i="9"/>
  <c r="I12" i="9" s="1"/>
  <c r="I12" i="11" s="1"/>
  <c r="H22" i="9"/>
  <c r="H12" i="9" s="1"/>
  <c r="H12" i="11" s="1"/>
  <c r="S22" i="9"/>
  <c r="S12" i="9" s="1"/>
  <c r="S12" i="11" s="1"/>
  <c r="Q16" i="9"/>
  <c r="S15" i="9"/>
  <c r="S15" i="11" s="1"/>
  <c r="S16" i="9"/>
  <c r="M15" i="9"/>
  <c r="M15" i="11" s="1"/>
  <c r="N15" i="9"/>
  <c r="N15" i="11" s="1"/>
  <c r="O15" i="9"/>
  <c r="O15" i="11" s="1"/>
  <c r="P16" i="9"/>
  <c r="R16" i="9"/>
  <c r="J17" i="10"/>
  <c r="G24" i="11"/>
  <c r="H3" i="10"/>
  <c r="H4" i="10" s="1"/>
  <c r="H24" i="11"/>
  <c r="I3" i="10"/>
  <c r="I4" i="10" s="1"/>
  <c r="J24" i="11"/>
  <c r="K3" i="10"/>
  <c r="K4" i="10" s="1"/>
  <c r="K13" i="11"/>
  <c r="S13" i="11"/>
  <c r="L12" i="11"/>
  <c r="K12" i="11"/>
  <c r="J12" i="11"/>
  <c r="R12" i="11"/>
  <c r="L13" i="11"/>
  <c r="F12" i="11"/>
  <c r="O12" i="11"/>
  <c r="K15" i="11"/>
  <c r="L15" i="11"/>
  <c r="F15" i="11"/>
  <c r="J15" i="11"/>
  <c r="H15" i="11"/>
  <c r="I15" i="11"/>
  <c r="P15" i="11"/>
  <c r="R15" i="11"/>
  <c r="Q15" i="11"/>
  <c r="G15" i="11"/>
  <c r="O14" i="11"/>
  <c r="S14" i="11"/>
  <c r="M14" i="11"/>
  <c r="N14" i="11"/>
  <c r="M12" i="11"/>
  <c r="J13" i="11"/>
  <c r="N12" i="11"/>
  <c r="Q12" i="11"/>
  <c r="P12" i="11"/>
  <c r="J20" i="9"/>
  <c r="O20" i="9"/>
  <c r="P20" i="9"/>
  <c r="R20" i="9"/>
  <c r="M20" i="9"/>
  <c r="Q20" i="9"/>
  <c r="N20" i="9"/>
  <c r="F20" i="9"/>
  <c r="K20" i="9"/>
  <c r="L20" i="9"/>
  <c r="R16" i="11" l="1"/>
  <c r="P16" i="11"/>
  <c r="S16" i="11"/>
  <c r="Q16" i="11"/>
  <c r="E96" i="6"/>
  <c r="I8" i="4"/>
  <c r="J50" i="11" s="1"/>
  <c r="M8" i="4"/>
  <c r="N50" i="11" s="1"/>
  <c r="E94" i="6"/>
  <c r="R8" i="6"/>
  <c r="F8" i="6"/>
  <c r="Q8" i="6"/>
  <c r="P8" i="6"/>
  <c r="O8" i="6"/>
  <c r="N8" i="6"/>
  <c r="M8" i="6"/>
  <c r="L8" i="6"/>
  <c r="K8" i="6"/>
  <c r="H8" i="6"/>
  <c r="S8" i="6"/>
  <c r="G8" i="6"/>
  <c r="J8" i="6"/>
  <c r="I8" i="6"/>
  <c r="K7" i="4"/>
  <c r="L49" i="11" s="1"/>
  <c r="H8" i="4"/>
  <c r="I50" i="11" s="1"/>
  <c r="G8" i="4"/>
  <c r="H50" i="11" s="1"/>
  <c r="F51" i="1"/>
  <c r="E8" i="4"/>
  <c r="F50" i="11" s="1"/>
  <c r="D8" i="4"/>
  <c r="E50" i="11" s="1"/>
  <c r="K30" i="11"/>
  <c r="I51" i="1"/>
  <c r="N51" i="1"/>
  <c r="I7" i="4"/>
  <c r="J49" i="11" s="1"/>
  <c r="L8" i="4"/>
  <c r="M50" i="11" s="1"/>
  <c r="L51" i="1"/>
  <c r="Q51" i="1"/>
  <c r="K8" i="1"/>
  <c r="G8" i="1"/>
  <c r="M51" i="1"/>
  <c r="S8" i="1"/>
  <c r="O8" i="1"/>
  <c r="J51" i="1"/>
  <c r="E155" i="1"/>
  <c r="K4" i="1"/>
  <c r="L4" i="1"/>
  <c r="M4" i="1"/>
  <c r="I4" i="1"/>
  <c r="N4" i="1"/>
  <c r="R4" i="1"/>
  <c r="O4" i="1"/>
  <c r="P4" i="1"/>
  <c r="J4" i="1"/>
  <c r="Q4" i="1"/>
  <c r="G4" i="1"/>
  <c r="S4" i="1"/>
  <c r="F4" i="1"/>
  <c r="H4" i="1"/>
  <c r="H8" i="1"/>
  <c r="R8" i="1"/>
  <c r="P8" i="1"/>
  <c r="E51" i="1"/>
  <c r="Q19" i="3"/>
  <c r="Q8" i="4"/>
  <c r="R50" i="11" s="1"/>
  <c r="L19" i="3"/>
  <c r="F7" i="4"/>
  <c r="G49" i="11" s="1"/>
  <c r="G3" i="6"/>
  <c r="F5" i="4" s="1"/>
  <c r="F8" i="4"/>
  <c r="G50" i="11" s="1"/>
  <c r="O8" i="4"/>
  <c r="P50" i="11" s="1"/>
  <c r="N8" i="4"/>
  <c r="O50" i="11" s="1"/>
  <c r="P8" i="4"/>
  <c r="Q50" i="11" s="1"/>
  <c r="J3" i="6"/>
  <c r="I5" i="4" s="1"/>
  <c r="H7" i="4"/>
  <c r="I49" i="11" s="1"/>
  <c r="Q7" i="4"/>
  <c r="R49" i="11" s="1"/>
  <c r="D7" i="4"/>
  <c r="E49" i="11" s="1"/>
  <c r="G7" i="4"/>
  <c r="H49" i="11" s="1"/>
  <c r="J7" i="4"/>
  <c r="K49" i="11" s="1"/>
  <c r="K94" i="6"/>
  <c r="E7" i="4"/>
  <c r="F49" i="11" s="1"/>
  <c r="M9" i="4"/>
  <c r="N51" i="11" s="1"/>
  <c r="N96" i="6"/>
  <c r="M3" i="6"/>
  <c r="L5" i="4" s="1"/>
  <c r="M96" i="6"/>
  <c r="N9" i="4"/>
  <c r="O51" i="11" s="1"/>
  <c r="O96" i="6"/>
  <c r="S3" i="6"/>
  <c r="R5" i="4" s="1"/>
  <c r="S96" i="6"/>
  <c r="O4" i="3"/>
  <c r="O6" i="3" s="1"/>
  <c r="A175" i="3"/>
  <c r="A174" i="3"/>
  <c r="S19" i="11"/>
  <c r="S20" i="11" s="1"/>
  <c r="F19" i="11"/>
  <c r="F20" i="11" s="1"/>
  <c r="J19" i="11"/>
  <c r="J20" i="11" s="1"/>
  <c r="H19" i="11"/>
  <c r="H20" i="11" s="1"/>
  <c r="G19" i="11"/>
  <c r="G20" i="11" s="1"/>
  <c r="K4" i="3"/>
  <c r="K6" i="3" s="1"/>
  <c r="J4" i="3"/>
  <c r="J6" i="3" s="1"/>
  <c r="R19" i="3"/>
  <c r="P19" i="3"/>
  <c r="H3" i="6"/>
  <c r="G5" i="4" s="1"/>
  <c r="Q3" i="6"/>
  <c r="P5" i="4" s="1"/>
  <c r="O3" i="6"/>
  <c r="N5" i="4" s="1"/>
  <c r="J30" i="11"/>
  <c r="P3" i="6"/>
  <c r="O5" i="4" s="1"/>
  <c r="M19" i="3"/>
  <c r="G19" i="3"/>
  <c r="K19" i="3"/>
  <c r="N3" i="6"/>
  <c r="M5" i="4" s="1"/>
  <c r="S19" i="3"/>
  <c r="R9" i="4"/>
  <c r="S51" i="11" s="1"/>
  <c r="K3" i="6"/>
  <c r="J5" i="4" s="1"/>
  <c r="F3" i="6"/>
  <c r="F54" i="6" s="1"/>
  <c r="I19" i="3"/>
  <c r="H19" i="3"/>
  <c r="E19" i="3"/>
  <c r="N32" i="11"/>
  <c r="N24" i="3"/>
  <c r="J19" i="3"/>
  <c r="F19" i="3"/>
  <c r="M32" i="11"/>
  <c r="M24" i="3"/>
  <c r="E3" i="6"/>
  <c r="N19" i="3"/>
  <c r="P4" i="3"/>
  <c r="P6" i="3" s="1"/>
  <c r="S32" i="11"/>
  <c r="S24" i="3"/>
  <c r="I3" i="6"/>
  <c r="H5" i="4" s="1"/>
  <c r="R3" i="6"/>
  <c r="Q5" i="4" s="1"/>
  <c r="O32" i="11"/>
  <c r="O24" i="3"/>
  <c r="K8" i="4"/>
  <c r="L50" i="11" s="1"/>
  <c r="E14" i="3"/>
  <c r="E4" i="3"/>
  <c r="E6" i="3" s="1"/>
  <c r="E30" i="11"/>
  <c r="R14" i="3"/>
  <c r="R30" i="11"/>
  <c r="R4" i="3"/>
  <c r="R6" i="3" s="1"/>
  <c r="S14" i="3"/>
  <c r="S4" i="3"/>
  <c r="S6" i="3" s="1"/>
  <c r="F14" i="3"/>
  <c r="F4" i="3"/>
  <c r="F6" i="3" s="1"/>
  <c r="F30" i="11"/>
  <c r="N14" i="3"/>
  <c r="N4" i="3"/>
  <c r="N6" i="3" s="1"/>
  <c r="I14" i="3"/>
  <c r="I30" i="11"/>
  <c r="I4" i="3"/>
  <c r="I6" i="3" s="1"/>
  <c r="G14" i="3"/>
  <c r="G4" i="3"/>
  <c r="G6" i="3" s="1"/>
  <c r="G30" i="11"/>
  <c r="L3" i="6"/>
  <c r="K5" i="4" s="1"/>
  <c r="Q14" i="3"/>
  <c r="Q30" i="11"/>
  <c r="Q4" i="3"/>
  <c r="Q6" i="3" s="1"/>
  <c r="M14" i="3"/>
  <c r="M4" i="3"/>
  <c r="M6" i="3" s="1"/>
  <c r="L14" i="3"/>
  <c r="L4" i="3"/>
  <c r="L6" i="3" s="1"/>
  <c r="L30" i="11"/>
  <c r="H14" i="3"/>
  <c r="H4" i="3"/>
  <c r="H6" i="3" s="1"/>
  <c r="H30" i="11"/>
  <c r="V30" i="3"/>
  <c r="V31" i="3" s="1"/>
  <c r="V32" i="3" s="1"/>
  <c r="V33" i="3" s="1"/>
  <c r="V34" i="3" s="1"/>
  <c r="V35" i="3" s="1"/>
  <c r="Y30" i="3"/>
  <c r="F155" i="1"/>
  <c r="O155" i="1"/>
  <c r="N155" i="1"/>
  <c r="G155" i="1"/>
  <c r="L155" i="1"/>
  <c r="K155" i="1"/>
  <c r="M155" i="1"/>
  <c r="S155" i="1"/>
  <c r="P155" i="1"/>
  <c r="J155" i="1"/>
  <c r="R155" i="1"/>
  <c r="Q155" i="1"/>
  <c r="I155" i="1"/>
  <c r="H155" i="1"/>
  <c r="G20" i="9"/>
  <c r="S20" i="9"/>
  <c r="H20" i="9"/>
  <c r="I20" i="9"/>
  <c r="O65" i="9"/>
  <c r="R65" i="9"/>
  <c r="R17" i="9" s="1"/>
  <c r="R17" i="11" s="1"/>
  <c r="I24" i="11"/>
  <c r="J3" i="10"/>
  <c r="J4" i="10" s="1"/>
  <c r="M17" i="10"/>
  <c r="L17" i="10"/>
  <c r="K24" i="11" s="1"/>
  <c r="E3" i="9"/>
  <c r="E11" i="11" s="1"/>
  <c r="S65" i="9"/>
  <c r="F65" i="9"/>
  <c r="K65" i="9"/>
  <c r="L65" i="9"/>
  <c r="G65" i="9"/>
  <c r="H65" i="9"/>
  <c r="H17" i="9" s="1"/>
  <c r="H17" i="11" s="1"/>
  <c r="P65" i="9"/>
  <c r="M65" i="9"/>
  <c r="I65" i="9"/>
  <c r="I17" i="9" s="1"/>
  <c r="I17" i="11" s="1"/>
  <c r="J65" i="9"/>
  <c r="J17" i="9" s="1"/>
  <c r="J17" i="11" s="1"/>
  <c r="Q65" i="9"/>
  <c r="N65" i="9"/>
  <c r="M54" i="6" l="1"/>
  <c r="G54" i="6"/>
  <c r="S54" i="6"/>
  <c r="D5" i="4"/>
  <c r="E45" i="11" s="1"/>
  <c r="M4" i="6"/>
  <c r="F4" i="6"/>
  <c r="N4" i="6"/>
  <c r="O4" i="6"/>
  <c r="P4" i="6"/>
  <c r="L4" i="6"/>
  <c r="Q4" i="6"/>
  <c r="H4" i="6"/>
  <c r="R4" i="6"/>
  <c r="K4" i="6"/>
  <c r="G4" i="6"/>
  <c r="S4" i="6"/>
  <c r="I4" i="6"/>
  <c r="J4" i="6"/>
  <c r="J54" i="6"/>
  <c r="O54" i="6"/>
  <c r="A184" i="3"/>
  <c r="I19" i="11"/>
  <c r="I20" i="11" s="1"/>
  <c r="H54" i="6"/>
  <c r="E5" i="4"/>
  <c r="F45" i="11" s="1"/>
  <c r="P54" i="6"/>
  <c r="Q54" i="6"/>
  <c r="E54" i="6"/>
  <c r="K54" i="6"/>
  <c r="N54" i="6"/>
  <c r="C13" i="3"/>
  <c r="E13" i="3" s="1"/>
  <c r="E15" i="3" s="1"/>
  <c r="R54" i="6"/>
  <c r="I54" i="6"/>
  <c r="L54" i="6"/>
  <c r="Y31" i="3"/>
  <c r="H45" i="11"/>
  <c r="I45" i="11"/>
  <c r="G45" i="11"/>
  <c r="L64" i="9"/>
  <c r="L17" i="9"/>
  <c r="K64" i="9"/>
  <c r="K17" i="9"/>
  <c r="F17" i="9"/>
  <c r="P64" i="9"/>
  <c r="P17" i="9"/>
  <c r="N64" i="9"/>
  <c r="N17" i="9"/>
  <c r="Q64" i="9"/>
  <c r="Q17" i="9"/>
  <c r="Q17" i="11" s="1"/>
  <c r="M64" i="9"/>
  <c r="M17" i="9"/>
  <c r="O64" i="9"/>
  <c r="O17" i="9"/>
  <c r="S64" i="9"/>
  <c r="S17" i="9"/>
  <c r="S17" i="11" s="1"/>
  <c r="G64" i="9"/>
  <c r="G17" i="9"/>
  <c r="L3" i="10"/>
  <c r="L4" i="10" s="1"/>
  <c r="O17" i="10"/>
  <c r="Q17" i="10"/>
  <c r="N17" i="10"/>
  <c r="R17" i="10"/>
  <c r="M3" i="10"/>
  <c r="M4" i="10" s="1"/>
  <c r="L24" i="11"/>
  <c r="F64" i="9"/>
  <c r="K45" i="11"/>
  <c r="J45" i="11"/>
  <c r="I64" i="9"/>
  <c r="I3" i="9"/>
  <c r="I11" i="11" s="1"/>
  <c r="H3" i="9"/>
  <c r="H11" i="11" s="1"/>
  <c r="H64" i="9"/>
  <c r="J64" i="9"/>
  <c r="J3" i="9"/>
  <c r="J11" i="11" s="1"/>
  <c r="J47" i="11" l="1"/>
  <c r="J48" i="11" s="1"/>
  <c r="F47" i="11"/>
  <c r="F48" i="11" s="1"/>
  <c r="G47" i="11"/>
  <c r="G48" i="11" s="1"/>
  <c r="H47" i="11"/>
  <c r="H48" i="11" s="1"/>
  <c r="K47" i="11"/>
  <c r="K48" i="11" s="1"/>
  <c r="I47" i="11"/>
  <c r="I48" i="11" s="1"/>
  <c r="G46" i="11"/>
  <c r="J46" i="11"/>
  <c r="F46" i="11"/>
  <c r="H46" i="11"/>
  <c r="K46" i="11"/>
  <c r="I46" i="11"/>
  <c r="M3" i="9"/>
  <c r="M11" i="11" s="1"/>
  <c r="M17" i="11"/>
  <c r="N3" i="9"/>
  <c r="N11" i="11" s="1"/>
  <c r="N17" i="11"/>
  <c r="L19" i="11"/>
  <c r="L20" i="11" s="1"/>
  <c r="K19" i="11"/>
  <c r="K20" i="11" s="1"/>
  <c r="G3" i="9"/>
  <c r="G11" i="11" s="1"/>
  <c r="G17" i="11"/>
  <c r="P3" i="9"/>
  <c r="P11" i="11" s="1"/>
  <c r="P17" i="11"/>
  <c r="L3" i="9"/>
  <c r="L11" i="11" s="1"/>
  <c r="L17" i="11"/>
  <c r="O3" i="9"/>
  <c r="O11" i="11" s="1"/>
  <c r="O17" i="11"/>
  <c r="F3" i="9"/>
  <c r="F11" i="11" s="1"/>
  <c r="F17" i="11"/>
  <c r="K3" i="9"/>
  <c r="K11" i="11" s="1"/>
  <c r="K17" i="11"/>
  <c r="P13" i="3"/>
  <c r="P39" i="11" s="1"/>
  <c r="K13" i="3"/>
  <c r="K39" i="11" s="1"/>
  <c r="S13" i="3"/>
  <c r="S15" i="3" s="1"/>
  <c r="Q13" i="3"/>
  <c r="Q39" i="11" s="1"/>
  <c r="F13" i="3"/>
  <c r="F15" i="3" s="1"/>
  <c r="O13" i="3"/>
  <c r="O15" i="3" s="1"/>
  <c r="E39" i="11"/>
  <c r="L13" i="3"/>
  <c r="L15" i="3" s="1"/>
  <c r="H13" i="3"/>
  <c r="H15" i="3" s="1"/>
  <c r="I13" i="3"/>
  <c r="G13" i="3"/>
  <c r="G39" i="11" s="1"/>
  <c r="R13" i="3"/>
  <c r="R39" i="11" s="1"/>
  <c r="J13" i="3"/>
  <c r="J15" i="3" s="1"/>
  <c r="M13" i="3"/>
  <c r="M15" i="3" s="1"/>
  <c r="N13" i="3"/>
  <c r="N15" i="3" s="1"/>
  <c r="P15" i="3"/>
  <c r="Y32" i="3"/>
  <c r="Y33" i="3" s="1"/>
  <c r="Y34" i="3" s="1"/>
  <c r="Y35" i="3" s="1"/>
  <c r="F26" i="11"/>
  <c r="F34" i="11"/>
  <c r="G26" i="11"/>
  <c r="G34" i="11"/>
  <c r="H26" i="11"/>
  <c r="H4" i="11" s="1"/>
  <c r="H21" i="11" s="1"/>
  <c r="H34" i="11"/>
  <c r="E26" i="11"/>
  <c r="Q24" i="11"/>
  <c r="R3" i="10"/>
  <c r="R4" i="10" s="1"/>
  <c r="Q3" i="10"/>
  <c r="Q4" i="10" s="1"/>
  <c r="P24" i="11"/>
  <c r="N3" i="10"/>
  <c r="N4" i="10" s="1"/>
  <c r="M24" i="11"/>
  <c r="S17" i="10"/>
  <c r="P17" i="10"/>
  <c r="O3" i="10"/>
  <c r="O4" i="10" s="1"/>
  <c r="N24" i="11"/>
  <c r="M45" i="11"/>
  <c r="M47" i="11" s="1"/>
  <c r="M48" i="11" s="1"/>
  <c r="L45" i="11"/>
  <c r="L47" i="11" s="1"/>
  <c r="L48" i="11" s="1"/>
  <c r="R3" i="9"/>
  <c r="R11" i="11" s="1"/>
  <c r="R64" i="9"/>
  <c r="Q3" i="9"/>
  <c r="Q11" i="11" s="1"/>
  <c r="S3" i="9"/>
  <c r="H28" i="11" l="1"/>
  <c r="H29" i="11" s="1"/>
  <c r="G28" i="11"/>
  <c r="G29" i="11" s="1"/>
  <c r="F28" i="11"/>
  <c r="F29" i="11" s="1"/>
  <c r="L46" i="11"/>
  <c r="M46" i="11"/>
  <c r="E4" i="11"/>
  <c r="G27" i="11"/>
  <c r="F27" i="11"/>
  <c r="H27" i="11"/>
  <c r="H5" i="11"/>
  <c r="C23" i="3"/>
  <c r="O23" i="3" s="1"/>
  <c r="K15" i="3"/>
  <c r="F4" i="11"/>
  <c r="P19" i="11"/>
  <c r="P20" i="11" s="1"/>
  <c r="Q19" i="11"/>
  <c r="Q20" i="11" s="1"/>
  <c r="N19" i="11"/>
  <c r="N20" i="11" s="1"/>
  <c r="G4" i="11"/>
  <c r="M19" i="11"/>
  <c r="M20" i="11" s="1"/>
  <c r="R15" i="3"/>
  <c r="C28" i="3"/>
  <c r="H28" i="3" s="1"/>
  <c r="H30" i="3" s="1"/>
  <c r="G15" i="3"/>
  <c r="F39" i="11"/>
  <c r="Q15" i="3"/>
  <c r="H39" i="11"/>
  <c r="I39" i="11"/>
  <c r="I15" i="3"/>
  <c r="L39" i="11"/>
  <c r="J39" i="11"/>
  <c r="C18" i="3"/>
  <c r="G18" i="3" s="1"/>
  <c r="K23" i="3"/>
  <c r="K25" i="3" s="1"/>
  <c r="L23" i="3"/>
  <c r="L25" i="3" s="1"/>
  <c r="M23" i="3"/>
  <c r="N23" i="3"/>
  <c r="E23" i="3"/>
  <c r="E25" i="3" s="1"/>
  <c r="I23" i="3"/>
  <c r="I25" i="3" s="1"/>
  <c r="E34" i="11"/>
  <c r="F7" i="3"/>
  <c r="G7" i="3"/>
  <c r="H7" i="3"/>
  <c r="I26" i="11"/>
  <c r="I4" i="11" s="1"/>
  <c r="I34" i="11"/>
  <c r="O24" i="11"/>
  <c r="P3" i="10"/>
  <c r="P4" i="10" s="1"/>
  <c r="R24" i="11"/>
  <c r="S3" i="10"/>
  <c r="S4" i="10" s="1"/>
  <c r="O45" i="11"/>
  <c r="O47" i="11" s="1"/>
  <c r="O48" i="11" s="1"/>
  <c r="N45" i="11"/>
  <c r="N47" i="11" s="1"/>
  <c r="N48" i="11" s="1"/>
  <c r="E21" i="11" l="1"/>
  <c r="G6" i="11"/>
  <c r="H6" i="11"/>
  <c r="F6" i="11"/>
  <c r="I6" i="11"/>
  <c r="I28" i="11"/>
  <c r="I29" i="11" s="1"/>
  <c r="O46" i="11"/>
  <c r="N46" i="11"/>
  <c r="F5" i="11"/>
  <c r="F21" i="11"/>
  <c r="G5" i="11"/>
  <c r="G21" i="11"/>
  <c r="I5" i="11"/>
  <c r="I21" i="11"/>
  <c r="I27" i="11"/>
  <c r="G23" i="3"/>
  <c r="G25" i="3" s="1"/>
  <c r="J23" i="3"/>
  <c r="J25" i="3" s="1"/>
  <c r="S23" i="3"/>
  <c r="S25" i="3" s="1"/>
  <c r="R23" i="3"/>
  <c r="R25" i="3" s="1"/>
  <c r="F23" i="3"/>
  <c r="F25" i="3" s="1"/>
  <c r="Q23" i="3"/>
  <c r="Q25" i="3" s="1"/>
  <c r="H23" i="3"/>
  <c r="H25" i="3" s="1"/>
  <c r="P23" i="3"/>
  <c r="P25" i="3" s="1"/>
  <c r="O28" i="3"/>
  <c r="O30" i="3" s="1"/>
  <c r="L28" i="3"/>
  <c r="L30" i="3" s="1"/>
  <c r="G28" i="3"/>
  <c r="G30" i="3" s="1"/>
  <c r="K28" i="3"/>
  <c r="K30" i="3" s="1"/>
  <c r="M28" i="3"/>
  <c r="M30" i="3" s="1"/>
  <c r="J28" i="3"/>
  <c r="J30" i="3" s="1"/>
  <c r="I28" i="3"/>
  <c r="I30" i="3" s="1"/>
  <c r="F28" i="3"/>
  <c r="F30" i="3" s="1"/>
  <c r="Q28" i="3"/>
  <c r="Q42" i="11" s="1"/>
  <c r="E28" i="3"/>
  <c r="E30" i="3" s="1"/>
  <c r="N28" i="3"/>
  <c r="N30" i="3" s="1"/>
  <c r="S28" i="3"/>
  <c r="S42" i="11" s="1"/>
  <c r="O19" i="11"/>
  <c r="O20" i="11" s="1"/>
  <c r="R19" i="11"/>
  <c r="R20" i="11" s="1"/>
  <c r="E18" i="3"/>
  <c r="E20" i="3" s="1"/>
  <c r="R28" i="3"/>
  <c r="R42" i="11" s="1"/>
  <c r="P28" i="3"/>
  <c r="P42" i="11" s="1"/>
  <c r="P18" i="3"/>
  <c r="P40" i="11" s="1"/>
  <c r="R18" i="3"/>
  <c r="R40" i="11" s="1"/>
  <c r="O18" i="3"/>
  <c r="O40" i="11" s="1"/>
  <c r="F18" i="3"/>
  <c r="F40" i="11" s="1"/>
  <c r="N18" i="3"/>
  <c r="N40" i="11" s="1"/>
  <c r="Q18" i="3"/>
  <c r="Q20" i="3" s="1"/>
  <c r="M18" i="3"/>
  <c r="M20" i="3" s="1"/>
  <c r="H18" i="3"/>
  <c r="H20" i="3" s="1"/>
  <c r="S18" i="3"/>
  <c r="S20" i="3" s="1"/>
  <c r="L18" i="3"/>
  <c r="L20" i="3" s="1"/>
  <c r="K18" i="3"/>
  <c r="K20" i="3" s="1"/>
  <c r="J18" i="3"/>
  <c r="J20" i="3" s="1"/>
  <c r="I18" i="3"/>
  <c r="I20" i="3" s="1"/>
  <c r="O41" i="11"/>
  <c r="O25" i="3"/>
  <c r="N41" i="11"/>
  <c r="N25" i="3"/>
  <c r="M41" i="11"/>
  <c r="M25" i="3"/>
  <c r="G40" i="11"/>
  <c r="G20" i="3"/>
  <c r="I7" i="3"/>
  <c r="J26" i="11"/>
  <c r="J28" i="11" s="1"/>
  <c r="J29" i="11" s="1"/>
  <c r="S45" i="11"/>
  <c r="S47" i="11" s="1"/>
  <c r="S48" i="11" s="1"/>
  <c r="Q45" i="11"/>
  <c r="Q47" i="11" s="1"/>
  <c r="Q48" i="11" s="1"/>
  <c r="R45" i="11"/>
  <c r="R47" i="11" s="1"/>
  <c r="R48" i="11" s="1"/>
  <c r="P45" i="11"/>
  <c r="P47" i="11" s="1"/>
  <c r="P48" i="11" s="1"/>
  <c r="S46" i="11" l="1"/>
  <c r="P46" i="11"/>
  <c r="R46" i="11"/>
  <c r="Q46" i="11"/>
  <c r="J4" i="11"/>
  <c r="J6" i="11" s="1"/>
  <c r="J27" i="11"/>
  <c r="S41" i="11"/>
  <c r="G5" i="3"/>
  <c r="G8" i="3" s="1"/>
  <c r="G43" i="11" s="1"/>
  <c r="E40" i="11"/>
  <c r="I5" i="3"/>
  <c r="I8" i="3" s="1"/>
  <c r="I43" i="11" s="1"/>
  <c r="L40" i="11"/>
  <c r="Q30" i="3"/>
  <c r="R30" i="3"/>
  <c r="E5" i="3"/>
  <c r="E8" i="3" s="1"/>
  <c r="S30" i="3"/>
  <c r="H40" i="11"/>
  <c r="M5" i="3"/>
  <c r="M8" i="3" s="1"/>
  <c r="S5" i="3"/>
  <c r="S8" i="3" s="1"/>
  <c r="S40" i="11"/>
  <c r="H5" i="3"/>
  <c r="H8" i="3" s="1"/>
  <c r="H43" i="11" s="1"/>
  <c r="M40" i="11"/>
  <c r="P30" i="3"/>
  <c r="K40" i="11"/>
  <c r="F20" i="3"/>
  <c r="I40" i="11"/>
  <c r="Q5" i="3"/>
  <c r="Q8" i="3" s="1"/>
  <c r="Q40" i="11"/>
  <c r="L5" i="3"/>
  <c r="L8" i="3" s="1"/>
  <c r="N5" i="3"/>
  <c r="N8" i="3" s="1"/>
  <c r="F5" i="3"/>
  <c r="R20" i="3"/>
  <c r="O20" i="3"/>
  <c r="R5" i="3"/>
  <c r="R8" i="3" s="1"/>
  <c r="O5" i="3"/>
  <c r="O8" i="3" s="1"/>
  <c r="N20" i="3"/>
  <c r="P20" i="3"/>
  <c r="J5" i="3"/>
  <c r="J8" i="3" s="1"/>
  <c r="J40" i="11"/>
  <c r="P5" i="3"/>
  <c r="P8" i="3" s="1"/>
  <c r="K5" i="3"/>
  <c r="K8" i="3" s="1"/>
  <c r="J34" i="11"/>
  <c r="J7" i="3"/>
  <c r="K26" i="11"/>
  <c r="K28" i="11" s="1"/>
  <c r="K29" i="11" s="1"/>
  <c r="J5" i="11" l="1"/>
  <c r="J21" i="11"/>
  <c r="G35" i="11"/>
  <c r="E35" i="11"/>
  <c r="E7" i="11" s="1"/>
  <c r="K4" i="11"/>
  <c r="K6" i="11" s="1"/>
  <c r="K27" i="11"/>
  <c r="I35" i="11"/>
  <c r="H35" i="11"/>
  <c r="F8" i="3"/>
  <c r="F43" i="11" s="1"/>
  <c r="J35" i="11"/>
  <c r="I9" i="3"/>
  <c r="F35" i="11"/>
  <c r="E43" i="11"/>
  <c r="H9" i="3"/>
  <c r="G9" i="3"/>
  <c r="J43" i="11"/>
  <c r="J9" i="3"/>
  <c r="K34" i="11"/>
  <c r="K7" i="3"/>
  <c r="K35" i="11"/>
  <c r="L26" i="11"/>
  <c r="L28" i="11" s="1"/>
  <c r="L29" i="11" s="1"/>
  <c r="F7" i="11" l="1"/>
  <c r="F22" i="11" s="1"/>
  <c r="J7" i="11"/>
  <c r="J22" i="11" s="1"/>
  <c r="K7" i="11"/>
  <c r="K22" i="11" s="1"/>
  <c r="I7" i="11"/>
  <c r="I22" i="11" s="1"/>
  <c r="H7" i="11"/>
  <c r="H22" i="11" s="1"/>
  <c r="G7" i="11"/>
  <c r="G8" i="11" s="1"/>
  <c r="H37" i="11"/>
  <c r="H38" i="11" s="1"/>
  <c r="G37" i="11"/>
  <c r="G38" i="11" s="1"/>
  <c r="F37" i="11"/>
  <c r="F38" i="11" s="1"/>
  <c r="J37" i="11"/>
  <c r="J38" i="11" s="1"/>
  <c r="K37" i="11"/>
  <c r="K38" i="11" s="1"/>
  <c r="I37" i="11"/>
  <c r="I38" i="11" s="1"/>
  <c r="K5" i="11"/>
  <c r="K21" i="11"/>
  <c r="E22" i="11"/>
  <c r="G36" i="11"/>
  <c r="J8" i="11"/>
  <c r="F9" i="3"/>
  <c r="J36" i="11"/>
  <c r="F36" i="11"/>
  <c r="H36" i="11"/>
  <c r="K36" i="11"/>
  <c r="I36" i="11"/>
  <c r="L4" i="11"/>
  <c r="L6" i="11" s="1"/>
  <c r="L27" i="11"/>
  <c r="L34" i="11"/>
  <c r="L7" i="3"/>
  <c r="K43" i="11"/>
  <c r="K9" i="3"/>
  <c r="M26" i="11"/>
  <c r="M28" i="11" s="1"/>
  <c r="M29" i="11" s="1"/>
  <c r="L35" i="11"/>
  <c r="H9" i="11" l="1"/>
  <c r="J9" i="11"/>
  <c r="K9" i="11"/>
  <c r="F9" i="11"/>
  <c r="F8" i="11"/>
  <c r="I8" i="11"/>
  <c r="K8" i="11"/>
  <c r="G9" i="11"/>
  <c r="I9" i="11"/>
  <c r="H8" i="11"/>
  <c r="G22" i="11"/>
  <c r="L37" i="11"/>
  <c r="L38" i="11" s="1"/>
  <c r="L7" i="11"/>
  <c r="L9" i="11" s="1"/>
  <c r="L5" i="11"/>
  <c r="L21" i="11"/>
  <c r="L36" i="11"/>
  <c r="M4" i="11"/>
  <c r="M6" i="11" s="1"/>
  <c r="M27" i="11"/>
  <c r="M34" i="11"/>
  <c r="M7" i="3"/>
  <c r="L43" i="11"/>
  <c r="L9" i="3"/>
  <c r="M35" i="11"/>
  <c r="N26" i="11"/>
  <c r="N28" i="11" s="1"/>
  <c r="N29" i="11" s="1"/>
  <c r="M37" i="11" l="1"/>
  <c r="M38" i="11" s="1"/>
  <c r="M7" i="11"/>
  <c r="M9" i="11" s="1"/>
  <c r="M5" i="11"/>
  <c r="M21" i="11"/>
  <c r="L8" i="11"/>
  <c r="L22" i="11"/>
  <c r="M36" i="11"/>
  <c r="N4" i="11"/>
  <c r="N6" i="11" s="1"/>
  <c r="N27" i="11"/>
  <c r="N34" i="11"/>
  <c r="N7" i="3"/>
  <c r="M43" i="11"/>
  <c r="M9" i="3"/>
  <c r="O26" i="11"/>
  <c r="O28" i="11" s="1"/>
  <c r="O29" i="11" s="1"/>
  <c r="N35" i="11"/>
  <c r="N37" i="11" l="1"/>
  <c r="N38" i="11" s="1"/>
  <c r="N7" i="11"/>
  <c r="N9" i="11" s="1"/>
  <c r="M8" i="11"/>
  <c r="M22" i="11"/>
  <c r="N5" i="11"/>
  <c r="N21" i="11"/>
  <c r="N36" i="11"/>
  <c r="O4" i="11"/>
  <c r="O6" i="11" s="1"/>
  <c r="O27" i="11"/>
  <c r="O34" i="11"/>
  <c r="O7" i="3"/>
  <c r="N43" i="11"/>
  <c r="N9" i="3"/>
  <c r="O35" i="11"/>
  <c r="P35" i="11"/>
  <c r="P26" i="11"/>
  <c r="P28" i="11" s="1"/>
  <c r="P29" i="11" s="1"/>
  <c r="P37" i="11" l="1"/>
  <c r="P38" i="11" s="1"/>
  <c r="P7" i="11"/>
  <c r="P9" i="11" s="1"/>
  <c r="O37" i="11"/>
  <c r="O38" i="11" s="1"/>
  <c r="O7" i="11"/>
  <c r="O9" i="11" s="1"/>
  <c r="O5" i="11"/>
  <c r="O21" i="11"/>
  <c r="N8" i="11"/>
  <c r="N22" i="11"/>
  <c r="O36" i="11"/>
  <c r="P36" i="11"/>
  <c r="P4" i="11"/>
  <c r="P6" i="11" s="1"/>
  <c r="P27" i="11"/>
  <c r="P34" i="11"/>
  <c r="P7" i="3"/>
  <c r="P43" i="11"/>
  <c r="P9" i="3"/>
  <c r="O43" i="11"/>
  <c r="O9" i="3"/>
  <c r="Q26" i="11"/>
  <c r="Q28" i="11" s="1"/>
  <c r="Q29" i="11" s="1"/>
  <c r="P5" i="11" l="1"/>
  <c r="P21" i="11"/>
  <c r="O8" i="11"/>
  <c r="O22" i="11"/>
  <c r="P8" i="11"/>
  <c r="P22" i="11"/>
  <c r="Q4" i="11"/>
  <c r="Q6" i="11" s="1"/>
  <c r="Q27" i="11"/>
  <c r="Q34" i="11"/>
  <c r="Q7" i="3"/>
  <c r="R26" i="11"/>
  <c r="R28" i="11" s="1"/>
  <c r="R29" i="11" s="1"/>
  <c r="R35" i="11"/>
  <c r="Q35" i="11"/>
  <c r="R37" i="11" l="1"/>
  <c r="R38" i="11" s="1"/>
  <c r="R7" i="11"/>
  <c r="R9" i="11" s="1"/>
  <c r="Q37" i="11"/>
  <c r="Q38" i="11" s="1"/>
  <c r="Q7" i="11"/>
  <c r="Q9" i="11" s="1"/>
  <c r="Q5" i="11"/>
  <c r="Q21" i="11"/>
  <c r="Q36" i="11"/>
  <c r="R36" i="11"/>
  <c r="R4" i="11"/>
  <c r="R6" i="11" s="1"/>
  <c r="R27" i="11"/>
  <c r="R43" i="11"/>
  <c r="R9" i="3"/>
  <c r="Q43" i="11"/>
  <c r="Q9" i="3"/>
  <c r="R34" i="11"/>
  <c r="R7" i="3"/>
  <c r="S26" i="11"/>
  <c r="S28" i="11" s="1"/>
  <c r="S29" i="11" s="1"/>
  <c r="S35" i="11"/>
  <c r="S37" i="11" l="1"/>
  <c r="S38" i="11" s="1"/>
  <c r="S7" i="11"/>
  <c r="S9" i="11" s="1"/>
  <c r="R8" i="11"/>
  <c r="R22" i="11"/>
  <c r="R5" i="11"/>
  <c r="R21" i="11"/>
  <c r="Q8" i="11"/>
  <c r="Q22" i="11"/>
  <c r="S36" i="11"/>
  <c r="S4" i="11"/>
  <c r="S6" i="11" s="1"/>
  <c r="S27" i="11"/>
  <c r="S34" i="11"/>
  <c r="S7" i="3"/>
  <c r="S43" i="11"/>
  <c r="S9" i="3"/>
  <c r="S5" i="11" l="1"/>
  <c r="S21" i="11"/>
  <c r="S8" i="11"/>
  <c r="S22" i="11"/>
</calcChain>
</file>

<file path=xl/sharedStrings.xml><?xml version="1.0" encoding="utf-8"?>
<sst xmlns="http://schemas.openxmlformats.org/spreadsheetml/2006/main" count="783" uniqueCount="214">
  <si>
    <t>Gaz</t>
  </si>
  <si>
    <t>Chauffage</t>
  </si>
  <si>
    <t>ECS</t>
  </si>
  <si>
    <t>Electricité</t>
  </si>
  <si>
    <t>Totale</t>
  </si>
  <si>
    <t>Eclairage</t>
  </si>
  <si>
    <t>Equipements</t>
  </si>
  <si>
    <t>Elec PAC</t>
  </si>
  <si>
    <t>Conso d'énergie annuelle</t>
  </si>
  <si>
    <t>Panneaux PV</t>
  </si>
  <si>
    <t>kWh/an</t>
  </si>
  <si>
    <t>kWh/m².an</t>
  </si>
  <si>
    <t>R0</t>
  </si>
  <si>
    <t>RI</t>
  </si>
  <si>
    <t>RS</t>
  </si>
  <si>
    <t>RM</t>
  </si>
  <si>
    <t>RR</t>
  </si>
  <si>
    <t>R+</t>
  </si>
  <si>
    <t>Emissions de CO2 annuelle</t>
  </si>
  <si>
    <t>Emissions spécifique de CO2 annuelle</t>
  </si>
  <si>
    <t>Conso d'énergie spécifique annuelle</t>
  </si>
  <si>
    <t>Totales</t>
  </si>
  <si>
    <t>kg CO2/an</t>
  </si>
  <si>
    <t>kg CO2/m².an</t>
  </si>
  <si>
    <t>Facteurs de conversion</t>
  </si>
  <si>
    <t>kg CO2/kWh</t>
  </si>
  <si>
    <t>RI+</t>
  </si>
  <si>
    <t>RI-</t>
  </si>
  <si>
    <t>RM-</t>
  </si>
  <si>
    <t>RM+</t>
  </si>
  <si>
    <t>RS-</t>
  </si>
  <si>
    <t>RS+</t>
  </si>
  <si>
    <t>RR-</t>
  </si>
  <si>
    <t>RR+</t>
  </si>
  <si>
    <t>Avril</t>
  </si>
  <si>
    <t>Mai</t>
  </si>
  <si>
    <t>Juin</t>
  </si>
  <si>
    <t>Juillet</t>
  </si>
  <si>
    <t>Aout</t>
  </si>
  <si>
    <t>Septembre</t>
  </si>
  <si>
    <t>Novembre</t>
  </si>
  <si>
    <t>Décembre</t>
  </si>
  <si>
    <t>Janvier</t>
  </si>
  <si>
    <t>Février</t>
  </si>
  <si>
    <t>Mars</t>
  </si>
  <si>
    <t>°C</t>
  </si>
  <si>
    <t>Heures de surchauffe</t>
  </si>
  <si>
    <t>h/an pour t&gt;25°C</t>
  </si>
  <si>
    <t>Isolation</t>
  </si>
  <si>
    <t>Total</t>
  </si>
  <si>
    <t>Façade avant</t>
  </si>
  <si>
    <t>Façade arrière</t>
  </si>
  <si>
    <t>Mansarde</t>
  </si>
  <si>
    <t>Pignon droit</t>
  </si>
  <si>
    <t>Façade annexe</t>
  </si>
  <si>
    <t>Façade annexe droit</t>
  </si>
  <si>
    <t>Plafond vers combles</t>
  </si>
  <si>
    <t>Plancher sur cave</t>
  </si>
  <si>
    <t>Toiture inclinée</t>
  </si>
  <si>
    <t>Toiture plate sdb</t>
  </si>
  <si>
    <t>Toiture plate salon</t>
  </si>
  <si>
    <t>m²</t>
  </si>
  <si>
    <t>Pare-vapeur</t>
  </si>
  <si>
    <t>Bardage bois</t>
  </si>
  <si>
    <t>Etanchéité à l'eau</t>
  </si>
  <si>
    <t>Menuiseries</t>
  </si>
  <si>
    <t>Isolant PUR 0,06m</t>
  </si>
  <si>
    <t>Isolant PUR 0,10m</t>
  </si>
  <si>
    <t>Isolant PUR 0,16m</t>
  </si>
  <si>
    <t>Isolant laine minérale 0,16-0,18m</t>
  </si>
  <si>
    <t>Isolant PUR 0,12m</t>
  </si>
  <si>
    <t>Isolant PUR 0,04m</t>
  </si>
  <si>
    <t>Isolant PUR 0,08m</t>
  </si>
  <si>
    <t>Isolant PUR 0,20m</t>
  </si>
  <si>
    <t>Isolant PUR 0,14m</t>
  </si>
  <si>
    <t>Type de parois</t>
  </si>
  <si>
    <t>Salon</t>
  </si>
  <si>
    <t>Fenêtres PVC + TV</t>
  </si>
  <si>
    <t>Portes-fenêtres PVC + TV</t>
  </si>
  <si>
    <t>Coupoles</t>
  </si>
  <si>
    <t>Salon 1</t>
  </si>
  <si>
    <t>Salon 2</t>
  </si>
  <si>
    <t>Cuisine</t>
  </si>
  <si>
    <t>Chambre parents 1</t>
  </si>
  <si>
    <t>Chambre parents 2</t>
  </si>
  <si>
    <t>Chambre enfant</t>
  </si>
  <si>
    <t>Salle de bain</t>
  </si>
  <si>
    <t>Rangement 1</t>
  </si>
  <si>
    <t>Systèmes</t>
  </si>
  <si>
    <t>Pac air-eau</t>
  </si>
  <si>
    <t>VMC</t>
  </si>
  <si>
    <t>Double flux</t>
  </si>
  <si>
    <t>pièce</t>
  </si>
  <si>
    <t>Rendement 0,15</t>
  </si>
  <si>
    <t>Rendement 0,10</t>
  </si>
  <si>
    <t>Rendement 0,20</t>
  </si>
  <si>
    <t>Ventilation</t>
  </si>
  <si>
    <t>Simple flux</t>
  </si>
  <si>
    <t>Pac air-eau CoP 3</t>
  </si>
  <si>
    <t>Pac air-eau CoP 3,5</t>
  </si>
  <si>
    <t>Pac air-eau CoP 4</t>
  </si>
  <si>
    <t>Cave</t>
  </si>
  <si>
    <t>Electricité Wallonie</t>
  </si>
  <si>
    <t>c€/kWh</t>
  </si>
  <si>
    <t>Moyenne</t>
  </si>
  <si>
    <t>Gaz naturel Wallonie</t>
  </si>
  <si>
    <t>Moyennes</t>
  </si>
  <si>
    <t>Gaz naturel</t>
  </si>
  <si>
    <t>Evolution électricité</t>
  </si>
  <si>
    <t>Surface de plancher chauffé</t>
  </si>
  <si>
    <t>€</t>
  </si>
  <si>
    <t>€/m²</t>
  </si>
  <si>
    <t>TOTAL</t>
  </si>
  <si>
    <t>€/pc</t>
  </si>
  <si>
    <t>Boiler</t>
  </si>
  <si>
    <t>PAC air-eau</t>
  </si>
  <si>
    <t>PU</t>
  </si>
  <si>
    <t>CoP 3</t>
  </si>
  <si>
    <t>CoP 3,5</t>
  </si>
  <si>
    <t>CoP 4</t>
  </si>
  <si>
    <t>Panneaux solaires</t>
  </si>
  <si>
    <t>FRAIS DE PROJET</t>
  </si>
  <si>
    <t>%</t>
  </si>
  <si>
    <t>Auditeur</t>
  </si>
  <si>
    <t>Architecte</t>
  </si>
  <si>
    <t>Frais de projet</t>
  </si>
  <si>
    <t>Isolation (éléments + pose)</t>
  </si>
  <si>
    <t>Menuiseries (éléments + pose)</t>
  </si>
  <si>
    <t>Systèmes (éléments + pose)</t>
  </si>
  <si>
    <t>Ventilation (éléments + pose)</t>
  </si>
  <si>
    <t>Panneaux solaires (éléments + pose)</t>
  </si>
  <si>
    <t>1 (2019)</t>
  </si>
  <si>
    <t>Année</t>
  </si>
  <si>
    <t>Électricité</t>
  </si>
  <si>
    <t>TVA 6%</t>
  </si>
  <si>
    <t>€/t CO2</t>
  </si>
  <si>
    <t>Investissement</t>
  </si>
  <si>
    <t>Fonctionnement</t>
  </si>
  <si>
    <t>CONFIG 70€ APRES 10 ANS</t>
  </si>
  <si>
    <t>Taxe carbone</t>
  </si>
  <si>
    <t>70€ après 10 ans</t>
  </si>
  <si>
    <t>Sans évolution du prix de l'énergie</t>
  </si>
  <si>
    <t>Avec évolution du prix de l'énergie</t>
  </si>
  <si>
    <t>Maintenance et remplacement</t>
  </si>
  <si>
    <t>Maintenance</t>
  </si>
  <si>
    <t>Chaudière au gaz</t>
  </si>
  <si>
    <t>Onduleur</t>
  </si>
  <si>
    <t>Remplacement</t>
  </si>
  <si>
    <t>Coût d'entretien €</t>
  </si>
  <si>
    <t>Coût de remplacement €</t>
  </si>
  <si>
    <t>VMC Simple flux</t>
  </si>
  <si>
    <t>VMC Double flux</t>
  </si>
  <si>
    <t>PAC air-eau CoP 3</t>
  </si>
  <si>
    <t>PAC air-eau CoP 3,5</t>
  </si>
  <si>
    <t>PAC air-eau CoP 4</t>
  </si>
  <si>
    <t>CB</t>
  </si>
  <si>
    <t>FOURNITURES ET MISE EN ŒUVRE</t>
  </si>
  <si>
    <t>Rangement</t>
  </si>
  <si>
    <t>Fenêtres PVC + TV Uf0,8 et Ug0,5</t>
  </si>
  <si>
    <t>Portes-fenêtres PVC + TV U0,8 et Ug0,5</t>
  </si>
  <si>
    <t>Fenêtres PVC + TV U1,5 et Ug1,1</t>
  </si>
  <si>
    <t>Portes-fenêtres PVC + TV U1,5 et Ug1,1</t>
  </si>
  <si>
    <t>Fenêtres PVC + TV U1,2 et Ug0,6</t>
  </si>
  <si>
    <t>Portes-fenêtres PVC + TV U1,2  et Ug0,6</t>
  </si>
  <si>
    <t>Coupoles + TVS Ug2,2</t>
  </si>
  <si>
    <t>Coupoles + TVS Ug1,8</t>
  </si>
  <si>
    <t>Coupoles + TVS Ug2,5</t>
  </si>
  <si>
    <t>Lattage pour bardage</t>
  </si>
  <si>
    <t>Plaque de plâtre sur lattage</t>
  </si>
  <si>
    <t>Jan</t>
  </si>
  <si>
    <t>Fév</t>
  </si>
  <si>
    <t>Avr</t>
  </si>
  <si>
    <t>Juil</t>
  </si>
  <si>
    <t>Oct</t>
  </si>
  <si>
    <t>Nov</t>
  </si>
  <si>
    <t>Déc</t>
  </si>
  <si>
    <t>Octobre</t>
  </si>
  <si>
    <t>Moyenne par an sans évolution</t>
  </si>
  <si>
    <t>Moyenne par an avec évolution</t>
  </si>
  <si>
    <t>€/an</t>
  </si>
  <si>
    <t>Différence avec CB</t>
  </si>
  <si>
    <t>(via d'autres tableurs)</t>
  </si>
  <si>
    <t>Différence CB</t>
  </si>
  <si>
    <t>Surface de plancher chauffé (hors caves et combles)</t>
  </si>
  <si>
    <t>Sur 30 ans</t>
  </si>
  <si>
    <t>Prix de l'énergie sur 30 ans</t>
  </si>
  <si>
    <t>Nb d'entretien sur 30 ans</t>
  </si>
  <si>
    <t>Nb de remplacement sur 30 ans</t>
  </si>
  <si>
    <t>Rendement 0,16</t>
  </si>
  <si>
    <t>Rendement 0,18</t>
  </si>
  <si>
    <t>Gains moyens par an sans évolution</t>
  </si>
  <si>
    <t>Gains moyens par an avec évolution</t>
  </si>
  <si>
    <t>Sep</t>
  </si>
  <si>
    <t>Température opérative</t>
  </si>
  <si>
    <t xml:space="preserve">Moyenne estivale </t>
  </si>
  <si>
    <t>(juin-juillet-aout)</t>
  </si>
  <si>
    <t xml:space="preserve">Moyenne hivernale </t>
  </si>
  <si>
    <t>(décembre-janvier-février)</t>
  </si>
  <si>
    <t>Électricité PAC</t>
  </si>
  <si>
    <t>Gaz sur 30 ans</t>
  </si>
  <si>
    <t>Élec. PAC</t>
  </si>
  <si>
    <t>Maximale annuelle</t>
  </si>
  <si>
    <t>Minimale annuelle</t>
  </si>
  <si>
    <t>Total (sans taxe crabone)</t>
  </si>
  <si>
    <t>Différences CB</t>
  </si>
  <si>
    <t>Surcoût par an</t>
  </si>
  <si>
    <t>Élec PAC</t>
  </si>
  <si>
    <t>Portion du total</t>
  </si>
  <si>
    <t>Élec. (PV retranché)</t>
  </si>
  <si>
    <t>Proportion total sans évol</t>
  </si>
  <si>
    <t>Proportion total avec évol</t>
  </si>
  <si>
    <t>Gains CB 30 ans</t>
  </si>
  <si>
    <t>Gains CB/ans</t>
  </si>
  <si>
    <t>Hors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</si>
</sst>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0.0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ont="1" applyFill="1"/>
    <xf numFmtId="17" fontId="0" fillId="0" borderId="0" xfId="0" applyNumberFormat="1"/>
    <xf numFmtId="2" fontId="0" fillId="0" borderId="0" xfId="0" applyNumberFormat="1"/>
    <xf numFmtId="17" fontId="0" fillId="2" borderId="0" xfId="0" applyNumberFormat="1" applyFill="1"/>
    <xf numFmtId="165" fontId="0" fillId="0" borderId="0" xfId="0" applyNumberFormat="1" applyAlignment="1">
      <alignment horizontal="center"/>
    </xf>
    <xf numFmtId="165" fontId="0" fillId="0" borderId="0" xfId="0" applyNumberFormat="1"/>
    <xf numFmtId="165" fontId="0" fillId="2" borderId="0" xfId="0" applyNumberFormat="1" applyFill="1"/>
    <xf numFmtId="165" fontId="0" fillId="2" borderId="0" xfId="0" applyNumberFormat="1" applyFill="1" applyAlignment="1">
      <alignment horizontal="center"/>
    </xf>
    <xf numFmtId="0" fontId="0" fillId="0" borderId="0" xfId="0" applyFill="1"/>
    <xf numFmtId="164" fontId="0" fillId="2" borderId="0" xfId="0" applyNumberFormat="1" applyFill="1" applyAlignment="1">
      <alignment horizontal="center"/>
    </xf>
    <xf numFmtId="0" fontId="0" fillId="0" borderId="0" xfId="0" applyFont="1" applyFill="1"/>
    <xf numFmtId="0" fontId="3" fillId="0" borderId="0" xfId="0" applyFont="1" applyFill="1"/>
    <xf numFmtId="0" fontId="0" fillId="0" borderId="0" xfId="0" applyFill="1" applyAlignment="1">
      <alignment horizontal="right"/>
    </xf>
    <xf numFmtId="0" fontId="0" fillId="2" borderId="0" xfId="0" applyFill="1" applyAlignment="1">
      <alignment horizontal="right"/>
    </xf>
    <xf numFmtId="0" fontId="4" fillId="0" borderId="0" xfId="0" applyFont="1" applyFill="1"/>
    <xf numFmtId="0" fontId="4" fillId="2" borderId="0" xfId="0" applyFont="1" applyFill="1"/>
    <xf numFmtId="0" fontId="0" fillId="3" borderId="0" xfId="0" applyFill="1" applyAlignment="1">
      <alignment horizontal="right"/>
    </xf>
    <xf numFmtId="0" fontId="3" fillId="3" borderId="0" xfId="0" applyFont="1" applyFill="1"/>
    <xf numFmtId="0" fontId="0" fillId="4" borderId="0" xfId="0" applyFill="1"/>
    <xf numFmtId="0" fontId="0" fillId="4" borderId="0" xfId="0" applyFill="1" applyAlignment="1">
      <alignment horizontal="right"/>
    </xf>
    <xf numFmtId="0" fontId="0" fillId="4" borderId="0" xfId="0" applyFill="1" applyAlignment="1">
      <alignment wrapText="1"/>
    </xf>
    <xf numFmtId="0" fontId="0" fillId="4" borderId="0" xfId="0" applyFill="1" applyAlignment="1">
      <alignment vertical="center"/>
    </xf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applyFont="1" applyAlignment="1">
      <alignment wrapText="1"/>
    </xf>
    <xf numFmtId="0" fontId="0" fillId="2" borderId="0" xfId="0" applyFont="1" applyFill="1" applyAlignment="1">
      <alignment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2" borderId="0" xfId="0" applyFont="1" applyFill="1" applyAlignment="1">
      <alignment horizontal="center"/>
    </xf>
    <xf numFmtId="1" fontId="1" fillId="0" borderId="0" xfId="0" applyNumberFormat="1" applyFont="1"/>
    <xf numFmtId="6" fontId="0" fillId="0" borderId="0" xfId="0" applyNumberFormat="1"/>
    <xf numFmtId="165" fontId="0" fillId="0" borderId="0" xfId="0" applyNumberFormat="1" applyFill="1"/>
    <xf numFmtId="1" fontId="0" fillId="0" borderId="0" xfId="0" applyNumberFormat="1" applyFill="1"/>
    <xf numFmtId="165" fontId="0" fillId="3" borderId="0" xfId="0" applyNumberFormat="1" applyFill="1"/>
    <xf numFmtId="165" fontId="0" fillId="3" borderId="0" xfId="0" applyNumberFormat="1" applyFill="1" applyAlignment="1">
      <alignment horizontal="right"/>
    </xf>
    <xf numFmtId="165" fontId="0" fillId="0" borderId="0" xfId="0" applyNumberFormat="1" applyAlignment="1">
      <alignment horizontal="right"/>
    </xf>
    <xf numFmtId="165" fontId="0" fillId="2" borderId="0" xfId="0" applyNumberFormat="1" applyFill="1" applyAlignment="1">
      <alignment horizontal="right"/>
    </xf>
    <xf numFmtId="1" fontId="0" fillId="4" borderId="0" xfId="0" applyNumberFormat="1" applyFill="1" applyAlignment="1">
      <alignment vertical="center"/>
    </xf>
    <xf numFmtId="1" fontId="4" fillId="0" borderId="0" xfId="0" applyNumberFormat="1" applyFont="1"/>
    <xf numFmtId="1" fontId="0" fillId="3" borderId="0" xfId="0" applyNumberFormat="1" applyFill="1"/>
    <xf numFmtId="1" fontId="0" fillId="2" borderId="0" xfId="0" applyNumberFormat="1" applyFill="1"/>
    <xf numFmtId="1" fontId="4" fillId="0" borderId="0" xfId="0" applyNumberFormat="1" applyFont="1" applyFill="1"/>
    <xf numFmtId="0" fontId="0" fillId="3" borderId="0" xfId="0" applyFont="1" applyFill="1" applyAlignment="1">
      <alignment wrapText="1"/>
    </xf>
    <xf numFmtId="0" fontId="0" fillId="4" borderId="0" xfId="0" applyFont="1" applyFill="1" applyAlignment="1">
      <alignment wrapText="1"/>
    </xf>
    <xf numFmtId="1" fontId="0" fillId="4" borderId="0" xfId="0" applyNumberFormat="1" applyFill="1"/>
    <xf numFmtId="1" fontId="3" fillId="4" borderId="0" xfId="0" applyNumberFormat="1" applyFont="1" applyFill="1"/>
    <xf numFmtId="2" fontId="3" fillId="0" borderId="0" xfId="0" applyNumberFormat="1" applyFont="1"/>
    <xf numFmtId="1" fontId="3" fillId="0" borderId="0" xfId="0" applyNumberFormat="1" applyFont="1"/>
    <xf numFmtId="1" fontId="3" fillId="3" borderId="0" xfId="0" applyNumberFormat="1" applyFont="1" applyFill="1"/>
    <xf numFmtId="1" fontId="3" fillId="2" borderId="0" xfId="0" applyNumberFormat="1" applyFont="1" applyFill="1"/>
    <xf numFmtId="165" fontId="3" fillId="2" borderId="0" xfId="0" applyNumberFormat="1" applyFont="1" applyFill="1"/>
    <xf numFmtId="165" fontId="3" fillId="0" borderId="0" xfId="0" applyNumberFormat="1" applyFont="1" applyFill="1"/>
    <xf numFmtId="165" fontId="3" fillId="0" borderId="0" xfId="0" applyNumberFormat="1" applyFont="1"/>
    <xf numFmtId="1" fontId="3" fillId="4" borderId="0" xfId="0" applyNumberFormat="1" applyFont="1" applyFill="1" applyAlignment="1">
      <alignment vertical="center"/>
    </xf>
    <xf numFmtId="1" fontId="3" fillId="0" borderId="0" xfId="0" applyNumberFormat="1" applyFont="1" applyFill="1"/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right"/>
    </xf>
    <xf numFmtId="0" fontId="0" fillId="5" borderId="0" xfId="0" applyFill="1"/>
    <xf numFmtId="0" fontId="3" fillId="5" borderId="0" xfId="0" applyFont="1" applyFill="1"/>
    <xf numFmtId="165" fontId="0" fillId="5" borderId="0" xfId="0" applyNumberFormat="1" applyFill="1" applyAlignment="1">
      <alignment horizontal="center"/>
    </xf>
    <xf numFmtId="0" fontId="0" fillId="5" borderId="0" xfId="0" applyFill="1" applyAlignment="1">
      <alignment wrapText="1"/>
    </xf>
    <xf numFmtId="0" fontId="4" fillId="0" borderId="0" xfId="0" applyFont="1"/>
    <xf numFmtId="0" fontId="0" fillId="0" borderId="0" xfId="0" applyFill="1" applyAlignment="1">
      <alignment wrapText="1"/>
    </xf>
    <xf numFmtId="0" fontId="0" fillId="0" borderId="0" xfId="0" applyFill="1" applyAlignment="1">
      <alignment vertical="center"/>
    </xf>
    <xf numFmtId="1" fontId="0" fillId="0" borderId="0" xfId="0" applyNumberFormat="1" applyFill="1" applyAlignment="1">
      <alignment vertical="center"/>
    </xf>
    <xf numFmtId="1" fontId="3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3D5E5"/>
      <color rgb="FFBAECEC"/>
      <color rgb="FFF1D3E8"/>
      <color rgb="FFA1DCDB"/>
      <color rgb="FFAADEDE"/>
      <color rgb="FFB6E7EC"/>
      <color rgb="FFC0E5EE"/>
      <color rgb="FFC8E8F0"/>
      <color rgb="FFC6E6F2"/>
      <color rgb="FF96D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Personnalisé 11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99AD5"/>
      </a:accent1>
      <a:accent2>
        <a:srgbClr val="DB91DB"/>
      </a:accent2>
      <a:accent3>
        <a:srgbClr val="E57F86"/>
      </a:accent3>
      <a:accent4>
        <a:srgbClr val="F49D6C"/>
      </a:accent4>
      <a:accent5>
        <a:srgbClr val="8FD5D9"/>
      </a:accent5>
      <a:accent6>
        <a:srgbClr val="BFBFBF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7D51F-0ADB-4567-8407-7D86EEC4B6A1}">
  <dimension ref="A1:BL196"/>
  <sheetViews>
    <sheetView tabSelected="1" topLeftCell="F1" zoomScaleNormal="100" workbookViewId="0">
      <pane ySplit="1" topLeftCell="A2" activePane="bottomLeft" state="frozen"/>
      <selection pane="bottomLeft" activeCell="P5" sqref="P5"/>
    </sheetView>
  </sheetViews>
  <sheetFormatPr baseColWidth="10" defaultRowHeight="15" x14ac:dyDescent="0.25"/>
  <cols>
    <col min="1" max="1" width="26.42578125" style="1" customWidth="1"/>
    <col min="2" max="2" width="18.5703125" bestFit="1" customWidth="1"/>
    <col min="3" max="3" width="10.85546875" bestFit="1" customWidth="1"/>
    <col min="4" max="4" width="4.5703125" customWidth="1"/>
    <col min="8" max="9" width="11.42578125" style="5"/>
    <col min="11" max="12" width="11.42578125" style="5"/>
    <col min="14" max="15" width="11.42578125" style="5"/>
    <col min="17" max="18" width="11.42578125" style="5"/>
    <col min="20" max="44" width="11.42578125" style="22"/>
  </cols>
  <sheetData>
    <row r="1" spans="1:64" s="72" customFormat="1" x14ac:dyDescent="0.25">
      <c r="A1" s="75"/>
      <c r="E1" s="72" t="s">
        <v>155</v>
      </c>
      <c r="F1" s="72" t="s">
        <v>12</v>
      </c>
      <c r="G1" s="72" t="s">
        <v>13</v>
      </c>
      <c r="H1" s="73" t="s">
        <v>27</v>
      </c>
      <c r="I1" s="73" t="s">
        <v>26</v>
      </c>
      <c r="J1" s="72" t="s">
        <v>15</v>
      </c>
      <c r="K1" s="73" t="s">
        <v>28</v>
      </c>
      <c r="L1" s="73" t="s">
        <v>29</v>
      </c>
      <c r="M1" s="72" t="s">
        <v>14</v>
      </c>
      <c r="N1" s="73" t="s">
        <v>30</v>
      </c>
      <c r="O1" s="73" t="s">
        <v>31</v>
      </c>
      <c r="P1" s="72" t="s">
        <v>16</v>
      </c>
      <c r="Q1" s="73" t="s">
        <v>32</v>
      </c>
      <c r="R1" s="73" t="s">
        <v>33</v>
      </c>
      <c r="S1" s="72" t="s">
        <v>17</v>
      </c>
    </row>
    <row r="3" spans="1:64" s="7" customFormat="1" x14ac:dyDescent="0.25">
      <c r="A3" s="34" t="s">
        <v>8</v>
      </c>
      <c r="B3" s="32" t="s">
        <v>4</v>
      </c>
      <c r="C3" s="32"/>
      <c r="D3" s="32"/>
      <c r="E3" s="58">
        <f>E6+E50+E93+E137</f>
        <v>24822.3</v>
      </c>
      <c r="F3" s="58">
        <f>F6+F50+F93+F137</f>
        <v>22157.25</v>
      </c>
      <c r="G3" s="58">
        <f>G6+G50+G93+G137</f>
        <v>8052.75</v>
      </c>
      <c r="H3" s="59">
        <f>H6+H50+H93+H137</f>
        <v>8290.25</v>
      </c>
      <c r="I3" s="59">
        <f>I6+I50+I93+I137</f>
        <v>7810.93</v>
      </c>
      <c r="J3" s="58">
        <f>J6+J50+J93+J137</f>
        <v>20045.370000000003</v>
      </c>
      <c r="K3" s="59">
        <f>K6+K50+K93+K137</f>
        <v>20831.36</v>
      </c>
      <c r="L3" s="59">
        <f>L6+L50+L93+L137</f>
        <v>19698.91</v>
      </c>
      <c r="M3" s="58">
        <f>M6+M50+M93+M137</f>
        <v>7246.32</v>
      </c>
      <c r="N3" s="59">
        <f>N6+N50+N93+N137</f>
        <v>8044.01</v>
      </c>
      <c r="O3" s="59">
        <f>O6+O50+O93+O137</f>
        <v>6648.0500000000011</v>
      </c>
      <c r="P3" s="58">
        <f>P6+P50+P93+P137</f>
        <v>20646.95</v>
      </c>
      <c r="Q3" s="59">
        <f>Q6+Q50+Q93+Q137</f>
        <v>20815.989999999998</v>
      </c>
      <c r="R3" s="59">
        <f>R6+R50+R93+R137</f>
        <v>20477.900000000001</v>
      </c>
      <c r="S3" s="58">
        <f>S6+S50+S93+S137</f>
        <v>2319.3000000000002</v>
      </c>
      <c r="T3" s="46"/>
      <c r="U3" s="46"/>
      <c r="V3" s="46"/>
      <c r="W3" s="46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</row>
    <row r="4" spans="1:64" x14ac:dyDescent="0.25">
      <c r="A4" s="38" t="s">
        <v>10</v>
      </c>
      <c r="B4" t="s">
        <v>182</v>
      </c>
      <c r="C4" t="s">
        <v>122</v>
      </c>
      <c r="E4" s="37"/>
      <c r="F4" s="37">
        <f>($E3-F3)/$E3*100</f>
        <v>10.736515149683951</v>
      </c>
      <c r="G4" s="37">
        <f t="shared" ref="G4:S4" si="0">($E3-G3)/$E3*100</f>
        <v>67.55840514376186</v>
      </c>
      <c r="H4" s="37">
        <f t="shared" si="0"/>
        <v>66.60160420267259</v>
      </c>
      <c r="I4" s="37">
        <f t="shared" si="0"/>
        <v>68.532609790390083</v>
      </c>
      <c r="J4" s="37">
        <f t="shared" si="0"/>
        <v>19.244509976915904</v>
      </c>
      <c r="K4" s="37">
        <f t="shared" si="0"/>
        <v>16.078042727708546</v>
      </c>
      <c r="L4" s="37">
        <f t="shared" si="0"/>
        <v>20.640271046599228</v>
      </c>
      <c r="M4" s="37">
        <f t="shared" si="0"/>
        <v>70.807217703436024</v>
      </c>
      <c r="N4" s="37">
        <f t="shared" si="0"/>
        <v>67.593615418393952</v>
      </c>
      <c r="O4" s="37">
        <f t="shared" si="0"/>
        <v>73.217429488806445</v>
      </c>
      <c r="P4" s="37">
        <f t="shared" si="0"/>
        <v>16.820963407903371</v>
      </c>
      <c r="Q4" s="37">
        <f t="shared" si="0"/>
        <v>16.139962855980315</v>
      </c>
      <c r="R4" s="37">
        <f t="shared" si="0"/>
        <v>17.502004246181851</v>
      </c>
      <c r="S4" s="37">
        <f t="shared" si="0"/>
        <v>90.656385588764948</v>
      </c>
      <c r="T4" s="46"/>
      <c r="U4" s="46"/>
      <c r="V4" s="46"/>
      <c r="W4" s="46"/>
    </row>
    <row r="5" spans="1:64" x14ac:dyDescent="0.25">
      <c r="A5" s="38"/>
      <c r="E5" s="37"/>
      <c r="F5" s="37"/>
      <c r="G5" s="37"/>
      <c r="H5" s="61"/>
      <c r="I5" s="61"/>
      <c r="J5" s="37"/>
      <c r="K5" s="61"/>
      <c r="L5" s="61"/>
      <c r="M5" s="37"/>
      <c r="N5" s="61"/>
      <c r="O5" s="61"/>
      <c r="P5" s="37"/>
      <c r="Q5" s="61"/>
      <c r="R5" s="61"/>
      <c r="S5" s="37"/>
      <c r="T5" s="46"/>
      <c r="U5" s="46"/>
      <c r="V5" s="46"/>
      <c r="W5" s="46"/>
    </row>
    <row r="6" spans="1:64" s="7" customFormat="1" x14ac:dyDescent="0.25">
      <c r="A6" s="56"/>
      <c r="B6" s="11" t="s">
        <v>107</v>
      </c>
      <c r="C6" s="11" t="s">
        <v>4</v>
      </c>
      <c r="D6" s="11"/>
      <c r="E6" s="53">
        <f>E22+E36</f>
        <v>22362.27</v>
      </c>
      <c r="F6" s="53">
        <f>F22+F36</f>
        <v>19697.22</v>
      </c>
      <c r="G6" s="53">
        <f>G22+G36</f>
        <v>5592.7199999999993</v>
      </c>
      <c r="H6" s="62">
        <f>H22+H36</f>
        <v>5830.2199999999993</v>
      </c>
      <c r="I6" s="62">
        <f>I22+I36</f>
        <v>5350.9</v>
      </c>
      <c r="J6" s="53">
        <f>J22+J36</f>
        <v>17585.340000000004</v>
      </c>
      <c r="K6" s="62">
        <f>K22+K36</f>
        <v>18371.330000000002</v>
      </c>
      <c r="L6" s="62">
        <f>L22+L36</f>
        <v>17238.88</v>
      </c>
      <c r="M6" s="53">
        <f>M22+M36</f>
        <v>0</v>
      </c>
      <c r="N6" s="62">
        <f>N22+N36</f>
        <v>0</v>
      </c>
      <c r="O6" s="62">
        <f>O22+O36</f>
        <v>0</v>
      </c>
      <c r="P6" s="53">
        <f>P22+P36</f>
        <v>19708.47</v>
      </c>
      <c r="Q6" s="62">
        <f>Q22+Q36</f>
        <v>19708.47</v>
      </c>
      <c r="R6" s="62">
        <f>R22+R36</f>
        <v>19708.47</v>
      </c>
      <c r="S6" s="53">
        <f>S22+S36</f>
        <v>0</v>
      </c>
      <c r="T6" s="46"/>
      <c r="U6" s="46"/>
      <c r="V6" s="46"/>
      <c r="W6" s="46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</row>
    <row r="7" spans="1:64" x14ac:dyDescent="0.25">
      <c r="A7" s="38" t="s">
        <v>10</v>
      </c>
      <c r="B7" t="s">
        <v>182</v>
      </c>
      <c r="C7" t="s">
        <v>122</v>
      </c>
      <c r="E7" s="37"/>
      <c r="F7" s="37">
        <f>($E6-F6)/$E6*100</f>
        <v>11.917618381318173</v>
      </c>
      <c r="G7" s="37">
        <f t="shared" ref="G7" si="1">($E6-G6)/$E6*100</f>
        <v>74.990374411900049</v>
      </c>
      <c r="H7" s="37">
        <f t="shared" ref="H7" si="2">($E6-H6)/$E6*100</f>
        <v>73.928317652903758</v>
      </c>
      <c r="I7" s="37">
        <f t="shared" ref="I7" si="3">($E6-I6)/$E6*100</f>
        <v>76.071749424365237</v>
      </c>
      <c r="J7" s="37">
        <f t="shared" ref="J7" si="4">($E6-J6)/$E6*100</f>
        <v>21.361561236851163</v>
      </c>
      <c r="K7" s="37">
        <f t="shared" ref="K7" si="5">($E6-K6)/$E6*100</f>
        <v>17.846757059994349</v>
      </c>
      <c r="L7" s="37">
        <f t="shared" ref="L7" si="6">($E6-L6)/$E6*100</f>
        <v>22.9108672777853</v>
      </c>
      <c r="M7" s="37">
        <f t="shared" ref="M7" si="7">($E6-M6)/$E6*100</f>
        <v>100</v>
      </c>
      <c r="N7" s="37">
        <f t="shared" ref="N7" si="8">($E6-N6)/$E6*100</f>
        <v>100</v>
      </c>
      <c r="O7" s="37">
        <f t="shared" ref="O7" si="9">($E6-O6)/$E6*100</f>
        <v>100</v>
      </c>
      <c r="P7" s="37">
        <f t="shared" ref="P7" si="10">($E6-P6)/$E6*100</f>
        <v>11.867310429576243</v>
      </c>
      <c r="Q7" s="37">
        <f t="shared" ref="Q7" si="11">($E6-Q6)/$E6*100</f>
        <v>11.867310429576243</v>
      </c>
      <c r="R7" s="37">
        <f t="shared" ref="R7" si="12">($E6-R6)/$E6*100</f>
        <v>11.867310429576243</v>
      </c>
      <c r="S7" s="37">
        <f t="shared" ref="S7" si="13">($E6-S6)/$E6*100</f>
        <v>100</v>
      </c>
      <c r="T7" s="46"/>
      <c r="U7" s="46"/>
      <c r="V7" s="46"/>
      <c r="W7" s="46"/>
    </row>
    <row r="8" spans="1:64" s="22" customFormat="1" x14ac:dyDescent="0.25">
      <c r="A8" s="81"/>
      <c r="B8" s="22" t="s">
        <v>207</v>
      </c>
      <c r="C8" s="22" t="s">
        <v>122</v>
      </c>
      <c r="E8" s="46">
        <f>E6/E$3*100</f>
        <v>90.08943570901971</v>
      </c>
      <c r="F8" s="46">
        <f t="shared" ref="F8:S8" si="14">F6/F$3*100</f>
        <v>88.897403784314406</v>
      </c>
      <c r="G8" s="46">
        <f t="shared" si="14"/>
        <v>69.451057092297646</v>
      </c>
      <c r="H8" s="46">
        <f t="shared" si="14"/>
        <v>70.326226591477933</v>
      </c>
      <c r="I8" s="46">
        <f t="shared" si="14"/>
        <v>68.505286822439828</v>
      </c>
      <c r="J8" s="46">
        <f t="shared" si="14"/>
        <v>87.727689735834275</v>
      </c>
      <c r="K8" s="46">
        <f t="shared" si="14"/>
        <v>88.190737426649051</v>
      </c>
      <c r="L8" s="46">
        <f t="shared" si="14"/>
        <v>87.511847102200079</v>
      </c>
      <c r="M8" s="46">
        <f t="shared" si="14"/>
        <v>0</v>
      </c>
      <c r="N8" s="46">
        <f t="shared" si="14"/>
        <v>0</v>
      </c>
      <c r="O8" s="46">
        <f t="shared" si="14"/>
        <v>0</v>
      </c>
      <c r="P8" s="46">
        <f t="shared" si="14"/>
        <v>95.454631313583846</v>
      </c>
      <c r="Q8" s="46">
        <f t="shared" si="14"/>
        <v>94.679474769155846</v>
      </c>
      <c r="R8" s="46">
        <f t="shared" si="14"/>
        <v>96.242632301163695</v>
      </c>
      <c r="S8" s="46">
        <f t="shared" si="14"/>
        <v>0</v>
      </c>
      <c r="T8" s="46"/>
      <c r="U8" s="46"/>
      <c r="V8" s="46"/>
      <c r="W8" s="46"/>
    </row>
    <row r="9" spans="1:64" x14ac:dyDescent="0.25">
      <c r="A9" s="38"/>
      <c r="C9" t="s">
        <v>169</v>
      </c>
      <c r="E9" s="37">
        <f t="shared" ref="E9:E20" si="15">E23+E37</f>
        <v>3896.69</v>
      </c>
      <c r="F9" s="37">
        <f t="shared" ref="F9:R9" si="16">F23+F37</f>
        <v>3489.64</v>
      </c>
      <c r="G9" s="37">
        <f t="shared" si="16"/>
        <v>911.67</v>
      </c>
      <c r="H9" s="61">
        <f t="shared" si="16"/>
        <v>962.61000000000013</v>
      </c>
      <c r="I9" s="61">
        <f t="shared" si="16"/>
        <v>858.98</v>
      </c>
      <c r="J9" s="37">
        <f t="shared" si="16"/>
        <v>3174.7</v>
      </c>
      <c r="K9" s="61">
        <f t="shared" si="16"/>
        <v>3307.65</v>
      </c>
      <c r="L9" s="61">
        <f t="shared" si="16"/>
        <v>3115.69</v>
      </c>
      <c r="M9" s="37"/>
      <c r="N9" s="61"/>
      <c r="O9" s="61"/>
      <c r="P9" s="37">
        <f t="shared" si="16"/>
        <v>3489.5499999999997</v>
      </c>
      <c r="Q9" s="61">
        <f t="shared" si="16"/>
        <v>3489.5499999999997</v>
      </c>
      <c r="R9" s="61">
        <f t="shared" si="16"/>
        <v>3489.5499999999997</v>
      </c>
      <c r="S9" s="37"/>
      <c r="T9" s="46"/>
      <c r="U9" s="46"/>
      <c r="V9" s="46"/>
      <c r="W9" s="46"/>
    </row>
    <row r="10" spans="1:64" x14ac:dyDescent="0.25">
      <c r="A10" s="4"/>
      <c r="C10" t="s">
        <v>170</v>
      </c>
      <c r="E10" s="37">
        <f t="shared" si="15"/>
        <v>3044.27</v>
      </c>
      <c r="F10" s="37">
        <f t="shared" ref="F10:L20" si="17">F24+F38</f>
        <v>2705.87</v>
      </c>
      <c r="G10" s="37">
        <f t="shared" si="17"/>
        <v>674.44</v>
      </c>
      <c r="H10" s="61">
        <f t="shared" si="17"/>
        <v>712.38</v>
      </c>
      <c r="I10" s="61">
        <f t="shared" si="17"/>
        <v>634.87</v>
      </c>
      <c r="J10" s="37">
        <f t="shared" si="17"/>
        <v>2442.98</v>
      </c>
      <c r="K10" s="61">
        <f t="shared" si="17"/>
        <v>2550.12</v>
      </c>
      <c r="L10" s="61">
        <f t="shared" si="17"/>
        <v>2395.3599999999997</v>
      </c>
      <c r="M10" s="37"/>
      <c r="N10" s="61"/>
      <c r="O10" s="61"/>
      <c r="P10" s="37">
        <f t="shared" ref="P10:R20" si="18">P24+P38</f>
        <v>2715.88</v>
      </c>
      <c r="Q10" s="61">
        <f t="shared" si="18"/>
        <v>2715.88</v>
      </c>
      <c r="R10" s="61">
        <f t="shared" si="18"/>
        <v>2715.88</v>
      </c>
      <c r="S10" s="37"/>
      <c r="T10" s="46"/>
      <c r="U10" s="46"/>
      <c r="V10" s="46"/>
      <c r="W10" s="46"/>
    </row>
    <row r="11" spans="1:64" x14ac:dyDescent="0.25">
      <c r="A11" s="38"/>
      <c r="C11" t="s">
        <v>44</v>
      </c>
      <c r="E11" s="37">
        <f t="shared" si="15"/>
        <v>2823.12</v>
      </c>
      <c r="F11" s="37">
        <f t="shared" si="17"/>
        <v>2478.7200000000003</v>
      </c>
      <c r="G11" s="37">
        <f t="shared" si="17"/>
        <v>591.37</v>
      </c>
      <c r="H11" s="61">
        <f t="shared" si="17"/>
        <v>625.41999999999996</v>
      </c>
      <c r="I11" s="61">
        <f t="shared" si="17"/>
        <v>556.26</v>
      </c>
      <c r="J11" s="37">
        <f t="shared" si="17"/>
        <v>2184.5299999999997</v>
      </c>
      <c r="K11" s="61">
        <f t="shared" si="17"/>
        <v>2291.87</v>
      </c>
      <c r="L11" s="61">
        <f t="shared" si="17"/>
        <v>2137.27</v>
      </c>
      <c r="M11" s="37"/>
      <c r="N11" s="61"/>
      <c r="O11" s="61"/>
      <c r="P11" s="37">
        <f t="shared" si="18"/>
        <v>2478.9700000000003</v>
      </c>
      <c r="Q11" s="61">
        <f t="shared" si="18"/>
        <v>2478.9700000000003</v>
      </c>
      <c r="R11" s="61">
        <f t="shared" si="18"/>
        <v>2478.9700000000003</v>
      </c>
      <c r="S11" s="37"/>
      <c r="T11" s="46"/>
      <c r="U11" s="46"/>
      <c r="V11" s="46"/>
      <c r="W11" s="46"/>
    </row>
    <row r="12" spans="1:64" x14ac:dyDescent="0.25">
      <c r="C12" t="s">
        <v>171</v>
      </c>
      <c r="E12" s="37">
        <f t="shared" si="15"/>
        <v>1929.6399999999999</v>
      </c>
      <c r="F12" s="37">
        <f t="shared" si="17"/>
        <v>1659.88</v>
      </c>
      <c r="G12" s="37">
        <f t="shared" si="17"/>
        <v>336.65999999999997</v>
      </c>
      <c r="H12" s="61">
        <f t="shared" si="17"/>
        <v>347.59000000000003</v>
      </c>
      <c r="I12" s="61">
        <f t="shared" si="17"/>
        <v>325.78999999999996</v>
      </c>
      <c r="J12" s="37">
        <f t="shared" si="17"/>
        <v>1392.88</v>
      </c>
      <c r="K12" s="61">
        <f t="shared" si="17"/>
        <v>1476.69</v>
      </c>
      <c r="L12" s="61">
        <f t="shared" si="17"/>
        <v>1356.2399999999998</v>
      </c>
      <c r="M12" s="37"/>
      <c r="N12" s="61"/>
      <c r="O12" s="61"/>
      <c r="P12" s="37">
        <f t="shared" si="18"/>
        <v>1660.3000000000002</v>
      </c>
      <c r="Q12" s="61">
        <f t="shared" si="18"/>
        <v>1660.3000000000002</v>
      </c>
      <c r="R12" s="61">
        <f t="shared" si="18"/>
        <v>1660.3000000000002</v>
      </c>
      <c r="S12" s="37"/>
      <c r="T12" s="46"/>
      <c r="U12" s="46"/>
      <c r="V12" s="46"/>
      <c r="W12" s="46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</row>
    <row r="13" spans="1:64" x14ac:dyDescent="0.25">
      <c r="A13"/>
      <c r="C13" t="s">
        <v>35</v>
      </c>
      <c r="E13" s="37">
        <f t="shared" si="15"/>
        <v>1016.23</v>
      </c>
      <c r="F13" s="37">
        <f t="shared" si="17"/>
        <v>863.75</v>
      </c>
      <c r="G13" s="37">
        <f t="shared" si="17"/>
        <v>271.45999999999998</v>
      </c>
      <c r="H13" s="61">
        <f t="shared" si="17"/>
        <v>275.14000000000004</v>
      </c>
      <c r="I13" s="61">
        <f t="shared" si="17"/>
        <v>285.49</v>
      </c>
      <c r="J13" s="37">
        <f t="shared" si="17"/>
        <v>731.84999999999991</v>
      </c>
      <c r="K13" s="61">
        <f t="shared" si="17"/>
        <v>770.83999999999992</v>
      </c>
      <c r="L13" s="61">
        <f t="shared" si="17"/>
        <v>715.41</v>
      </c>
      <c r="M13" s="37"/>
      <c r="N13" s="61"/>
      <c r="O13" s="61"/>
      <c r="P13" s="37">
        <f t="shared" si="18"/>
        <v>864.06</v>
      </c>
      <c r="Q13" s="61">
        <f t="shared" si="18"/>
        <v>864.06</v>
      </c>
      <c r="R13" s="61">
        <f t="shared" si="18"/>
        <v>864.06</v>
      </c>
      <c r="S13" s="37"/>
      <c r="T13" s="46"/>
      <c r="U13" s="46"/>
      <c r="V13" s="46"/>
      <c r="W13" s="46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</row>
    <row r="14" spans="1:64" x14ac:dyDescent="0.25">
      <c r="A14"/>
      <c r="C14" t="s">
        <v>36</v>
      </c>
      <c r="E14" s="37">
        <f t="shared" si="15"/>
        <v>395.07</v>
      </c>
      <c r="F14" s="37">
        <f t="shared" si="17"/>
        <v>352.32</v>
      </c>
      <c r="G14" s="37">
        <f t="shared" si="17"/>
        <v>254.48</v>
      </c>
      <c r="H14" s="61">
        <f t="shared" si="17"/>
        <v>257.08999999999997</v>
      </c>
      <c r="I14" s="61">
        <f t="shared" si="17"/>
        <v>249.66</v>
      </c>
      <c r="J14" s="37">
        <f t="shared" si="17"/>
        <v>330.39</v>
      </c>
      <c r="K14" s="61">
        <f t="shared" si="17"/>
        <v>337.07</v>
      </c>
      <c r="L14" s="61">
        <f t="shared" si="17"/>
        <v>327.77</v>
      </c>
      <c r="M14" s="37"/>
      <c r="N14" s="61"/>
      <c r="O14" s="61"/>
      <c r="P14" s="37">
        <f t="shared" si="18"/>
        <v>352.46</v>
      </c>
      <c r="Q14" s="61">
        <f t="shared" si="18"/>
        <v>352.46</v>
      </c>
      <c r="R14" s="61">
        <f t="shared" si="18"/>
        <v>352.46</v>
      </c>
      <c r="S14" s="37"/>
      <c r="T14" s="46"/>
      <c r="U14" s="46"/>
      <c r="V14" s="46"/>
      <c r="W14" s="46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</row>
    <row r="15" spans="1:64" x14ac:dyDescent="0.25">
      <c r="A15"/>
      <c r="C15" t="s">
        <v>172</v>
      </c>
      <c r="E15" s="37">
        <f t="shared" si="15"/>
        <v>316.10000000000002</v>
      </c>
      <c r="F15" s="37">
        <f t="shared" si="17"/>
        <v>294.47000000000003</v>
      </c>
      <c r="G15" s="37">
        <f t="shared" si="17"/>
        <v>255.17</v>
      </c>
      <c r="H15" s="61">
        <f t="shared" si="17"/>
        <v>257.77999999999997</v>
      </c>
      <c r="I15" s="61">
        <f t="shared" si="17"/>
        <v>250.35</v>
      </c>
      <c r="J15" s="37">
        <f t="shared" si="17"/>
        <v>287.84000000000003</v>
      </c>
      <c r="K15" s="61">
        <f t="shared" si="17"/>
        <v>290.04000000000002</v>
      </c>
      <c r="L15" s="61">
        <f t="shared" si="17"/>
        <v>286.94</v>
      </c>
      <c r="M15" s="37"/>
      <c r="N15" s="61"/>
      <c r="O15" s="61"/>
      <c r="P15" s="37">
        <f t="shared" si="18"/>
        <v>294.51</v>
      </c>
      <c r="Q15" s="61">
        <f t="shared" si="18"/>
        <v>294.51</v>
      </c>
      <c r="R15" s="61">
        <f t="shared" si="18"/>
        <v>294.51</v>
      </c>
      <c r="S15" s="37"/>
      <c r="T15" s="46"/>
      <c r="U15" s="46"/>
      <c r="V15" s="46"/>
      <c r="W15" s="46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</row>
    <row r="16" spans="1:64" x14ac:dyDescent="0.25">
      <c r="A16"/>
      <c r="C16" t="s">
        <v>38</v>
      </c>
      <c r="E16" s="37">
        <f t="shared" si="15"/>
        <v>374.26000000000005</v>
      </c>
      <c r="F16" s="37">
        <f t="shared" si="17"/>
        <v>335.84000000000003</v>
      </c>
      <c r="G16" s="37">
        <f t="shared" si="17"/>
        <v>268.52999999999997</v>
      </c>
      <c r="H16" s="61">
        <f t="shared" si="17"/>
        <v>271.27999999999997</v>
      </c>
      <c r="I16" s="61">
        <f t="shared" si="17"/>
        <v>263.44</v>
      </c>
      <c r="J16" s="37">
        <f t="shared" si="17"/>
        <v>319.97000000000003</v>
      </c>
      <c r="K16" s="61">
        <f t="shared" si="17"/>
        <v>324.78000000000003</v>
      </c>
      <c r="L16" s="61">
        <f t="shared" si="17"/>
        <v>318.08000000000004</v>
      </c>
      <c r="M16" s="37"/>
      <c r="N16" s="61"/>
      <c r="O16" s="61"/>
      <c r="P16" s="37">
        <f t="shared" si="18"/>
        <v>335.86</v>
      </c>
      <c r="Q16" s="61">
        <f t="shared" si="18"/>
        <v>335.86</v>
      </c>
      <c r="R16" s="61">
        <f t="shared" si="18"/>
        <v>335.86</v>
      </c>
      <c r="S16" s="37"/>
      <c r="T16" s="46"/>
      <c r="U16" s="46"/>
      <c r="V16" s="46"/>
      <c r="W16" s="46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</row>
    <row r="17" spans="1:64" x14ac:dyDescent="0.25">
      <c r="A17"/>
      <c r="C17" t="s">
        <v>192</v>
      </c>
      <c r="E17" s="37">
        <f t="shared" si="15"/>
        <v>593.44000000000005</v>
      </c>
      <c r="F17" s="37">
        <f t="shared" si="17"/>
        <v>487.58</v>
      </c>
      <c r="G17" s="37">
        <f t="shared" si="17"/>
        <v>252.99</v>
      </c>
      <c r="H17" s="61">
        <f t="shared" si="17"/>
        <v>256.04000000000002</v>
      </c>
      <c r="I17" s="61">
        <f t="shared" si="17"/>
        <v>247.63</v>
      </c>
      <c r="J17" s="37">
        <f t="shared" si="17"/>
        <v>427.03</v>
      </c>
      <c r="K17" s="61">
        <f t="shared" si="17"/>
        <v>445.44999999999993</v>
      </c>
      <c r="L17" s="61">
        <f t="shared" si="17"/>
        <v>418.78</v>
      </c>
      <c r="M17" s="37"/>
      <c r="N17" s="61"/>
      <c r="O17" s="61"/>
      <c r="P17" s="37">
        <f t="shared" si="18"/>
        <v>487.77</v>
      </c>
      <c r="Q17" s="61">
        <f t="shared" si="18"/>
        <v>487.77</v>
      </c>
      <c r="R17" s="61">
        <f t="shared" si="18"/>
        <v>487.77</v>
      </c>
      <c r="S17" s="37"/>
      <c r="T17" s="46"/>
      <c r="U17" s="46"/>
      <c r="V17" s="46"/>
      <c r="W17" s="46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</row>
    <row r="18" spans="1:64" x14ac:dyDescent="0.25">
      <c r="A18"/>
      <c r="C18" t="s">
        <v>173</v>
      </c>
      <c r="E18" s="37">
        <f t="shared" si="15"/>
        <v>1676.6200000000001</v>
      </c>
      <c r="F18" s="37">
        <f t="shared" si="17"/>
        <v>1421.26</v>
      </c>
      <c r="G18" s="37">
        <f t="shared" si="17"/>
        <v>344.98</v>
      </c>
      <c r="H18" s="61">
        <f t="shared" si="17"/>
        <v>354.52</v>
      </c>
      <c r="I18" s="61">
        <f t="shared" si="17"/>
        <v>331.88</v>
      </c>
      <c r="J18" s="37">
        <f t="shared" si="17"/>
        <v>1226.31</v>
      </c>
      <c r="K18" s="61">
        <f t="shared" si="17"/>
        <v>1293.01</v>
      </c>
      <c r="L18" s="61">
        <f t="shared" si="17"/>
        <v>1198.3699999999999</v>
      </c>
      <c r="M18" s="37"/>
      <c r="N18" s="61"/>
      <c r="O18" s="61"/>
      <c r="P18" s="37">
        <f t="shared" si="18"/>
        <v>1421.3600000000001</v>
      </c>
      <c r="Q18" s="61">
        <f t="shared" si="18"/>
        <v>1421.3600000000001</v>
      </c>
      <c r="R18" s="61">
        <f t="shared" si="18"/>
        <v>1421.3600000000001</v>
      </c>
      <c r="S18" s="37"/>
      <c r="T18" s="46"/>
      <c r="U18" s="46"/>
      <c r="V18" s="46"/>
      <c r="W18" s="46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</row>
    <row r="19" spans="1:64" x14ac:dyDescent="0.25">
      <c r="A19"/>
      <c r="C19" t="s">
        <v>174</v>
      </c>
      <c r="E19" s="37">
        <f t="shared" si="15"/>
        <v>2642.64</v>
      </c>
      <c r="F19" s="37">
        <f t="shared" si="17"/>
        <v>2344.38</v>
      </c>
      <c r="G19" s="37">
        <f t="shared" si="17"/>
        <v>559.41</v>
      </c>
      <c r="H19" s="61">
        <f t="shared" si="17"/>
        <v>591.44000000000005</v>
      </c>
      <c r="I19" s="61">
        <f t="shared" si="17"/>
        <v>525.25</v>
      </c>
      <c r="J19" s="37">
        <f t="shared" si="17"/>
        <v>2101.88</v>
      </c>
      <c r="K19" s="61">
        <f t="shared" si="17"/>
        <v>2195.8199999999997</v>
      </c>
      <c r="L19" s="61">
        <f t="shared" si="17"/>
        <v>2059.64</v>
      </c>
      <c r="M19" s="37"/>
      <c r="N19" s="61"/>
      <c r="O19" s="61"/>
      <c r="P19" s="37">
        <f t="shared" si="18"/>
        <v>2344.33</v>
      </c>
      <c r="Q19" s="61">
        <f t="shared" si="18"/>
        <v>2344.33</v>
      </c>
      <c r="R19" s="61">
        <f t="shared" si="18"/>
        <v>2344.33</v>
      </c>
      <c r="S19" s="37"/>
      <c r="T19" s="46"/>
      <c r="U19" s="46"/>
      <c r="V19" s="46"/>
      <c r="W19" s="46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</row>
    <row r="20" spans="1:64" x14ac:dyDescent="0.25">
      <c r="A20"/>
      <c r="C20" t="s">
        <v>175</v>
      </c>
      <c r="E20" s="37">
        <f t="shared" si="15"/>
        <v>3654.1899999999996</v>
      </c>
      <c r="F20" s="37">
        <f t="shared" si="17"/>
        <v>3263.51</v>
      </c>
      <c r="G20" s="37">
        <f t="shared" si="17"/>
        <v>871.56000000000006</v>
      </c>
      <c r="H20" s="61">
        <f t="shared" si="17"/>
        <v>918.93</v>
      </c>
      <c r="I20" s="61">
        <f t="shared" si="17"/>
        <v>821.3</v>
      </c>
      <c r="J20" s="37">
        <f t="shared" si="17"/>
        <v>2964.9800000000005</v>
      </c>
      <c r="K20" s="61">
        <f t="shared" si="17"/>
        <v>3087.99</v>
      </c>
      <c r="L20" s="61">
        <f t="shared" si="17"/>
        <v>2909.33</v>
      </c>
      <c r="M20" s="37"/>
      <c r="N20" s="61"/>
      <c r="O20" s="61"/>
      <c r="P20" s="37">
        <f t="shared" si="18"/>
        <v>3263.42</v>
      </c>
      <c r="Q20" s="61">
        <f t="shared" si="18"/>
        <v>3263.42</v>
      </c>
      <c r="R20" s="61">
        <f t="shared" si="18"/>
        <v>3263.42</v>
      </c>
      <c r="S20" s="37"/>
      <c r="T20" s="46"/>
      <c r="U20" s="46"/>
      <c r="V20" s="46"/>
      <c r="W20" s="46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</row>
    <row r="21" spans="1:64" x14ac:dyDescent="0.25">
      <c r="A21"/>
      <c r="E21" s="37"/>
      <c r="F21" s="37"/>
      <c r="G21" s="37"/>
      <c r="H21" s="61"/>
      <c r="I21" s="61"/>
      <c r="J21" s="37"/>
      <c r="K21" s="61"/>
      <c r="L21" s="61"/>
      <c r="M21" s="37"/>
      <c r="N21" s="61"/>
      <c r="O21" s="61"/>
      <c r="P21" s="37"/>
      <c r="Q21" s="61"/>
      <c r="R21" s="61"/>
      <c r="S21" s="37"/>
      <c r="T21" s="46"/>
      <c r="U21" s="46"/>
      <c r="V21" s="46"/>
      <c r="W21" s="46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</row>
    <row r="22" spans="1:64" x14ac:dyDescent="0.25">
      <c r="A22" s="39"/>
      <c r="B22" s="7" t="s">
        <v>1</v>
      </c>
      <c r="C22" s="7"/>
      <c r="D22" s="7"/>
      <c r="E22" s="54">
        <f>SUM(E23:E34)</f>
        <v>19051.62</v>
      </c>
      <c r="F22" s="54">
        <f t="shared" ref="F22:S22" si="19">SUM(F23:F34)</f>
        <v>16386.57</v>
      </c>
      <c r="G22" s="54">
        <f t="shared" si="19"/>
        <v>2525.4899999999998</v>
      </c>
      <c r="H22" s="63">
        <f t="shared" si="19"/>
        <v>2731.5800000000004</v>
      </c>
      <c r="I22" s="63">
        <f t="shared" si="19"/>
        <v>2319.9299999999998</v>
      </c>
      <c r="J22" s="54">
        <f t="shared" si="19"/>
        <v>14274.690000000002</v>
      </c>
      <c r="K22" s="63">
        <f t="shared" si="19"/>
        <v>15060.68</v>
      </c>
      <c r="L22" s="63">
        <f t="shared" si="19"/>
        <v>13928.23</v>
      </c>
      <c r="M22" s="54">
        <f t="shared" si="19"/>
        <v>0</v>
      </c>
      <c r="N22" s="63">
        <f t="shared" si="19"/>
        <v>0</v>
      </c>
      <c r="O22" s="63">
        <f t="shared" si="19"/>
        <v>0</v>
      </c>
      <c r="P22" s="54">
        <f t="shared" si="19"/>
        <v>16397.82</v>
      </c>
      <c r="Q22" s="63">
        <f t="shared" si="19"/>
        <v>16397.82</v>
      </c>
      <c r="R22" s="63">
        <f t="shared" si="19"/>
        <v>16397.82</v>
      </c>
      <c r="S22" s="54">
        <f t="shared" si="19"/>
        <v>0</v>
      </c>
      <c r="T22" s="46"/>
      <c r="U22" s="46"/>
      <c r="V22" s="46"/>
      <c r="W22" s="46"/>
    </row>
    <row r="23" spans="1:64" x14ac:dyDescent="0.25">
      <c r="A23" s="4"/>
      <c r="C23" t="s">
        <v>42</v>
      </c>
      <c r="E23" s="37">
        <v>3617.59</v>
      </c>
      <c r="F23" s="37">
        <v>3210.54</v>
      </c>
      <c r="G23" s="37">
        <v>653.16</v>
      </c>
      <c r="H23" s="61">
        <v>701.45</v>
      </c>
      <c r="I23" s="61">
        <v>605.36</v>
      </c>
      <c r="J23" s="37">
        <v>2895.6</v>
      </c>
      <c r="K23" s="61">
        <v>3028.55</v>
      </c>
      <c r="L23" s="61">
        <v>2836.59</v>
      </c>
      <c r="M23" s="37"/>
      <c r="N23" s="61"/>
      <c r="O23" s="61"/>
      <c r="P23" s="37">
        <v>3210.45</v>
      </c>
      <c r="Q23" s="61">
        <v>3210.45</v>
      </c>
      <c r="R23" s="61">
        <v>3210.45</v>
      </c>
      <c r="S23" s="37"/>
      <c r="T23" s="46"/>
      <c r="U23" s="46"/>
      <c r="V23" s="46"/>
      <c r="W23" s="46"/>
    </row>
    <row r="24" spans="1:64" x14ac:dyDescent="0.25">
      <c r="A24" s="38"/>
      <c r="C24" t="s">
        <v>43</v>
      </c>
      <c r="E24" s="37">
        <v>2792.65</v>
      </c>
      <c r="F24" s="37">
        <v>2454.25</v>
      </c>
      <c r="G24" s="37">
        <v>441.38</v>
      </c>
      <c r="H24" s="61">
        <v>476.93</v>
      </c>
      <c r="I24" s="61">
        <v>406.21</v>
      </c>
      <c r="J24" s="37">
        <v>2191.36</v>
      </c>
      <c r="K24" s="61">
        <v>2298.5</v>
      </c>
      <c r="L24" s="61">
        <v>2143.7399999999998</v>
      </c>
      <c r="M24" s="37"/>
      <c r="N24" s="61"/>
      <c r="O24" s="61"/>
      <c r="P24" s="37">
        <v>2464.2600000000002</v>
      </c>
      <c r="Q24" s="61">
        <v>2464.2600000000002</v>
      </c>
      <c r="R24" s="61">
        <v>2464.2600000000002</v>
      </c>
      <c r="S24" s="37"/>
      <c r="T24" s="46"/>
      <c r="U24" s="46"/>
      <c r="V24" s="46"/>
      <c r="W24" s="46"/>
    </row>
    <row r="25" spans="1:64" x14ac:dyDescent="0.25">
      <c r="C25" t="s">
        <v>44</v>
      </c>
      <c r="E25" s="37">
        <v>2540.4</v>
      </c>
      <c r="F25" s="37">
        <v>2196</v>
      </c>
      <c r="G25" s="37">
        <v>329.52</v>
      </c>
      <c r="H25" s="61">
        <v>360.89</v>
      </c>
      <c r="I25" s="61">
        <v>299.36</v>
      </c>
      <c r="J25" s="37">
        <v>1901.81</v>
      </c>
      <c r="K25" s="61">
        <v>2009.15</v>
      </c>
      <c r="L25" s="61">
        <v>1854.55</v>
      </c>
      <c r="M25" s="37"/>
      <c r="N25" s="61"/>
      <c r="O25" s="61"/>
      <c r="P25" s="37">
        <v>2196.25</v>
      </c>
      <c r="Q25" s="61">
        <v>2196.25</v>
      </c>
      <c r="R25" s="61">
        <v>2196.25</v>
      </c>
      <c r="S25" s="37"/>
      <c r="T25" s="46"/>
      <c r="U25" s="46"/>
      <c r="V25" s="46"/>
      <c r="W25" s="46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</row>
    <row r="26" spans="1:64" x14ac:dyDescent="0.25">
      <c r="A26"/>
      <c r="C26" t="s">
        <v>34</v>
      </c>
      <c r="E26" s="37">
        <v>1658.49</v>
      </c>
      <c r="F26" s="37">
        <v>1388.73</v>
      </c>
      <c r="G26" s="37">
        <v>85.52</v>
      </c>
      <c r="H26" s="61">
        <v>93.88</v>
      </c>
      <c r="I26" s="61">
        <v>77.400000000000006</v>
      </c>
      <c r="J26" s="37">
        <v>1121.73</v>
      </c>
      <c r="K26" s="61">
        <v>1205.54</v>
      </c>
      <c r="L26" s="61">
        <v>1085.0899999999999</v>
      </c>
      <c r="M26" s="37"/>
      <c r="N26" s="61"/>
      <c r="O26" s="61"/>
      <c r="P26" s="37">
        <v>1389.15</v>
      </c>
      <c r="Q26" s="61">
        <v>1389.15</v>
      </c>
      <c r="R26" s="61">
        <v>1389.15</v>
      </c>
      <c r="S26" s="37"/>
      <c r="T26" s="46"/>
      <c r="U26" s="46"/>
      <c r="V26" s="46"/>
      <c r="W26" s="46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</row>
    <row r="27" spans="1:64" x14ac:dyDescent="0.25">
      <c r="A27"/>
      <c r="C27" t="s">
        <v>35</v>
      </c>
      <c r="E27" s="37">
        <v>730.89</v>
      </c>
      <c r="F27" s="37">
        <v>578.41</v>
      </c>
      <c r="G27" s="37">
        <v>6.27</v>
      </c>
      <c r="H27" s="61">
        <v>7.23</v>
      </c>
      <c r="I27" s="61">
        <v>5.32</v>
      </c>
      <c r="J27" s="37">
        <v>446.51</v>
      </c>
      <c r="K27" s="61">
        <v>485.5</v>
      </c>
      <c r="L27" s="61">
        <v>430.07</v>
      </c>
      <c r="M27" s="37"/>
      <c r="N27" s="61"/>
      <c r="O27" s="61"/>
      <c r="P27" s="37">
        <v>578.72</v>
      </c>
      <c r="Q27" s="61">
        <v>578.72</v>
      </c>
      <c r="R27" s="61">
        <v>578.72</v>
      </c>
      <c r="S27" s="37"/>
      <c r="T27" s="46"/>
      <c r="U27" s="46"/>
      <c r="V27" s="46"/>
      <c r="W27" s="46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</row>
    <row r="28" spans="1:64" x14ac:dyDescent="0.25">
      <c r="A28"/>
      <c r="C28" t="s">
        <v>36</v>
      </c>
      <c r="E28" s="37">
        <v>120.3</v>
      </c>
      <c r="F28" s="37">
        <v>77.55</v>
      </c>
      <c r="G28" s="37">
        <v>0</v>
      </c>
      <c r="H28" s="61">
        <v>0</v>
      </c>
      <c r="I28" s="61">
        <v>0</v>
      </c>
      <c r="J28" s="37">
        <v>55.62</v>
      </c>
      <c r="K28" s="61">
        <v>62.3</v>
      </c>
      <c r="L28" s="61">
        <v>53</v>
      </c>
      <c r="M28" s="37"/>
      <c r="N28" s="61"/>
      <c r="O28" s="61"/>
      <c r="P28" s="37">
        <v>77.69</v>
      </c>
      <c r="Q28" s="61">
        <v>77.69</v>
      </c>
      <c r="R28" s="61">
        <v>77.69</v>
      </c>
      <c r="S28" s="37"/>
      <c r="T28" s="46"/>
      <c r="U28" s="46"/>
      <c r="V28" s="46"/>
      <c r="W28" s="46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</row>
    <row r="29" spans="1:64" x14ac:dyDescent="0.25">
      <c r="A29"/>
      <c r="C29" t="s">
        <v>37</v>
      </c>
      <c r="E29" s="37">
        <v>40.619999999999997</v>
      </c>
      <c r="F29" s="37">
        <v>18.989999999999998</v>
      </c>
      <c r="G29" s="37">
        <v>0</v>
      </c>
      <c r="H29" s="61">
        <v>0</v>
      </c>
      <c r="I29" s="61">
        <v>0</v>
      </c>
      <c r="J29" s="37">
        <v>12.36</v>
      </c>
      <c r="K29" s="61">
        <v>14.56</v>
      </c>
      <c r="L29" s="61">
        <v>11.46</v>
      </c>
      <c r="M29" s="37"/>
      <c r="N29" s="61"/>
      <c r="O29" s="61"/>
      <c r="P29" s="37">
        <v>19.03</v>
      </c>
      <c r="Q29" s="61">
        <v>19.03</v>
      </c>
      <c r="R29" s="61">
        <v>19.03</v>
      </c>
      <c r="S29" s="37"/>
      <c r="T29" s="46"/>
      <c r="U29" s="46"/>
      <c r="V29" s="46"/>
      <c r="W29" s="46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</row>
    <row r="30" spans="1:64" x14ac:dyDescent="0.25">
      <c r="A30"/>
      <c r="C30" t="s">
        <v>38</v>
      </c>
      <c r="E30" s="37">
        <v>84.29</v>
      </c>
      <c r="F30" s="37">
        <v>45.87</v>
      </c>
      <c r="G30" s="37">
        <v>0</v>
      </c>
      <c r="H30" s="61">
        <v>0</v>
      </c>
      <c r="I30" s="61">
        <v>0</v>
      </c>
      <c r="J30" s="37">
        <v>30</v>
      </c>
      <c r="K30" s="61">
        <v>34.81</v>
      </c>
      <c r="L30" s="61">
        <v>28.11</v>
      </c>
      <c r="M30" s="37"/>
      <c r="N30" s="61"/>
      <c r="O30" s="61"/>
      <c r="P30" s="37">
        <v>45.89</v>
      </c>
      <c r="Q30" s="61">
        <v>45.89</v>
      </c>
      <c r="R30" s="61">
        <v>45.89</v>
      </c>
      <c r="S30" s="37"/>
      <c r="T30" s="46"/>
      <c r="U30" s="46"/>
      <c r="V30" s="46"/>
      <c r="W30" s="46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</row>
    <row r="31" spans="1:64" x14ac:dyDescent="0.25">
      <c r="A31"/>
      <c r="C31" t="s">
        <v>39</v>
      </c>
      <c r="E31" s="37">
        <v>325.91000000000003</v>
      </c>
      <c r="F31" s="37">
        <v>220.05</v>
      </c>
      <c r="G31" s="37">
        <v>5.19</v>
      </c>
      <c r="H31" s="61">
        <v>5.71</v>
      </c>
      <c r="I31" s="61">
        <v>4.51</v>
      </c>
      <c r="J31" s="37">
        <v>159.5</v>
      </c>
      <c r="K31" s="61">
        <v>177.92</v>
      </c>
      <c r="L31" s="61">
        <v>151.25</v>
      </c>
      <c r="M31" s="37"/>
      <c r="N31" s="61"/>
      <c r="O31" s="61"/>
      <c r="P31" s="37">
        <v>220.24</v>
      </c>
      <c r="Q31" s="61">
        <v>220.24</v>
      </c>
      <c r="R31" s="61">
        <v>220.24</v>
      </c>
      <c r="S31" s="37"/>
      <c r="T31" s="46"/>
      <c r="U31" s="46"/>
      <c r="V31" s="46"/>
      <c r="W31" s="46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</row>
    <row r="32" spans="1:64" x14ac:dyDescent="0.25">
      <c r="A32"/>
      <c r="C32" t="s">
        <v>176</v>
      </c>
      <c r="E32" s="37">
        <v>1401.14</v>
      </c>
      <c r="F32" s="37">
        <v>1145.78</v>
      </c>
      <c r="G32" s="37">
        <v>89.81</v>
      </c>
      <c r="H32" s="61">
        <v>96.74</v>
      </c>
      <c r="I32" s="61">
        <v>81.53</v>
      </c>
      <c r="J32" s="37">
        <v>950.83</v>
      </c>
      <c r="K32" s="61">
        <v>1017.53</v>
      </c>
      <c r="L32" s="61">
        <v>922.89</v>
      </c>
      <c r="M32" s="37"/>
      <c r="N32" s="61"/>
      <c r="O32" s="61"/>
      <c r="P32" s="37">
        <v>1145.8800000000001</v>
      </c>
      <c r="Q32" s="61">
        <v>1145.8800000000001</v>
      </c>
      <c r="R32" s="61">
        <v>1145.8800000000001</v>
      </c>
      <c r="S32" s="37"/>
      <c r="T32" s="46"/>
      <c r="U32" s="46"/>
      <c r="V32" s="46"/>
      <c r="W32" s="46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</row>
    <row r="33" spans="1:64" x14ac:dyDescent="0.25">
      <c r="A33"/>
      <c r="C33" t="s">
        <v>40</v>
      </c>
      <c r="E33" s="37">
        <v>2367.87</v>
      </c>
      <c r="F33" s="37">
        <v>2069.61</v>
      </c>
      <c r="G33" s="37">
        <v>304.93</v>
      </c>
      <c r="H33" s="61">
        <v>334.35</v>
      </c>
      <c r="I33" s="61">
        <v>275.58999999999997</v>
      </c>
      <c r="J33" s="37">
        <v>1827.11</v>
      </c>
      <c r="K33" s="61">
        <v>1921.05</v>
      </c>
      <c r="L33" s="61">
        <v>1784.87</v>
      </c>
      <c r="M33" s="37"/>
      <c r="N33" s="61"/>
      <c r="O33" s="61"/>
      <c r="P33" s="37">
        <v>2069.56</v>
      </c>
      <c r="Q33" s="61">
        <v>2069.56</v>
      </c>
      <c r="R33" s="61">
        <v>2069.56</v>
      </c>
      <c r="S33" s="37"/>
      <c r="T33" s="46"/>
      <c r="U33" s="46"/>
      <c r="V33" s="46"/>
      <c r="W33" s="46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</row>
    <row r="34" spans="1:64" x14ac:dyDescent="0.25">
      <c r="A34"/>
      <c r="C34" t="s">
        <v>41</v>
      </c>
      <c r="E34" s="37">
        <v>3371.47</v>
      </c>
      <c r="F34" s="37">
        <v>2980.79</v>
      </c>
      <c r="G34" s="37">
        <v>609.71</v>
      </c>
      <c r="H34" s="61">
        <v>654.4</v>
      </c>
      <c r="I34" s="61">
        <v>564.65</v>
      </c>
      <c r="J34" s="37">
        <v>2682.26</v>
      </c>
      <c r="K34" s="61">
        <v>2805.27</v>
      </c>
      <c r="L34" s="61">
        <v>2626.61</v>
      </c>
      <c r="M34" s="37"/>
      <c r="N34" s="61"/>
      <c r="O34" s="61"/>
      <c r="P34" s="37">
        <v>2980.7</v>
      </c>
      <c r="Q34" s="61">
        <v>2980.7</v>
      </c>
      <c r="R34" s="61">
        <v>2980.7</v>
      </c>
      <c r="S34" s="37"/>
      <c r="T34" s="46"/>
      <c r="U34" s="46"/>
      <c r="V34" s="46"/>
      <c r="W34" s="46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</row>
    <row r="35" spans="1:64" x14ac:dyDescent="0.25">
      <c r="A35"/>
      <c r="E35" s="37"/>
      <c r="F35" s="37"/>
      <c r="G35" s="37"/>
      <c r="H35" s="61"/>
      <c r="I35" s="61"/>
      <c r="J35" s="37"/>
      <c r="K35" s="61"/>
      <c r="L35" s="61"/>
      <c r="M35" s="37"/>
      <c r="N35" s="61"/>
      <c r="O35" s="61"/>
      <c r="P35" s="37"/>
      <c r="Q35" s="61"/>
      <c r="R35" s="61"/>
      <c r="S35" s="37"/>
      <c r="T35" s="46"/>
      <c r="U35" s="46"/>
      <c r="V35" s="46"/>
      <c r="W35" s="46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</row>
    <row r="36" spans="1:64" x14ac:dyDescent="0.25">
      <c r="A36" s="7"/>
      <c r="B36" s="7" t="s">
        <v>2</v>
      </c>
      <c r="C36" s="7"/>
      <c r="D36" s="7"/>
      <c r="E36" s="54">
        <f>SUM(E37:E48)</f>
        <v>3310.6500000000005</v>
      </c>
      <c r="F36" s="54">
        <f t="shared" ref="F36" si="20">SUM(F37:F48)</f>
        <v>3310.6500000000005</v>
      </c>
      <c r="G36" s="54">
        <f t="shared" ref="G36" si="21">SUM(G37:G48)</f>
        <v>3067.23</v>
      </c>
      <c r="H36" s="63">
        <f t="shared" ref="H36" si="22">SUM(H37:H48)</f>
        <v>3098.6399999999994</v>
      </c>
      <c r="I36" s="63">
        <f t="shared" ref="I36" si="23">SUM(I37:I48)</f>
        <v>3030.97</v>
      </c>
      <c r="J36" s="54">
        <f t="shared" ref="J36" si="24">SUM(J37:J48)</f>
        <v>3310.6500000000005</v>
      </c>
      <c r="K36" s="63">
        <f t="shared" ref="K36" si="25">SUM(K37:K48)</f>
        <v>3310.6500000000005</v>
      </c>
      <c r="L36" s="63">
        <f t="shared" ref="L36" si="26">SUM(L37:L48)</f>
        <v>3310.6500000000005</v>
      </c>
      <c r="M36" s="54">
        <f t="shared" ref="M36" si="27">SUM(M37:M48)</f>
        <v>0</v>
      </c>
      <c r="N36" s="63">
        <f t="shared" ref="N36" si="28">SUM(N37:N48)</f>
        <v>0</v>
      </c>
      <c r="O36" s="63">
        <f t="shared" ref="O36" si="29">SUM(O37:O48)</f>
        <v>0</v>
      </c>
      <c r="P36" s="54">
        <f t="shared" ref="P36" si="30">SUM(P37:P48)</f>
        <v>3310.6500000000005</v>
      </c>
      <c r="Q36" s="63">
        <f t="shared" ref="Q36" si="31">SUM(Q37:Q48)</f>
        <v>3310.6500000000005</v>
      </c>
      <c r="R36" s="63">
        <f t="shared" ref="R36" si="32">SUM(R37:R48)</f>
        <v>3310.6500000000005</v>
      </c>
      <c r="S36" s="54">
        <f t="shared" ref="S36" si="33">SUM(S37:S48)</f>
        <v>0</v>
      </c>
      <c r="T36" s="46"/>
      <c r="U36" s="46"/>
      <c r="V36" s="46"/>
      <c r="W36" s="46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</row>
    <row r="37" spans="1:64" x14ac:dyDescent="0.25">
      <c r="A37"/>
      <c r="C37" t="s">
        <v>42</v>
      </c>
      <c r="E37" s="37">
        <v>279.10000000000002</v>
      </c>
      <c r="F37" s="37">
        <v>279.10000000000002</v>
      </c>
      <c r="G37" s="37">
        <v>258.51</v>
      </c>
      <c r="H37" s="61">
        <v>261.16000000000003</v>
      </c>
      <c r="I37" s="61">
        <v>253.62</v>
      </c>
      <c r="J37" s="37">
        <v>279.10000000000002</v>
      </c>
      <c r="K37" s="61">
        <v>279.10000000000002</v>
      </c>
      <c r="L37" s="61">
        <v>279.10000000000002</v>
      </c>
      <c r="M37" s="37"/>
      <c r="N37" s="61"/>
      <c r="O37" s="61"/>
      <c r="P37" s="37">
        <v>279.10000000000002</v>
      </c>
      <c r="Q37" s="61">
        <v>279.10000000000002</v>
      </c>
      <c r="R37" s="61">
        <v>279.10000000000002</v>
      </c>
      <c r="S37" s="37"/>
      <c r="T37" s="46"/>
      <c r="U37" s="46"/>
      <c r="V37" s="46"/>
      <c r="W37" s="46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</row>
    <row r="38" spans="1:64" x14ac:dyDescent="0.25">
      <c r="A38"/>
      <c r="C38" t="s">
        <v>43</v>
      </c>
      <c r="E38" s="37">
        <v>251.62</v>
      </c>
      <c r="F38" s="37">
        <v>251.62</v>
      </c>
      <c r="G38" s="37">
        <v>233.06</v>
      </c>
      <c r="H38" s="61">
        <v>235.45</v>
      </c>
      <c r="I38" s="61">
        <v>228.66</v>
      </c>
      <c r="J38" s="37">
        <v>251.62</v>
      </c>
      <c r="K38" s="61">
        <v>251.62</v>
      </c>
      <c r="L38" s="61">
        <v>251.62</v>
      </c>
      <c r="M38" s="37"/>
      <c r="N38" s="61"/>
      <c r="O38" s="61"/>
      <c r="P38" s="37">
        <v>251.62</v>
      </c>
      <c r="Q38" s="61">
        <v>251.62</v>
      </c>
      <c r="R38" s="61">
        <v>251.62</v>
      </c>
      <c r="S38" s="37"/>
      <c r="T38" s="46"/>
      <c r="U38" s="46"/>
      <c r="V38" s="46"/>
      <c r="W38" s="46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</row>
    <row r="39" spans="1:64" x14ac:dyDescent="0.25">
      <c r="A39"/>
      <c r="C39" t="s">
        <v>44</v>
      </c>
      <c r="E39" s="37">
        <v>282.72000000000003</v>
      </c>
      <c r="F39" s="37">
        <v>282.72000000000003</v>
      </c>
      <c r="G39" s="37">
        <v>261.85000000000002</v>
      </c>
      <c r="H39" s="61">
        <v>264.52999999999997</v>
      </c>
      <c r="I39" s="61">
        <v>256.89999999999998</v>
      </c>
      <c r="J39" s="37">
        <v>282.72000000000003</v>
      </c>
      <c r="K39" s="61">
        <v>282.72000000000003</v>
      </c>
      <c r="L39" s="61">
        <v>282.72000000000003</v>
      </c>
      <c r="M39" s="37"/>
      <c r="N39" s="61"/>
      <c r="O39" s="61"/>
      <c r="P39" s="37">
        <v>282.72000000000003</v>
      </c>
      <c r="Q39" s="61">
        <v>282.72000000000003</v>
      </c>
      <c r="R39" s="61">
        <v>282.72000000000003</v>
      </c>
      <c r="S39" s="37"/>
      <c r="T39" s="46"/>
      <c r="U39" s="46"/>
      <c r="V39" s="46"/>
      <c r="W39" s="46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</row>
    <row r="40" spans="1:64" x14ac:dyDescent="0.25">
      <c r="A40"/>
      <c r="C40" t="s">
        <v>34</v>
      </c>
      <c r="E40" s="37">
        <v>271.14999999999998</v>
      </c>
      <c r="F40" s="37">
        <v>271.14999999999998</v>
      </c>
      <c r="G40" s="37">
        <v>251.14</v>
      </c>
      <c r="H40" s="61">
        <v>253.71</v>
      </c>
      <c r="I40" s="61">
        <v>248.39</v>
      </c>
      <c r="J40" s="37">
        <v>271.14999999999998</v>
      </c>
      <c r="K40" s="61">
        <v>271.14999999999998</v>
      </c>
      <c r="L40" s="61">
        <v>271.14999999999998</v>
      </c>
      <c r="M40" s="37"/>
      <c r="N40" s="61"/>
      <c r="O40" s="61"/>
      <c r="P40" s="37">
        <v>271.14999999999998</v>
      </c>
      <c r="Q40" s="61">
        <v>271.14999999999998</v>
      </c>
      <c r="R40" s="61">
        <v>271.14999999999998</v>
      </c>
      <c r="S40" s="37"/>
      <c r="T40" s="46"/>
      <c r="U40" s="46"/>
      <c r="V40" s="46"/>
      <c r="W40" s="46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</row>
    <row r="41" spans="1:64" x14ac:dyDescent="0.25">
      <c r="A41"/>
      <c r="C41" t="s">
        <v>35</v>
      </c>
      <c r="E41" s="37">
        <v>285.33999999999997</v>
      </c>
      <c r="F41" s="37">
        <v>285.33999999999997</v>
      </c>
      <c r="G41" s="37">
        <v>265.19</v>
      </c>
      <c r="H41" s="61">
        <v>267.91000000000003</v>
      </c>
      <c r="I41" s="61">
        <v>280.17</v>
      </c>
      <c r="J41" s="37">
        <v>285.33999999999997</v>
      </c>
      <c r="K41" s="61">
        <v>285.33999999999997</v>
      </c>
      <c r="L41" s="61">
        <v>285.33999999999997</v>
      </c>
      <c r="M41" s="37"/>
      <c r="N41" s="61"/>
      <c r="O41" s="61"/>
      <c r="P41" s="37">
        <v>285.33999999999997</v>
      </c>
      <c r="Q41" s="61">
        <v>285.33999999999997</v>
      </c>
      <c r="R41" s="61">
        <v>285.33999999999997</v>
      </c>
      <c r="S41" s="37"/>
      <c r="T41" s="46"/>
      <c r="U41" s="46"/>
      <c r="V41" s="46"/>
      <c r="W41" s="46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</row>
    <row r="42" spans="1:64" x14ac:dyDescent="0.25">
      <c r="A42"/>
      <c r="C42" t="s">
        <v>36</v>
      </c>
      <c r="E42" s="37">
        <v>274.77</v>
      </c>
      <c r="F42" s="37">
        <v>274.77</v>
      </c>
      <c r="G42" s="37">
        <v>254.48</v>
      </c>
      <c r="H42" s="61">
        <v>257.08999999999997</v>
      </c>
      <c r="I42" s="61">
        <v>249.66</v>
      </c>
      <c r="J42" s="37">
        <v>274.77</v>
      </c>
      <c r="K42" s="61">
        <v>274.77</v>
      </c>
      <c r="L42" s="61">
        <v>274.77</v>
      </c>
      <c r="M42" s="37"/>
      <c r="N42" s="61"/>
      <c r="O42" s="61"/>
      <c r="P42" s="37">
        <v>274.77</v>
      </c>
      <c r="Q42" s="61">
        <v>274.77</v>
      </c>
      <c r="R42" s="61">
        <v>274.77</v>
      </c>
      <c r="S42" s="37"/>
      <c r="T42" s="46"/>
      <c r="U42" s="46"/>
      <c r="V42" s="46"/>
      <c r="W42" s="46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</row>
    <row r="43" spans="1:64" x14ac:dyDescent="0.25">
      <c r="A43"/>
      <c r="C43" t="s">
        <v>37</v>
      </c>
      <c r="E43" s="37">
        <v>275.48</v>
      </c>
      <c r="F43" s="37">
        <v>275.48</v>
      </c>
      <c r="G43" s="37">
        <v>255.17</v>
      </c>
      <c r="H43" s="61">
        <v>257.77999999999997</v>
      </c>
      <c r="I43" s="61">
        <v>250.35</v>
      </c>
      <c r="J43" s="37">
        <v>275.48</v>
      </c>
      <c r="K43" s="61">
        <v>275.48</v>
      </c>
      <c r="L43" s="61">
        <v>275.48</v>
      </c>
      <c r="M43" s="37"/>
      <c r="N43" s="61"/>
      <c r="O43" s="61"/>
      <c r="P43" s="37">
        <v>275.48</v>
      </c>
      <c r="Q43" s="61">
        <v>275.48</v>
      </c>
      <c r="R43" s="61">
        <v>275.48</v>
      </c>
      <c r="S43" s="37"/>
      <c r="T43" s="46"/>
      <c r="U43" s="46"/>
      <c r="V43" s="46"/>
      <c r="W43" s="46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</row>
    <row r="44" spans="1:64" x14ac:dyDescent="0.25">
      <c r="A44"/>
      <c r="C44" t="s">
        <v>38</v>
      </c>
      <c r="E44" s="37">
        <v>289.97000000000003</v>
      </c>
      <c r="F44" s="37">
        <v>289.97000000000003</v>
      </c>
      <c r="G44" s="37">
        <v>268.52999999999997</v>
      </c>
      <c r="H44" s="61">
        <v>271.27999999999997</v>
      </c>
      <c r="I44" s="61">
        <v>263.44</v>
      </c>
      <c r="J44" s="37">
        <v>289.97000000000003</v>
      </c>
      <c r="K44" s="61">
        <v>289.97000000000003</v>
      </c>
      <c r="L44" s="61">
        <v>289.97000000000003</v>
      </c>
      <c r="M44" s="37"/>
      <c r="N44" s="61"/>
      <c r="O44" s="61"/>
      <c r="P44" s="37">
        <v>289.97000000000003</v>
      </c>
      <c r="Q44" s="61">
        <v>289.97000000000003</v>
      </c>
      <c r="R44" s="61">
        <v>289.97000000000003</v>
      </c>
      <c r="S44" s="37"/>
      <c r="T44" s="46"/>
      <c r="U44" s="46"/>
      <c r="V44" s="46"/>
      <c r="W44" s="46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</row>
    <row r="45" spans="1:64" x14ac:dyDescent="0.25">
      <c r="A45"/>
      <c r="C45" t="s">
        <v>39</v>
      </c>
      <c r="E45" s="37">
        <v>267.52999999999997</v>
      </c>
      <c r="F45" s="37">
        <v>267.52999999999997</v>
      </c>
      <c r="G45" s="37">
        <v>247.8</v>
      </c>
      <c r="H45" s="61">
        <v>250.33</v>
      </c>
      <c r="I45" s="61">
        <v>243.12</v>
      </c>
      <c r="J45" s="37">
        <v>267.52999999999997</v>
      </c>
      <c r="K45" s="61">
        <v>267.52999999999997</v>
      </c>
      <c r="L45" s="61">
        <v>267.52999999999997</v>
      </c>
      <c r="M45" s="37"/>
      <c r="N45" s="61"/>
      <c r="O45" s="61"/>
      <c r="P45" s="37">
        <v>267.52999999999997</v>
      </c>
      <c r="Q45" s="61">
        <v>267.52999999999997</v>
      </c>
      <c r="R45" s="61">
        <v>267.52999999999997</v>
      </c>
      <c r="S45" s="37"/>
      <c r="T45" s="46"/>
      <c r="U45" s="46"/>
      <c r="V45" s="46"/>
      <c r="W45" s="46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</row>
    <row r="46" spans="1:64" x14ac:dyDescent="0.25">
      <c r="A46"/>
      <c r="C46" t="s">
        <v>176</v>
      </c>
      <c r="E46" s="37">
        <v>275.48</v>
      </c>
      <c r="F46" s="37">
        <v>275.48</v>
      </c>
      <c r="G46" s="37">
        <v>255.17</v>
      </c>
      <c r="H46" s="61">
        <v>257.77999999999997</v>
      </c>
      <c r="I46" s="61">
        <v>250.35</v>
      </c>
      <c r="J46" s="37">
        <v>275.48</v>
      </c>
      <c r="K46" s="61">
        <v>275.48</v>
      </c>
      <c r="L46" s="61">
        <v>275.48</v>
      </c>
      <c r="M46" s="37"/>
      <c r="N46" s="61"/>
      <c r="O46" s="61"/>
      <c r="P46" s="37">
        <v>275.48</v>
      </c>
      <c r="Q46" s="61">
        <v>275.48</v>
      </c>
      <c r="R46" s="61">
        <v>275.48</v>
      </c>
      <c r="S46" s="37"/>
      <c r="T46" s="46"/>
      <c r="U46" s="46"/>
      <c r="V46" s="46"/>
      <c r="W46" s="46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</row>
    <row r="47" spans="1:64" x14ac:dyDescent="0.25">
      <c r="A47"/>
      <c r="C47" t="s">
        <v>40</v>
      </c>
      <c r="E47" s="37">
        <v>274.77</v>
      </c>
      <c r="F47" s="37">
        <v>274.77</v>
      </c>
      <c r="G47" s="37">
        <v>254.48</v>
      </c>
      <c r="H47" s="61">
        <v>257.08999999999997</v>
      </c>
      <c r="I47" s="61">
        <v>249.66</v>
      </c>
      <c r="J47" s="37">
        <v>274.77</v>
      </c>
      <c r="K47" s="61">
        <v>274.77</v>
      </c>
      <c r="L47" s="61">
        <v>274.77</v>
      </c>
      <c r="M47" s="37"/>
      <c r="N47" s="61"/>
      <c r="O47" s="61"/>
      <c r="P47" s="37">
        <v>274.77</v>
      </c>
      <c r="Q47" s="61">
        <v>274.77</v>
      </c>
      <c r="R47" s="61">
        <v>274.77</v>
      </c>
      <c r="S47" s="37"/>
      <c r="T47" s="46"/>
      <c r="U47" s="46"/>
      <c r="V47" s="46"/>
      <c r="W47" s="46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</row>
    <row r="48" spans="1:64" x14ac:dyDescent="0.25">
      <c r="A48" s="38"/>
      <c r="C48" t="s">
        <v>41</v>
      </c>
      <c r="E48" s="37">
        <v>282.72000000000003</v>
      </c>
      <c r="F48" s="37">
        <v>282.72000000000003</v>
      </c>
      <c r="G48" s="37">
        <v>261.85000000000002</v>
      </c>
      <c r="H48" s="61">
        <v>264.52999999999997</v>
      </c>
      <c r="I48" s="61">
        <v>256.64999999999998</v>
      </c>
      <c r="J48" s="37">
        <v>282.72000000000003</v>
      </c>
      <c r="K48" s="61">
        <v>282.72000000000003</v>
      </c>
      <c r="L48" s="61">
        <v>282.72000000000003</v>
      </c>
      <c r="M48" s="37"/>
      <c r="N48" s="61"/>
      <c r="O48" s="61"/>
      <c r="P48" s="37">
        <v>282.72000000000003</v>
      </c>
      <c r="Q48" s="61">
        <v>282.72000000000003</v>
      </c>
      <c r="R48" s="61">
        <v>282.72000000000003</v>
      </c>
      <c r="S48" s="37"/>
      <c r="T48" s="46"/>
      <c r="U48" s="46"/>
      <c r="V48" s="46"/>
      <c r="W48" s="46"/>
    </row>
    <row r="49" spans="1:64" x14ac:dyDescent="0.25">
      <c r="A49" s="38"/>
      <c r="E49" s="37"/>
      <c r="F49" s="37"/>
      <c r="G49" s="37"/>
      <c r="H49" s="61"/>
      <c r="I49" s="61"/>
      <c r="J49" s="37"/>
      <c r="K49" s="61"/>
      <c r="L49" s="61"/>
      <c r="M49" s="37"/>
      <c r="N49" s="61"/>
      <c r="O49" s="61"/>
      <c r="P49" s="37"/>
      <c r="Q49" s="61"/>
      <c r="R49" s="61"/>
      <c r="S49" s="37"/>
      <c r="T49" s="46"/>
      <c r="U49" s="46"/>
      <c r="V49" s="46"/>
      <c r="W49" s="46"/>
    </row>
    <row r="50" spans="1:64" s="7" customFormat="1" x14ac:dyDescent="0.25">
      <c r="A50" s="56"/>
      <c r="B50" s="11" t="s">
        <v>133</v>
      </c>
      <c r="C50" s="11" t="s">
        <v>4</v>
      </c>
      <c r="D50" s="11"/>
      <c r="E50" s="53">
        <f>E65+E79</f>
        <v>2460.0300000000002</v>
      </c>
      <c r="F50" s="53">
        <f t="shared" ref="F50:S50" si="34">F65+F79</f>
        <v>2460.0300000000002</v>
      </c>
      <c r="G50" s="53">
        <f t="shared" si="34"/>
        <v>2460.0300000000002</v>
      </c>
      <c r="H50" s="62">
        <f t="shared" si="34"/>
        <v>2460.0300000000002</v>
      </c>
      <c r="I50" s="62">
        <f t="shared" si="34"/>
        <v>2460.0300000000002</v>
      </c>
      <c r="J50" s="53">
        <f t="shared" si="34"/>
        <v>2460.0300000000002</v>
      </c>
      <c r="K50" s="62">
        <f t="shared" si="34"/>
        <v>2460.0300000000002</v>
      </c>
      <c r="L50" s="62">
        <f t="shared" si="34"/>
        <v>2460.0300000000002</v>
      </c>
      <c r="M50" s="53">
        <f t="shared" si="34"/>
        <v>2460.0300000000002</v>
      </c>
      <c r="N50" s="62">
        <f t="shared" si="34"/>
        <v>2460.0300000000002</v>
      </c>
      <c r="O50" s="62">
        <f t="shared" si="34"/>
        <v>2460.0300000000002</v>
      </c>
      <c r="P50" s="53">
        <f t="shared" si="34"/>
        <v>2460.0300000000002</v>
      </c>
      <c r="Q50" s="62">
        <f t="shared" si="34"/>
        <v>2460.0300000000002</v>
      </c>
      <c r="R50" s="62">
        <f t="shared" si="34"/>
        <v>2460.0300000000002</v>
      </c>
      <c r="S50" s="53">
        <f t="shared" si="34"/>
        <v>2460.0300000000002</v>
      </c>
      <c r="T50" s="46"/>
      <c r="U50" s="46"/>
      <c r="V50" s="46"/>
      <c r="W50" s="46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</row>
    <row r="51" spans="1:64" s="22" customFormat="1" x14ac:dyDescent="0.25">
      <c r="A51" s="81"/>
      <c r="B51" s="22" t="s">
        <v>207</v>
      </c>
      <c r="C51" s="22" t="s">
        <v>122</v>
      </c>
      <c r="E51" s="46">
        <f>E50/E$3*100</f>
        <v>9.9105642909802896</v>
      </c>
      <c r="F51" s="46">
        <f t="shared" ref="F51" si="35">F50/F$3*100</f>
        <v>11.102596215685612</v>
      </c>
      <c r="G51" s="46">
        <f t="shared" ref="G51" si="36">G50/G$3*100</f>
        <v>30.548942907702344</v>
      </c>
      <c r="H51" s="46">
        <f t="shared" ref="H51" si="37">H50/H$3*100</f>
        <v>29.673773408522063</v>
      </c>
      <c r="I51" s="46">
        <f t="shared" ref="I51" si="38">I50/I$3*100</f>
        <v>31.494713177560165</v>
      </c>
      <c r="J51" s="46">
        <f t="shared" ref="J51" si="39">J50/J$3*100</f>
        <v>12.272310264165739</v>
      </c>
      <c r="K51" s="46">
        <f t="shared" ref="K51" si="40">K50/K$3*100</f>
        <v>11.809262573350948</v>
      </c>
      <c r="L51" s="46">
        <f t="shared" ref="L51" si="41">L50/L$3*100</f>
        <v>12.48815289779993</v>
      </c>
      <c r="M51" s="46">
        <f t="shared" ref="M51" si="42">M50/M$3*100</f>
        <v>33.94868015765244</v>
      </c>
      <c r="N51" s="46">
        <f t="shared" ref="N51" si="43">N50/N$3*100</f>
        <v>30.582135029668038</v>
      </c>
      <c r="O51" s="46">
        <f t="shared" ref="O51" si="44">O50/O$3*100</f>
        <v>37.0037830642068</v>
      </c>
      <c r="P51" s="46">
        <f t="shared" ref="P51" si="45">P50/P$3*100</f>
        <v>11.914738012151917</v>
      </c>
      <c r="Q51" s="46">
        <f t="shared" ref="Q51" si="46">Q50/Q$3*100</f>
        <v>11.817982233850037</v>
      </c>
      <c r="R51" s="46">
        <f t="shared" ref="R51" si="47">R50/R$3*100</f>
        <v>12.013097046083827</v>
      </c>
      <c r="S51" s="46">
        <f t="shared" ref="S51" si="48">S50/S$3*100</f>
        <v>106.0677790712715</v>
      </c>
      <c r="T51" s="46"/>
      <c r="U51" s="46"/>
      <c r="V51" s="46"/>
      <c r="W51" s="46"/>
    </row>
    <row r="52" spans="1:64" x14ac:dyDescent="0.25">
      <c r="A52" s="38"/>
      <c r="C52" t="s">
        <v>169</v>
      </c>
      <c r="E52" s="37">
        <f t="shared" ref="E52:S52" si="49">E66+E80</f>
        <v>208.13</v>
      </c>
      <c r="F52" s="37">
        <f t="shared" si="49"/>
        <v>208.13</v>
      </c>
      <c r="G52" s="37">
        <f t="shared" si="49"/>
        <v>208.13</v>
      </c>
      <c r="H52" s="61">
        <f t="shared" si="49"/>
        <v>208.13</v>
      </c>
      <c r="I52" s="61">
        <f t="shared" si="49"/>
        <v>208.13</v>
      </c>
      <c r="J52" s="37">
        <f t="shared" si="49"/>
        <v>208.13</v>
      </c>
      <c r="K52" s="61">
        <f t="shared" si="49"/>
        <v>208.13</v>
      </c>
      <c r="L52" s="61">
        <f t="shared" si="49"/>
        <v>208.13</v>
      </c>
      <c r="M52" s="37">
        <f t="shared" si="49"/>
        <v>208.13</v>
      </c>
      <c r="N52" s="61">
        <f t="shared" si="49"/>
        <v>208.13</v>
      </c>
      <c r="O52" s="61">
        <f t="shared" si="49"/>
        <v>208.13</v>
      </c>
      <c r="P52" s="37">
        <f t="shared" si="49"/>
        <v>208.13</v>
      </c>
      <c r="Q52" s="61">
        <f t="shared" si="49"/>
        <v>208.13</v>
      </c>
      <c r="R52" s="61">
        <f t="shared" si="49"/>
        <v>208.13</v>
      </c>
      <c r="S52" s="37">
        <f t="shared" si="49"/>
        <v>208.13</v>
      </c>
      <c r="T52" s="46"/>
      <c r="U52" s="46"/>
      <c r="V52" s="46"/>
      <c r="W52" s="46"/>
    </row>
    <row r="53" spans="1:64" x14ac:dyDescent="0.25">
      <c r="A53" s="4"/>
      <c r="C53" t="s">
        <v>170</v>
      </c>
      <c r="E53" s="37">
        <f t="shared" ref="E53" si="50">E67+E81</f>
        <v>187.8</v>
      </c>
      <c r="F53" s="37">
        <f t="shared" ref="F53:S53" si="51">F67+F81</f>
        <v>187.8</v>
      </c>
      <c r="G53" s="37">
        <f t="shared" si="51"/>
        <v>187.8</v>
      </c>
      <c r="H53" s="61">
        <f t="shared" si="51"/>
        <v>187.8</v>
      </c>
      <c r="I53" s="61">
        <f t="shared" si="51"/>
        <v>187.8</v>
      </c>
      <c r="J53" s="37">
        <f t="shared" si="51"/>
        <v>187.8</v>
      </c>
      <c r="K53" s="61">
        <f t="shared" si="51"/>
        <v>187.8</v>
      </c>
      <c r="L53" s="61">
        <f t="shared" si="51"/>
        <v>187.8</v>
      </c>
      <c r="M53" s="37">
        <f t="shared" si="51"/>
        <v>187.8</v>
      </c>
      <c r="N53" s="61">
        <f t="shared" si="51"/>
        <v>187.8</v>
      </c>
      <c r="O53" s="61">
        <f t="shared" si="51"/>
        <v>187.8</v>
      </c>
      <c r="P53" s="37">
        <f t="shared" si="51"/>
        <v>187.8</v>
      </c>
      <c r="Q53" s="61">
        <f t="shared" si="51"/>
        <v>187.8</v>
      </c>
      <c r="R53" s="61">
        <f t="shared" si="51"/>
        <v>187.8</v>
      </c>
      <c r="S53" s="37">
        <f t="shared" si="51"/>
        <v>187.8</v>
      </c>
      <c r="T53" s="46"/>
      <c r="U53" s="46"/>
      <c r="V53" s="46"/>
      <c r="W53" s="46"/>
    </row>
    <row r="54" spans="1:64" x14ac:dyDescent="0.25">
      <c r="A54" s="38"/>
      <c r="C54" t="s">
        <v>44</v>
      </c>
      <c r="E54" s="37">
        <f t="shared" ref="E54" si="52">E68+E82</f>
        <v>209.60999999999999</v>
      </c>
      <c r="F54" s="37">
        <f t="shared" ref="F54:S54" si="53">F68+F82</f>
        <v>209.60999999999999</v>
      </c>
      <c r="G54" s="37">
        <f t="shared" si="53"/>
        <v>209.60999999999999</v>
      </c>
      <c r="H54" s="61">
        <f t="shared" si="53"/>
        <v>209.60999999999999</v>
      </c>
      <c r="I54" s="61">
        <f t="shared" si="53"/>
        <v>209.60999999999999</v>
      </c>
      <c r="J54" s="37">
        <f t="shared" si="53"/>
        <v>209.60999999999999</v>
      </c>
      <c r="K54" s="61">
        <f t="shared" si="53"/>
        <v>209.60999999999999</v>
      </c>
      <c r="L54" s="61">
        <f t="shared" si="53"/>
        <v>209.60999999999999</v>
      </c>
      <c r="M54" s="37">
        <f t="shared" si="53"/>
        <v>209.60999999999999</v>
      </c>
      <c r="N54" s="61">
        <f t="shared" si="53"/>
        <v>209.60999999999999</v>
      </c>
      <c r="O54" s="61">
        <f t="shared" si="53"/>
        <v>209.60999999999999</v>
      </c>
      <c r="P54" s="37">
        <f t="shared" si="53"/>
        <v>209.60999999999999</v>
      </c>
      <c r="Q54" s="61">
        <f t="shared" si="53"/>
        <v>209.60999999999999</v>
      </c>
      <c r="R54" s="61">
        <f t="shared" si="53"/>
        <v>209.60999999999999</v>
      </c>
      <c r="S54" s="37">
        <f t="shared" si="53"/>
        <v>209.60999999999999</v>
      </c>
      <c r="T54" s="46"/>
      <c r="U54" s="46"/>
      <c r="V54" s="46"/>
      <c r="W54" s="46"/>
    </row>
    <row r="55" spans="1:64" x14ac:dyDescent="0.25">
      <c r="C55" t="s">
        <v>171</v>
      </c>
      <c r="E55" s="37">
        <f t="shared" ref="E55" si="54">E69+E83</f>
        <v>201.85000000000002</v>
      </c>
      <c r="F55" s="37">
        <f t="shared" ref="F55:S55" si="55">F69+F83</f>
        <v>201.85000000000002</v>
      </c>
      <c r="G55" s="37">
        <f t="shared" si="55"/>
        <v>201.85000000000002</v>
      </c>
      <c r="H55" s="61">
        <f t="shared" si="55"/>
        <v>201.85000000000002</v>
      </c>
      <c r="I55" s="61">
        <f t="shared" si="55"/>
        <v>201.85000000000002</v>
      </c>
      <c r="J55" s="37">
        <f t="shared" si="55"/>
        <v>201.85000000000002</v>
      </c>
      <c r="K55" s="61">
        <f t="shared" si="55"/>
        <v>201.85000000000002</v>
      </c>
      <c r="L55" s="61">
        <f t="shared" si="55"/>
        <v>201.85000000000002</v>
      </c>
      <c r="M55" s="37">
        <f t="shared" si="55"/>
        <v>201.85000000000002</v>
      </c>
      <c r="N55" s="61">
        <f t="shared" si="55"/>
        <v>201.85000000000002</v>
      </c>
      <c r="O55" s="61">
        <f t="shared" si="55"/>
        <v>201.85000000000002</v>
      </c>
      <c r="P55" s="37">
        <f t="shared" si="55"/>
        <v>201.85000000000002</v>
      </c>
      <c r="Q55" s="61">
        <f t="shared" si="55"/>
        <v>201.85000000000002</v>
      </c>
      <c r="R55" s="61">
        <f t="shared" si="55"/>
        <v>201.85000000000002</v>
      </c>
      <c r="S55" s="37">
        <f t="shared" si="55"/>
        <v>201.85000000000002</v>
      </c>
      <c r="T55" s="46"/>
      <c r="U55" s="46"/>
      <c r="V55" s="46"/>
      <c r="W55" s="46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</row>
    <row r="56" spans="1:64" x14ac:dyDescent="0.25">
      <c r="A56"/>
      <c r="C56" t="s">
        <v>35</v>
      </c>
      <c r="E56" s="37">
        <f t="shared" ref="E56" si="56">E70+E84</f>
        <v>211.10000000000002</v>
      </c>
      <c r="F56" s="37">
        <f t="shared" ref="F56:S56" si="57">F70+F84</f>
        <v>211.10000000000002</v>
      </c>
      <c r="G56" s="37">
        <f t="shared" si="57"/>
        <v>211.10000000000002</v>
      </c>
      <c r="H56" s="61">
        <f t="shared" si="57"/>
        <v>211.10000000000002</v>
      </c>
      <c r="I56" s="61">
        <f t="shared" si="57"/>
        <v>211.10000000000002</v>
      </c>
      <c r="J56" s="37">
        <f t="shared" si="57"/>
        <v>211.10000000000002</v>
      </c>
      <c r="K56" s="61">
        <f t="shared" si="57"/>
        <v>211.10000000000002</v>
      </c>
      <c r="L56" s="61">
        <f t="shared" si="57"/>
        <v>211.10000000000002</v>
      </c>
      <c r="M56" s="37">
        <f t="shared" si="57"/>
        <v>211.10000000000002</v>
      </c>
      <c r="N56" s="61">
        <f t="shared" si="57"/>
        <v>211.10000000000002</v>
      </c>
      <c r="O56" s="61">
        <f t="shared" si="57"/>
        <v>211.10000000000002</v>
      </c>
      <c r="P56" s="37">
        <f t="shared" si="57"/>
        <v>211.10000000000002</v>
      </c>
      <c r="Q56" s="61">
        <f t="shared" si="57"/>
        <v>211.10000000000002</v>
      </c>
      <c r="R56" s="61">
        <f t="shared" si="57"/>
        <v>211.10000000000002</v>
      </c>
      <c r="S56" s="37">
        <f t="shared" si="57"/>
        <v>211.10000000000002</v>
      </c>
      <c r="T56" s="46"/>
      <c r="U56" s="46"/>
      <c r="V56" s="46"/>
      <c r="W56" s="46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</row>
    <row r="57" spans="1:64" x14ac:dyDescent="0.25">
      <c r="A57"/>
      <c r="C57" t="s">
        <v>36</v>
      </c>
      <c r="E57" s="37">
        <f t="shared" ref="E57" si="58">E71+E85</f>
        <v>203.34</v>
      </c>
      <c r="F57" s="37">
        <f t="shared" ref="F57:S57" si="59">F71+F85</f>
        <v>203.34</v>
      </c>
      <c r="G57" s="37">
        <f t="shared" si="59"/>
        <v>203.34</v>
      </c>
      <c r="H57" s="61">
        <f t="shared" si="59"/>
        <v>203.34</v>
      </c>
      <c r="I57" s="61">
        <f t="shared" si="59"/>
        <v>203.34</v>
      </c>
      <c r="J57" s="37">
        <f t="shared" si="59"/>
        <v>203.34</v>
      </c>
      <c r="K57" s="61">
        <f t="shared" si="59"/>
        <v>203.34</v>
      </c>
      <c r="L57" s="61">
        <f t="shared" si="59"/>
        <v>203.34</v>
      </c>
      <c r="M57" s="37">
        <f t="shared" si="59"/>
        <v>203.34</v>
      </c>
      <c r="N57" s="61">
        <f t="shared" si="59"/>
        <v>203.34</v>
      </c>
      <c r="O57" s="61">
        <f t="shared" si="59"/>
        <v>203.34</v>
      </c>
      <c r="P57" s="37">
        <f t="shared" si="59"/>
        <v>203.34</v>
      </c>
      <c r="Q57" s="61">
        <f t="shared" si="59"/>
        <v>203.34</v>
      </c>
      <c r="R57" s="61">
        <f t="shared" si="59"/>
        <v>203.34</v>
      </c>
      <c r="S57" s="37">
        <f t="shared" si="59"/>
        <v>203.34</v>
      </c>
      <c r="T57" s="46"/>
      <c r="U57" s="46"/>
      <c r="V57" s="46"/>
      <c r="W57" s="46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</row>
    <row r="58" spans="1:64" x14ac:dyDescent="0.25">
      <c r="A58"/>
      <c r="C58" t="s">
        <v>172</v>
      </c>
      <c r="E58" s="37">
        <f t="shared" ref="E58" si="60">E72+E86</f>
        <v>206.65</v>
      </c>
      <c r="F58" s="37">
        <f t="shared" ref="F58:S58" si="61">F72+F86</f>
        <v>206.65</v>
      </c>
      <c r="G58" s="37">
        <f t="shared" si="61"/>
        <v>206.65</v>
      </c>
      <c r="H58" s="61">
        <f t="shared" si="61"/>
        <v>206.65</v>
      </c>
      <c r="I58" s="61">
        <f t="shared" si="61"/>
        <v>206.65</v>
      </c>
      <c r="J58" s="37">
        <f t="shared" si="61"/>
        <v>206.65</v>
      </c>
      <c r="K58" s="61">
        <f t="shared" si="61"/>
        <v>206.65</v>
      </c>
      <c r="L58" s="61">
        <f t="shared" si="61"/>
        <v>206.65</v>
      </c>
      <c r="M58" s="37">
        <f t="shared" si="61"/>
        <v>206.65</v>
      </c>
      <c r="N58" s="61">
        <f t="shared" si="61"/>
        <v>206.65</v>
      </c>
      <c r="O58" s="61">
        <f t="shared" si="61"/>
        <v>206.65</v>
      </c>
      <c r="P58" s="37">
        <f t="shared" si="61"/>
        <v>206.65</v>
      </c>
      <c r="Q58" s="61">
        <f t="shared" si="61"/>
        <v>206.65</v>
      </c>
      <c r="R58" s="61">
        <f t="shared" si="61"/>
        <v>206.65</v>
      </c>
      <c r="S58" s="37">
        <f t="shared" si="61"/>
        <v>206.65</v>
      </c>
      <c r="T58" s="46"/>
      <c r="U58" s="46"/>
      <c r="V58" s="46"/>
      <c r="W58" s="46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</row>
    <row r="59" spans="1:64" x14ac:dyDescent="0.25">
      <c r="A59"/>
      <c r="C59" t="s">
        <v>38</v>
      </c>
      <c r="E59" s="37">
        <f t="shared" ref="E59" si="62">E73+E87</f>
        <v>212.57999999999998</v>
      </c>
      <c r="F59" s="37">
        <f t="shared" ref="F59:S59" si="63">F73+F87</f>
        <v>212.57999999999998</v>
      </c>
      <c r="G59" s="37">
        <f t="shared" si="63"/>
        <v>212.57999999999998</v>
      </c>
      <c r="H59" s="61">
        <f t="shared" si="63"/>
        <v>212.57999999999998</v>
      </c>
      <c r="I59" s="61">
        <f t="shared" si="63"/>
        <v>212.57999999999998</v>
      </c>
      <c r="J59" s="37">
        <f t="shared" si="63"/>
        <v>212.57999999999998</v>
      </c>
      <c r="K59" s="61">
        <f t="shared" si="63"/>
        <v>212.57999999999998</v>
      </c>
      <c r="L59" s="61">
        <f t="shared" si="63"/>
        <v>212.57999999999998</v>
      </c>
      <c r="M59" s="37">
        <f t="shared" si="63"/>
        <v>212.57999999999998</v>
      </c>
      <c r="N59" s="61">
        <f t="shared" si="63"/>
        <v>212.57999999999998</v>
      </c>
      <c r="O59" s="61">
        <f t="shared" si="63"/>
        <v>212.57999999999998</v>
      </c>
      <c r="P59" s="37">
        <f t="shared" si="63"/>
        <v>212.57999999999998</v>
      </c>
      <c r="Q59" s="61">
        <f t="shared" si="63"/>
        <v>212.57999999999998</v>
      </c>
      <c r="R59" s="61">
        <f t="shared" si="63"/>
        <v>212.57999999999998</v>
      </c>
      <c r="S59" s="37">
        <f t="shared" si="63"/>
        <v>212.57999999999998</v>
      </c>
      <c r="T59" s="46"/>
      <c r="U59" s="46"/>
      <c r="V59" s="46"/>
      <c r="W59" s="46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</row>
    <row r="60" spans="1:64" x14ac:dyDescent="0.25">
      <c r="A60"/>
      <c r="C60" t="s">
        <v>192</v>
      </c>
      <c r="E60" s="37">
        <f t="shared" ref="E60" si="64">E74+E88</f>
        <v>199.37</v>
      </c>
      <c r="F60" s="37">
        <f t="shared" ref="F60:S60" si="65">F74+F88</f>
        <v>199.37</v>
      </c>
      <c r="G60" s="37">
        <f t="shared" si="65"/>
        <v>199.37</v>
      </c>
      <c r="H60" s="61">
        <f t="shared" si="65"/>
        <v>199.37</v>
      </c>
      <c r="I60" s="61">
        <f t="shared" si="65"/>
        <v>199.37</v>
      </c>
      <c r="J60" s="37">
        <f t="shared" si="65"/>
        <v>199.37</v>
      </c>
      <c r="K60" s="61">
        <f t="shared" si="65"/>
        <v>199.37</v>
      </c>
      <c r="L60" s="61">
        <f t="shared" si="65"/>
        <v>199.37</v>
      </c>
      <c r="M60" s="37">
        <f t="shared" si="65"/>
        <v>199.37</v>
      </c>
      <c r="N60" s="61">
        <f t="shared" si="65"/>
        <v>199.37</v>
      </c>
      <c r="O60" s="61">
        <f t="shared" si="65"/>
        <v>199.37</v>
      </c>
      <c r="P60" s="37">
        <f t="shared" si="65"/>
        <v>199.37</v>
      </c>
      <c r="Q60" s="61">
        <f t="shared" si="65"/>
        <v>199.37</v>
      </c>
      <c r="R60" s="61">
        <f t="shared" si="65"/>
        <v>199.37</v>
      </c>
      <c r="S60" s="37">
        <f t="shared" si="65"/>
        <v>199.37</v>
      </c>
      <c r="T60" s="46"/>
      <c r="U60" s="46"/>
      <c r="V60" s="46"/>
      <c r="W60" s="46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</row>
    <row r="61" spans="1:64" x14ac:dyDescent="0.25">
      <c r="A61"/>
      <c r="C61" t="s">
        <v>173</v>
      </c>
      <c r="E61" s="37">
        <f t="shared" ref="E61" si="66">E75+E89</f>
        <v>206.65</v>
      </c>
      <c r="F61" s="37">
        <f t="shared" ref="F61:S61" si="67">F75+F89</f>
        <v>206.65</v>
      </c>
      <c r="G61" s="37">
        <f t="shared" si="67"/>
        <v>206.65</v>
      </c>
      <c r="H61" s="61">
        <f t="shared" si="67"/>
        <v>206.65</v>
      </c>
      <c r="I61" s="61">
        <f t="shared" si="67"/>
        <v>206.65</v>
      </c>
      <c r="J61" s="37">
        <f t="shared" si="67"/>
        <v>206.65</v>
      </c>
      <c r="K61" s="61">
        <f t="shared" si="67"/>
        <v>206.65</v>
      </c>
      <c r="L61" s="61">
        <f t="shared" si="67"/>
        <v>206.65</v>
      </c>
      <c r="M61" s="37">
        <f t="shared" si="67"/>
        <v>206.65</v>
      </c>
      <c r="N61" s="61">
        <f t="shared" si="67"/>
        <v>206.65</v>
      </c>
      <c r="O61" s="61">
        <f t="shared" si="67"/>
        <v>206.65</v>
      </c>
      <c r="P61" s="37">
        <f t="shared" si="67"/>
        <v>206.65</v>
      </c>
      <c r="Q61" s="61">
        <f t="shared" si="67"/>
        <v>206.65</v>
      </c>
      <c r="R61" s="61">
        <f t="shared" si="67"/>
        <v>206.65</v>
      </c>
      <c r="S61" s="37">
        <f t="shared" si="67"/>
        <v>206.65</v>
      </c>
      <c r="T61" s="46"/>
      <c r="U61" s="46"/>
      <c r="V61" s="46"/>
      <c r="W61" s="46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</row>
    <row r="62" spans="1:64" x14ac:dyDescent="0.25">
      <c r="A62"/>
      <c r="C62" t="s">
        <v>174</v>
      </c>
      <c r="E62" s="37">
        <f t="shared" ref="E62" si="68">E76+E90</f>
        <v>203.34</v>
      </c>
      <c r="F62" s="37">
        <f t="shared" ref="F62:S62" si="69">F76+F90</f>
        <v>203.34</v>
      </c>
      <c r="G62" s="37">
        <f t="shared" si="69"/>
        <v>203.34</v>
      </c>
      <c r="H62" s="61">
        <f t="shared" si="69"/>
        <v>203.34</v>
      </c>
      <c r="I62" s="61">
        <f t="shared" si="69"/>
        <v>203.34</v>
      </c>
      <c r="J62" s="37">
        <f t="shared" si="69"/>
        <v>203.34</v>
      </c>
      <c r="K62" s="61">
        <f t="shared" si="69"/>
        <v>203.34</v>
      </c>
      <c r="L62" s="61">
        <f t="shared" si="69"/>
        <v>203.34</v>
      </c>
      <c r="M62" s="37">
        <f t="shared" si="69"/>
        <v>203.34</v>
      </c>
      <c r="N62" s="61">
        <f t="shared" si="69"/>
        <v>203.34</v>
      </c>
      <c r="O62" s="61">
        <f t="shared" si="69"/>
        <v>203.34</v>
      </c>
      <c r="P62" s="37">
        <f t="shared" si="69"/>
        <v>203.34</v>
      </c>
      <c r="Q62" s="61">
        <f t="shared" si="69"/>
        <v>203.34</v>
      </c>
      <c r="R62" s="61">
        <f t="shared" si="69"/>
        <v>203.34</v>
      </c>
      <c r="S62" s="37">
        <f t="shared" si="69"/>
        <v>203.34</v>
      </c>
      <c r="T62" s="46"/>
      <c r="U62" s="46"/>
      <c r="V62" s="46"/>
      <c r="W62" s="46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</row>
    <row r="63" spans="1:64" x14ac:dyDescent="0.25">
      <c r="A63"/>
      <c r="C63" t="s">
        <v>175</v>
      </c>
      <c r="E63" s="37">
        <f t="shared" ref="E63" si="70">E77+E91</f>
        <v>209.60999999999999</v>
      </c>
      <c r="F63" s="37">
        <f t="shared" ref="F63:S63" si="71">F77+F91</f>
        <v>209.60999999999999</v>
      </c>
      <c r="G63" s="37">
        <f t="shared" si="71"/>
        <v>209.60999999999999</v>
      </c>
      <c r="H63" s="61">
        <f t="shared" si="71"/>
        <v>209.60999999999999</v>
      </c>
      <c r="I63" s="61">
        <f t="shared" si="71"/>
        <v>209.60999999999999</v>
      </c>
      <c r="J63" s="37">
        <f t="shared" si="71"/>
        <v>209.60999999999999</v>
      </c>
      <c r="K63" s="61">
        <f t="shared" si="71"/>
        <v>209.60999999999999</v>
      </c>
      <c r="L63" s="61">
        <f t="shared" si="71"/>
        <v>209.60999999999999</v>
      </c>
      <c r="M63" s="37">
        <f t="shared" si="71"/>
        <v>209.60999999999999</v>
      </c>
      <c r="N63" s="61">
        <f t="shared" si="71"/>
        <v>209.60999999999999</v>
      </c>
      <c r="O63" s="61">
        <f t="shared" si="71"/>
        <v>209.60999999999999</v>
      </c>
      <c r="P63" s="37">
        <f t="shared" si="71"/>
        <v>209.60999999999999</v>
      </c>
      <c r="Q63" s="61">
        <f t="shared" si="71"/>
        <v>209.60999999999999</v>
      </c>
      <c r="R63" s="61">
        <f t="shared" si="71"/>
        <v>209.60999999999999</v>
      </c>
      <c r="S63" s="37">
        <f t="shared" si="71"/>
        <v>209.60999999999999</v>
      </c>
      <c r="T63" s="46"/>
      <c r="U63" s="46"/>
      <c r="V63" s="46"/>
      <c r="W63" s="46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</row>
    <row r="64" spans="1:64" x14ac:dyDescent="0.25">
      <c r="A64"/>
      <c r="E64" s="37"/>
      <c r="F64" s="37"/>
      <c r="G64" s="37"/>
      <c r="H64" s="61"/>
      <c r="I64" s="61"/>
      <c r="J64" s="37"/>
      <c r="K64" s="61"/>
      <c r="L64" s="61"/>
      <c r="M64" s="37"/>
      <c r="N64" s="61"/>
      <c r="O64" s="61"/>
      <c r="P64" s="37"/>
      <c r="Q64" s="61"/>
      <c r="R64" s="61"/>
      <c r="S64" s="37"/>
      <c r="T64" s="46"/>
      <c r="U64" s="46"/>
      <c r="V64" s="46"/>
      <c r="W64" s="46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</row>
    <row r="65" spans="1:64" x14ac:dyDescent="0.25">
      <c r="A65" s="39"/>
      <c r="B65" s="7" t="s">
        <v>5</v>
      </c>
      <c r="C65" s="7"/>
      <c r="D65" s="7"/>
      <c r="E65" s="54">
        <f>SUM(E66:E77)</f>
        <v>1804.5300000000002</v>
      </c>
      <c r="F65" s="54">
        <f t="shared" ref="F65" si="72">SUM(F66:F77)</f>
        <v>1804.5300000000002</v>
      </c>
      <c r="G65" s="54">
        <f t="shared" ref="G65" si="73">SUM(G66:G77)</f>
        <v>1804.5300000000002</v>
      </c>
      <c r="H65" s="63">
        <f t="shared" ref="H65" si="74">SUM(H66:H77)</f>
        <v>1804.5300000000002</v>
      </c>
      <c r="I65" s="63">
        <f t="shared" ref="I65" si="75">SUM(I66:I77)</f>
        <v>1804.5300000000002</v>
      </c>
      <c r="J65" s="54">
        <f t="shared" ref="J65" si="76">SUM(J66:J77)</f>
        <v>1804.5300000000002</v>
      </c>
      <c r="K65" s="63">
        <f t="shared" ref="K65" si="77">SUM(K66:K77)</f>
        <v>1804.5300000000002</v>
      </c>
      <c r="L65" s="63">
        <f t="shared" ref="L65" si="78">SUM(L66:L77)</f>
        <v>1804.5300000000002</v>
      </c>
      <c r="M65" s="54">
        <f t="shared" ref="M65" si="79">SUM(M66:M77)</f>
        <v>1804.5300000000002</v>
      </c>
      <c r="N65" s="63">
        <f t="shared" ref="N65" si="80">SUM(N66:N77)</f>
        <v>1804.5300000000002</v>
      </c>
      <c r="O65" s="63">
        <f t="shared" ref="O65" si="81">SUM(O66:O77)</f>
        <v>1804.5300000000002</v>
      </c>
      <c r="P65" s="54">
        <f t="shared" ref="P65" si="82">SUM(P66:P77)</f>
        <v>1804.5300000000002</v>
      </c>
      <c r="Q65" s="63">
        <f t="shared" ref="Q65" si="83">SUM(Q66:Q77)</f>
        <v>1804.5300000000002</v>
      </c>
      <c r="R65" s="63">
        <f t="shared" ref="R65" si="84">SUM(R66:R77)</f>
        <v>1804.5300000000002</v>
      </c>
      <c r="S65" s="54">
        <f t="shared" ref="S65" si="85">SUM(S66:S77)</f>
        <v>1804.5300000000002</v>
      </c>
      <c r="T65" s="46"/>
      <c r="U65" s="46"/>
      <c r="V65" s="46"/>
      <c r="W65" s="46"/>
    </row>
    <row r="66" spans="1:64" x14ac:dyDescent="0.25">
      <c r="A66" s="4"/>
      <c r="C66" t="s">
        <v>42</v>
      </c>
      <c r="E66" s="37">
        <v>152.55000000000001</v>
      </c>
      <c r="F66" s="37">
        <v>152.55000000000001</v>
      </c>
      <c r="G66" s="37">
        <v>152.55000000000001</v>
      </c>
      <c r="H66" s="61">
        <v>152.55000000000001</v>
      </c>
      <c r="I66" s="61">
        <v>152.55000000000001</v>
      </c>
      <c r="J66" s="37">
        <v>152.55000000000001</v>
      </c>
      <c r="K66" s="61">
        <v>152.55000000000001</v>
      </c>
      <c r="L66" s="61">
        <v>152.55000000000001</v>
      </c>
      <c r="M66" s="37">
        <v>152.55000000000001</v>
      </c>
      <c r="N66" s="61">
        <v>152.55000000000001</v>
      </c>
      <c r="O66" s="61">
        <v>152.55000000000001</v>
      </c>
      <c r="P66" s="37">
        <v>152.55000000000001</v>
      </c>
      <c r="Q66" s="61">
        <v>152.55000000000001</v>
      </c>
      <c r="R66" s="61">
        <v>152.55000000000001</v>
      </c>
      <c r="S66" s="37">
        <v>152.55000000000001</v>
      </c>
      <c r="T66" s="46"/>
      <c r="U66" s="46"/>
      <c r="V66" s="46"/>
      <c r="W66" s="46"/>
    </row>
    <row r="67" spans="1:64" x14ac:dyDescent="0.25">
      <c r="A67" s="38"/>
      <c r="C67" t="s">
        <v>43</v>
      </c>
      <c r="E67" s="37">
        <v>137.62</v>
      </c>
      <c r="F67" s="37">
        <v>137.62</v>
      </c>
      <c r="G67" s="37">
        <v>137.62</v>
      </c>
      <c r="H67" s="61">
        <v>137.62</v>
      </c>
      <c r="I67" s="61">
        <v>137.62</v>
      </c>
      <c r="J67" s="37">
        <v>137.62</v>
      </c>
      <c r="K67" s="61">
        <v>137.62</v>
      </c>
      <c r="L67" s="61">
        <v>137.62</v>
      </c>
      <c r="M67" s="37">
        <v>137.62</v>
      </c>
      <c r="N67" s="61">
        <v>137.62</v>
      </c>
      <c r="O67" s="61">
        <v>137.62</v>
      </c>
      <c r="P67" s="37">
        <v>137.62</v>
      </c>
      <c r="Q67" s="61">
        <v>137.62</v>
      </c>
      <c r="R67" s="61">
        <v>137.62</v>
      </c>
      <c r="S67" s="37">
        <v>137.62</v>
      </c>
      <c r="T67" s="46"/>
      <c r="U67" s="46"/>
      <c r="V67" s="46"/>
      <c r="W67" s="46"/>
    </row>
    <row r="68" spans="1:64" x14ac:dyDescent="0.25">
      <c r="C68" t="s">
        <v>44</v>
      </c>
      <c r="E68" s="37">
        <v>153.88</v>
      </c>
      <c r="F68" s="37">
        <v>153.88</v>
      </c>
      <c r="G68" s="37">
        <v>153.88</v>
      </c>
      <c r="H68" s="61">
        <v>153.88</v>
      </c>
      <c r="I68" s="61">
        <v>153.88</v>
      </c>
      <c r="J68" s="37">
        <v>153.88</v>
      </c>
      <c r="K68" s="61">
        <v>153.88</v>
      </c>
      <c r="L68" s="61">
        <v>153.88</v>
      </c>
      <c r="M68" s="37">
        <v>153.88</v>
      </c>
      <c r="N68" s="61">
        <v>153.88</v>
      </c>
      <c r="O68" s="61">
        <v>153.88</v>
      </c>
      <c r="P68" s="37">
        <v>153.88</v>
      </c>
      <c r="Q68" s="61">
        <v>153.88</v>
      </c>
      <c r="R68" s="61">
        <v>153.88</v>
      </c>
      <c r="S68" s="37">
        <v>153.88</v>
      </c>
      <c r="T68" s="46"/>
      <c r="U68" s="46"/>
      <c r="V68" s="46"/>
      <c r="W68" s="46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</row>
    <row r="69" spans="1:64" x14ac:dyDescent="0.25">
      <c r="A69"/>
      <c r="C69" t="s">
        <v>34</v>
      </c>
      <c r="E69" s="37">
        <v>148.02000000000001</v>
      </c>
      <c r="F69" s="37">
        <v>148.02000000000001</v>
      </c>
      <c r="G69" s="37">
        <v>148.02000000000001</v>
      </c>
      <c r="H69" s="61">
        <v>148.02000000000001</v>
      </c>
      <c r="I69" s="61">
        <v>148.02000000000001</v>
      </c>
      <c r="J69" s="37">
        <v>148.02000000000001</v>
      </c>
      <c r="K69" s="61">
        <v>148.02000000000001</v>
      </c>
      <c r="L69" s="61">
        <v>148.02000000000001</v>
      </c>
      <c r="M69" s="37">
        <v>148.02000000000001</v>
      </c>
      <c r="N69" s="61">
        <v>148.02000000000001</v>
      </c>
      <c r="O69" s="61">
        <v>148.02000000000001</v>
      </c>
      <c r="P69" s="37">
        <v>148.02000000000001</v>
      </c>
      <c r="Q69" s="61">
        <v>148.02000000000001</v>
      </c>
      <c r="R69" s="61">
        <v>148.02000000000001</v>
      </c>
      <c r="S69" s="37">
        <v>148.02000000000001</v>
      </c>
      <c r="T69" s="46"/>
      <c r="U69" s="46"/>
      <c r="V69" s="46"/>
      <c r="W69" s="46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</row>
    <row r="70" spans="1:64" x14ac:dyDescent="0.25">
      <c r="A70"/>
      <c r="C70" t="s">
        <v>35</v>
      </c>
      <c r="E70" s="37">
        <v>155.21</v>
      </c>
      <c r="F70" s="37">
        <v>155.21</v>
      </c>
      <c r="G70" s="37">
        <v>155.21</v>
      </c>
      <c r="H70" s="61">
        <v>155.21</v>
      </c>
      <c r="I70" s="61">
        <v>155.21</v>
      </c>
      <c r="J70" s="37">
        <v>155.21</v>
      </c>
      <c r="K70" s="61">
        <v>155.21</v>
      </c>
      <c r="L70" s="61">
        <v>155.21</v>
      </c>
      <c r="M70" s="37">
        <v>155.21</v>
      </c>
      <c r="N70" s="61">
        <v>155.21</v>
      </c>
      <c r="O70" s="61">
        <v>155.21</v>
      </c>
      <c r="P70" s="37">
        <v>155.21</v>
      </c>
      <c r="Q70" s="61">
        <v>155.21</v>
      </c>
      <c r="R70" s="61">
        <v>155.21</v>
      </c>
      <c r="S70" s="37">
        <v>155.21</v>
      </c>
      <c r="T70" s="46"/>
      <c r="U70" s="46"/>
      <c r="V70" s="46"/>
      <c r="W70" s="46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</row>
    <row r="71" spans="1:64" x14ac:dyDescent="0.25">
      <c r="A71"/>
      <c r="C71" t="s">
        <v>36</v>
      </c>
      <c r="E71" s="37">
        <v>149.35</v>
      </c>
      <c r="F71" s="37">
        <v>149.35</v>
      </c>
      <c r="G71" s="37">
        <v>149.35</v>
      </c>
      <c r="H71" s="61">
        <v>149.35</v>
      </c>
      <c r="I71" s="61">
        <v>149.35</v>
      </c>
      <c r="J71" s="37">
        <v>149.35</v>
      </c>
      <c r="K71" s="61">
        <v>149.35</v>
      </c>
      <c r="L71" s="61">
        <v>149.35</v>
      </c>
      <c r="M71" s="37">
        <v>149.35</v>
      </c>
      <c r="N71" s="61">
        <v>149.35</v>
      </c>
      <c r="O71" s="61">
        <v>149.35</v>
      </c>
      <c r="P71" s="37">
        <v>149.35</v>
      </c>
      <c r="Q71" s="61">
        <v>149.35</v>
      </c>
      <c r="R71" s="61">
        <v>149.35</v>
      </c>
      <c r="S71" s="37">
        <v>149.35</v>
      </c>
      <c r="T71" s="46"/>
      <c r="U71" s="46"/>
      <c r="V71" s="46"/>
      <c r="W71" s="46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</row>
    <row r="72" spans="1:64" x14ac:dyDescent="0.25">
      <c r="A72"/>
      <c r="C72" t="s">
        <v>37</v>
      </c>
      <c r="E72" s="37">
        <v>151.22</v>
      </c>
      <c r="F72" s="37">
        <v>151.22</v>
      </c>
      <c r="G72" s="37">
        <v>151.22</v>
      </c>
      <c r="H72" s="61">
        <v>151.22</v>
      </c>
      <c r="I72" s="61">
        <v>151.22</v>
      </c>
      <c r="J72" s="37">
        <v>151.22</v>
      </c>
      <c r="K72" s="61">
        <v>151.22</v>
      </c>
      <c r="L72" s="61">
        <v>151.22</v>
      </c>
      <c r="M72" s="37">
        <v>151.22</v>
      </c>
      <c r="N72" s="61">
        <v>151.22</v>
      </c>
      <c r="O72" s="61">
        <v>151.22</v>
      </c>
      <c r="P72" s="37">
        <v>151.22</v>
      </c>
      <c r="Q72" s="61">
        <v>151.22</v>
      </c>
      <c r="R72" s="61">
        <v>151.22</v>
      </c>
      <c r="S72" s="37">
        <v>151.22</v>
      </c>
      <c r="T72" s="46"/>
      <c r="U72" s="46"/>
      <c r="V72" s="46"/>
      <c r="W72" s="46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</row>
    <row r="73" spans="1:64" x14ac:dyDescent="0.25">
      <c r="A73"/>
      <c r="C73" t="s">
        <v>38</v>
      </c>
      <c r="E73" s="37">
        <v>156.54</v>
      </c>
      <c r="F73" s="37">
        <v>156.54</v>
      </c>
      <c r="G73" s="37">
        <v>156.54</v>
      </c>
      <c r="H73" s="61">
        <v>156.54</v>
      </c>
      <c r="I73" s="61">
        <v>156.54</v>
      </c>
      <c r="J73" s="37">
        <v>156.54</v>
      </c>
      <c r="K73" s="61">
        <v>156.54</v>
      </c>
      <c r="L73" s="61">
        <v>156.54</v>
      </c>
      <c r="M73" s="37">
        <v>156.54</v>
      </c>
      <c r="N73" s="61">
        <v>156.54</v>
      </c>
      <c r="O73" s="61">
        <v>156.54</v>
      </c>
      <c r="P73" s="37">
        <v>156.54</v>
      </c>
      <c r="Q73" s="61">
        <v>156.54</v>
      </c>
      <c r="R73" s="61">
        <v>156.54</v>
      </c>
      <c r="S73" s="37">
        <v>156.54</v>
      </c>
      <c r="T73" s="46"/>
      <c r="U73" s="46"/>
      <c r="V73" s="46"/>
      <c r="W73" s="46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</row>
    <row r="74" spans="1:64" x14ac:dyDescent="0.25">
      <c r="A74"/>
      <c r="C74" t="s">
        <v>39</v>
      </c>
      <c r="E74" s="37">
        <v>145.69</v>
      </c>
      <c r="F74" s="37">
        <v>145.69</v>
      </c>
      <c r="G74" s="37">
        <v>145.69</v>
      </c>
      <c r="H74" s="61">
        <v>145.69</v>
      </c>
      <c r="I74" s="61">
        <v>145.69</v>
      </c>
      <c r="J74" s="37">
        <v>145.69</v>
      </c>
      <c r="K74" s="61">
        <v>145.69</v>
      </c>
      <c r="L74" s="61">
        <v>145.69</v>
      </c>
      <c r="M74" s="37">
        <v>145.69</v>
      </c>
      <c r="N74" s="61">
        <v>145.69</v>
      </c>
      <c r="O74" s="61">
        <v>145.69</v>
      </c>
      <c r="P74" s="37">
        <v>145.69</v>
      </c>
      <c r="Q74" s="61">
        <v>145.69</v>
      </c>
      <c r="R74" s="61">
        <v>145.69</v>
      </c>
      <c r="S74" s="37">
        <v>145.69</v>
      </c>
      <c r="T74" s="46"/>
      <c r="U74" s="46"/>
      <c r="V74" s="46"/>
      <c r="W74" s="46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</row>
    <row r="75" spans="1:64" x14ac:dyDescent="0.25">
      <c r="A75"/>
      <c r="C75" t="s">
        <v>176</v>
      </c>
      <c r="E75" s="37">
        <v>151.22</v>
      </c>
      <c r="F75" s="37">
        <v>151.22</v>
      </c>
      <c r="G75" s="37">
        <v>151.22</v>
      </c>
      <c r="H75" s="61">
        <v>151.22</v>
      </c>
      <c r="I75" s="61">
        <v>151.22</v>
      </c>
      <c r="J75" s="37">
        <v>151.22</v>
      </c>
      <c r="K75" s="61">
        <v>151.22</v>
      </c>
      <c r="L75" s="61">
        <v>151.22</v>
      </c>
      <c r="M75" s="37">
        <v>151.22</v>
      </c>
      <c r="N75" s="61">
        <v>151.22</v>
      </c>
      <c r="O75" s="61">
        <v>151.22</v>
      </c>
      <c r="P75" s="37">
        <v>151.22</v>
      </c>
      <c r="Q75" s="61">
        <v>151.22</v>
      </c>
      <c r="R75" s="61">
        <v>151.22</v>
      </c>
      <c r="S75" s="37">
        <v>151.22</v>
      </c>
      <c r="T75" s="46"/>
      <c r="U75" s="46"/>
      <c r="V75" s="46"/>
      <c r="W75" s="46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</row>
    <row r="76" spans="1:64" x14ac:dyDescent="0.25">
      <c r="A76"/>
      <c r="C76" t="s">
        <v>40</v>
      </c>
      <c r="E76" s="37">
        <v>149.35</v>
      </c>
      <c r="F76" s="37">
        <v>149.35</v>
      </c>
      <c r="G76" s="37">
        <v>149.35</v>
      </c>
      <c r="H76" s="61">
        <v>149.35</v>
      </c>
      <c r="I76" s="61">
        <v>149.35</v>
      </c>
      <c r="J76" s="37">
        <v>149.35</v>
      </c>
      <c r="K76" s="61">
        <v>149.35</v>
      </c>
      <c r="L76" s="61">
        <v>149.35</v>
      </c>
      <c r="M76" s="37">
        <v>149.35</v>
      </c>
      <c r="N76" s="61">
        <v>149.35</v>
      </c>
      <c r="O76" s="61">
        <v>149.35</v>
      </c>
      <c r="P76" s="37">
        <v>149.35</v>
      </c>
      <c r="Q76" s="61">
        <v>149.35</v>
      </c>
      <c r="R76" s="61">
        <v>149.35</v>
      </c>
      <c r="S76" s="37">
        <v>149.35</v>
      </c>
      <c r="T76" s="46"/>
      <c r="U76" s="46"/>
      <c r="V76" s="46"/>
      <c r="W76" s="46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</row>
    <row r="77" spans="1:64" x14ac:dyDescent="0.25">
      <c r="A77"/>
      <c r="C77" t="s">
        <v>41</v>
      </c>
      <c r="E77" s="37">
        <v>153.88</v>
      </c>
      <c r="F77" s="37">
        <v>153.88</v>
      </c>
      <c r="G77" s="37">
        <v>153.88</v>
      </c>
      <c r="H77" s="61">
        <v>153.88</v>
      </c>
      <c r="I77" s="61">
        <v>153.88</v>
      </c>
      <c r="J77" s="37">
        <v>153.88</v>
      </c>
      <c r="K77" s="61">
        <v>153.88</v>
      </c>
      <c r="L77" s="61">
        <v>153.88</v>
      </c>
      <c r="M77" s="37">
        <v>153.88</v>
      </c>
      <c r="N77" s="61">
        <v>153.88</v>
      </c>
      <c r="O77" s="61">
        <v>153.88</v>
      </c>
      <c r="P77" s="37">
        <v>153.88</v>
      </c>
      <c r="Q77" s="61">
        <v>153.88</v>
      </c>
      <c r="R77" s="61">
        <v>153.88</v>
      </c>
      <c r="S77" s="37">
        <v>153.88</v>
      </c>
      <c r="T77" s="46"/>
      <c r="U77" s="46"/>
      <c r="V77" s="46"/>
      <c r="W77" s="46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</row>
    <row r="78" spans="1:64" x14ac:dyDescent="0.25">
      <c r="A78"/>
      <c r="E78" s="37"/>
      <c r="F78" s="37"/>
      <c r="G78" s="37"/>
      <c r="H78" s="61"/>
      <c r="I78" s="61"/>
      <c r="J78" s="37"/>
      <c r="K78" s="61"/>
      <c r="L78" s="61"/>
      <c r="M78" s="37"/>
      <c r="N78" s="61"/>
      <c r="O78" s="61"/>
      <c r="P78" s="37"/>
      <c r="Q78" s="61"/>
      <c r="R78" s="61"/>
      <c r="S78" s="37"/>
      <c r="T78" s="46"/>
      <c r="U78" s="46"/>
      <c r="V78" s="46"/>
      <c r="W78" s="46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</row>
    <row r="79" spans="1:64" x14ac:dyDescent="0.25">
      <c r="A79" s="7"/>
      <c r="B79" s="7" t="s">
        <v>6</v>
      </c>
      <c r="C79" s="7"/>
      <c r="D79" s="7"/>
      <c r="E79" s="54">
        <f>SUM(E80:E91)</f>
        <v>655.5</v>
      </c>
      <c r="F79" s="54">
        <f t="shared" ref="F79" si="86">SUM(F80:F91)</f>
        <v>655.5</v>
      </c>
      <c r="G79" s="54">
        <f t="shared" ref="G79" si="87">SUM(G80:G91)</f>
        <v>655.5</v>
      </c>
      <c r="H79" s="63">
        <f t="shared" ref="H79" si="88">SUM(H80:H91)</f>
        <v>655.5</v>
      </c>
      <c r="I79" s="63">
        <f t="shared" ref="I79" si="89">SUM(I80:I91)</f>
        <v>655.5</v>
      </c>
      <c r="J79" s="54">
        <f t="shared" ref="J79" si="90">SUM(J80:J91)</f>
        <v>655.5</v>
      </c>
      <c r="K79" s="63">
        <f t="shared" ref="K79" si="91">SUM(K80:K91)</f>
        <v>655.5</v>
      </c>
      <c r="L79" s="63">
        <f t="shared" ref="L79" si="92">SUM(L80:L91)</f>
        <v>655.5</v>
      </c>
      <c r="M79" s="54">
        <f t="shared" ref="M79" si="93">SUM(M80:M91)</f>
        <v>655.5</v>
      </c>
      <c r="N79" s="63">
        <f t="shared" ref="N79" si="94">SUM(N80:N91)</f>
        <v>655.5</v>
      </c>
      <c r="O79" s="63">
        <f t="shared" ref="O79" si="95">SUM(O80:O91)</f>
        <v>655.5</v>
      </c>
      <c r="P79" s="54">
        <f t="shared" ref="P79" si="96">SUM(P80:P91)</f>
        <v>655.5</v>
      </c>
      <c r="Q79" s="63">
        <f t="shared" ref="Q79" si="97">SUM(Q80:Q91)</f>
        <v>655.5</v>
      </c>
      <c r="R79" s="63">
        <f t="shared" ref="R79" si="98">SUM(R80:R91)</f>
        <v>655.5</v>
      </c>
      <c r="S79" s="54">
        <f t="shared" ref="S79" si="99">SUM(S80:S91)</f>
        <v>655.5</v>
      </c>
      <c r="T79" s="46"/>
      <c r="U79" s="46"/>
      <c r="V79" s="46"/>
      <c r="W79" s="46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</row>
    <row r="80" spans="1:64" x14ac:dyDescent="0.25">
      <c r="A80"/>
      <c r="C80" t="s">
        <v>42</v>
      </c>
      <c r="E80" s="37">
        <v>55.58</v>
      </c>
      <c r="F80" s="37">
        <v>55.58</v>
      </c>
      <c r="G80" s="37">
        <v>55.58</v>
      </c>
      <c r="H80" s="61">
        <v>55.58</v>
      </c>
      <c r="I80" s="61">
        <v>55.58</v>
      </c>
      <c r="J80" s="37">
        <v>55.58</v>
      </c>
      <c r="K80" s="61">
        <v>55.58</v>
      </c>
      <c r="L80" s="61">
        <v>55.58</v>
      </c>
      <c r="M80" s="37">
        <v>55.58</v>
      </c>
      <c r="N80" s="61">
        <v>55.58</v>
      </c>
      <c r="O80" s="61">
        <v>55.58</v>
      </c>
      <c r="P80" s="37">
        <v>55.58</v>
      </c>
      <c r="Q80" s="61">
        <v>55.58</v>
      </c>
      <c r="R80" s="61">
        <v>55.58</v>
      </c>
      <c r="S80" s="37">
        <v>55.58</v>
      </c>
      <c r="T80" s="46"/>
      <c r="U80" s="46"/>
      <c r="V80" s="46"/>
      <c r="W80" s="46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</row>
    <row r="81" spans="1:64" x14ac:dyDescent="0.25">
      <c r="A81"/>
      <c r="C81" t="s">
        <v>43</v>
      </c>
      <c r="E81" s="37">
        <v>50.18</v>
      </c>
      <c r="F81" s="37">
        <v>50.18</v>
      </c>
      <c r="G81" s="37">
        <v>50.18</v>
      </c>
      <c r="H81" s="61">
        <v>50.18</v>
      </c>
      <c r="I81" s="61">
        <v>50.18</v>
      </c>
      <c r="J81" s="37">
        <v>50.18</v>
      </c>
      <c r="K81" s="61">
        <v>50.18</v>
      </c>
      <c r="L81" s="61">
        <v>50.18</v>
      </c>
      <c r="M81" s="37">
        <v>50.18</v>
      </c>
      <c r="N81" s="61">
        <v>50.18</v>
      </c>
      <c r="O81" s="61">
        <v>50.18</v>
      </c>
      <c r="P81" s="37">
        <v>50.18</v>
      </c>
      <c r="Q81" s="61">
        <v>50.18</v>
      </c>
      <c r="R81" s="61">
        <v>50.18</v>
      </c>
      <c r="S81" s="37">
        <v>50.18</v>
      </c>
      <c r="T81" s="46"/>
      <c r="U81" s="46"/>
      <c r="V81" s="46"/>
      <c r="W81" s="46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</row>
    <row r="82" spans="1:64" x14ac:dyDescent="0.25">
      <c r="A82"/>
      <c r="C82" t="s">
        <v>44</v>
      </c>
      <c r="E82" s="37">
        <v>55.73</v>
      </c>
      <c r="F82" s="37">
        <v>55.73</v>
      </c>
      <c r="G82" s="37">
        <v>55.73</v>
      </c>
      <c r="H82" s="61">
        <v>55.73</v>
      </c>
      <c r="I82" s="61">
        <v>55.73</v>
      </c>
      <c r="J82" s="37">
        <v>55.73</v>
      </c>
      <c r="K82" s="61">
        <v>55.73</v>
      </c>
      <c r="L82" s="61">
        <v>55.73</v>
      </c>
      <c r="M82" s="37">
        <v>55.73</v>
      </c>
      <c r="N82" s="61">
        <v>55.73</v>
      </c>
      <c r="O82" s="61">
        <v>55.73</v>
      </c>
      <c r="P82" s="37">
        <v>55.73</v>
      </c>
      <c r="Q82" s="61">
        <v>55.73</v>
      </c>
      <c r="R82" s="61">
        <v>55.73</v>
      </c>
      <c r="S82" s="37">
        <v>55.73</v>
      </c>
      <c r="T82" s="46"/>
      <c r="U82" s="46"/>
      <c r="V82" s="46"/>
      <c r="W82" s="46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</row>
    <row r="83" spans="1:64" x14ac:dyDescent="0.25">
      <c r="A83"/>
      <c r="C83" t="s">
        <v>34</v>
      </c>
      <c r="E83" s="37">
        <v>53.83</v>
      </c>
      <c r="F83" s="37">
        <v>53.83</v>
      </c>
      <c r="G83" s="37">
        <v>53.83</v>
      </c>
      <c r="H83" s="61">
        <v>53.83</v>
      </c>
      <c r="I83" s="61">
        <v>53.83</v>
      </c>
      <c r="J83" s="37">
        <v>53.83</v>
      </c>
      <c r="K83" s="61">
        <v>53.83</v>
      </c>
      <c r="L83" s="61">
        <v>53.83</v>
      </c>
      <c r="M83" s="37">
        <v>53.83</v>
      </c>
      <c r="N83" s="61">
        <v>53.83</v>
      </c>
      <c r="O83" s="61">
        <v>53.83</v>
      </c>
      <c r="P83" s="37">
        <v>53.83</v>
      </c>
      <c r="Q83" s="61">
        <v>53.83</v>
      </c>
      <c r="R83" s="61">
        <v>53.83</v>
      </c>
      <c r="S83" s="37">
        <v>53.83</v>
      </c>
      <c r="T83" s="46"/>
      <c r="U83" s="46"/>
      <c r="V83" s="46"/>
      <c r="W83" s="46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</row>
    <row r="84" spans="1:64" x14ac:dyDescent="0.25">
      <c r="A84"/>
      <c r="C84" t="s">
        <v>35</v>
      </c>
      <c r="E84" s="37">
        <v>55.89</v>
      </c>
      <c r="F84" s="37">
        <v>55.89</v>
      </c>
      <c r="G84" s="37">
        <v>55.89</v>
      </c>
      <c r="H84" s="61">
        <v>55.89</v>
      </c>
      <c r="I84" s="61">
        <v>55.89</v>
      </c>
      <c r="J84" s="37">
        <v>55.89</v>
      </c>
      <c r="K84" s="61">
        <v>55.89</v>
      </c>
      <c r="L84" s="61">
        <v>55.89</v>
      </c>
      <c r="M84" s="37">
        <v>55.89</v>
      </c>
      <c r="N84" s="61">
        <v>55.89</v>
      </c>
      <c r="O84" s="61">
        <v>55.89</v>
      </c>
      <c r="P84" s="37">
        <v>55.89</v>
      </c>
      <c r="Q84" s="61">
        <v>55.89</v>
      </c>
      <c r="R84" s="61">
        <v>55.89</v>
      </c>
      <c r="S84" s="37">
        <v>55.89</v>
      </c>
      <c r="T84" s="46"/>
      <c r="U84" s="46"/>
      <c r="V84" s="46"/>
      <c r="W84" s="46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</row>
    <row r="85" spans="1:64" x14ac:dyDescent="0.25">
      <c r="A85"/>
      <c r="C85" t="s">
        <v>36</v>
      </c>
      <c r="E85" s="37">
        <v>53.99</v>
      </c>
      <c r="F85" s="37">
        <v>53.99</v>
      </c>
      <c r="G85" s="37">
        <v>53.99</v>
      </c>
      <c r="H85" s="61">
        <v>53.99</v>
      </c>
      <c r="I85" s="61">
        <v>53.99</v>
      </c>
      <c r="J85" s="37">
        <v>53.99</v>
      </c>
      <c r="K85" s="61">
        <v>53.99</v>
      </c>
      <c r="L85" s="61">
        <v>53.99</v>
      </c>
      <c r="M85" s="37">
        <v>53.99</v>
      </c>
      <c r="N85" s="61">
        <v>53.99</v>
      </c>
      <c r="O85" s="61">
        <v>53.99</v>
      </c>
      <c r="P85" s="37">
        <v>53.99</v>
      </c>
      <c r="Q85" s="61">
        <v>53.99</v>
      </c>
      <c r="R85" s="61">
        <v>53.99</v>
      </c>
      <c r="S85" s="37">
        <v>53.99</v>
      </c>
      <c r="T85" s="46"/>
      <c r="U85" s="46"/>
      <c r="V85" s="46"/>
      <c r="W85" s="46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</row>
    <row r="86" spans="1:64" x14ac:dyDescent="0.25">
      <c r="A86"/>
      <c r="C86" t="s">
        <v>37</v>
      </c>
      <c r="E86" s="37">
        <v>55.43</v>
      </c>
      <c r="F86" s="37">
        <v>55.43</v>
      </c>
      <c r="G86" s="37">
        <v>55.43</v>
      </c>
      <c r="H86" s="61">
        <v>55.43</v>
      </c>
      <c r="I86" s="61">
        <v>55.43</v>
      </c>
      <c r="J86" s="37">
        <v>55.43</v>
      </c>
      <c r="K86" s="61">
        <v>55.43</v>
      </c>
      <c r="L86" s="61">
        <v>55.43</v>
      </c>
      <c r="M86" s="37">
        <v>55.43</v>
      </c>
      <c r="N86" s="61">
        <v>55.43</v>
      </c>
      <c r="O86" s="61">
        <v>55.43</v>
      </c>
      <c r="P86" s="37">
        <v>55.43</v>
      </c>
      <c r="Q86" s="61">
        <v>55.43</v>
      </c>
      <c r="R86" s="61">
        <v>55.43</v>
      </c>
      <c r="S86" s="37">
        <v>55.43</v>
      </c>
      <c r="T86" s="46"/>
      <c r="U86" s="46"/>
      <c r="V86" s="46"/>
      <c r="W86" s="46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</row>
    <row r="87" spans="1:64" x14ac:dyDescent="0.25">
      <c r="A87"/>
      <c r="C87" t="s">
        <v>38</v>
      </c>
      <c r="E87" s="37">
        <v>56.04</v>
      </c>
      <c r="F87" s="37">
        <v>56.04</v>
      </c>
      <c r="G87" s="37">
        <v>56.04</v>
      </c>
      <c r="H87" s="61">
        <v>56.04</v>
      </c>
      <c r="I87" s="61">
        <v>56.04</v>
      </c>
      <c r="J87" s="37">
        <v>56.04</v>
      </c>
      <c r="K87" s="61">
        <v>56.04</v>
      </c>
      <c r="L87" s="61">
        <v>56.04</v>
      </c>
      <c r="M87" s="37">
        <v>56.04</v>
      </c>
      <c r="N87" s="61">
        <v>56.04</v>
      </c>
      <c r="O87" s="61">
        <v>56.04</v>
      </c>
      <c r="P87" s="37">
        <v>56.04</v>
      </c>
      <c r="Q87" s="61">
        <v>56.04</v>
      </c>
      <c r="R87" s="61">
        <v>56.04</v>
      </c>
      <c r="S87" s="37">
        <v>56.04</v>
      </c>
      <c r="T87" s="46"/>
      <c r="U87" s="46"/>
      <c r="V87" s="46"/>
      <c r="W87" s="46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</row>
    <row r="88" spans="1:64" x14ac:dyDescent="0.25">
      <c r="A88"/>
      <c r="C88" t="s">
        <v>39</v>
      </c>
      <c r="E88" s="37">
        <v>53.68</v>
      </c>
      <c r="F88" s="37">
        <v>53.68</v>
      </c>
      <c r="G88" s="37">
        <v>53.68</v>
      </c>
      <c r="H88" s="61">
        <v>53.68</v>
      </c>
      <c r="I88" s="61">
        <v>53.68</v>
      </c>
      <c r="J88" s="37">
        <v>53.68</v>
      </c>
      <c r="K88" s="61">
        <v>53.68</v>
      </c>
      <c r="L88" s="61">
        <v>53.68</v>
      </c>
      <c r="M88" s="37">
        <v>53.68</v>
      </c>
      <c r="N88" s="61">
        <v>53.68</v>
      </c>
      <c r="O88" s="61">
        <v>53.68</v>
      </c>
      <c r="P88" s="37">
        <v>53.68</v>
      </c>
      <c r="Q88" s="61">
        <v>53.68</v>
      </c>
      <c r="R88" s="61">
        <v>53.68</v>
      </c>
      <c r="S88" s="37">
        <v>53.68</v>
      </c>
      <c r="T88" s="46"/>
      <c r="U88" s="46"/>
      <c r="V88" s="46"/>
      <c r="W88" s="46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</row>
    <row r="89" spans="1:64" x14ac:dyDescent="0.25">
      <c r="A89"/>
      <c r="C89" t="s">
        <v>176</v>
      </c>
      <c r="E89" s="37">
        <v>55.43</v>
      </c>
      <c r="F89" s="37">
        <v>55.43</v>
      </c>
      <c r="G89" s="37">
        <v>55.43</v>
      </c>
      <c r="H89" s="61">
        <v>55.43</v>
      </c>
      <c r="I89" s="61">
        <v>55.43</v>
      </c>
      <c r="J89" s="37">
        <v>55.43</v>
      </c>
      <c r="K89" s="61">
        <v>55.43</v>
      </c>
      <c r="L89" s="61">
        <v>55.43</v>
      </c>
      <c r="M89" s="37">
        <v>55.43</v>
      </c>
      <c r="N89" s="61">
        <v>55.43</v>
      </c>
      <c r="O89" s="61">
        <v>55.43</v>
      </c>
      <c r="P89" s="37">
        <v>55.43</v>
      </c>
      <c r="Q89" s="61">
        <v>55.43</v>
      </c>
      <c r="R89" s="61">
        <v>55.43</v>
      </c>
      <c r="S89" s="37">
        <v>55.43</v>
      </c>
      <c r="T89" s="46"/>
      <c r="U89" s="46"/>
      <c r="V89" s="46"/>
      <c r="W89" s="46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</row>
    <row r="90" spans="1:64" x14ac:dyDescent="0.25">
      <c r="A90"/>
      <c r="C90" t="s">
        <v>40</v>
      </c>
      <c r="E90" s="37">
        <v>53.99</v>
      </c>
      <c r="F90" s="37">
        <v>53.99</v>
      </c>
      <c r="G90" s="37">
        <v>53.99</v>
      </c>
      <c r="H90" s="61">
        <v>53.99</v>
      </c>
      <c r="I90" s="61">
        <v>53.99</v>
      </c>
      <c r="J90" s="37">
        <v>53.99</v>
      </c>
      <c r="K90" s="61">
        <v>53.99</v>
      </c>
      <c r="L90" s="61">
        <v>53.99</v>
      </c>
      <c r="M90" s="37">
        <v>53.99</v>
      </c>
      <c r="N90" s="61">
        <v>53.99</v>
      </c>
      <c r="O90" s="61">
        <v>53.99</v>
      </c>
      <c r="P90" s="37">
        <v>53.99</v>
      </c>
      <c r="Q90" s="61">
        <v>53.99</v>
      </c>
      <c r="R90" s="61">
        <v>53.99</v>
      </c>
      <c r="S90" s="37">
        <v>53.99</v>
      </c>
      <c r="T90" s="46"/>
      <c r="U90" s="46"/>
      <c r="V90" s="46"/>
      <c r="W90" s="46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</row>
    <row r="91" spans="1:64" x14ac:dyDescent="0.25">
      <c r="A91" s="38"/>
      <c r="C91" t="s">
        <v>41</v>
      </c>
      <c r="E91" s="37">
        <v>55.73</v>
      </c>
      <c r="F91" s="37">
        <v>55.73</v>
      </c>
      <c r="G91" s="37">
        <v>55.73</v>
      </c>
      <c r="H91" s="61">
        <v>55.73</v>
      </c>
      <c r="I91" s="61">
        <v>55.73</v>
      </c>
      <c r="J91" s="37">
        <v>55.73</v>
      </c>
      <c r="K91" s="61">
        <v>55.73</v>
      </c>
      <c r="L91" s="61">
        <v>55.73</v>
      </c>
      <c r="M91" s="37">
        <v>55.73</v>
      </c>
      <c r="N91" s="61">
        <v>55.73</v>
      </c>
      <c r="O91" s="61">
        <v>55.73</v>
      </c>
      <c r="P91" s="37">
        <v>55.73</v>
      </c>
      <c r="Q91" s="61">
        <v>55.73</v>
      </c>
      <c r="R91" s="61">
        <v>55.73</v>
      </c>
      <c r="S91" s="37">
        <v>55.73</v>
      </c>
      <c r="T91" s="46"/>
      <c r="U91" s="46"/>
      <c r="V91" s="46"/>
      <c r="W91" s="46"/>
    </row>
    <row r="92" spans="1:64" x14ac:dyDescent="0.25">
      <c r="A92" s="38"/>
      <c r="E92" s="37"/>
      <c r="F92" s="37"/>
      <c r="G92" s="37"/>
      <c r="H92" s="61"/>
      <c r="I92" s="61"/>
      <c r="J92" s="37"/>
      <c r="K92" s="61"/>
      <c r="L92" s="61"/>
      <c r="M92" s="37"/>
      <c r="N92" s="61"/>
      <c r="O92" s="61"/>
      <c r="P92" s="37"/>
      <c r="Q92" s="61"/>
      <c r="R92" s="61"/>
      <c r="S92" s="37"/>
      <c r="T92" s="46"/>
      <c r="U92" s="46"/>
      <c r="V92" s="46"/>
      <c r="W92" s="46"/>
    </row>
    <row r="93" spans="1:64" s="7" customFormat="1" x14ac:dyDescent="0.25">
      <c r="A93" s="56"/>
      <c r="B93" s="11" t="s">
        <v>200</v>
      </c>
      <c r="C93" s="11"/>
      <c r="D93" s="11"/>
      <c r="E93" s="53">
        <f>SUM(E96:E107)</f>
        <v>0</v>
      </c>
      <c r="F93" s="53">
        <f t="shared" ref="F93:S93" si="100">SUM(F96:F107)</f>
        <v>0</v>
      </c>
      <c r="G93" s="53">
        <f t="shared" si="100"/>
        <v>0</v>
      </c>
      <c r="H93" s="62">
        <f t="shared" si="100"/>
        <v>0</v>
      </c>
      <c r="I93" s="62">
        <f t="shared" si="100"/>
        <v>0</v>
      </c>
      <c r="J93" s="53">
        <f t="shared" si="100"/>
        <v>0</v>
      </c>
      <c r="K93" s="62">
        <f t="shared" si="100"/>
        <v>0</v>
      </c>
      <c r="L93" s="62">
        <f t="shared" si="100"/>
        <v>0</v>
      </c>
      <c r="M93" s="53">
        <f t="shared" si="100"/>
        <v>4786.29</v>
      </c>
      <c r="N93" s="62">
        <f t="shared" si="100"/>
        <v>5583.98</v>
      </c>
      <c r="O93" s="62">
        <f t="shared" si="100"/>
        <v>4188.0200000000004</v>
      </c>
      <c r="P93" s="53">
        <f t="shared" si="100"/>
        <v>0</v>
      </c>
      <c r="Q93" s="62">
        <f t="shared" si="100"/>
        <v>0</v>
      </c>
      <c r="R93" s="62">
        <f t="shared" si="100"/>
        <v>0</v>
      </c>
      <c r="S93" s="53">
        <f t="shared" si="100"/>
        <v>1380.8200000000002</v>
      </c>
      <c r="T93" s="46"/>
      <c r="U93" s="46"/>
      <c r="V93" s="46"/>
      <c r="W93" s="46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</row>
    <row r="94" spans="1:64" x14ac:dyDescent="0.25">
      <c r="A94" s="38" t="s">
        <v>10</v>
      </c>
      <c r="B94" t="s">
        <v>182</v>
      </c>
      <c r="C94" t="s">
        <v>122</v>
      </c>
      <c r="E94" s="37"/>
      <c r="F94" s="37"/>
      <c r="G94" s="37"/>
      <c r="H94" s="37"/>
      <c r="I94" s="37"/>
      <c r="J94" s="37"/>
      <c r="K94" s="37"/>
      <c r="L94" s="37"/>
      <c r="M94" s="37">
        <f>($E6-M93)/$E6*100</f>
        <v>78.596582547299533</v>
      </c>
      <c r="N94" s="37">
        <f t="shared" ref="N94:O94" si="101">($E6-N93)/$E6*100</f>
        <v>75.029458100631103</v>
      </c>
      <c r="O94" s="37">
        <f t="shared" si="101"/>
        <v>81.271937061845691</v>
      </c>
      <c r="P94" s="37"/>
      <c r="Q94" s="37"/>
      <c r="R94" s="37"/>
      <c r="S94" s="37">
        <f t="shared" ref="S94" si="102">($E6-S93)/$E6*100</f>
        <v>93.825224362285226</v>
      </c>
      <c r="T94" s="46"/>
      <c r="U94" s="46"/>
      <c r="V94" s="46"/>
      <c r="W94" s="46"/>
    </row>
    <row r="95" spans="1:64" s="22" customFormat="1" x14ac:dyDescent="0.25">
      <c r="A95" s="81"/>
      <c r="B95" s="22" t="s">
        <v>207</v>
      </c>
      <c r="C95" s="22" t="s">
        <v>122</v>
      </c>
      <c r="E95" s="46">
        <f>E93/$E90*100</f>
        <v>0</v>
      </c>
      <c r="F95" s="46">
        <f>F93/$E90*100</f>
        <v>0</v>
      </c>
      <c r="G95" s="46">
        <f>G93/$E90*100</f>
        <v>0</v>
      </c>
      <c r="H95" s="46">
        <f>H93/$E90*100</f>
        <v>0</v>
      </c>
      <c r="I95" s="46">
        <f>I93/$E90*100</f>
        <v>0</v>
      </c>
      <c r="J95" s="46">
        <f>J93/$E90*100</f>
        <v>0</v>
      </c>
      <c r="K95" s="46">
        <f>K93/$E90*100</f>
        <v>0</v>
      </c>
      <c r="L95" s="46">
        <f>L93/$E90*100</f>
        <v>0</v>
      </c>
      <c r="M95" s="46">
        <f>M93/$E90*100</f>
        <v>8865.1416929060924</v>
      </c>
      <c r="N95" s="46">
        <f>N93/$E90*100</f>
        <v>10342.61900351917</v>
      </c>
      <c r="O95" s="46">
        <f>O93/$E90*100</f>
        <v>7757.0290794591601</v>
      </c>
      <c r="P95" s="46">
        <f>P93/$E90*100</f>
        <v>0</v>
      </c>
      <c r="Q95" s="46">
        <f>Q93/$E90*100</f>
        <v>0</v>
      </c>
      <c r="R95" s="46">
        <f>R93/$E90*100</f>
        <v>0</v>
      </c>
      <c r="S95" s="46">
        <f>S93/$E90*100</f>
        <v>2557.5476940174108</v>
      </c>
      <c r="T95" s="46"/>
      <c r="U95" s="46"/>
      <c r="V95" s="46"/>
      <c r="W95" s="46"/>
    </row>
    <row r="96" spans="1:64" x14ac:dyDescent="0.25">
      <c r="A96" s="38"/>
      <c r="C96" t="s">
        <v>42</v>
      </c>
      <c r="E96" s="37"/>
      <c r="F96" s="37"/>
      <c r="G96" s="37"/>
      <c r="H96" s="61"/>
      <c r="I96" s="61"/>
      <c r="J96" s="37"/>
      <c r="K96" s="61"/>
      <c r="L96" s="61"/>
      <c r="M96" s="37">
        <f t="shared" ref="M96:S96" si="103">M110+M124</f>
        <v>847.48</v>
      </c>
      <c r="N96" s="61">
        <f t="shared" si="103"/>
        <v>988.73</v>
      </c>
      <c r="O96" s="61">
        <f t="shared" si="103"/>
        <v>741.55</v>
      </c>
      <c r="P96" s="37"/>
      <c r="Q96" s="61"/>
      <c r="R96" s="61"/>
      <c r="S96" s="37">
        <f t="shared" si="103"/>
        <v>238.33</v>
      </c>
      <c r="T96" s="46"/>
      <c r="U96" s="46"/>
      <c r="V96" s="46"/>
      <c r="W96" s="46"/>
    </row>
    <row r="97" spans="1:64" x14ac:dyDescent="0.25">
      <c r="A97"/>
      <c r="C97" t="s">
        <v>43</v>
      </c>
      <c r="E97" s="37"/>
      <c r="F97" s="37"/>
      <c r="G97" s="37"/>
      <c r="H97" s="61"/>
      <c r="I97" s="61"/>
      <c r="J97" s="37"/>
      <c r="K97" s="61"/>
      <c r="L97" s="61"/>
      <c r="M97" s="37">
        <f t="shared" ref="M97:S97" si="104">M111+M125</f>
        <v>659.57</v>
      </c>
      <c r="N97" s="61">
        <f t="shared" si="104"/>
        <v>769.49</v>
      </c>
      <c r="O97" s="61">
        <f t="shared" si="104"/>
        <v>577.12</v>
      </c>
      <c r="P97" s="37"/>
      <c r="Q97" s="61"/>
      <c r="R97" s="61"/>
      <c r="S97" s="37">
        <f t="shared" si="104"/>
        <v>166.42</v>
      </c>
      <c r="T97" s="46"/>
      <c r="U97" s="46"/>
      <c r="V97" s="46"/>
      <c r="W97" s="46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</row>
    <row r="98" spans="1:64" x14ac:dyDescent="0.25">
      <c r="A98"/>
      <c r="C98" t="s">
        <v>44</v>
      </c>
      <c r="E98" s="37"/>
      <c r="F98" s="37"/>
      <c r="G98" s="37"/>
      <c r="H98" s="61"/>
      <c r="I98" s="61"/>
      <c r="J98" s="37"/>
      <c r="K98" s="61"/>
      <c r="L98" s="61"/>
      <c r="M98" s="37">
        <f t="shared" ref="M98:S98" si="105">M112+M126</f>
        <v>601.98</v>
      </c>
      <c r="N98" s="61">
        <f t="shared" si="105"/>
        <v>702.30000000000007</v>
      </c>
      <c r="O98" s="61">
        <f t="shared" si="105"/>
        <v>526.73</v>
      </c>
      <c r="P98" s="37"/>
      <c r="Q98" s="61"/>
      <c r="R98" s="61"/>
      <c r="S98" s="37">
        <f t="shared" si="105"/>
        <v>143.84</v>
      </c>
      <c r="T98" s="46"/>
      <c r="U98" s="46"/>
      <c r="V98" s="46"/>
      <c r="W98" s="46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</row>
    <row r="99" spans="1:64" x14ac:dyDescent="0.25">
      <c r="A99"/>
      <c r="C99" t="s">
        <v>34</v>
      </c>
      <c r="E99" s="37"/>
      <c r="F99" s="37"/>
      <c r="G99" s="37"/>
      <c r="H99" s="61"/>
      <c r="I99" s="61"/>
      <c r="J99" s="37"/>
      <c r="K99" s="61"/>
      <c r="L99" s="61"/>
      <c r="M99" s="37">
        <f t="shared" ref="M99:S99" si="106">M113+M127</f>
        <v>403.11</v>
      </c>
      <c r="N99" s="61">
        <f t="shared" si="106"/>
        <v>470.3</v>
      </c>
      <c r="O99" s="61">
        <f t="shared" si="106"/>
        <v>352.73</v>
      </c>
      <c r="P99" s="37"/>
      <c r="Q99" s="61"/>
      <c r="R99" s="61"/>
      <c r="S99" s="37">
        <f t="shared" si="106"/>
        <v>72.64</v>
      </c>
      <c r="T99" s="46"/>
      <c r="U99" s="46"/>
      <c r="V99" s="46"/>
      <c r="W99" s="46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</row>
    <row r="100" spans="1:64" x14ac:dyDescent="0.25">
      <c r="A100"/>
      <c r="C100" t="s">
        <v>35</v>
      </c>
      <c r="E100" s="37"/>
      <c r="F100" s="37"/>
      <c r="G100" s="37"/>
      <c r="H100" s="61"/>
      <c r="I100" s="61"/>
      <c r="J100" s="37"/>
      <c r="K100" s="61"/>
      <c r="L100" s="61"/>
      <c r="M100" s="37">
        <f t="shared" ref="M100:S100" si="107">M114+M128</f>
        <v>210.01</v>
      </c>
      <c r="N100" s="61">
        <f t="shared" si="107"/>
        <v>245.01</v>
      </c>
      <c r="O100" s="61">
        <f t="shared" si="107"/>
        <v>183.76</v>
      </c>
      <c r="P100" s="37"/>
      <c r="Q100" s="61"/>
      <c r="R100" s="61"/>
      <c r="S100" s="37">
        <f t="shared" si="107"/>
        <v>64.81</v>
      </c>
      <c r="T100" s="46"/>
      <c r="U100" s="46"/>
      <c r="V100" s="46"/>
      <c r="W100" s="46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</row>
    <row r="101" spans="1:64" x14ac:dyDescent="0.25">
      <c r="A101"/>
      <c r="C101" t="s">
        <v>36</v>
      </c>
      <c r="E101" s="37"/>
      <c r="F101" s="37"/>
      <c r="G101" s="37"/>
      <c r="H101" s="61"/>
      <c r="I101" s="61"/>
      <c r="J101" s="37"/>
      <c r="K101" s="61"/>
      <c r="L101" s="61"/>
      <c r="M101" s="37">
        <f t="shared" ref="M101:S101" si="108">M115+M129</f>
        <v>85.56</v>
      </c>
      <c r="N101" s="61">
        <f t="shared" si="108"/>
        <v>99.82</v>
      </c>
      <c r="O101" s="61">
        <f t="shared" si="108"/>
        <v>74.87</v>
      </c>
      <c r="P101" s="37"/>
      <c r="Q101" s="61"/>
      <c r="R101" s="61"/>
      <c r="S101" s="37">
        <f t="shared" si="108"/>
        <v>61.8</v>
      </c>
      <c r="T101" s="46"/>
      <c r="U101" s="46"/>
      <c r="V101" s="46"/>
      <c r="W101" s="46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</row>
    <row r="102" spans="1:64" x14ac:dyDescent="0.25">
      <c r="A102"/>
      <c r="C102" t="s">
        <v>37</v>
      </c>
      <c r="E102" s="37"/>
      <c r="F102" s="37"/>
      <c r="G102" s="37"/>
      <c r="H102" s="61"/>
      <c r="I102" s="61"/>
      <c r="J102" s="37"/>
      <c r="K102" s="61"/>
      <c r="L102" s="61"/>
      <c r="M102" s="37">
        <f t="shared" ref="M102:S102" si="109">M116+M130</f>
        <v>71.510000000000005</v>
      </c>
      <c r="N102" s="61">
        <f t="shared" si="109"/>
        <v>83.429999999999993</v>
      </c>
      <c r="O102" s="61">
        <f t="shared" si="109"/>
        <v>62.58</v>
      </c>
      <c r="P102" s="37"/>
      <c r="Q102" s="61"/>
      <c r="R102" s="61"/>
      <c r="S102" s="37">
        <f t="shared" si="109"/>
        <v>61.97</v>
      </c>
      <c r="T102" s="46"/>
      <c r="U102" s="46"/>
      <c r="V102" s="46"/>
      <c r="W102" s="46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</row>
    <row r="103" spans="1:64" x14ac:dyDescent="0.25">
      <c r="A103"/>
      <c r="C103" t="s">
        <v>38</v>
      </c>
      <c r="E103" s="37"/>
      <c r="F103" s="37"/>
      <c r="G103" s="37"/>
      <c r="H103" s="61"/>
      <c r="I103" s="61"/>
      <c r="J103" s="37"/>
      <c r="K103" s="61"/>
      <c r="L103" s="61"/>
      <c r="M103" s="37">
        <f t="shared" ref="M103:S103" si="110">M117+M131</f>
        <v>81.56</v>
      </c>
      <c r="N103" s="61">
        <f t="shared" si="110"/>
        <v>95.16</v>
      </c>
      <c r="O103" s="61">
        <f t="shared" si="110"/>
        <v>71.37</v>
      </c>
      <c r="P103" s="37"/>
      <c r="Q103" s="61"/>
      <c r="R103" s="61"/>
      <c r="S103" s="37">
        <f t="shared" si="110"/>
        <v>65.209999999999994</v>
      </c>
      <c r="T103" s="46"/>
      <c r="U103" s="46"/>
      <c r="V103" s="46"/>
      <c r="W103" s="46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</row>
    <row r="104" spans="1:64" x14ac:dyDescent="0.25">
      <c r="A104"/>
      <c r="C104" t="s">
        <v>39</v>
      </c>
      <c r="E104" s="37"/>
      <c r="F104" s="37"/>
      <c r="G104" s="37"/>
      <c r="H104" s="61"/>
      <c r="I104" s="61"/>
      <c r="J104" s="37"/>
      <c r="K104" s="61"/>
      <c r="L104" s="61"/>
      <c r="M104" s="37">
        <f t="shared" ref="M104:S104" si="111">M118+M132</f>
        <v>118.41</v>
      </c>
      <c r="N104" s="61">
        <f t="shared" si="111"/>
        <v>138.15</v>
      </c>
      <c r="O104" s="61">
        <f t="shared" si="111"/>
        <v>103.61</v>
      </c>
      <c r="P104" s="37"/>
      <c r="Q104" s="61"/>
      <c r="R104" s="61"/>
      <c r="S104" s="37">
        <f t="shared" si="111"/>
        <v>60.44</v>
      </c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</row>
    <row r="105" spans="1:64" x14ac:dyDescent="0.25">
      <c r="A105"/>
      <c r="C105" t="s">
        <v>176</v>
      </c>
      <c r="E105" s="37"/>
      <c r="F105" s="37"/>
      <c r="G105" s="37"/>
      <c r="H105" s="61"/>
      <c r="I105" s="61"/>
      <c r="J105" s="37"/>
      <c r="K105" s="61"/>
      <c r="L105" s="61"/>
      <c r="M105" s="37">
        <f t="shared" ref="M105:S105" si="112">M119+M133</f>
        <v>345.17999999999995</v>
      </c>
      <c r="N105" s="61">
        <f t="shared" si="112"/>
        <v>402.69</v>
      </c>
      <c r="O105" s="61">
        <f t="shared" si="112"/>
        <v>302.02</v>
      </c>
      <c r="P105" s="37"/>
      <c r="Q105" s="61"/>
      <c r="R105" s="61"/>
      <c r="S105" s="37">
        <f t="shared" si="112"/>
        <v>81.099999999999994</v>
      </c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</row>
    <row r="106" spans="1:64" x14ac:dyDescent="0.25">
      <c r="A106"/>
      <c r="C106" t="s">
        <v>40</v>
      </c>
      <c r="E106" s="37"/>
      <c r="F106" s="37"/>
      <c r="G106" s="37"/>
      <c r="H106" s="61"/>
      <c r="I106" s="61"/>
      <c r="J106" s="37"/>
      <c r="K106" s="61"/>
      <c r="L106" s="61"/>
      <c r="M106" s="37">
        <f t="shared" ref="M106:S106" si="113">M120+M134</f>
        <v>569.35</v>
      </c>
      <c r="N106" s="61">
        <f t="shared" si="113"/>
        <v>664.24</v>
      </c>
      <c r="O106" s="61">
        <f t="shared" si="113"/>
        <v>498.18</v>
      </c>
      <c r="P106" s="37"/>
      <c r="Q106" s="61"/>
      <c r="R106" s="61"/>
      <c r="S106" s="37">
        <f t="shared" si="113"/>
        <v>138.30000000000001</v>
      </c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</row>
    <row r="107" spans="1:64" x14ac:dyDescent="0.25">
      <c r="A107"/>
      <c r="C107" t="s">
        <v>41</v>
      </c>
      <c r="E107" s="37"/>
      <c r="F107" s="37"/>
      <c r="G107" s="37"/>
      <c r="H107" s="61"/>
      <c r="I107" s="61"/>
      <c r="J107" s="37"/>
      <c r="K107" s="61"/>
      <c r="L107" s="61"/>
      <c r="M107" s="37">
        <f t="shared" ref="M107:S107" si="114">M121+M135</f>
        <v>792.56999999999994</v>
      </c>
      <c r="N107" s="61">
        <f t="shared" si="114"/>
        <v>924.66</v>
      </c>
      <c r="O107" s="61">
        <f t="shared" si="114"/>
        <v>693.5</v>
      </c>
      <c r="P107" s="37"/>
      <c r="Q107" s="61"/>
      <c r="R107" s="61"/>
      <c r="S107" s="37">
        <f t="shared" si="114"/>
        <v>225.96</v>
      </c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</row>
    <row r="108" spans="1:64" x14ac:dyDescent="0.25">
      <c r="A108" s="38"/>
    </row>
    <row r="109" spans="1:64" x14ac:dyDescent="0.25">
      <c r="A109" s="39"/>
      <c r="B109" s="7" t="s">
        <v>1</v>
      </c>
      <c r="C109" s="7"/>
      <c r="D109" s="7"/>
      <c r="E109" s="54">
        <f>SUM(E110:E121)</f>
        <v>0</v>
      </c>
      <c r="F109" s="54">
        <f t="shared" ref="F109" si="115">SUM(F110:F121)</f>
        <v>0</v>
      </c>
      <c r="G109" s="54">
        <f t="shared" ref="G109" si="116">SUM(G110:G121)</f>
        <v>0</v>
      </c>
      <c r="H109" s="63">
        <f t="shared" ref="H109" si="117">SUM(H110:H121)</f>
        <v>0</v>
      </c>
      <c r="I109" s="63">
        <f t="shared" ref="I109" si="118">SUM(I110:I121)</f>
        <v>0</v>
      </c>
      <c r="J109" s="54">
        <f t="shared" ref="J109" si="119">SUM(J110:J121)</f>
        <v>0</v>
      </c>
      <c r="K109" s="63">
        <f t="shared" ref="K109" si="120">SUM(K110:K121)</f>
        <v>0</v>
      </c>
      <c r="L109" s="63">
        <f t="shared" ref="L109" si="121">SUM(L110:L121)</f>
        <v>0</v>
      </c>
      <c r="M109" s="54">
        <f t="shared" ref="M109" si="122">SUM(M110:M121)</f>
        <v>3982.0399999999991</v>
      </c>
      <c r="N109" s="63">
        <f t="shared" ref="N109" si="123">SUM(N110:N121)</f>
        <v>4645.6900000000005</v>
      </c>
      <c r="O109" s="63">
        <f t="shared" ref="O109" si="124">SUM(O110:O121)</f>
        <v>3484.28</v>
      </c>
      <c r="P109" s="54">
        <f t="shared" ref="P109" si="125">SUM(P110:P121)</f>
        <v>0</v>
      </c>
      <c r="Q109" s="63">
        <f t="shared" ref="Q109" si="126">SUM(Q110:Q121)</f>
        <v>0</v>
      </c>
      <c r="R109" s="63">
        <f t="shared" ref="R109" si="127">SUM(R110:R121)</f>
        <v>0</v>
      </c>
      <c r="S109" s="54">
        <f t="shared" ref="S109" si="128">SUM(S110:S121)</f>
        <v>635.94000000000005</v>
      </c>
      <c r="T109" s="46"/>
      <c r="U109" s="46"/>
      <c r="V109" s="46"/>
      <c r="W109" s="46"/>
    </row>
    <row r="110" spans="1:64" x14ac:dyDescent="0.25">
      <c r="A110" s="4"/>
      <c r="C110" t="s">
        <v>42</v>
      </c>
      <c r="E110" s="37"/>
      <c r="F110" s="37"/>
      <c r="G110" s="37"/>
      <c r="H110" s="61"/>
      <c r="I110" s="61"/>
      <c r="J110" s="37"/>
      <c r="K110" s="61"/>
      <c r="L110" s="61"/>
      <c r="M110" s="37">
        <v>779.7</v>
      </c>
      <c r="N110" s="61">
        <v>909.65</v>
      </c>
      <c r="O110" s="61">
        <v>682.24</v>
      </c>
      <c r="P110" s="37"/>
      <c r="Q110" s="61"/>
      <c r="R110" s="61"/>
      <c r="S110" s="37">
        <v>175.55</v>
      </c>
      <c r="T110" s="46"/>
      <c r="U110" s="46"/>
      <c r="V110" s="46"/>
      <c r="W110" s="46"/>
    </row>
    <row r="111" spans="1:64" x14ac:dyDescent="0.25">
      <c r="A111" s="38"/>
      <c r="C111" t="s">
        <v>43</v>
      </c>
      <c r="E111" s="37"/>
      <c r="F111" s="37"/>
      <c r="G111" s="37"/>
      <c r="H111" s="61"/>
      <c r="I111" s="61"/>
      <c r="J111" s="37"/>
      <c r="K111" s="61"/>
      <c r="L111" s="61"/>
      <c r="M111" s="37">
        <v>598.46</v>
      </c>
      <c r="N111" s="61">
        <v>698.2</v>
      </c>
      <c r="O111" s="61">
        <v>523.65</v>
      </c>
      <c r="P111" s="37"/>
      <c r="Q111" s="61"/>
      <c r="R111" s="61"/>
      <c r="S111" s="37">
        <v>109.82</v>
      </c>
      <c r="T111" s="46"/>
      <c r="U111" s="46"/>
      <c r="V111" s="46"/>
      <c r="W111" s="46"/>
    </row>
    <row r="112" spans="1:64" x14ac:dyDescent="0.25">
      <c r="C112" t="s">
        <v>44</v>
      </c>
      <c r="E112" s="37"/>
      <c r="F112" s="37"/>
      <c r="G112" s="37"/>
      <c r="H112" s="61"/>
      <c r="I112" s="61"/>
      <c r="J112" s="37"/>
      <c r="K112" s="61"/>
      <c r="L112" s="61"/>
      <c r="M112" s="37">
        <v>533.32000000000005</v>
      </c>
      <c r="N112" s="61">
        <v>622.20000000000005</v>
      </c>
      <c r="O112" s="61">
        <v>466.65</v>
      </c>
      <c r="P112" s="37"/>
      <c r="Q112" s="61"/>
      <c r="R112" s="61"/>
      <c r="S112" s="37">
        <v>80.25</v>
      </c>
      <c r="T112" s="46"/>
      <c r="U112" s="46"/>
      <c r="V112" s="46"/>
      <c r="W112" s="46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</row>
    <row r="113" spans="1:64" x14ac:dyDescent="0.25">
      <c r="A113"/>
      <c r="C113" t="s">
        <v>34</v>
      </c>
      <c r="E113" s="37"/>
      <c r="F113" s="37"/>
      <c r="G113" s="37"/>
      <c r="H113" s="61"/>
      <c r="I113" s="61"/>
      <c r="J113" s="37"/>
      <c r="K113" s="61"/>
      <c r="L113" s="61"/>
      <c r="M113" s="37">
        <v>337.26</v>
      </c>
      <c r="N113" s="61">
        <v>393.47</v>
      </c>
      <c r="O113" s="61">
        <v>295.11</v>
      </c>
      <c r="P113" s="37"/>
      <c r="Q113" s="61"/>
      <c r="R113" s="61"/>
      <c r="S113" s="37">
        <v>11.65</v>
      </c>
      <c r="T113" s="46"/>
      <c r="U113" s="46"/>
      <c r="V113" s="46"/>
      <c r="W113" s="46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</row>
    <row r="114" spans="1:64" x14ac:dyDescent="0.25">
      <c r="A114"/>
      <c r="C114" t="s">
        <v>35</v>
      </c>
      <c r="E114" s="37"/>
      <c r="F114" s="37"/>
      <c r="G114" s="37"/>
      <c r="H114" s="61"/>
      <c r="I114" s="61"/>
      <c r="J114" s="37"/>
      <c r="K114" s="61"/>
      <c r="L114" s="61"/>
      <c r="M114" s="37">
        <v>140.47</v>
      </c>
      <c r="N114" s="61">
        <v>163.88</v>
      </c>
      <c r="O114" s="61">
        <v>122.91</v>
      </c>
      <c r="P114" s="37"/>
      <c r="Q114" s="61"/>
      <c r="R114" s="61"/>
      <c r="S114" s="37">
        <v>0.41</v>
      </c>
      <c r="T114" s="46"/>
      <c r="U114" s="46"/>
      <c r="V114" s="46"/>
      <c r="W114" s="46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</row>
    <row r="115" spans="1:64" x14ac:dyDescent="0.25">
      <c r="A115"/>
      <c r="C115" t="s">
        <v>36</v>
      </c>
      <c r="E115" s="37"/>
      <c r="F115" s="37"/>
      <c r="G115" s="37"/>
      <c r="H115" s="61"/>
      <c r="I115" s="61"/>
      <c r="J115" s="37"/>
      <c r="K115" s="61"/>
      <c r="L115" s="61"/>
      <c r="M115" s="37">
        <v>18.829999999999998</v>
      </c>
      <c r="N115" s="61">
        <v>21.97</v>
      </c>
      <c r="O115" s="61">
        <v>16.48</v>
      </c>
      <c r="P115" s="37"/>
      <c r="Q115" s="61"/>
      <c r="R115" s="61"/>
      <c r="S115" s="37">
        <v>0</v>
      </c>
      <c r="T115" s="46"/>
      <c r="U115" s="46"/>
      <c r="V115" s="46"/>
      <c r="W115" s="46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</row>
    <row r="116" spans="1:64" x14ac:dyDescent="0.25">
      <c r="A116"/>
      <c r="C116" t="s">
        <v>37</v>
      </c>
      <c r="E116" s="37"/>
      <c r="F116" s="37"/>
      <c r="G116" s="37"/>
      <c r="H116" s="61"/>
      <c r="I116" s="61"/>
      <c r="J116" s="37"/>
      <c r="K116" s="61"/>
      <c r="L116" s="61"/>
      <c r="M116" s="37">
        <v>4.6100000000000003</v>
      </c>
      <c r="N116" s="61">
        <v>5.38</v>
      </c>
      <c r="O116" s="61">
        <v>4.04</v>
      </c>
      <c r="P116" s="37"/>
      <c r="Q116" s="61"/>
      <c r="R116" s="61"/>
      <c r="S116" s="37">
        <v>0</v>
      </c>
      <c r="T116" s="46"/>
      <c r="U116" s="46"/>
      <c r="V116" s="46"/>
      <c r="W116" s="46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</row>
    <row r="117" spans="1:64" x14ac:dyDescent="0.25">
      <c r="A117"/>
      <c r="C117" t="s">
        <v>38</v>
      </c>
      <c r="E117" s="37"/>
      <c r="F117" s="37"/>
      <c r="G117" s="37"/>
      <c r="H117" s="61"/>
      <c r="I117" s="61"/>
      <c r="J117" s="37"/>
      <c r="K117" s="61"/>
      <c r="L117" s="61"/>
      <c r="M117" s="37">
        <v>11.14</v>
      </c>
      <c r="N117" s="61">
        <v>13</v>
      </c>
      <c r="O117" s="61">
        <v>9.75</v>
      </c>
      <c r="P117" s="37"/>
      <c r="Q117" s="61"/>
      <c r="R117" s="61"/>
      <c r="S117" s="37">
        <v>0</v>
      </c>
      <c r="T117" s="46"/>
      <c r="U117" s="46"/>
      <c r="V117" s="46"/>
      <c r="W117" s="46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</row>
    <row r="118" spans="1:64" x14ac:dyDescent="0.25">
      <c r="A118"/>
      <c r="C118" t="s">
        <v>39</v>
      </c>
      <c r="E118" s="37"/>
      <c r="F118" s="37"/>
      <c r="G118" s="37"/>
      <c r="H118" s="61"/>
      <c r="I118" s="61"/>
      <c r="J118" s="37"/>
      <c r="K118" s="61"/>
      <c r="L118" s="61"/>
      <c r="M118" s="37">
        <v>53.44</v>
      </c>
      <c r="N118" s="61">
        <v>62.35</v>
      </c>
      <c r="O118" s="61">
        <v>46.76</v>
      </c>
      <c r="P118" s="37"/>
      <c r="Q118" s="61"/>
      <c r="R118" s="61"/>
      <c r="S118" s="37">
        <v>0.26</v>
      </c>
      <c r="T118" s="46"/>
      <c r="U118" s="46"/>
      <c r="V118" s="46"/>
      <c r="W118" s="46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</row>
    <row r="119" spans="1:64" x14ac:dyDescent="0.25">
      <c r="A119"/>
      <c r="C119" t="s">
        <v>176</v>
      </c>
      <c r="E119" s="37"/>
      <c r="F119" s="37"/>
      <c r="G119" s="37"/>
      <c r="H119" s="61"/>
      <c r="I119" s="61"/>
      <c r="J119" s="37"/>
      <c r="K119" s="61"/>
      <c r="L119" s="61"/>
      <c r="M119" s="37">
        <v>278.27999999999997</v>
      </c>
      <c r="N119" s="61">
        <v>324.64</v>
      </c>
      <c r="O119" s="61">
        <v>243.48</v>
      </c>
      <c r="P119" s="37"/>
      <c r="Q119" s="61"/>
      <c r="R119" s="61"/>
      <c r="S119" s="37">
        <v>19.13</v>
      </c>
      <c r="T119" s="46"/>
      <c r="U119" s="46"/>
      <c r="V119" s="46"/>
      <c r="W119" s="46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</row>
    <row r="120" spans="1:64" x14ac:dyDescent="0.25">
      <c r="A120"/>
      <c r="C120" t="s">
        <v>40</v>
      </c>
      <c r="E120" s="37"/>
      <c r="F120" s="37"/>
      <c r="G120" s="37"/>
      <c r="H120" s="61"/>
      <c r="I120" s="61"/>
      <c r="J120" s="37"/>
      <c r="K120" s="61"/>
      <c r="L120" s="61"/>
      <c r="M120" s="37">
        <v>502.62</v>
      </c>
      <c r="N120" s="61">
        <v>586.39</v>
      </c>
      <c r="O120" s="61">
        <v>439.79</v>
      </c>
      <c r="P120" s="37"/>
      <c r="Q120" s="61"/>
      <c r="R120" s="61"/>
      <c r="S120" s="37">
        <v>76.5</v>
      </c>
      <c r="T120" s="46"/>
      <c r="U120" s="46"/>
      <c r="V120" s="46"/>
      <c r="W120" s="46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</row>
    <row r="121" spans="1:64" x14ac:dyDescent="0.25">
      <c r="A121"/>
      <c r="C121" t="s">
        <v>41</v>
      </c>
      <c r="E121" s="37"/>
      <c r="F121" s="37"/>
      <c r="G121" s="37"/>
      <c r="H121" s="61"/>
      <c r="I121" s="61"/>
      <c r="J121" s="37"/>
      <c r="K121" s="61"/>
      <c r="L121" s="61"/>
      <c r="M121" s="37">
        <v>723.91</v>
      </c>
      <c r="N121" s="61">
        <v>844.56</v>
      </c>
      <c r="O121" s="61">
        <v>633.41999999999996</v>
      </c>
      <c r="P121" s="37"/>
      <c r="Q121" s="61"/>
      <c r="R121" s="61"/>
      <c r="S121" s="37">
        <v>162.37</v>
      </c>
      <c r="T121" s="46"/>
      <c r="U121" s="46"/>
      <c r="V121" s="46"/>
      <c r="W121" s="46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</row>
    <row r="122" spans="1:64" x14ac:dyDescent="0.25">
      <c r="A122"/>
      <c r="E122" s="37"/>
      <c r="F122" s="37"/>
      <c r="G122" s="37"/>
      <c r="H122" s="61"/>
      <c r="I122" s="61"/>
      <c r="J122" s="37"/>
      <c r="K122" s="61"/>
      <c r="L122" s="61"/>
      <c r="M122" s="37"/>
      <c r="N122" s="61"/>
      <c r="O122" s="61"/>
      <c r="P122" s="37"/>
      <c r="Q122" s="61"/>
      <c r="R122" s="61"/>
      <c r="S122" s="37"/>
      <c r="T122" s="46"/>
      <c r="U122" s="46"/>
      <c r="V122" s="46"/>
      <c r="W122" s="46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</row>
    <row r="123" spans="1:64" x14ac:dyDescent="0.25">
      <c r="A123" s="7"/>
      <c r="B123" s="7" t="s">
        <v>2</v>
      </c>
      <c r="C123" s="7"/>
      <c r="D123" s="7"/>
      <c r="E123" s="54">
        <f>SUM(E124:E135)</f>
        <v>0</v>
      </c>
      <c r="F123" s="54">
        <f t="shared" ref="F123" si="129">SUM(F124:F135)</f>
        <v>0</v>
      </c>
      <c r="G123" s="54">
        <f t="shared" ref="G123" si="130">SUM(G124:G135)</f>
        <v>0</v>
      </c>
      <c r="H123" s="63">
        <f t="shared" ref="H123" si="131">SUM(H124:H135)</f>
        <v>0</v>
      </c>
      <c r="I123" s="63">
        <f t="shared" ref="I123" si="132">SUM(I124:I135)</f>
        <v>0</v>
      </c>
      <c r="J123" s="54">
        <f t="shared" ref="J123" si="133">SUM(J124:J135)</f>
        <v>0</v>
      </c>
      <c r="K123" s="63">
        <f t="shared" ref="K123" si="134">SUM(K124:K135)</f>
        <v>0</v>
      </c>
      <c r="L123" s="63">
        <f t="shared" ref="L123" si="135">SUM(L124:L135)</f>
        <v>0</v>
      </c>
      <c r="M123" s="54">
        <f t="shared" ref="M123" si="136">SUM(M124:M135)</f>
        <v>804.25</v>
      </c>
      <c r="N123" s="63">
        <f t="shared" ref="N123" si="137">SUM(N124:N135)</f>
        <v>938.28999999999985</v>
      </c>
      <c r="O123" s="63">
        <f t="shared" ref="O123" si="138">SUM(O124:O135)</f>
        <v>703.74</v>
      </c>
      <c r="P123" s="54">
        <f t="shared" ref="P123" si="139">SUM(P124:P135)</f>
        <v>0</v>
      </c>
      <c r="Q123" s="63">
        <f t="shared" ref="Q123" si="140">SUM(Q124:Q135)</f>
        <v>0</v>
      </c>
      <c r="R123" s="63">
        <f t="shared" ref="R123" si="141">SUM(R124:R135)</f>
        <v>0</v>
      </c>
      <c r="S123" s="54">
        <f t="shared" ref="S123" si="142">SUM(S124:S135)</f>
        <v>744.88</v>
      </c>
      <c r="T123" s="46"/>
      <c r="U123" s="46"/>
      <c r="V123" s="46"/>
      <c r="W123" s="46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</row>
    <row r="124" spans="1:64" x14ac:dyDescent="0.25">
      <c r="A124"/>
      <c r="C124" t="s">
        <v>42</v>
      </c>
      <c r="E124" s="37"/>
      <c r="F124" s="37"/>
      <c r="G124" s="37"/>
      <c r="H124" s="61"/>
      <c r="I124" s="61"/>
      <c r="J124" s="37"/>
      <c r="K124" s="61"/>
      <c r="L124" s="61"/>
      <c r="M124" s="37">
        <v>67.78</v>
      </c>
      <c r="N124" s="61">
        <v>79.08</v>
      </c>
      <c r="O124" s="61">
        <v>59.31</v>
      </c>
      <c r="P124" s="37"/>
      <c r="Q124" s="61"/>
      <c r="R124" s="61"/>
      <c r="S124" s="37">
        <v>62.78</v>
      </c>
      <c r="T124" s="46"/>
      <c r="U124" s="46"/>
      <c r="V124" s="46"/>
      <c r="W124" s="46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</row>
    <row r="125" spans="1:64" x14ac:dyDescent="0.25">
      <c r="A125"/>
      <c r="C125" t="s">
        <v>43</v>
      </c>
      <c r="E125" s="37"/>
      <c r="F125" s="37"/>
      <c r="G125" s="37"/>
      <c r="H125" s="61"/>
      <c r="I125" s="61"/>
      <c r="J125" s="37"/>
      <c r="K125" s="61"/>
      <c r="L125" s="61"/>
      <c r="M125" s="37">
        <v>61.11</v>
      </c>
      <c r="N125" s="61">
        <v>71.290000000000006</v>
      </c>
      <c r="O125" s="61">
        <v>53.47</v>
      </c>
      <c r="P125" s="37"/>
      <c r="Q125" s="61"/>
      <c r="R125" s="61"/>
      <c r="S125" s="37">
        <v>56.6</v>
      </c>
      <c r="T125" s="46"/>
      <c r="U125" s="46"/>
      <c r="V125" s="46"/>
      <c r="W125" s="46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</row>
    <row r="126" spans="1:64" x14ac:dyDescent="0.25">
      <c r="A126"/>
      <c r="C126" t="s">
        <v>44</v>
      </c>
      <c r="E126" s="37"/>
      <c r="F126" s="37"/>
      <c r="G126" s="37"/>
      <c r="H126" s="61"/>
      <c r="I126" s="61"/>
      <c r="J126" s="37"/>
      <c r="K126" s="61"/>
      <c r="L126" s="61"/>
      <c r="M126" s="37">
        <v>68.66</v>
      </c>
      <c r="N126" s="61">
        <v>80.099999999999994</v>
      </c>
      <c r="O126" s="61">
        <v>60.08</v>
      </c>
      <c r="P126" s="37"/>
      <c r="Q126" s="61"/>
      <c r="R126" s="61"/>
      <c r="S126" s="37">
        <v>63.59</v>
      </c>
      <c r="T126" s="46"/>
      <c r="U126" s="46"/>
      <c r="V126" s="46"/>
      <c r="W126" s="46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</row>
    <row r="127" spans="1:64" x14ac:dyDescent="0.25">
      <c r="A127"/>
      <c r="C127" t="s">
        <v>34</v>
      </c>
      <c r="E127" s="37"/>
      <c r="F127" s="37"/>
      <c r="G127" s="37"/>
      <c r="H127" s="61"/>
      <c r="I127" s="61"/>
      <c r="J127" s="37"/>
      <c r="K127" s="61"/>
      <c r="L127" s="61"/>
      <c r="M127" s="37">
        <v>65.849999999999994</v>
      </c>
      <c r="N127" s="61">
        <v>76.83</v>
      </c>
      <c r="O127" s="61">
        <v>57.62</v>
      </c>
      <c r="P127" s="37"/>
      <c r="Q127" s="61"/>
      <c r="R127" s="61"/>
      <c r="S127" s="37">
        <v>60.99</v>
      </c>
      <c r="T127" s="46"/>
      <c r="U127" s="46"/>
      <c r="V127" s="46"/>
      <c r="W127" s="46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</row>
    <row r="128" spans="1:64" x14ac:dyDescent="0.25">
      <c r="A128"/>
      <c r="C128" t="s">
        <v>35</v>
      </c>
      <c r="E128" s="37"/>
      <c r="F128" s="37"/>
      <c r="G128" s="37"/>
      <c r="H128" s="61"/>
      <c r="I128" s="61"/>
      <c r="J128" s="37"/>
      <c r="K128" s="61"/>
      <c r="L128" s="61"/>
      <c r="M128" s="37">
        <v>69.540000000000006</v>
      </c>
      <c r="N128" s="61">
        <v>81.13</v>
      </c>
      <c r="O128" s="61">
        <v>60.85</v>
      </c>
      <c r="P128" s="37"/>
      <c r="Q128" s="61"/>
      <c r="R128" s="61"/>
      <c r="S128" s="37">
        <v>64.400000000000006</v>
      </c>
      <c r="T128" s="46"/>
      <c r="U128" s="46"/>
      <c r="V128" s="46"/>
      <c r="W128" s="46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</row>
    <row r="129" spans="1:64" x14ac:dyDescent="0.25">
      <c r="A129"/>
      <c r="C129" t="s">
        <v>36</v>
      </c>
      <c r="E129" s="37"/>
      <c r="F129" s="37"/>
      <c r="G129" s="37"/>
      <c r="H129" s="61"/>
      <c r="I129" s="61"/>
      <c r="J129" s="37"/>
      <c r="K129" s="61"/>
      <c r="L129" s="61"/>
      <c r="M129" s="37">
        <v>66.73</v>
      </c>
      <c r="N129" s="61">
        <v>77.849999999999994</v>
      </c>
      <c r="O129" s="61">
        <v>58.39</v>
      </c>
      <c r="P129" s="37"/>
      <c r="Q129" s="61"/>
      <c r="R129" s="61"/>
      <c r="S129" s="37">
        <v>61.8</v>
      </c>
      <c r="T129" s="46"/>
      <c r="U129" s="46"/>
      <c r="V129" s="46"/>
      <c r="W129" s="46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</row>
    <row r="130" spans="1:64" x14ac:dyDescent="0.25">
      <c r="A130"/>
      <c r="C130" t="s">
        <v>37</v>
      </c>
      <c r="E130" s="37"/>
      <c r="F130" s="37"/>
      <c r="G130" s="37"/>
      <c r="H130" s="61"/>
      <c r="I130" s="61"/>
      <c r="J130" s="37"/>
      <c r="K130" s="61"/>
      <c r="L130" s="61"/>
      <c r="M130" s="37">
        <v>66.900000000000006</v>
      </c>
      <c r="N130" s="61">
        <v>78.05</v>
      </c>
      <c r="O130" s="61">
        <v>58.54</v>
      </c>
      <c r="P130" s="37"/>
      <c r="Q130" s="61"/>
      <c r="R130" s="61"/>
      <c r="S130" s="37">
        <v>61.97</v>
      </c>
      <c r="T130" s="46"/>
      <c r="U130" s="46"/>
      <c r="V130" s="46"/>
      <c r="W130" s="46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</row>
    <row r="131" spans="1:64" x14ac:dyDescent="0.25">
      <c r="A131"/>
      <c r="C131" t="s">
        <v>38</v>
      </c>
      <c r="E131" s="37"/>
      <c r="F131" s="37"/>
      <c r="G131" s="37"/>
      <c r="H131" s="61"/>
      <c r="I131" s="61"/>
      <c r="J131" s="37"/>
      <c r="K131" s="61"/>
      <c r="L131" s="61"/>
      <c r="M131" s="37">
        <v>70.42</v>
      </c>
      <c r="N131" s="61">
        <v>82.16</v>
      </c>
      <c r="O131" s="61">
        <v>61.62</v>
      </c>
      <c r="P131" s="37"/>
      <c r="Q131" s="61"/>
      <c r="R131" s="61"/>
      <c r="S131" s="37">
        <v>65.209999999999994</v>
      </c>
      <c r="T131" s="46"/>
      <c r="U131" s="46"/>
      <c r="V131" s="46"/>
      <c r="W131" s="46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</row>
    <row r="132" spans="1:64" x14ac:dyDescent="0.25">
      <c r="A132"/>
      <c r="C132" t="s">
        <v>39</v>
      </c>
      <c r="E132" s="37"/>
      <c r="F132" s="37"/>
      <c r="G132" s="37"/>
      <c r="H132" s="61"/>
      <c r="I132" s="61"/>
      <c r="J132" s="37"/>
      <c r="K132" s="61"/>
      <c r="L132" s="61"/>
      <c r="M132" s="37">
        <v>64.97</v>
      </c>
      <c r="N132" s="61">
        <v>75.8</v>
      </c>
      <c r="O132" s="61">
        <v>56.85</v>
      </c>
      <c r="P132" s="37"/>
      <c r="Q132" s="61"/>
      <c r="R132" s="61"/>
      <c r="S132" s="37">
        <v>60.18</v>
      </c>
      <c r="T132" s="46"/>
      <c r="U132" s="46"/>
      <c r="V132" s="46"/>
      <c r="W132" s="46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</row>
    <row r="133" spans="1:64" x14ac:dyDescent="0.25">
      <c r="A133"/>
      <c r="C133" t="s">
        <v>176</v>
      </c>
      <c r="E133" s="37"/>
      <c r="F133" s="37"/>
      <c r="G133" s="37"/>
      <c r="H133" s="61"/>
      <c r="I133" s="61"/>
      <c r="J133" s="37"/>
      <c r="K133" s="61"/>
      <c r="L133" s="61"/>
      <c r="M133" s="37">
        <v>66.900000000000006</v>
      </c>
      <c r="N133" s="61">
        <v>78.05</v>
      </c>
      <c r="O133" s="61">
        <v>58.54</v>
      </c>
      <c r="P133" s="37"/>
      <c r="Q133" s="61"/>
      <c r="R133" s="61"/>
      <c r="S133" s="37">
        <v>61.97</v>
      </c>
      <c r="T133" s="46"/>
      <c r="U133" s="46"/>
      <c r="V133" s="46"/>
      <c r="W133" s="46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</row>
    <row r="134" spans="1:64" x14ac:dyDescent="0.25">
      <c r="A134"/>
      <c r="C134" t="s">
        <v>40</v>
      </c>
      <c r="E134" s="37"/>
      <c r="F134" s="37"/>
      <c r="G134" s="37"/>
      <c r="H134" s="61"/>
      <c r="I134" s="61"/>
      <c r="J134" s="37"/>
      <c r="K134" s="61"/>
      <c r="L134" s="61"/>
      <c r="M134" s="37">
        <v>66.73</v>
      </c>
      <c r="N134" s="61">
        <v>77.849999999999994</v>
      </c>
      <c r="O134" s="61">
        <v>58.39</v>
      </c>
      <c r="P134" s="37"/>
      <c r="Q134" s="61"/>
      <c r="R134" s="61"/>
      <c r="S134" s="37">
        <v>61.8</v>
      </c>
      <c r="T134" s="46"/>
      <c r="U134" s="46"/>
      <c r="V134" s="46"/>
      <c r="W134" s="46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</row>
    <row r="135" spans="1:64" x14ac:dyDescent="0.25">
      <c r="A135" s="38"/>
      <c r="C135" t="s">
        <v>41</v>
      </c>
      <c r="E135" s="37"/>
      <c r="F135" s="37"/>
      <c r="G135" s="37"/>
      <c r="H135" s="61"/>
      <c r="I135" s="61"/>
      <c r="J135" s="37"/>
      <c r="K135" s="61"/>
      <c r="L135" s="61"/>
      <c r="M135" s="37">
        <v>68.66</v>
      </c>
      <c r="N135" s="61">
        <v>80.099999999999994</v>
      </c>
      <c r="O135" s="61">
        <v>60.08</v>
      </c>
      <c r="P135" s="37"/>
      <c r="Q135" s="61"/>
      <c r="R135" s="61"/>
      <c r="S135" s="37">
        <v>63.59</v>
      </c>
      <c r="T135" s="46"/>
      <c r="U135" s="46"/>
      <c r="V135" s="46"/>
      <c r="W135" s="46"/>
    </row>
    <row r="136" spans="1:64" x14ac:dyDescent="0.25">
      <c r="A136" s="38"/>
      <c r="E136" s="37"/>
      <c r="F136" s="37"/>
      <c r="G136" s="37"/>
      <c r="H136" s="61"/>
      <c r="I136" s="61"/>
      <c r="J136" s="37"/>
      <c r="K136" s="61"/>
      <c r="L136" s="61"/>
      <c r="M136" s="37"/>
      <c r="N136" s="61"/>
      <c r="O136" s="61"/>
      <c r="P136" s="37"/>
      <c r="Q136" s="61"/>
      <c r="R136" s="61"/>
      <c r="S136" s="37"/>
      <c r="T136" s="46"/>
      <c r="U136" s="46"/>
      <c r="V136" s="46"/>
      <c r="W136" s="46"/>
    </row>
    <row r="137" spans="1:64" s="7" customFormat="1" x14ac:dyDescent="0.25">
      <c r="A137" s="56"/>
      <c r="B137" s="11" t="s">
        <v>9</v>
      </c>
      <c r="C137" s="11"/>
      <c r="D137" s="11"/>
      <c r="E137" s="11">
        <f>SUM(E138:E149)</f>
        <v>0</v>
      </c>
      <c r="F137" s="11">
        <f t="shared" ref="F137" si="143">SUM(F138:F149)</f>
        <v>0</v>
      </c>
      <c r="G137" s="11">
        <f t="shared" ref="G137" si="144">SUM(G138:G149)</f>
        <v>0</v>
      </c>
      <c r="H137" s="31">
        <f t="shared" ref="H137" si="145">SUM(H138:H149)</f>
        <v>0</v>
      </c>
      <c r="I137" s="31">
        <f t="shared" ref="I137" si="146">SUM(I138:I149)</f>
        <v>0</v>
      </c>
      <c r="J137" s="11">
        <f t="shared" ref="J137" si="147">SUM(J138:J149)</f>
        <v>0</v>
      </c>
      <c r="K137" s="31">
        <f t="shared" ref="K137" si="148">SUM(K138:K149)</f>
        <v>0</v>
      </c>
      <c r="L137" s="31">
        <f t="shared" ref="L137" si="149">SUM(L138:L149)</f>
        <v>0</v>
      </c>
      <c r="M137" s="11">
        <f t="shared" ref="M137" si="150">SUM(M138:M149)</f>
        <v>0</v>
      </c>
      <c r="N137" s="31">
        <f t="shared" ref="N137" si="151">SUM(N138:N149)</f>
        <v>0</v>
      </c>
      <c r="O137" s="31">
        <f t="shared" ref="O137" si="152">SUM(O138:O149)</f>
        <v>0</v>
      </c>
      <c r="P137" s="53">
        <f t="shared" ref="P137" si="153">SUM(P138:P149)</f>
        <v>-1521.5500000000002</v>
      </c>
      <c r="Q137" s="62">
        <f t="shared" ref="Q137" si="154">SUM(Q138:Q149)</f>
        <v>-1352.5100000000002</v>
      </c>
      <c r="R137" s="62">
        <f t="shared" ref="R137" si="155">SUM(R138:R149)</f>
        <v>-1690.6</v>
      </c>
      <c r="S137" s="53">
        <f t="shared" ref="S137" si="156">SUM(S138:S149)</f>
        <v>-1521.5500000000002</v>
      </c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</row>
    <row r="138" spans="1:64" x14ac:dyDescent="0.25">
      <c r="A138" s="38"/>
      <c r="C138" t="s">
        <v>42</v>
      </c>
      <c r="P138" s="37">
        <v>-33.14</v>
      </c>
      <c r="Q138" s="61">
        <v>-29.46</v>
      </c>
      <c r="R138" s="61">
        <v>-36.82</v>
      </c>
      <c r="S138" s="37">
        <v>-33.14</v>
      </c>
    </row>
    <row r="139" spans="1:64" x14ac:dyDescent="0.25">
      <c r="A139"/>
      <c r="C139" t="s">
        <v>43</v>
      </c>
      <c r="P139" s="37">
        <v>-57.47</v>
      </c>
      <c r="Q139" s="61">
        <v>-51.09</v>
      </c>
      <c r="R139" s="61">
        <v>-63.86</v>
      </c>
      <c r="S139" s="37">
        <v>-57.47</v>
      </c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</row>
    <row r="140" spans="1:64" x14ac:dyDescent="0.25">
      <c r="A140"/>
      <c r="C140" t="s">
        <v>44</v>
      </c>
      <c r="P140" s="37">
        <v>-116.98</v>
      </c>
      <c r="Q140" s="61">
        <v>-103.99</v>
      </c>
      <c r="R140" s="61">
        <v>-129.97999999999999</v>
      </c>
      <c r="S140" s="37">
        <v>-116.98</v>
      </c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</row>
    <row r="141" spans="1:64" x14ac:dyDescent="0.25">
      <c r="A141"/>
      <c r="C141" t="s">
        <v>34</v>
      </c>
      <c r="P141" s="37">
        <v>-180.51</v>
      </c>
      <c r="Q141" s="61">
        <v>-160.44999999999999</v>
      </c>
      <c r="R141" s="61">
        <v>-200.57</v>
      </c>
      <c r="S141" s="37">
        <v>-180.51</v>
      </c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</row>
    <row r="142" spans="1:64" x14ac:dyDescent="0.25">
      <c r="A142"/>
      <c r="C142" t="s">
        <v>35</v>
      </c>
      <c r="P142" s="37">
        <v>-212.71</v>
      </c>
      <c r="Q142" s="61">
        <v>-189.07</v>
      </c>
      <c r="R142" s="61">
        <v>-236.34</v>
      </c>
      <c r="S142" s="37">
        <v>-212.71</v>
      </c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</row>
    <row r="143" spans="1:64" x14ac:dyDescent="0.25">
      <c r="A143"/>
      <c r="C143" t="s">
        <v>36</v>
      </c>
      <c r="P143" s="37">
        <v>-218.9</v>
      </c>
      <c r="Q143" s="61">
        <v>-194.58</v>
      </c>
      <c r="R143" s="61">
        <v>-243.22</v>
      </c>
      <c r="S143" s="37">
        <v>-218.9</v>
      </c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</row>
    <row r="144" spans="1:64" x14ac:dyDescent="0.25">
      <c r="A144"/>
      <c r="C144" t="s">
        <v>37</v>
      </c>
      <c r="P144" s="37">
        <v>-212.61</v>
      </c>
      <c r="Q144" s="61">
        <v>-188.99</v>
      </c>
      <c r="R144" s="61">
        <v>-236.23</v>
      </c>
      <c r="S144" s="37">
        <v>-212.61</v>
      </c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</row>
    <row r="145" spans="1:64" x14ac:dyDescent="0.25">
      <c r="A145"/>
      <c r="C145" t="s">
        <v>38</v>
      </c>
      <c r="P145" s="37">
        <v>-189.13</v>
      </c>
      <c r="Q145" s="61">
        <v>-168.12</v>
      </c>
      <c r="R145" s="61">
        <v>-210.14</v>
      </c>
      <c r="S145" s="37">
        <v>-189.13</v>
      </c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</row>
    <row r="146" spans="1:64" x14ac:dyDescent="0.25">
      <c r="A146"/>
      <c r="C146" t="s">
        <v>39</v>
      </c>
      <c r="P146" s="37">
        <v>-137.47999999999999</v>
      </c>
      <c r="Q146" s="61">
        <v>-122.2</v>
      </c>
      <c r="R146" s="61">
        <v>-152.75</v>
      </c>
      <c r="S146" s="37">
        <v>-137.47999999999999</v>
      </c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</row>
    <row r="147" spans="1:64" x14ac:dyDescent="0.25">
      <c r="A147"/>
      <c r="C147" t="s">
        <v>176</v>
      </c>
      <c r="P147" s="37">
        <v>-89.57</v>
      </c>
      <c r="Q147" s="61">
        <v>-79.62</v>
      </c>
      <c r="R147" s="61">
        <v>-99.52</v>
      </c>
      <c r="S147" s="37">
        <v>-89.57</v>
      </c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</row>
    <row r="148" spans="1:64" x14ac:dyDescent="0.25">
      <c r="A148"/>
      <c r="C148" t="s">
        <v>40</v>
      </c>
      <c r="P148" s="37">
        <v>-44.72</v>
      </c>
      <c r="Q148" s="61">
        <v>-39.76</v>
      </c>
      <c r="R148" s="61">
        <v>-49.69</v>
      </c>
      <c r="S148" s="37">
        <v>-44.72</v>
      </c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</row>
    <row r="149" spans="1:64" x14ac:dyDescent="0.25">
      <c r="A149"/>
      <c r="C149" t="s">
        <v>41</v>
      </c>
      <c r="P149" s="37">
        <v>-28.33</v>
      </c>
      <c r="Q149" s="61">
        <v>-25.18</v>
      </c>
      <c r="R149" s="61">
        <v>-31.48</v>
      </c>
      <c r="S149" s="37">
        <v>-28.33</v>
      </c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</row>
    <row r="150" spans="1:64" x14ac:dyDescent="0.25">
      <c r="A150"/>
      <c r="P150" s="37"/>
      <c r="Q150" s="61"/>
      <c r="R150" s="61"/>
      <c r="S150" s="37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</row>
    <row r="151" spans="1:64" s="7" customFormat="1" x14ac:dyDescent="0.25">
      <c r="A151" s="56"/>
      <c r="B151" s="11" t="s">
        <v>208</v>
      </c>
      <c r="C151" s="11" t="s">
        <v>4</v>
      </c>
      <c r="D151" s="11"/>
      <c r="E151" s="53">
        <f>E50+E137</f>
        <v>2460.0300000000002</v>
      </c>
      <c r="F151" s="53">
        <f t="shared" ref="F151:S151" si="157">F50+F137</f>
        <v>2460.0300000000002</v>
      </c>
      <c r="G151" s="53">
        <f t="shared" si="157"/>
        <v>2460.0300000000002</v>
      </c>
      <c r="H151" s="53">
        <f t="shared" si="157"/>
        <v>2460.0300000000002</v>
      </c>
      <c r="I151" s="53">
        <f t="shared" si="157"/>
        <v>2460.0300000000002</v>
      </c>
      <c r="J151" s="53">
        <f t="shared" si="157"/>
        <v>2460.0300000000002</v>
      </c>
      <c r="K151" s="53">
        <f t="shared" si="157"/>
        <v>2460.0300000000002</v>
      </c>
      <c r="L151" s="53">
        <f t="shared" si="157"/>
        <v>2460.0300000000002</v>
      </c>
      <c r="M151" s="53">
        <f t="shared" si="157"/>
        <v>2460.0300000000002</v>
      </c>
      <c r="N151" s="53">
        <f t="shared" si="157"/>
        <v>2460.0300000000002</v>
      </c>
      <c r="O151" s="53">
        <f t="shared" si="157"/>
        <v>2460.0300000000002</v>
      </c>
      <c r="P151" s="53">
        <f>P50+P137</f>
        <v>938.48</v>
      </c>
      <c r="Q151" s="53">
        <f t="shared" si="157"/>
        <v>1107.52</v>
      </c>
      <c r="R151" s="53">
        <f t="shared" si="157"/>
        <v>769.43000000000029</v>
      </c>
      <c r="S151" s="53">
        <f t="shared" si="157"/>
        <v>938.48</v>
      </c>
      <c r="T151" s="46"/>
      <c r="U151" s="46"/>
      <c r="V151" s="46"/>
      <c r="W151" s="46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</row>
    <row r="152" spans="1:64" x14ac:dyDescent="0.25">
      <c r="A152" s="38"/>
      <c r="P152" s="37">
        <f>($E50-P151)/$E50*100</f>
        <v>61.850871737336547</v>
      </c>
      <c r="Q152" s="37">
        <f t="shared" ref="Q152:S152" si="158">($E50-Q151)/$E50*100</f>
        <v>54.979410820193252</v>
      </c>
      <c r="R152" s="37">
        <f t="shared" si="158"/>
        <v>68.722739153587554</v>
      </c>
      <c r="S152" s="37">
        <f t="shared" si="158"/>
        <v>61.850871737336547</v>
      </c>
    </row>
    <row r="153" spans="1:64" ht="30.75" customHeight="1" x14ac:dyDescent="0.25">
      <c r="A153" s="39" t="s">
        <v>183</v>
      </c>
      <c r="B153" s="7">
        <v>162</v>
      </c>
      <c r="C153" s="7" t="s">
        <v>61</v>
      </c>
      <c r="D153" s="7"/>
    </row>
    <row r="154" spans="1:64" x14ac:dyDescent="0.25">
      <c r="A154" s="38"/>
    </row>
    <row r="155" spans="1:64" s="7" customFormat="1" x14ac:dyDescent="0.25">
      <c r="A155" s="57" t="s">
        <v>20</v>
      </c>
      <c r="B155" s="32"/>
      <c r="C155" s="32"/>
      <c r="D155" s="32"/>
      <c r="E155" s="58">
        <f>E3/$B$153</f>
        <v>153.22407407407408</v>
      </c>
      <c r="F155" s="58">
        <f>F3/$B$153</f>
        <v>136.77314814814815</v>
      </c>
      <c r="G155" s="58">
        <f>G3/$B$153</f>
        <v>49.708333333333336</v>
      </c>
      <c r="H155" s="59">
        <f>H3/$B$153</f>
        <v>51.174382716049379</v>
      </c>
      <c r="I155" s="59">
        <f>I3/$B$153</f>
        <v>48.215617283950621</v>
      </c>
      <c r="J155" s="58">
        <f>J3/$B$153</f>
        <v>123.73685185185187</v>
      </c>
      <c r="K155" s="59">
        <f>K3/$B$153</f>
        <v>128.58864197530863</v>
      </c>
      <c r="L155" s="59">
        <f>L3/$B$153</f>
        <v>121.59820987654321</v>
      </c>
      <c r="M155" s="58">
        <f>M3/$B$153</f>
        <v>44.730370370370366</v>
      </c>
      <c r="N155" s="59">
        <f>N3/$B$153</f>
        <v>49.654382716049383</v>
      </c>
      <c r="O155" s="59">
        <f>O3/$B$153</f>
        <v>41.037345679012354</v>
      </c>
      <c r="P155" s="58">
        <f>P3/$B$153</f>
        <v>127.45030864197531</v>
      </c>
      <c r="Q155" s="59">
        <f>Q3/$B$153</f>
        <v>128.49376543209874</v>
      </c>
      <c r="R155" s="59">
        <f>R3/$B$153</f>
        <v>126.4067901234568</v>
      </c>
      <c r="S155" s="58">
        <f>S3/$B$153</f>
        <v>14.316666666666668</v>
      </c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</row>
    <row r="156" spans="1:64" x14ac:dyDescent="0.25">
      <c r="A156" s="38" t="s">
        <v>11</v>
      </c>
    </row>
    <row r="157" spans="1:64" x14ac:dyDescent="0.25">
      <c r="A157" s="38"/>
    </row>
    <row r="190" spans="16:19" x14ac:dyDescent="0.25">
      <c r="P190" s="37">
        <f>P22</f>
        <v>16397.82</v>
      </c>
      <c r="Q190" s="37">
        <f>Q22</f>
        <v>16397.82</v>
      </c>
      <c r="R190" s="37">
        <f>R22</f>
        <v>16397.82</v>
      </c>
      <c r="S190" s="37">
        <f>S22</f>
        <v>0</v>
      </c>
    </row>
    <row r="191" spans="16:19" x14ac:dyDescent="0.25">
      <c r="P191" s="37">
        <f>P36</f>
        <v>3310.6500000000005</v>
      </c>
      <c r="Q191" s="37">
        <f t="shared" ref="Q191:R191" si="159">Q36</f>
        <v>3310.6500000000005</v>
      </c>
      <c r="R191" s="37">
        <f t="shared" si="159"/>
        <v>3310.6500000000005</v>
      </c>
      <c r="S191" s="37">
        <f>S36</f>
        <v>0</v>
      </c>
    </row>
    <row r="192" spans="16:19" x14ac:dyDescent="0.25">
      <c r="P192" s="37">
        <f>P65</f>
        <v>1804.5300000000002</v>
      </c>
      <c r="Q192" s="37">
        <f t="shared" ref="Q192:R192" si="160">Q65</f>
        <v>1804.5300000000002</v>
      </c>
      <c r="R192" s="37">
        <f t="shared" si="160"/>
        <v>1804.5300000000002</v>
      </c>
      <c r="S192" s="37">
        <f>S65</f>
        <v>1804.5300000000002</v>
      </c>
    </row>
    <row r="193" spans="16:19" x14ac:dyDescent="0.25">
      <c r="P193" s="37">
        <f>P79</f>
        <v>655.5</v>
      </c>
      <c r="Q193" s="37">
        <f t="shared" ref="Q193:R193" si="161">Q79</f>
        <v>655.5</v>
      </c>
      <c r="R193" s="37">
        <f t="shared" si="161"/>
        <v>655.5</v>
      </c>
      <c r="S193" s="37">
        <f>S79</f>
        <v>655.5</v>
      </c>
    </row>
    <row r="194" spans="16:19" x14ac:dyDescent="0.25">
      <c r="P194" s="37">
        <v>0</v>
      </c>
      <c r="Q194" s="37">
        <v>0</v>
      </c>
      <c r="R194" s="37">
        <v>0</v>
      </c>
      <c r="S194" s="37">
        <v>0</v>
      </c>
    </row>
    <row r="195" spans="16:19" x14ac:dyDescent="0.25">
      <c r="P195" s="37">
        <v>0</v>
      </c>
      <c r="Q195" s="37">
        <v>0</v>
      </c>
      <c r="R195" s="37">
        <v>0</v>
      </c>
      <c r="S195" s="37">
        <v>0</v>
      </c>
    </row>
    <row r="196" spans="16:19" x14ac:dyDescent="0.25">
      <c r="P196">
        <v>0</v>
      </c>
      <c r="Q196">
        <v>0</v>
      </c>
      <c r="R196">
        <v>0</v>
      </c>
      <c r="S19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E0E11-7888-48AA-849F-10C2A75DACB7}">
  <dimension ref="A1:BL96"/>
  <sheetViews>
    <sheetView topLeftCell="L1" workbookViewId="0">
      <pane ySplit="1" topLeftCell="A2" activePane="bottomLeft" state="frozen"/>
      <selection pane="bottomLeft" activeCell="P3" sqref="P3"/>
    </sheetView>
  </sheetViews>
  <sheetFormatPr baseColWidth="10" defaultRowHeight="15" x14ac:dyDescent="0.25"/>
  <cols>
    <col min="1" max="1" width="35" style="1" bestFit="1" customWidth="1"/>
    <col min="2" max="2" width="16.7109375" bestFit="1" customWidth="1"/>
    <col min="3" max="3" width="21.5703125" style="2" bestFit="1" customWidth="1"/>
    <col min="4" max="4" width="10.140625" customWidth="1"/>
    <col min="8" max="9" width="11.42578125" style="5"/>
    <col min="11" max="12" width="11.42578125" style="5"/>
    <col min="14" max="15" width="11.42578125" style="5"/>
    <col min="17" max="18" width="11.42578125" style="5"/>
    <col min="20" max="63" width="11.42578125" style="22"/>
  </cols>
  <sheetData>
    <row r="1" spans="1:64" s="72" customFormat="1" x14ac:dyDescent="0.25">
      <c r="A1" s="75"/>
      <c r="C1" s="70" t="s">
        <v>24</v>
      </c>
      <c r="E1" s="72" t="s">
        <v>155</v>
      </c>
      <c r="F1" s="72" t="s">
        <v>12</v>
      </c>
      <c r="G1" s="72" t="s">
        <v>13</v>
      </c>
      <c r="H1" s="73" t="s">
        <v>27</v>
      </c>
      <c r="I1" s="73" t="s">
        <v>26</v>
      </c>
      <c r="J1" s="72" t="s">
        <v>15</v>
      </c>
      <c r="K1" s="73" t="s">
        <v>28</v>
      </c>
      <c r="L1" s="73" t="s">
        <v>29</v>
      </c>
      <c r="M1" s="72" t="s">
        <v>14</v>
      </c>
      <c r="N1" s="73" t="s">
        <v>30</v>
      </c>
      <c r="O1" s="73" t="s">
        <v>31</v>
      </c>
      <c r="P1" s="72" t="s">
        <v>16</v>
      </c>
      <c r="Q1" s="73" t="s">
        <v>32</v>
      </c>
      <c r="R1" s="73" t="s">
        <v>33</v>
      </c>
      <c r="S1" s="72" t="s">
        <v>17</v>
      </c>
    </row>
    <row r="2" spans="1:64" x14ac:dyDescent="0.25">
      <c r="C2" s="40" t="s">
        <v>25</v>
      </c>
      <c r="D2" s="41"/>
    </row>
    <row r="3" spans="1:64" s="7" customFormat="1" x14ac:dyDescent="0.25">
      <c r="A3" s="10" t="s">
        <v>18</v>
      </c>
      <c r="B3" s="11" t="s">
        <v>21</v>
      </c>
      <c r="C3" s="13"/>
      <c r="D3" s="11"/>
      <c r="E3" s="53">
        <f t="shared" ref="E3:S3" si="0">E7+E22+E36</f>
        <v>5141.1381600000004</v>
      </c>
      <c r="F3" s="53">
        <f t="shared" si="0"/>
        <v>4613.4582600000003</v>
      </c>
      <c r="G3" s="53">
        <f t="shared" si="0"/>
        <v>1820.7672599999999</v>
      </c>
      <c r="H3" s="62">
        <f t="shared" si="0"/>
        <v>1867.7922599999999</v>
      </c>
      <c r="I3" s="62">
        <f t="shared" si="0"/>
        <v>1772.8869</v>
      </c>
      <c r="J3" s="53">
        <f t="shared" si="0"/>
        <v>4195.3060200000009</v>
      </c>
      <c r="K3" s="62">
        <f t="shared" si="0"/>
        <v>4350.9320400000006</v>
      </c>
      <c r="L3" s="62">
        <f t="shared" si="0"/>
        <v>4126.70694</v>
      </c>
      <c r="M3" s="53">
        <f t="shared" si="0"/>
        <v>2374.2513300000001</v>
      </c>
      <c r="N3" s="62">
        <f t="shared" si="0"/>
        <v>2651.0497599999999</v>
      </c>
      <c r="O3" s="62">
        <f t="shared" si="0"/>
        <v>2166.65164</v>
      </c>
      <c r="P3" s="53">
        <f t="shared" si="0"/>
        <v>4174.4362600000004</v>
      </c>
      <c r="Q3" s="62">
        <f t="shared" si="0"/>
        <v>4223.4578600000004</v>
      </c>
      <c r="R3" s="62">
        <f t="shared" si="0"/>
        <v>4125.4117600000009</v>
      </c>
      <c r="S3" s="53">
        <f t="shared" si="0"/>
        <v>751.30374000000006</v>
      </c>
      <c r="T3" s="46"/>
      <c r="U3" s="46"/>
      <c r="V3" s="46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</row>
    <row r="4" spans="1:64" x14ac:dyDescent="0.25">
      <c r="A4" s="38" t="s">
        <v>22</v>
      </c>
      <c r="C4" t="s">
        <v>182</v>
      </c>
      <c r="E4" s="37"/>
      <c r="F4" s="37">
        <f>($E3-F3)/$E3*100</f>
        <v>10.263873165392623</v>
      </c>
      <c r="G4" s="37">
        <f t="shared" ref="G4:S4" si="1">($E3-G3)/$E3*100</f>
        <v>64.584354605245636</v>
      </c>
      <c r="H4" s="37">
        <f t="shared" si="1"/>
        <v>63.669673876260887</v>
      </c>
      <c r="I4" s="37">
        <f t="shared" si="1"/>
        <v>65.515672895279678</v>
      </c>
      <c r="J4" s="37">
        <f t="shared" si="1"/>
        <v>18.397329746143203</v>
      </c>
      <c r="K4" s="37">
        <f t="shared" si="1"/>
        <v>15.370256456986557</v>
      </c>
      <c r="L4" s="37">
        <f t="shared" si="1"/>
        <v>19.731646737149742</v>
      </c>
      <c r="M4" s="37">
        <f t="shared" si="1"/>
        <v>53.818565926265634</v>
      </c>
      <c r="N4" s="37">
        <f t="shared" si="1"/>
        <v>48.43457465068397</v>
      </c>
      <c r="O4" s="37">
        <f t="shared" si="1"/>
        <v>57.856576256647415</v>
      </c>
      <c r="P4" s="37">
        <f t="shared" si="1"/>
        <v>18.803266317978117</v>
      </c>
      <c r="Q4" s="37">
        <f t="shared" si="1"/>
        <v>17.849749830492787</v>
      </c>
      <c r="R4" s="37">
        <f t="shared" si="1"/>
        <v>19.75683921320643</v>
      </c>
      <c r="S4" s="37">
        <f t="shared" si="1"/>
        <v>85.386431630150938</v>
      </c>
      <c r="T4" s="46"/>
      <c r="U4" s="46"/>
      <c r="V4" s="46"/>
    </row>
    <row r="5" spans="1:64" x14ac:dyDescent="0.25">
      <c r="A5" s="38"/>
      <c r="C5"/>
      <c r="E5" s="37"/>
      <c r="F5" s="37"/>
      <c r="G5" s="37"/>
      <c r="H5" s="61"/>
      <c r="I5" s="61"/>
      <c r="J5" s="37"/>
      <c r="K5" s="61"/>
      <c r="L5" s="61"/>
      <c r="M5" s="37"/>
      <c r="N5" s="61"/>
      <c r="O5" s="61"/>
      <c r="P5" s="37"/>
      <c r="Q5" s="61"/>
      <c r="R5" s="61"/>
      <c r="S5" s="37"/>
      <c r="T5" s="46"/>
      <c r="U5" s="46"/>
      <c r="V5" s="46"/>
    </row>
    <row r="6" spans="1:64" x14ac:dyDescent="0.25">
      <c r="E6" s="37"/>
      <c r="F6" s="37"/>
      <c r="G6" s="37"/>
      <c r="H6" s="61"/>
      <c r="I6" s="61"/>
      <c r="J6" s="37"/>
      <c r="K6" s="61"/>
      <c r="L6" s="61"/>
      <c r="M6" s="37"/>
      <c r="N6" s="61"/>
      <c r="O6" s="61"/>
      <c r="P6" s="37"/>
      <c r="Q6" s="61"/>
      <c r="R6" s="61"/>
      <c r="S6" s="37"/>
      <c r="T6" s="46"/>
      <c r="U6" s="46"/>
      <c r="V6" s="4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</row>
    <row r="7" spans="1:64" s="7" customFormat="1" x14ac:dyDescent="0.25">
      <c r="A7" s="39"/>
      <c r="B7" s="7" t="s">
        <v>0</v>
      </c>
      <c r="C7" s="12">
        <v>0.19800000000000001</v>
      </c>
      <c r="E7" s="54">
        <f>'CONSO D''ENERGIE'!E6*$C$7</f>
        <v>4427.7294600000005</v>
      </c>
      <c r="F7" s="54">
        <f>'CONSO D''ENERGIE'!F6*$C$7</f>
        <v>3900.0495600000004</v>
      </c>
      <c r="G7" s="54">
        <f>'CONSO D''ENERGIE'!G6*$C$7</f>
        <v>1107.3585599999999</v>
      </c>
      <c r="H7" s="63">
        <f>'CONSO D''ENERGIE'!H6*$C$7</f>
        <v>1154.38356</v>
      </c>
      <c r="I7" s="63">
        <f>'CONSO D''ENERGIE'!I6*$C$7</f>
        <v>1059.4782</v>
      </c>
      <c r="J7" s="54">
        <f>'CONSO D''ENERGIE'!J6*$C$7</f>
        <v>3481.8973200000009</v>
      </c>
      <c r="K7" s="63">
        <f>'CONSO D''ENERGIE'!K6*$C$7</f>
        <v>3637.5233400000006</v>
      </c>
      <c r="L7" s="63">
        <f>'CONSO D''ENERGIE'!L6*$C$7</f>
        <v>3413.2982400000005</v>
      </c>
      <c r="M7" s="54">
        <f>'CONSO D''ENERGIE'!M6*$C$7</f>
        <v>0</v>
      </c>
      <c r="N7" s="63">
        <f>'CONSO D''ENERGIE'!N6*$C$7</f>
        <v>0</v>
      </c>
      <c r="O7" s="63">
        <f>'CONSO D''ENERGIE'!O6*$C$7</f>
        <v>0</v>
      </c>
      <c r="P7" s="54">
        <f>'CONSO D''ENERGIE'!P6*$C$7</f>
        <v>3902.2770600000003</v>
      </c>
      <c r="Q7" s="63">
        <f>'CONSO D''ENERGIE'!Q6*$C$7</f>
        <v>3902.2770600000003</v>
      </c>
      <c r="R7" s="63">
        <f>'CONSO D''ENERGIE'!R6*$C$7</f>
        <v>3902.2770600000003</v>
      </c>
      <c r="S7" s="54">
        <f>'CONSO D''ENERGIE'!S6*$C$7</f>
        <v>0</v>
      </c>
      <c r="T7" s="46"/>
      <c r="U7" s="46"/>
      <c r="V7" s="46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</row>
    <row r="8" spans="1:64" x14ac:dyDescent="0.25">
      <c r="A8" s="38"/>
      <c r="C8" t="s">
        <v>182</v>
      </c>
      <c r="E8" s="37"/>
      <c r="F8" s="37">
        <f>($E7-F7)/$E7*100</f>
        <v>11.917618381318176</v>
      </c>
      <c r="G8" s="37">
        <f t="shared" ref="G8" si="2">($E7-G7)/$E7*100</f>
        <v>74.990374411900049</v>
      </c>
      <c r="H8" s="37">
        <f t="shared" ref="H8" si="3">($E7-H7)/$E7*100</f>
        <v>73.928317652903758</v>
      </c>
      <c r="I8" s="37">
        <f t="shared" ref="I8" si="4">($E7-I7)/$E7*100</f>
        <v>76.071749424365237</v>
      </c>
      <c r="J8" s="37">
        <f t="shared" ref="J8" si="5">($E7-J7)/$E7*100</f>
        <v>21.361561236851166</v>
      </c>
      <c r="K8" s="37">
        <f t="shared" ref="K8" si="6">($E7-K7)/$E7*100</f>
        <v>17.846757059994349</v>
      </c>
      <c r="L8" s="37">
        <f t="shared" ref="L8" si="7">($E7-L7)/$E7*100</f>
        <v>22.9108672777853</v>
      </c>
      <c r="M8" s="37">
        <f t="shared" ref="M8" si="8">($E7-M7)/$E7*100</f>
        <v>100</v>
      </c>
      <c r="N8" s="37">
        <f t="shared" ref="N8" si="9">($E7-N7)/$E7*100</f>
        <v>100</v>
      </c>
      <c r="O8" s="37">
        <f t="shared" ref="O8" si="10">($E7-O7)/$E7*100</f>
        <v>100</v>
      </c>
      <c r="P8" s="37">
        <f t="shared" ref="P8" si="11">($E7-P7)/$E7*100</f>
        <v>11.867310429576246</v>
      </c>
      <c r="Q8" s="37">
        <f t="shared" ref="Q8" si="12">($E7-Q7)/$E7*100</f>
        <v>11.867310429576246</v>
      </c>
      <c r="R8" s="37">
        <f t="shared" ref="R8" si="13">($E7-R7)/$E7*100</f>
        <v>11.867310429576246</v>
      </c>
      <c r="S8" s="37">
        <f t="shared" ref="S8" si="14">($E7-S7)/$E7*100</f>
        <v>100</v>
      </c>
      <c r="T8" s="46"/>
      <c r="U8" s="46"/>
      <c r="V8" s="46"/>
    </row>
    <row r="9" spans="1:64" x14ac:dyDescent="0.25">
      <c r="A9" s="4"/>
      <c r="C9"/>
      <c r="D9" t="s">
        <v>42</v>
      </c>
      <c r="E9" s="37">
        <f>$C$7*'CONSO D''ENERGIE'!E9</f>
        <v>771.54462000000001</v>
      </c>
      <c r="F9" s="37">
        <f>$C$7*'CONSO D''ENERGIE'!F9</f>
        <v>690.94871999999998</v>
      </c>
      <c r="G9" s="37">
        <f>$C$7*'CONSO D''ENERGIE'!G9</f>
        <v>180.51066</v>
      </c>
      <c r="H9" s="61">
        <f>$C$7*'CONSO D''ENERGIE'!H9</f>
        <v>190.59678000000002</v>
      </c>
      <c r="I9" s="61">
        <f>$C$7*'CONSO D''ENERGIE'!I9</f>
        <v>170.07804000000002</v>
      </c>
      <c r="J9" s="37">
        <f>$C$7*'CONSO D''ENERGIE'!J9</f>
        <v>628.59059999999999</v>
      </c>
      <c r="K9" s="61">
        <f>$C$7*'CONSO D''ENERGIE'!K9</f>
        <v>654.91470000000004</v>
      </c>
      <c r="L9" s="61">
        <f>$C$7*'CONSO D''ENERGIE'!L9</f>
        <v>616.90662000000009</v>
      </c>
      <c r="M9" s="37">
        <f>$C$7*'CONSO D''ENERGIE'!M9</f>
        <v>0</v>
      </c>
      <c r="N9" s="61">
        <f>$C$7*'CONSO D''ENERGIE'!N9</f>
        <v>0</v>
      </c>
      <c r="O9" s="61">
        <f>$C$7*'CONSO D''ENERGIE'!O9</f>
        <v>0</v>
      </c>
      <c r="P9" s="37">
        <f>$C$7*'CONSO D''ENERGIE'!P9</f>
        <v>690.93089999999995</v>
      </c>
      <c r="Q9" s="61">
        <f>$C$7*'CONSO D''ENERGIE'!Q9</f>
        <v>690.93089999999995</v>
      </c>
      <c r="R9" s="61">
        <f>$C$7*'CONSO D''ENERGIE'!R9</f>
        <v>690.93089999999995</v>
      </c>
      <c r="S9" s="37">
        <f>$C$7*'CONSO D''ENERGIE'!S9</f>
        <v>0</v>
      </c>
      <c r="T9" s="46"/>
      <c r="U9" s="46"/>
      <c r="V9" s="46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</row>
    <row r="10" spans="1:64" x14ac:dyDescent="0.25">
      <c r="A10" s="38"/>
      <c r="C10"/>
      <c r="D10" t="s">
        <v>43</v>
      </c>
      <c r="E10" s="37">
        <f>$C$7*'CONSO D''ENERGIE'!E10</f>
        <v>602.76546000000008</v>
      </c>
      <c r="F10" s="37">
        <f>$C$7*'CONSO D''ENERGIE'!F10</f>
        <v>535.76225999999997</v>
      </c>
      <c r="G10" s="37">
        <f>$C$7*'CONSO D''ENERGIE'!G10</f>
        <v>133.53912000000003</v>
      </c>
      <c r="H10" s="61">
        <f>$C$7*'CONSO D''ENERGIE'!H10</f>
        <v>141.05124000000001</v>
      </c>
      <c r="I10" s="61">
        <f>$C$7*'CONSO D''ENERGIE'!I10</f>
        <v>125.70426</v>
      </c>
      <c r="J10" s="37">
        <f>$C$7*'CONSO D''ENERGIE'!J10</f>
        <v>483.71004000000005</v>
      </c>
      <c r="K10" s="61">
        <f>$C$7*'CONSO D''ENERGIE'!K10</f>
        <v>504.92376000000002</v>
      </c>
      <c r="L10" s="61">
        <f>$C$7*'CONSO D''ENERGIE'!L10</f>
        <v>474.28127999999998</v>
      </c>
      <c r="M10" s="37">
        <f>$C$7*'CONSO D''ENERGIE'!M10</f>
        <v>0</v>
      </c>
      <c r="N10" s="61">
        <f>$C$7*'CONSO D''ENERGIE'!N10</f>
        <v>0</v>
      </c>
      <c r="O10" s="61">
        <f>$C$7*'CONSO D''ENERGIE'!O10</f>
        <v>0</v>
      </c>
      <c r="P10" s="37">
        <f>$C$7*'CONSO D''ENERGIE'!P10</f>
        <v>537.74423999999999</v>
      </c>
      <c r="Q10" s="61">
        <f>$C$7*'CONSO D''ENERGIE'!Q10</f>
        <v>537.74423999999999</v>
      </c>
      <c r="R10" s="61">
        <f>$C$7*'CONSO D''ENERGIE'!R10</f>
        <v>537.74423999999999</v>
      </c>
      <c r="S10" s="37">
        <f>$C$7*'CONSO D''ENERGIE'!S10</f>
        <v>0</v>
      </c>
      <c r="T10" s="46"/>
      <c r="U10" s="46"/>
      <c r="V10" s="46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4" x14ac:dyDescent="0.25">
      <c r="C11"/>
      <c r="D11" t="s">
        <v>44</v>
      </c>
      <c r="E11" s="37">
        <f>$C$7*'CONSO D''ENERGIE'!E11</f>
        <v>558.97775999999999</v>
      </c>
      <c r="F11" s="37">
        <f>$C$7*'CONSO D''ENERGIE'!F11</f>
        <v>490.78656000000007</v>
      </c>
      <c r="G11" s="37">
        <f>$C$7*'CONSO D''ENERGIE'!G11</f>
        <v>117.09126000000001</v>
      </c>
      <c r="H11" s="61">
        <f>$C$7*'CONSO D''ENERGIE'!H11</f>
        <v>123.83315999999999</v>
      </c>
      <c r="I11" s="61">
        <f>$C$7*'CONSO D''ENERGIE'!I11</f>
        <v>110.13948000000001</v>
      </c>
      <c r="J11" s="37">
        <f>$C$7*'CONSO D''ENERGIE'!J11</f>
        <v>432.53693999999996</v>
      </c>
      <c r="K11" s="61">
        <f>$C$7*'CONSO D''ENERGIE'!K11</f>
        <v>453.79025999999999</v>
      </c>
      <c r="L11" s="61">
        <f>$C$7*'CONSO D''ENERGIE'!L11</f>
        <v>423.17946000000001</v>
      </c>
      <c r="M11" s="37">
        <f>$C$7*'CONSO D''ENERGIE'!M11</f>
        <v>0</v>
      </c>
      <c r="N11" s="61">
        <f>$C$7*'CONSO D''ENERGIE'!N11</f>
        <v>0</v>
      </c>
      <c r="O11" s="61">
        <f>$C$7*'CONSO D''ENERGIE'!O11</f>
        <v>0</v>
      </c>
      <c r="P11" s="37">
        <f>$C$7*'CONSO D''ENERGIE'!P11</f>
        <v>490.83606000000009</v>
      </c>
      <c r="Q11" s="61">
        <f>$C$7*'CONSO D''ENERGIE'!Q11</f>
        <v>490.83606000000009</v>
      </c>
      <c r="R11" s="61">
        <f>$C$7*'CONSO D''ENERGIE'!R11</f>
        <v>490.83606000000009</v>
      </c>
      <c r="S11" s="37">
        <f>$C$7*'CONSO D''ENERGIE'!S11</f>
        <v>0</v>
      </c>
      <c r="T11" s="46"/>
      <c r="U11" s="46"/>
      <c r="V11" s="46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4" x14ac:dyDescent="0.25">
      <c r="A12"/>
      <c r="C12"/>
      <c r="D12" t="s">
        <v>34</v>
      </c>
      <c r="E12" s="37">
        <f>$C$7*'CONSO D''ENERGIE'!E12</f>
        <v>382.06871999999998</v>
      </c>
      <c r="F12" s="37">
        <f>$C$7*'CONSO D''ENERGIE'!F12</f>
        <v>328.65624000000003</v>
      </c>
      <c r="G12" s="37">
        <f>$C$7*'CONSO D''ENERGIE'!G12</f>
        <v>66.658680000000004</v>
      </c>
      <c r="H12" s="61">
        <f>$C$7*'CONSO D''ENERGIE'!H12</f>
        <v>68.822820000000007</v>
      </c>
      <c r="I12" s="61">
        <f>$C$7*'CONSO D''ENERGIE'!I12</f>
        <v>64.506419999999991</v>
      </c>
      <c r="J12" s="37">
        <f>$C$7*'CONSO D''ENERGIE'!J12</f>
        <v>275.79024000000004</v>
      </c>
      <c r="K12" s="61">
        <f>$C$7*'CONSO D''ENERGIE'!K12</f>
        <v>292.38462000000004</v>
      </c>
      <c r="L12" s="61">
        <f>$C$7*'CONSO D''ENERGIE'!L12</f>
        <v>268.53551999999996</v>
      </c>
      <c r="M12" s="37">
        <f>$C$7*'CONSO D''ENERGIE'!M12</f>
        <v>0</v>
      </c>
      <c r="N12" s="61">
        <f>$C$7*'CONSO D''ENERGIE'!N12</f>
        <v>0</v>
      </c>
      <c r="O12" s="61">
        <f>$C$7*'CONSO D''ENERGIE'!O12</f>
        <v>0</v>
      </c>
      <c r="P12" s="37">
        <f>$C$7*'CONSO D''ENERGIE'!P12</f>
        <v>328.73940000000005</v>
      </c>
      <c r="Q12" s="61">
        <f>$C$7*'CONSO D''ENERGIE'!Q12</f>
        <v>328.73940000000005</v>
      </c>
      <c r="R12" s="61">
        <f>$C$7*'CONSO D''ENERGIE'!R12</f>
        <v>328.73940000000005</v>
      </c>
      <c r="S12" s="37">
        <f>$C$7*'CONSO D''ENERGIE'!S12</f>
        <v>0</v>
      </c>
      <c r="T12" s="46"/>
      <c r="U12" s="46"/>
      <c r="V12" s="46"/>
      <c r="BL12" s="22"/>
    </row>
    <row r="13" spans="1:64" x14ac:dyDescent="0.25">
      <c r="A13"/>
      <c r="C13"/>
      <c r="D13" t="s">
        <v>35</v>
      </c>
      <c r="E13" s="37">
        <f>$C$7*'CONSO D''ENERGIE'!E13</f>
        <v>201.21354000000002</v>
      </c>
      <c r="F13" s="37">
        <f>$C$7*'CONSO D''ENERGIE'!F13</f>
        <v>171.02250000000001</v>
      </c>
      <c r="G13" s="37">
        <f>$C$7*'CONSO D''ENERGIE'!G13</f>
        <v>53.749079999999999</v>
      </c>
      <c r="H13" s="61">
        <f>$C$7*'CONSO D''ENERGIE'!H13</f>
        <v>54.477720000000012</v>
      </c>
      <c r="I13" s="61">
        <f>$C$7*'CONSO D''ENERGIE'!I13</f>
        <v>56.527020000000007</v>
      </c>
      <c r="J13" s="37">
        <f>$C$7*'CONSO D''ENERGIE'!J13</f>
        <v>144.90629999999999</v>
      </c>
      <c r="K13" s="61">
        <f>$C$7*'CONSO D''ENERGIE'!K13</f>
        <v>152.62631999999999</v>
      </c>
      <c r="L13" s="61">
        <f>$C$7*'CONSO D''ENERGIE'!L13</f>
        <v>141.65118000000001</v>
      </c>
      <c r="M13" s="37">
        <f>$C$7*'CONSO D''ENERGIE'!M13</f>
        <v>0</v>
      </c>
      <c r="N13" s="61">
        <f>$C$7*'CONSO D''ENERGIE'!N13</f>
        <v>0</v>
      </c>
      <c r="O13" s="61">
        <f>$C$7*'CONSO D''ENERGIE'!O13</f>
        <v>0</v>
      </c>
      <c r="P13" s="37">
        <f>$C$7*'CONSO D''ENERGIE'!P13</f>
        <v>171.08387999999999</v>
      </c>
      <c r="Q13" s="61">
        <f>$C$7*'CONSO D''ENERGIE'!Q13</f>
        <v>171.08387999999999</v>
      </c>
      <c r="R13" s="61">
        <f>$C$7*'CONSO D''ENERGIE'!R13</f>
        <v>171.08387999999999</v>
      </c>
      <c r="S13" s="37">
        <f>$C$7*'CONSO D''ENERGIE'!S13</f>
        <v>0</v>
      </c>
      <c r="T13" s="46"/>
      <c r="U13" s="46"/>
      <c r="V13" s="46"/>
      <c r="BL13" s="22"/>
    </row>
    <row r="14" spans="1:64" x14ac:dyDescent="0.25">
      <c r="A14"/>
      <c r="C14"/>
      <c r="D14" t="s">
        <v>36</v>
      </c>
      <c r="E14" s="37">
        <f>$C$7*'CONSO D''ENERGIE'!E14</f>
        <v>78.223860000000002</v>
      </c>
      <c r="F14" s="37">
        <f>$C$7*'CONSO D''ENERGIE'!F14</f>
        <v>69.759360000000001</v>
      </c>
      <c r="G14" s="37">
        <f>$C$7*'CONSO D''ENERGIE'!G14</f>
        <v>50.387039999999999</v>
      </c>
      <c r="H14" s="61">
        <f>$C$7*'CONSO D''ENERGIE'!H14</f>
        <v>50.903819999999996</v>
      </c>
      <c r="I14" s="61">
        <f>$C$7*'CONSO D''ENERGIE'!I14</f>
        <v>49.432680000000005</v>
      </c>
      <c r="J14" s="37">
        <f>$C$7*'CONSO D''ENERGIE'!J14</f>
        <v>65.41722</v>
      </c>
      <c r="K14" s="61">
        <f>$C$7*'CONSO D''ENERGIE'!K14</f>
        <v>66.739860000000007</v>
      </c>
      <c r="L14" s="61">
        <f>$C$7*'CONSO D''ENERGIE'!L14</f>
        <v>64.89846</v>
      </c>
      <c r="M14" s="37">
        <f>$C$7*'CONSO D''ENERGIE'!M14</f>
        <v>0</v>
      </c>
      <c r="N14" s="61">
        <f>$C$7*'CONSO D''ENERGIE'!N14</f>
        <v>0</v>
      </c>
      <c r="O14" s="61">
        <f>$C$7*'CONSO D''ENERGIE'!O14</f>
        <v>0</v>
      </c>
      <c r="P14" s="37">
        <f>$C$7*'CONSO D''ENERGIE'!P14</f>
        <v>69.787080000000003</v>
      </c>
      <c r="Q14" s="61">
        <f>$C$7*'CONSO D''ENERGIE'!Q14</f>
        <v>69.787080000000003</v>
      </c>
      <c r="R14" s="61">
        <f>$C$7*'CONSO D''ENERGIE'!R14</f>
        <v>69.787080000000003</v>
      </c>
      <c r="S14" s="37">
        <f>$C$7*'CONSO D''ENERGIE'!S14</f>
        <v>0</v>
      </c>
      <c r="T14" s="46"/>
      <c r="U14" s="46"/>
      <c r="V14" s="46"/>
      <c r="BL14" s="22"/>
    </row>
    <row r="15" spans="1:64" x14ac:dyDescent="0.25">
      <c r="A15"/>
      <c r="C15"/>
      <c r="D15" t="s">
        <v>37</v>
      </c>
      <c r="E15" s="37">
        <f>$C$7*'CONSO D''ENERGIE'!E15</f>
        <v>62.587800000000009</v>
      </c>
      <c r="F15" s="37">
        <f>$C$7*'CONSO D''ENERGIE'!F15</f>
        <v>58.305060000000012</v>
      </c>
      <c r="G15" s="37">
        <f>$C$7*'CONSO D''ENERGIE'!G15</f>
        <v>50.52366</v>
      </c>
      <c r="H15" s="61">
        <f>$C$7*'CONSO D''ENERGIE'!H15</f>
        <v>51.040439999999997</v>
      </c>
      <c r="I15" s="61">
        <f>$C$7*'CONSO D''ENERGIE'!I15</f>
        <v>49.569299999999998</v>
      </c>
      <c r="J15" s="37">
        <f>$C$7*'CONSO D''ENERGIE'!J15</f>
        <v>56.992320000000007</v>
      </c>
      <c r="K15" s="61">
        <f>$C$7*'CONSO D''ENERGIE'!K15</f>
        <v>57.427920000000007</v>
      </c>
      <c r="L15" s="61">
        <f>$C$7*'CONSO D''ENERGIE'!L15</f>
        <v>56.814120000000003</v>
      </c>
      <c r="M15" s="37">
        <f>$C$7*'CONSO D''ENERGIE'!M15</f>
        <v>0</v>
      </c>
      <c r="N15" s="61">
        <f>$C$7*'CONSO D''ENERGIE'!N15</f>
        <v>0</v>
      </c>
      <c r="O15" s="61">
        <f>$C$7*'CONSO D''ENERGIE'!O15</f>
        <v>0</v>
      </c>
      <c r="P15" s="37">
        <f>$C$7*'CONSO D''ENERGIE'!P15</f>
        <v>58.312980000000003</v>
      </c>
      <c r="Q15" s="61">
        <f>$C$7*'CONSO D''ENERGIE'!Q15</f>
        <v>58.312980000000003</v>
      </c>
      <c r="R15" s="61">
        <f>$C$7*'CONSO D''ENERGIE'!R15</f>
        <v>58.312980000000003</v>
      </c>
      <c r="S15" s="37">
        <f>$C$7*'CONSO D''ENERGIE'!S15</f>
        <v>0</v>
      </c>
      <c r="T15" s="46"/>
      <c r="U15" s="46"/>
      <c r="V15" s="46"/>
      <c r="BL15" s="22"/>
    </row>
    <row r="16" spans="1:64" x14ac:dyDescent="0.25">
      <c r="A16"/>
      <c r="C16"/>
      <c r="D16" t="s">
        <v>38</v>
      </c>
      <c r="E16" s="37">
        <f>$C$7*'CONSO D''ENERGIE'!E16</f>
        <v>74.103480000000019</v>
      </c>
      <c r="F16" s="37">
        <f>$C$7*'CONSO D''ENERGIE'!F16</f>
        <v>66.496320000000011</v>
      </c>
      <c r="G16" s="37">
        <f>$C$7*'CONSO D''ENERGIE'!G16</f>
        <v>53.168939999999999</v>
      </c>
      <c r="H16" s="61">
        <f>$C$7*'CONSO D''ENERGIE'!H16</f>
        <v>53.713439999999999</v>
      </c>
      <c r="I16" s="61">
        <f>$C$7*'CONSO D''ENERGIE'!I16</f>
        <v>52.161120000000004</v>
      </c>
      <c r="J16" s="37">
        <f>$C$7*'CONSO D''ENERGIE'!J16</f>
        <v>63.354060000000011</v>
      </c>
      <c r="K16" s="61">
        <f>$C$7*'CONSO D''ENERGIE'!K16</f>
        <v>64.306440000000009</v>
      </c>
      <c r="L16" s="61">
        <f>$C$7*'CONSO D''ENERGIE'!L16</f>
        <v>62.97984000000001</v>
      </c>
      <c r="M16" s="37">
        <f>$C$7*'CONSO D''ENERGIE'!M16</f>
        <v>0</v>
      </c>
      <c r="N16" s="61">
        <f>$C$7*'CONSO D''ENERGIE'!N16</f>
        <v>0</v>
      </c>
      <c r="O16" s="61">
        <f>$C$7*'CONSO D''ENERGIE'!O16</f>
        <v>0</v>
      </c>
      <c r="P16" s="37">
        <f>$C$7*'CONSO D''ENERGIE'!P16</f>
        <v>66.500280000000004</v>
      </c>
      <c r="Q16" s="61">
        <f>$C$7*'CONSO D''ENERGIE'!Q16</f>
        <v>66.500280000000004</v>
      </c>
      <c r="R16" s="61">
        <f>$C$7*'CONSO D''ENERGIE'!R16</f>
        <v>66.500280000000004</v>
      </c>
      <c r="S16" s="37">
        <f>$C$7*'CONSO D''ENERGIE'!S16</f>
        <v>0</v>
      </c>
      <c r="T16" s="46"/>
      <c r="U16" s="46"/>
      <c r="V16" s="46"/>
      <c r="BL16" s="22"/>
    </row>
    <row r="17" spans="1:64" x14ac:dyDescent="0.25">
      <c r="A17"/>
      <c r="C17"/>
      <c r="D17" t="s">
        <v>39</v>
      </c>
      <c r="E17" s="37">
        <f>$C$7*'CONSO D''ENERGIE'!E17</f>
        <v>117.50112000000001</v>
      </c>
      <c r="F17" s="37">
        <f>$C$7*'CONSO D''ENERGIE'!F17</f>
        <v>96.540840000000003</v>
      </c>
      <c r="G17" s="37">
        <f>$C$7*'CONSO D''ENERGIE'!G17</f>
        <v>50.092020000000005</v>
      </c>
      <c r="H17" s="61">
        <f>$C$7*'CONSO D''ENERGIE'!H17</f>
        <v>50.695920000000008</v>
      </c>
      <c r="I17" s="61">
        <f>$C$7*'CONSO D''ENERGIE'!I17</f>
        <v>49.030740000000002</v>
      </c>
      <c r="J17" s="37">
        <f>$C$7*'CONSO D''ENERGIE'!J17</f>
        <v>84.551940000000002</v>
      </c>
      <c r="K17" s="61">
        <f>$C$7*'CONSO D''ENERGIE'!K17</f>
        <v>88.199099999999987</v>
      </c>
      <c r="L17" s="61">
        <f>$C$7*'CONSO D''ENERGIE'!L17</f>
        <v>82.918440000000004</v>
      </c>
      <c r="M17" s="37">
        <f>$C$7*'CONSO D''ENERGIE'!M17</f>
        <v>0</v>
      </c>
      <c r="N17" s="61">
        <f>$C$7*'CONSO D''ENERGIE'!N17</f>
        <v>0</v>
      </c>
      <c r="O17" s="61">
        <f>$C$7*'CONSO D''ENERGIE'!O17</f>
        <v>0</v>
      </c>
      <c r="P17" s="37">
        <f>$C$7*'CONSO D''ENERGIE'!P17</f>
        <v>96.578460000000007</v>
      </c>
      <c r="Q17" s="61">
        <f>$C$7*'CONSO D''ENERGIE'!Q17</f>
        <v>96.578460000000007</v>
      </c>
      <c r="R17" s="61">
        <f>$C$7*'CONSO D''ENERGIE'!R17</f>
        <v>96.578460000000007</v>
      </c>
      <c r="S17" s="37">
        <f>$C$7*'CONSO D''ENERGIE'!S17</f>
        <v>0</v>
      </c>
      <c r="T17" s="46"/>
      <c r="U17" s="46"/>
      <c r="V17" s="46"/>
      <c r="BL17" s="22"/>
    </row>
    <row r="18" spans="1:64" x14ac:dyDescent="0.25">
      <c r="A18"/>
      <c r="C18"/>
      <c r="D18" t="s">
        <v>176</v>
      </c>
      <c r="E18" s="37">
        <f>$C$7*'CONSO D''ENERGIE'!E18</f>
        <v>331.97076000000004</v>
      </c>
      <c r="F18" s="37">
        <f>$C$7*'CONSO D''ENERGIE'!F18</f>
        <v>281.40948000000003</v>
      </c>
      <c r="G18" s="37">
        <f>$C$7*'CONSO D''ENERGIE'!G18</f>
        <v>68.30604000000001</v>
      </c>
      <c r="H18" s="61">
        <f>$C$7*'CONSO D''ENERGIE'!H18</f>
        <v>70.194959999999995</v>
      </c>
      <c r="I18" s="61">
        <f>$C$7*'CONSO D''ENERGIE'!I18</f>
        <v>65.712240000000008</v>
      </c>
      <c r="J18" s="37">
        <f>$C$7*'CONSO D''ENERGIE'!J18</f>
        <v>242.80938</v>
      </c>
      <c r="K18" s="61">
        <f>$C$7*'CONSO D''ENERGIE'!K18</f>
        <v>256.01598000000001</v>
      </c>
      <c r="L18" s="61">
        <f>$C$7*'CONSO D''ENERGIE'!L18</f>
        <v>237.27725999999998</v>
      </c>
      <c r="M18" s="37">
        <f>$C$7*'CONSO D''ENERGIE'!M18</f>
        <v>0</v>
      </c>
      <c r="N18" s="61">
        <f>$C$7*'CONSO D''ENERGIE'!N18</f>
        <v>0</v>
      </c>
      <c r="O18" s="61">
        <f>$C$7*'CONSO D''ENERGIE'!O18</f>
        <v>0</v>
      </c>
      <c r="P18" s="37">
        <f>$C$7*'CONSO D''ENERGIE'!P18</f>
        <v>281.42928000000006</v>
      </c>
      <c r="Q18" s="61">
        <f>$C$7*'CONSO D''ENERGIE'!Q18</f>
        <v>281.42928000000006</v>
      </c>
      <c r="R18" s="61">
        <f>$C$7*'CONSO D''ENERGIE'!R18</f>
        <v>281.42928000000006</v>
      </c>
      <c r="S18" s="37">
        <f>$C$7*'CONSO D''ENERGIE'!S18</f>
        <v>0</v>
      </c>
      <c r="T18" s="46"/>
      <c r="U18" s="46"/>
      <c r="V18" s="46"/>
      <c r="BL18" s="22"/>
    </row>
    <row r="19" spans="1:64" x14ac:dyDescent="0.25">
      <c r="A19"/>
      <c r="C19"/>
      <c r="D19" t="s">
        <v>40</v>
      </c>
      <c r="E19" s="37">
        <f>$C$7*'CONSO D''ENERGIE'!E19</f>
        <v>523.24271999999996</v>
      </c>
      <c r="F19" s="37">
        <f>$C$7*'CONSO D''ENERGIE'!F19</f>
        <v>464.18724000000003</v>
      </c>
      <c r="G19" s="37">
        <f>$C$7*'CONSO D''ENERGIE'!G19</f>
        <v>110.76318000000001</v>
      </c>
      <c r="H19" s="61">
        <f>$C$7*'CONSO D''ENERGIE'!H19</f>
        <v>117.10512000000001</v>
      </c>
      <c r="I19" s="61">
        <f>$C$7*'CONSO D''ENERGIE'!I19</f>
        <v>103.99950000000001</v>
      </c>
      <c r="J19" s="37">
        <f>$C$7*'CONSO D''ENERGIE'!J19</f>
        <v>416.17224000000004</v>
      </c>
      <c r="K19" s="61">
        <f>$C$7*'CONSO D''ENERGIE'!K19</f>
        <v>434.77235999999994</v>
      </c>
      <c r="L19" s="61">
        <f>$C$7*'CONSO D''ENERGIE'!L19</f>
        <v>407.80871999999999</v>
      </c>
      <c r="M19" s="37">
        <f>$C$7*'CONSO D''ENERGIE'!M19</f>
        <v>0</v>
      </c>
      <c r="N19" s="61">
        <f>$C$7*'CONSO D''ENERGIE'!N19</f>
        <v>0</v>
      </c>
      <c r="O19" s="61">
        <f>$C$7*'CONSO D''ENERGIE'!O19</f>
        <v>0</v>
      </c>
      <c r="P19" s="37">
        <f>$C$7*'CONSO D''ENERGIE'!P19</f>
        <v>464.17734000000002</v>
      </c>
      <c r="Q19" s="61">
        <f>$C$7*'CONSO D''ENERGIE'!Q19</f>
        <v>464.17734000000002</v>
      </c>
      <c r="R19" s="61">
        <f>$C$7*'CONSO D''ENERGIE'!R19</f>
        <v>464.17734000000002</v>
      </c>
      <c r="S19" s="37">
        <f>$C$7*'CONSO D''ENERGIE'!S19</f>
        <v>0</v>
      </c>
      <c r="T19" s="46"/>
      <c r="U19" s="46"/>
      <c r="V19" s="46"/>
      <c r="BL19" s="22"/>
    </row>
    <row r="20" spans="1:64" x14ac:dyDescent="0.25">
      <c r="A20"/>
      <c r="C20"/>
      <c r="D20" t="s">
        <v>41</v>
      </c>
      <c r="E20" s="37">
        <f>$C$7*'CONSO D''ENERGIE'!E20</f>
        <v>723.52961999999991</v>
      </c>
      <c r="F20" s="37">
        <f>$C$7*'CONSO D''ENERGIE'!F20</f>
        <v>646.17498000000012</v>
      </c>
      <c r="G20" s="37">
        <f>$C$7*'CONSO D''ENERGIE'!G20</f>
        <v>172.56888000000001</v>
      </c>
      <c r="H20" s="61">
        <f>$C$7*'CONSO D''ENERGIE'!H20</f>
        <v>181.94814</v>
      </c>
      <c r="I20" s="61">
        <f>$C$7*'CONSO D''ENERGIE'!I20</f>
        <v>162.6174</v>
      </c>
      <c r="J20" s="37">
        <f>$C$7*'CONSO D''ENERGIE'!J20</f>
        <v>587.06604000000016</v>
      </c>
      <c r="K20" s="61">
        <f>$C$7*'CONSO D''ENERGIE'!K20</f>
        <v>611.42201999999997</v>
      </c>
      <c r="L20" s="61">
        <f>$C$7*'CONSO D''ENERGIE'!L20</f>
        <v>576.04733999999996</v>
      </c>
      <c r="M20" s="37">
        <f>$C$7*'CONSO D''ENERGIE'!M20</f>
        <v>0</v>
      </c>
      <c r="N20" s="61">
        <f>$C$7*'CONSO D''ENERGIE'!N20</f>
        <v>0</v>
      </c>
      <c r="O20" s="61">
        <f>$C$7*'CONSO D''ENERGIE'!O20</f>
        <v>0</v>
      </c>
      <c r="P20" s="37">
        <f>$C$7*'CONSO D''ENERGIE'!P20</f>
        <v>646.15716000000009</v>
      </c>
      <c r="Q20" s="61">
        <f>$C$7*'CONSO D''ENERGIE'!Q20</f>
        <v>646.15716000000009</v>
      </c>
      <c r="R20" s="61">
        <f>$C$7*'CONSO D''ENERGIE'!R20</f>
        <v>646.15716000000009</v>
      </c>
      <c r="S20" s="37">
        <f>$C$7*'CONSO D''ENERGIE'!S20</f>
        <v>0</v>
      </c>
      <c r="T20" s="46"/>
      <c r="U20" s="46"/>
      <c r="V20" s="46"/>
      <c r="BL20" s="22"/>
    </row>
    <row r="21" spans="1:64" x14ac:dyDescent="0.25">
      <c r="A21" s="38"/>
      <c r="E21" s="37"/>
      <c r="F21" s="37"/>
      <c r="G21" s="37"/>
      <c r="H21" s="61"/>
      <c r="I21" s="61"/>
      <c r="J21" s="37"/>
      <c r="K21" s="61"/>
      <c r="L21" s="61"/>
      <c r="M21" s="37"/>
      <c r="N21" s="61"/>
      <c r="O21" s="61"/>
      <c r="P21" s="37"/>
      <c r="Q21" s="61"/>
      <c r="R21" s="61"/>
      <c r="S21" s="37"/>
      <c r="T21" s="46"/>
      <c r="U21" s="46"/>
      <c r="V21" s="46"/>
    </row>
    <row r="22" spans="1:64" s="7" customFormat="1" x14ac:dyDescent="0.25">
      <c r="A22" s="39"/>
      <c r="B22" s="7" t="s">
        <v>3</v>
      </c>
      <c r="C22" s="23">
        <v>0.28999999999999998</v>
      </c>
      <c r="E22" s="54">
        <f>'CONSO D''ENERGIE'!E50*$C$22</f>
        <v>713.40869999999995</v>
      </c>
      <c r="F22" s="54">
        <f>'CONSO D''ENERGIE'!F50*$C$22</f>
        <v>713.40869999999995</v>
      </c>
      <c r="G22" s="54">
        <f>'CONSO D''ENERGIE'!G50*$C$22</f>
        <v>713.40869999999995</v>
      </c>
      <c r="H22" s="63">
        <f>'CONSO D''ENERGIE'!H50*$C$22</f>
        <v>713.40869999999995</v>
      </c>
      <c r="I22" s="63">
        <f>'CONSO D''ENERGIE'!I50*$C$22</f>
        <v>713.40869999999995</v>
      </c>
      <c r="J22" s="54">
        <f>'CONSO D''ENERGIE'!J50*$C$22</f>
        <v>713.40869999999995</v>
      </c>
      <c r="K22" s="63">
        <f>'CONSO D''ENERGIE'!K50*$C$22</f>
        <v>713.40869999999995</v>
      </c>
      <c r="L22" s="63">
        <f>'CONSO D''ENERGIE'!L50*$C$22</f>
        <v>713.40869999999995</v>
      </c>
      <c r="M22" s="54">
        <f>'CONSO D''ENERGIE'!M50*$C$22</f>
        <v>713.40869999999995</v>
      </c>
      <c r="N22" s="63">
        <f>'CONSO D''ENERGIE'!N50*$C$22</f>
        <v>713.40869999999995</v>
      </c>
      <c r="O22" s="63">
        <f>'CONSO D''ENERGIE'!O50*$C$22</f>
        <v>713.40869999999995</v>
      </c>
      <c r="P22" s="54">
        <f>('CONSO D''ENERGIE'!P50+'CONSO D''ENERGIE'!P137)*$C$22</f>
        <v>272.1592</v>
      </c>
      <c r="Q22" s="54">
        <f>('CONSO D''ENERGIE'!Q50+'CONSO D''ENERGIE'!Q137)*$C$22</f>
        <v>321.18079999999998</v>
      </c>
      <c r="R22" s="54">
        <f>('CONSO D''ENERGIE'!R50+'CONSO D''ENERGIE'!R137)*$C$22</f>
        <v>223.13470000000007</v>
      </c>
      <c r="S22" s="54">
        <f>('CONSO D''ENERGIE'!S50+'CONSO D''ENERGIE'!S137)*$C$22</f>
        <v>272.1592</v>
      </c>
      <c r="T22" s="46"/>
      <c r="U22" s="46"/>
      <c r="V22" s="46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</row>
    <row r="23" spans="1:64" x14ac:dyDescent="0.25">
      <c r="A23" s="4"/>
      <c r="C23"/>
      <c r="D23" t="s">
        <v>42</v>
      </c>
      <c r="E23" s="37">
        <f>$C$22*'CONSO D''ENERGIE'!E52</f>
        <v>60.357699999999994</v>
      </c>
      <c r="F23" s="37">
        <f>$C$22*'CONSO D''ENERGIE'!F52</f>
        <v>60.357699999999994</v>
      </c>
      <c r="G23" s="37">
        <f>$C$22*'CONSO D''ENERGIE'!G52</f>
        <v>60.357699999999994</v>
      </c>
      <c r="H23" s="61">
        <f>$C$22*'CONSO D''ENERGIE'!H52</f>
        <v>60.357699999999994</v>
      </c>
      <c r="I23" s="61">
        <f>$C$22*'CONSO D''ENERGIE'!I52</f>
        <v>60.357699999999994</v>
      </c>
      <c r="J23" s="37">
        <f>$C$22*'CONSO D''ENERGIE'!J52</f>
        <v>60.357699999999994</v>
      </c>
      <c r="K23" s="61">
        <f>$C$22*'CONSO D''ENERGIE'!K52</f>
        <v>60.357699999999994</v>
      </c>
      <c r="L23" s="61">
        <f>$C$22*'CONSO D''ENERGIE'!L52</f>
        <v>60.357699999999994</v>
      </c>
      <c r="M23" s="37">
        <f>$C$22*'CONSO D''ENERGIE'!M52</f>
        <v>60.357699999999994</v>
      </c>
      <c r="N23" s="61">
        <f>$C$22*'CONSO D''ENERGIE'!N52</f>
        <v>60.357699999999994</v>
      </c>
      <c r="O23" s="61">
        <f>$C$22*'CONSO D''ENERGIE'!O52</f>
        <v>60.357699999999994</v>
      </c>
      <c r="P23" s="37">
        <f>$C$22*'CONSO D''ENERGIE'!P52</f>
        <v>60.357699999999994</v>
      </c>
      <c r="Q23" s="61">
        <f>$C$22*'CONSO D''ENERGIE'!Q52</f>
        <v>60.357699999999994</v>
      </c>
      <c r="R23" s="61">
        <f>$C$22*'CONSO D''ENERGIE'!R52</f>
        <v>60.357699999999994</v>
      </c>
      <c r="S23" s="37">
        <f>$C$22*'CONSO D''ENERGIE'!S52</f>
        <v>60.357699999999994</v>
      </c>
      <c r="T23" s="46"/>
      <c r="U23" s="46"/>
      <c r="V23" s="46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</row>
    <row r="24" spans="1:64" x14ac:dyDescent="0.25">
      <c r="A24" s="38"/>
      <c r="C24"/>
      <c r="D24" t="s">
        <v>43</v>
      </c>
      <c r="E24" s="37">
        <f>$C$22*'CONSO D''ENERGIE'!E53</f>
        <v>54.461999999999996</v>
      </c>
      <c r="F24" s="37">
        <f>$C$22*'CONSO D''ENERGIE'!F53</f>
        <v>54.461999999999996</v>
      </c>
      <c r="G24" s="37">
        <f>$C$22*'CONSO D''ENERGIE'!G53</f>
        <v>54.461999999999996</v>
      </c>
      <c r="H24" s="61">
        <f>$C$22*'CONSO D''ENERGIE'!H53</f>
        <v>54.461999999999996</v>
      </c>
      <c r="I24" s="61">
        <f>$C$22*'CONSO D''ENERGIE'!I53</f>
        <v>54.461999999999996</v>
      </c>
      <c r="J24" s="37">
        <f>$C$22*'CONSO D''ENERGIE'!J53</f>
        <v>54.461999999999996</v>
      </c>
      <c r="K24" s="61">
        <f>$C$22*'CONSO D''ENERGIE'!K53</f>
        <v>54.461999999999996</v>
      </c>
      <c r="L24" s="61">
        <f>$C$22*'CONSO D''ENERGIE'!L53</f>
        <v>54.461999999999996</v>
      </c>
      <c r="M24" s="37">
        <f>$C$22*'CONSO D''ENERGIE'!M53</f>
        <v>54.461999999999996</v>
      </c>
      <c r="N24" s="61">
        <f>$C$22*'CONSO D''ENERGIE'!N53</f>
        <v>54.461999999999996</v>
      </c>
      <c r="O24" s="61">
        <f>$C$22*'CONSO D''ENERGIE'!O53</f>
        <v>54.461999999999996</v>
      </c>
      <c r="P24" s="37">
        <f>$C$22*'CONSO D''ENERGIE'!P53</f>
        <v>54.461999999999996</v>
      </c>
      <c r="Q24" s="61">
        <f>$C$22*'CONSO D''ENERGIE'!Q53</f>
        <v>54.461999999999996</v>
      </c>
      <c r="R24" s="61">
        <f>$C$22*'CONSO D''ENERGIE'!R53</f>
        <v>54.461999999999996</v>
      </c>
      <c r="S24" s="37">
        <f>$C$22*'CONSO D''ENERGIE'!S53</f>
        <v>54.461999999999996</v>
      </c>
      <c r="T24" s="46"/>
      <c r="U24" s="46"/>
      <c r="V24" s="46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</row>
    <row r="25" spans="1:64" x14ac:dyDescent="0.25">
      <c r="C25"/>
      <c r="D25" t="s">
        <v>44</v>
      </c>
      <c r="E25" s="37">
        <f>$C$22*'CONSO D''ENERGIE'!E54</f>
        <v>60.786899999999989</v>
      </c>
      <c r="F25" s="37">
        <f>$C$22*'CONSO D''ENERGIE'!F54</f>
        <v>60.786899999999989</v>
      </c>
      <c r="G25" s="37">
        <f>$C$22*'CONSO D''ENERGIE'!G54</f>
        <v>60.786899999999989</v>
      </c>
      <c r="H25" s="61">
        <f>$C$22*'CONSO D''ENERGIE'!H54</f>
        <v>60.786899999999989</v>
      </c>
      <c r="I25" s="61">
        <f>$C$22*'CONSO D''ENERGIE'!I54</f>
        <v>60.786899999999989</v>
      </c>
      <c r="J25" s="37">
        <f>$C$22*'CONSO D''ENERGIE'!J54</f>
        <v>60.786899999999989</v>
      </c>
      <c r="K25" s="61">
        <f>$C$22*'CONSO D''ENERGIE'!K54</f>
        <v>60.786899999999989</v>
      </c>
      <c r="L25" s="61">
        <f>$C$22*'CONSO D''ENERGIE'!L54</f>
        <v>60.786899999999989</v>
      </c>
      <c r="M25" s="37">
        <f>$C$22*'CONSO D''ENERGIE'!M54</f>
        <v>60.786899999999989</v>
      </c>
      <c r="N25" s="61">
        <f>$C$22*'CONSO D''ENERGIE'!N54</f>
        <v>60.786899999999989</v>
      </c>
      <c r="O25" s="61">
        <f>$C$22*'CONSO D''ENERGIE'!O54</f>
        <v>60.786899999999989</v>
      </c>
      <c r="P25" s="37">
        <f>$C$22*'CONSO D''ENERGIE'!P54</f>
        <v>60.786899999999989</v>
      </c>
      <c r="Q25" s="61">
        <f>$C$22*'CONSO D''ENERGIE'!Q54</f>
        <v>60.786899999999989</v>
      </c>
      <c r="R25" s="61">
        <f>$C$22*'CONSO D''ENERGIE'!R54</f>
        <v>60.786899999999989</v>
      </c>
      <c r="S25" s="37">
        <f>$C$22*'CONSO D''ENERGIE'!S54</f>
        <v>60.786899999999989</v>
      </c>
      <c r="T25" s="46"/>
      <c r="U25" s="46"/>
      <c r="V25" s="46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</row>
    <row r="26" spans="1:64" x14ac:dyDescent="0.25">
      <c r="A26"/>
      <c r="C26"/>
      <c r="D26" t="s">
        <v>34</v>
      </c>
      <c r="E26" s="37">
        <f>$C$22*'CONSO D''ENERGIE'!E55</f>
        <v>58.536500000000004</v>
      </c>
      <c r="F26" s="37">
        <f>$C$22*'CONSO D''ENERGIE'!F55</f>
        <v>58.536500000000004</v>
      </c>
      <c r="G26" s="37">
        <f>$C$22*'CONSO D''ENERGIE'!G55</f>
        <v>58.536500000000004</v>
      </c>
      <c r="H26" s="61">
        <f>$C$22*'CONSO D''ENERGIE'!H55</f>
        <v>58.536500000000004</v>
      </c>
      <c r="I26" s="61">
        <f>$C$22*'CONSO D''ENERGIE'!I55</f>
        <v>58.536500000000004</v>
      </c>
      <c r="J26" s="37">
        <f>$C$22*'CONSO D''ENERGIE'!J55</f>
        <v>58.536500000000004</v>
      </c>
      <c r="K26" s="61">
        <f>$C$22*'CONSO D''ENERGIE'!K55</f>
        <v>58.536500000000004</v>
      </c>
      <c r="L26" s="61">
        <f>$C$22*'CONSO D''ENERGIE'!L55</f>
        <v>58.536500000000004</v>
      </c>
      <c r="M26" s="37">
        <f>$C$22*'CONSO D''ENERGIE'!M55</f>
        <v>58.536500000000004</v>
      </c>
      <c r="N26" s="61">
        <f>$C$22*'CONSO D''ENERGIE'!N55</f>
        <v>58.536500000000004</v>
      </c>
      <c r="O26" s="61">
        <f>$C$22*'CONSO D''ENERGIE'!O55</f>
        <v>58.536500000000004</v>
      </c>
      <c r="P26" s="37">
        <f>$C$22*'CONSO D''ENERGIE'!P55</f>
        <v>58.536500000000004</v>
      </c>
      <c r="Q26" s="61">
        <f>$C$22*'CONSO D''ENERGIE'!Q55</f>
        <v>58.536500000000004</v>
      </c>
      <c r="R26" s="61">
        <f>$C$22*'CONSO D''ENERGIE'!R55</f>
        <v>58.536500000000004</v>
      </c>
      <c r="S26" s="37">
        <f>$C$22*'CONSO D''ENERGIE'!S55</f>
        <v>58.536500000000004</v>
      </c>
      <c r="T26" s="46"/>
      <c r="U26" s="46"/>
      <c r="V26" s="46"/>
      <c r="BL26" s="22"/>
    </row>
    <row r="27" spans="1:64" x14ac:dyDescent="0.25">
      <c r="A27"/>
      <c r="C27"/>
      <c r="D27" t="s">
        <v>35</v>
      </c>
      <c r="E27" s="37">
        <f>$C$22*'CONSO D''ENERGIE'!E56</f>
        <v>61.219000000000001</v>
      </c>
      <c r="F27" s="37">
        <f>$C$22*'CONSO D''ENERGIE'!F56</f>
        <v>61.219000000000001</v>
      </c>
      <c r="G27" s="37">
        <f>$C$22*'CONSO D''ENERGIE'!G56</f>
        <v>61.219000000000001</v>
      </c>
      <c r="H27" s="61">
        <f>$C$22*'CONSO D''ENERGIE'!H56</f>
        <v>61.219000000000001</v>
      </c>
      <c r="I27" s="61">
        <f>$C$22*'CONSO D''ENERGIE'!I56</f>
        <v>61.219000000000001</v>
      </c>
      <c r="J27" s="37">
        <f>$C$22*'CONSO D''ENERGIE'!J56</f>
        <v>61.219000000000001</v>
      </c>
      <c r="K27" s="61">
        <f>$C$22*'CONSO D''ENERGIE'!K56</f>
        <v>61.219000000000001</v>
      </c>
      <c r="L27" s="61">
        <f>$C$22*'CONSO D''ENERGIE'!L56</f>
        <v>61.219000000000001</v>
      </c>
      <c r="M27" s="37">
        <f>$C$22*'CONSO D''ENERGIE'!M56</f>
        <v>61.219000000000001</v>
      </c>
      <c r="N27" s="61">
        <f>$C$22*'CONSO D''ENERGIE'!N56</f>
        <v>61.219000000000001</v>
      </c>
      <c r="O27" s="61">
        <f>$C$22*'CONSO D''ENERGIE'!O56</f>
        <v>61.219000000000001</v>
      </c>
      <c r="P27" s="37">
        <f>$C$22*'CONSO D''ENERGIE'!P56</f>
        <v>61.219000000000001</v>
      </c>
      <c r="Q27" s="61">
        <f>$C$22*'CONSO D''ENERGIE'!Q56</f>
        <v>61.219000000000001</v>
      </c>
      <c r="R27" s="61">
        <f>$C$22*'CONSO D''ENERGIE'!R56</f>
        <v>61.219000000000001</v>
      </c>
      <c r="S27" s="37">
        <f>$C$22*'CONSO D''ENERGIE'!S56</f>
        <v>61.219000000000001</v>
      </c>
      <c r="T27" s="46"/>
      <c r="U27" s="46"/>
      <c r="V27" s="46"/>
      <c r="BL27" s="22"/>
    </row>
    <row r="28" spans="1:64" x14ac:dyDescent="0.25">
      <c r="A28"/>
      <c r="C28"/>
      <c r="D28" t="s">
        <v>36</v>
      </c>
      <c r="E28" s="37">
        <f>$C$22*'CONSO D''ENERGIE'!E57</f>
        <v>58.968599999999995</v>
      </c>
      <c r="F28" s="37">
        <f>$C$22*'CONSO D''ENERGIE'!F57</f>
        <v>58.968599999999995</v>
      </c>
      <c r="G28" s="37">
        <f>$C$22*'CONSO D''ENERGIE'!G57</f>
        <v>58.968599999999995</v>
      </c>
      <c r="H28" s="61">
        <f>$C$22*'CONSO D''ENERGIE'!H57</f>
        <v>58.968599999999995</v>
      </c>
      <c r="I28" s="61">
        <f>$C$22*'CONSO D''ENERGIE'!I57</f>
        <v>58.968599999999995</v>
      </c>
      <c r="J28" s="37">
        <f>$C$22*'CONSO D''ENERGIE'!J57</f>
        <v>58.968599999999995</v>
      </c>
      <c r="K28" s="61">
        <f>$C$22*'CONSO D''ENERGIE'!K57</f>
        <v>58.968599999999995</v>
      </c>
      <c r="L28" s="61">
        <f>$C$22*'CONSO D''ENERGIE'!L57</f>
        <v>58.968599999999995</v>
      </c>
      <c r="M28" s="37">
        <f>$C$22*'CONSO D''ENERGIE'!M57</f>
        <v>58.968599999999995</v>
      </c>
      <c r="N28" s="61">
        <f>$C$22*'CONSO D''ENERGIE'!N57</f>
        <v>58.968599999999995</v>
      </c>
      <c r="O28" s="61">
        <f>$C$22*'CONSO D''ENERGIE'!O57</f>
        <v>58.968599999999995</v>
      </c>
      <c r="P28" s="37">
        <f>$C$22*'CONSO D''ENERGIE'!P57</f>
        <v>58.968599999999995</v>
      </c>
      <c r="Q28" s="61">
        <f>$C$22*'CONSO D''ENERGIE'!Q57</f>
        <v>58.968599999999995</v>
      </c>
      <c r="R28" s="61">
        <f>$C$22*'CONSO D''ENERGIE'!R57</f>
        <v>58.968599999999995</v>
      </c>
      <c r="S28" s="37">
        <f>$C$22*'CONSO D''ENERGIE'!S57</f>
        <v>58.968599999999995</v>
      </c>
      <c r="T28" s="46"/>
      <c r="U28" s="46"/>
      <c r="V28" s="46"/>
      <c r="BL28" s="22"/>
    </row>
    <row r="29" spans="1:64" x14ac:dyDescent="0.25">
      <c r="A29"/>
      <c r="C29"/>
      <c r="D29" t="s">
        <v>37</v>
      </c>
      <c r="E29" s="37">
        <f>$C$22*'CONSO D''ENERGIE'!E58</f>
        <v>59.9285</v>
      </c>
      <c r="F29" s="37">
        <f>$C$22*'CONSO D''ENERGIE'!F58</f>
        <v>59.9285</v>
      </c>
      <c r="G29" s="37">
        <f>$C$22*'CONSO D''ENERGIE'!G58</f>
        <v>59.9285</v>
      </c>
      <c r="H29" s="61">
        <f>$C$22*'CONSO D''ENERGIE'!H58</f>
        <v>59.9285</v>
      </c>
      <c r="I29" s="61">
        <f>$C$22*'CONSO D''ENERGIE'!I58</f>
        <v>59.9285</v>
      </c>
      <c r="J29" s="37">
        <f>$C$22*'CONSO D''ENERGIE'!J58</f>
        <v>59.9285</v>
      </c>
      <c r="K29" s="61">
        <f>$C$22*'CONSO D''ENERGIE'!K58</f>
        <v>59.9285</v>
      </c>
      <c r="L29" s="61">
        <f>$C$22*'CONSO D''ENERGIE'!L58</f>
        <v>59.9285</v>
      </c>
      <c r="M29" s="37">
        <f>$C$22*'CONSO D''ENERGIE'!M58</f>
        <v>59.9285</v>
      </c>
      <c r="N29" s="61">
        <f>$C$22*'CONSO D''ENERGIE'!N58</f>
        <v>59.9285</v>
      </c>
      <c r="O29" s="61">
        <f>$C$22*'CONSO D''ENERGIE'!O58</f>
        <v>59.9285</v>
      </c>
      <c r="P29" s="37">
        <f>$C$22*'CONSO D''ENERGIE'!P58</f>
        <v>59.9285</v>
      </c>
      <c r="Q29" s="61">
        <f>$C$22*'CONSO D''ENERGIE'!Q58</f>
        <v>59.9285</v>
      </c>
      <c r="R29" s="61">
        <f>$C$22*'CONSO D''ENERGIE'!R58</f>
        <v>59.9285</v>
      </c>
      <c r="S29" s="37">
        <f>$C$22*'CONSO D''ENERGIE'!S58</f>
        <v>59.9285</v>
      </c>
      <c r="T29" s="46"/>
      <c r="U29" s="46"/>
      <c r="V29" s="46"/>
      <c r="BL29" s="22"/>
    </row>
    <row r="30" spans="1:64" x14ac:dyDescent="0.25">
      <c r="A30"/>
      <c r="C30"/>
      <c r="D30" t="s">
        <v>38</v>
      </c>
      <c r="E30" s="37">
        <f>$C$22*'CONSO D''ENERGIE'!E59</f>
        <v>61.648199999999989</v>
      </c>
      <c r="F30" s="37">
        <f>$C$22*'CONSO D''ENERGIE'!F59</f>
        <v>61.648199999999989</v>
      </c>
      <c r="G30" s="37">
        <f>$C$22*'CONSO D''ENERGIE'!G59</f>
        <v>61.648199999999989</v>
      </c>
      <c r="H30" s="61">
        <f>$C$22*'CONSO D''ENERGIE'!H59</f>
        <v>61.648199999999989</v>
      </c>
      <c r="I30" s="61">
        <f>$C$22*'CONSO D''ENERGIE'!I59</f>
        <v>61.648199999999989</v>
      </c>
      <c r="J30" s="37">
        <f>$C$22*'CONSO D''ENERGIE'!J59</f>
        <v>61.648199999999989</v>
      </c>
      <c r="K30" s="61">
        <f>$C$22*'CONSO D''ENERGIE'!K59</f>
        <v>61.648199999999989</v>
      </c>
      <c r="L30" s="61">
        <f>$C$22*'CONSO D''ENERGIE'!L59</f>
        <v>61.648199999999989</v>
      </c>
      <c r="M30" s="37">
        <f>$C$22*'CONSO D''ENERGIE'!M59</f>
        <v>61.648199999999989</v>
      </c>
      <c r="N30" s="61">
        <f>$C$22*'CONSO D''ENERGIE'!N59</f>
        <v>61.648199999999989</v>
      </c>
      <c r="O30" s="61">
        <f>$C$22*'CONSO D''ENERGIE'!O59</f>
        <v>61.648199999999989</v>
      </c>
      <c r="P30" s="37">
        <f>$C$22*'CONSO D''ENERGIE'!P59</f>
        <v>61.648199999999989</v>
      </c>
      <c r="Q30" s="61">
        <f>$C$22*'CONSO D''ENERGIE'!Q59</f>
        <v>61.648199999999989</v>
      </c>
      <c r="R30" s="61">
        <f>$C$22*'CONSO D''ENERGIE'!R59</f>
        <v>61.648199999999989</v>
      </c>
      <c r="S30" s="37">
        <f>$C$22*'CONSO D''ENERGIE'!S59</f>
        <v>61.648199999999989</v>
      </c>
      <c r="T30" s="46"/>
      <c r="U30" s="46"/>
      <c r="V30" s="46"/>
      <c r="BL30" s="22"/>
    </row>
    <row r="31" spans="1:64" x14ac:dyDescent="0.25">
      <c r="A31"/>
      <c r="C31"/>
      <c r="D31" t="s">
        <v>39</v>
      </c>
      <c r="E31" s="37">
        <f>$C$22*'CONSO D''ENERGIE'!E60</f>
        <v>57.817299999999996</v>
      </c>
      <c r="F31" s="37">
        <f>$C$22*'CONSO D''ENERGIE'!F60</f>
        <v>57.817299999999996</v>
      </c>
      <c r="G31" s="37">
        <f>$C$22*'CONSO D''ENERGIE'!G60</f>
        <v>57.817299999999996</v>
      </c>
      <c r="H31" s="61">
        <f>$C$22*'CONSO D''ENERGIE'!H60</f>
        <v>57.817299999999996</v>
      </c>
      <c r="I31" s="61">
        <f>$C$22*'CONSO D''ENERGIE'!I60</f>
        <v>57.817299999999996</v>
      </c>
      <c r="J31" s="37">
        <f>$C$22*'CONSO D''ENERGIE'!J60</f>
        <v>57.817299999999996</v>
      </c>
      <c r="K31" s="61">
        <f>$C$22*'CONSO D''ENERGIE'!K60</f>
        <v>57.817299999999996</v>
      </c>
      <c r="L31" s="61">
        <f>$C$22*'CONSO D''ENERGIE'!L60</f>
        <v>57.817299999999996</v>
      </c>
      <c r="M31" s="37">
        <f>$C$22*'CONSO D''ENERGIE'!M60</f>
        <v>57.817299999999996</v>
      </c>
      <c r="N31" s="61">
        <f>$C$22*'CONSO D''ENERGIE'!N60</f>
        <v>57.817299999999996</v>
      </c>
      <c r="O31" s="61">
        <f>$C$22*'CONSO D''ENERGIE'!O60</f>
        <v>57.817299999999996</v>
      </c>
      <c r="P31" s="37">
        <f>$C$22*'CONSO D''ENERGIE'!P60</f>
        <v>57.817299999999996</v>
      </c>
      <c r="Q31" s="61">
        <f>$C$22*'CONSO D''ENERGIE'!Q60</f>
        <v>57.817299999999996</v>
      </c>
      <c r="R31" s="61">
        <f>$C$22*'CONSO D''ENERGIE'!R60</f>
        <v>57.817299999999996</v>
      </c>
      <c r="S31" s="37">
        <f>$C$22*'CONSO D''ENERGIE'!S60</f>
        <v>57.817299999999996</v>
      </c>
      <c r="T31" s="46"/>
      <c r="U31" s="46"/>
      <c r="V31" s="46"/>
      <c r="BL31" s="22"/>
    </row>
    <row r="32" spans="1:64" x14ac:dyDescent="0.25">
      <c r="A32"/>
      <c r="C32"/>
      <c r="D32" t="s">
        <v>176</v>
      </c>
      <c r="E32" s="37">
        <f>$C$22*'CONSO D''ENERGIE'!E61</f>
        <v>59.9285</v>
      </c>
      <c r="F32" s="37">
        <f>$C$22*'CONSO D''ENERGIE'!F61</f>
        <v>59.9285</v>
      </c>
      <c r="G32" s="37">
        <f>$C$22*'CONSO D''ENERGIE'!G61</f>
        <v>59.9285</v>
      </c>
      <c r="H32" s="61">
        <f>$C$22*'CONSO D''ENERGIE'!H61</f>
        <v>59.9285</v>
      </c>
      <c r="I32" s="61">
        <f>$C$22*'CONSO D''ENERGIE'!I61</f>
        <v>59.9285</v>
      </c>
      <c r="J32" s="37">
        <f>$C$22*'CONSO D''ENERGIE'!J61</f>
        <v>59.9285</v>
      </c>
      <c r="K32" s="61">
        <f>$C$22*'CONSO D''ENERGIE'!K61</f>
        <v>59.9285</v>
      </c>
      <c r="L32" s="61">
        <f>$C$22*'CONSO D''ENERGIE'!L61</f>
        <v>59.9285</v>
      </c>
      <c r="M32" s="37">
        <f>$C$22*'CONSO D''ENERGIE'!M61</f>
        <v>59.9285</v>
      </c>
      <c r="N32" s="61">
        <f>$C$22*'CONSO D''ENERGIE'!N61</f>
        <v>59.9285</v>
      </c>
      <c r="O32" s="61">
        <f>$C$22*'CONSO D''ENERGIE'!O61</f>
        <v>59.9285</v>
      </c>
      <c r="P32" s="37">
        <f>$C$22*'CONSO D''ENERGIE'!P61</f>
        <v>59.9285</v>
      </c>
      <c r="Q32" s="61">
        <f>$C$22*'CONSO D''ENERGIE'!Q61</f>
        <v>59.9285</v>
      </c>
      <c r="R32" s="61">
        <f>$C$22*'CONSO D''ENERGIE'!R61</f>
        <v>59.9285</v>
      </c>
      <c r="S32" s="37">
        <f>$C$22*'CONSO D''ENERGIE'!S61</f>
        <v>59.9285</v>
      </c>
      <c r="T32" s="46"/>
      <c r="U32" s="46"/>
      <c r="V32" s="46"/>
      <c r="BL32" s="22"/>
    </row>
    <row r="33" spans="1:64" x14ac:dyDescent="0.25">
      <c r="A33"/>
      <c r="C33"/>
      <c r="D33" t="s">
        <v>40</v>
      </c>
      <c r="E33" s="37">
        <f>$C$22*'CONSO D''ENERGIE'!E62</f>
        <v>58.968599999999995</v>
      </c>
      <c r="F33" s="37">
        <f>$C$22*'CONSO D''ENERGIE'!F62</f>
        <v>58.968599999999995</v>
      </c>
      <c r="G33" s="37">
        <f>$C$22*'CONSO D''ENERGIE'!G62</f>
        <v>58.968599999999995</v>
      </c>
      <c r="H33" s="61">
        <f>$C$22*'CONSO D''ENERGIE'!H62</f>
        <v>58.968599999999995</v>
      </c>
      <c r="I33" s="61">
        <f>$C$22*'CONSO D''ENERGIE'!I62</f>
        <v>58.968599999999995</v>
      </c>
      <c r="J33" s="37">
        <f>$C$22*'CONSO D''ENERGIE'!J62</f>
        <v>58.968599999999995</v>
      </c>
      <c r="K33" s="61">
        <f>$C$22*'CONSO D''ENERGIE'!K62</f>
        <v>58.968599999999995</v>
      </c>
      <c r="L33" s="61">
        <f>$C$22*'CONSO D''ENERGIE'!L62</f>
        <v>58.968599999999995</v>
      </c>
      <c r="M33" s="37">
        <f>$C$22*'CONSO D''ENERGIE'!M62</f>
        <v>58.968599999999995</v>
      </c>
      <c r="N33" s="61">
        <f>$C$22*'CONSO D''ENERGIE'!N62</f>
        <v>58.968599999999995</v>
      </c>
      <c r="O33" s="61">
        <f>$C$22*'CONSO D''ENERGIE'!O62</f>
        <v>58.968599999999995</v>
      </c>
      <c r="P33" s="37">
        <f>$C$22*'CONSO D''ENERGIE'!P62</f>
        <v>58.968599999999995</v>
      </c>
      <c r="Q33" s="61">
        <f>$C$22*'CONSO D''ENERGIE'!Q62</f>
        <v>58.968599999999995</v>
      </c>
      <c r="R33" s="61">
        <f>$C$22*'CONSO D''ENERGIE'!R62</f>
        <v>58.968599999999995</v>
      </c>
      <c r="S33" s="37">
        <f>$C$22*'CONSO D''ENERGIE'!S62</f>
        <v>58.968599999999995</v>
      </c>
      <c r="T33" s="46"/>
      <c r="U33" s="46"/>
      <c r="V33" s="46"/>
      <c r="BL33" s="22"/>
    </row>
    <row r="34" spans="1:64" x14ac:dyDescent="0.25">
      <c r="A34"/>
      <c r="C34"/>
      <c r="D34" t="s">
        <v>41</v>
      </c>
      <c r="E34" s="37">
        <f>$C$22*'CONSO D''ENERGIE'!E63</f>
        <v>60.786899999999989</v>
      </c>
      <c r="F34" s="37">
        <f>$C$22*'CONSO D''ENERGIE'!F63</f>
        <v>60.786899999999989</v>
      </c>
      <c r="G34" s="37">
        <f>$C$22*'CONSO D''ENERGIE'!G63</f>
        <v>60.786899999999989</v>
      </c>
      <c r="H34" s="61">
        <f>$C$22*'CONSO D''ENERGIE'!H63</f>
        <v>60.786899999999989</v>
      </c>
      <c r="I34" s="61">
        <f>$C$22*'CONSO D''ENERGIE'!I63</f>
        <v>60.786899999999989</v>
      </c>
      <c r="J34" s="37">
        <f>$C$22*'CONSO D''ENERGIE'!J63</f>
        <v>60.786899999999989</v>
      </c>
      <c r="K34" s="61">
        <f>$C$22*'CONSO D''ENERGIE'!K63</f>
        <v>60.786899999999989</v>
      </c>
      <c r="L34" s="61">
        <f>$C$22*'CONSO D''ENERGIE'!L63</f>
        <v>60.786899999999989</v>
      </c>
      <c r="M34" s="37">
        <f>$C$22*'CONSO D''ENERGIE'!M63</f>
        <v>60.786899999999989</v>
      </c>
      <c r="N34" s="61">
        <f>$C$22*'CONSO D''ENERGIE'!N63</f>
        <v>60.786899999999989</v>
      </c>
      <c r="O34" s="61">
        <f>$C$22*'CONSO D''ENERGIE'!O63</f>
        <v>60.786899999999989</v>
      </c>
      <c r="P34" s="37">
        <f>$C$22*'CONSO D''ENERGIE'!P63</f>
        <v>60.786899999999989</v>
      </c>
      <c r="Q34" s="61">
        <f>$C$22*'CONSO D''ENERGIE'!Q63</f>
        <v>60.786899999999989</v>
      </c>
      <c r="R34" s="61">
        <f>$C$22*'CONSO D''ENERGIE'!R63</f>
        <v>60.786899999999989</v>
      </c>
      <c r="S34" s="37">
        <f>$C$22*'CONSO D''ENERGIE'!S63</f>
        <v>60.786899999999989</v>
      </c>
      <c r="T34" s="46"/>
      <c r="U34" s="46"/>
      <c r="V34" s="46"/>
      <c r="BL34" s="22"/>
    </row>
    <row r="35" spans="1:64" x14ac:dyDescent="0.25">
      <c r="A35" s="38"/>
      <c r="E35" s="37"/>
      <c r="F35" s="37"/>
      <c r="G35" s="37"/>
      <c r="H35" s="61"/>
      <c r="I35" s="61"/>
      <c r="J35" s="37"/>
      <c r="K35" s="61"/>
      <c r="L35" s="61"/>
      <c r="M35" s="37"/>
      <c r="N35" s="61"/>
      <c r="O35" s="61"/>
      <c r="P35" s="37"/>
      <c r="Q35" s="61"/>
      <c r="R35" s="61"/>
      <c r="S35" s="37"/>
      <c r="T35" s="46"/>
      <c r="U35" s="46"/>
      <c r="V35" s="46"/>
    </row>
    <row r="36" spans="1:64" s="7" customFormat="1" x14ac:dyDescent="0.25">
      <c r="A36" s="39"/>
      <c r="B36" s="7" t="s">
        <v>7</v>
      </c>
      <c r="C36" s="12">
        <v>0.34699999999999998</v>
      </c>
      <c r="E36" s="54">
        <f>'CONSO D''ENERGIE'!E93*$C$36</f>
        <v>0</v>
      </c>
      <c r="F36" s="54">
        <f>'CONSO D''ENERGIE'!F93*$C$36</f>
        <v>0</v>
      </c>
      <c r="G36" s="54">
        <f>'CONSO D''ENERGIE'!G93*$C$36</f>
        <v>0</v>
      </c>
      <c r="H36" s="63">
        <f>'CONSO D''ENERGIE'!H93*$C$36</f>
        <v>0</v>
      </c>
      <c r="I36" s="63">
        <f>'CONSO D''ENERGIE'!I93*$C$36</f>
        <v>0</v>
      </c>
      <c r="J36" s="54">
        <f>'CONSO D''ENERGIE'!J93*$C$36</f>
        <v>0</v>
      </c>
      <c r="K36" s="63">
        <f>'CONSO D''ENERGIE'!K93*$C$36</f>
        <v>0</v>
      </c>
      <c r="L36" s="63">
        <f>'CONSO D''ENERGIE'!L93*$C$36</f>
        <v>0</v>
      </c>
      <c r="M36" s="54">
        <f>'CONSO D''ENERGIE'!M93*$C$36</f>
        <v>1660.8426299999999</v>
      </c>
      <c r="N36" s="63">
        <f>'CONSO D''ENERGIE'!N93*$C$36</f>
        <v>1937.6410599999997</v>
      </c>
      <c r="O36" s="63">
        <f>'CONSO D''ENERGIE'!O93*$C$36</f>
        <v>1453.2429400000001</v>
      </c>
      <c r="P36" s="54">
        <f>'CONSO D''ENERGIE'!P93*$C$36</f>
        <v>0</v>
      </c>
      <c r="Q36" s="63">
        <f>'CONSO D''ENERGIE'!Q93*$C$36</f>
        <v>0</v>
      </c>
      <c r="R36" s="63">
        <f>'CONSO D''ENERGIE'!R93*$C$36</f>
        <v>0</v>
      </c>
      <c r="S36" s="54">
        <f>'CONSO D''ENERGIE'!S93*$C$36</f>
        <v>479.14454000000001</v>
      </c>
      <c r="T36" s="46"/>
      <c r="U36" s="46"/>
      <c r="V36" s="46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</row>
    <row r="37" spans="1:64" x14ac:dyDescent="0.25">
      <c r="A37" s="38"/>
      <c r="C37" t="s">
        <v>182</v>
      </c>
      <c r="E37" s="37"/>
      <c r="F37" s="37"/>
      <c r="G37" s="37"/>
      <c r="H37" s="37"/>
      <c r="I37" s="37"/>
      <c r="J37" s="37"/>
      <c r="K37" s="37"/>
      <c r="L37" s="37"/>
      <c r="M37" s="37">
        <f>($E7-M36)/$E7*100</f>
        <v>62.489970423802724</v>
      </c>
      <c r="N37" s="37">
        <f t="shared" ref="N37:O37" si="15">($E7-N36)/$E7*100</f>
        <v>56.238494752116139</v>
      </c>
      <c r="O37" s="37">
        <f t="shared" si="15"/>
        <v>67.178596770002301</v>
      </c>
      <c r="P37" s="37"/>
      <c r="Q37" s="37"/>
      <c r="R37" s="37"/>
      <c r="S37" s="37">
        <f t="shared" ref="S37" si="16">($E7-S36)/$E7*100</f>
        <v>89.178549766227135</v>
      </c>
      <c r="T37" s="46"/>
      <c r="U37" s="46"/>
      <c r="V37" s="46"/>
    </row>
    <row r="38" spans="1:64" x14ac:dyDescent="0.25">
      <c r="A38" s="4"/>
      <c r="C38"/>
      <c r="D38" t="s">
        <v>42</v>
      </c>
      <c r="E38" s="37">
        <f>$C$36*'CONSO D''ENERGIE'!E96</f>
        <v>0</v>
      </c>
      <c r="F38" s="37">
        <f>$C$36*'CONSO D''ENERGIE'!F96</f>
        <v>0</v>
      </c>
      <c r="G38" s="37">
        <f>$C$36*'CONSO D''ENERGIE'!G96</f>
        <v>0</v>
      </c>
      <c r="H38" s="61">
        <f>$C$36*'CONSO D''ENERGIE'!H96</f>
        <v>0</v>
      </c>
      <c r="I38" s="61">
        <f>$C$36*'CONSO D''ENERGIE'!I96</f>
        <v>0</v>
      </c>
      <c r="J38" s="37">
        <f>$C$36*'CONSO D''ENERGIE'!J96</f>
        <v>0</v>
      </c>
      <c r="K38" s="61">
        <f>$C$36*'CONSO D''ENERGIE'!K96</f>
        <v>0</v>
      </c>
      <c r="L38" s="61">
        <f>$C$36*'CONSO D''ENERGIE'!L96</f>
        <v>0</v>
      </c>
      <c r="M38" s="37">
        <f>$C$36*'CONSO D''ENERGIE'!M96</f>
        <v>294.07556</v>
      </c>
      <c r="N38" s="61">
        <f>$C$36*'CONSO D''ENERGIE'!N96</f>
        <v>343.08930999999995</v>
      </c>
      <c r="O38" s="61">
        <f>$C$36*'CONSO D''ENERGIE'!O96</f>
        <v>257.31784999999996</v>
      </c>
      <c r="P38" s="37">
        <f>$C$36*'CONSO D''ENERGIE'!P96</f>
        <v>0</v>
      </c>
      <c r="Q38" s="61">
        <f>$C$36*'CONSO D''ENERGIE'!Q96</f>
        <v>0</v>
      </c>
      <c r="R38" s="61">
        <f>$C$36*'CONSO D''ENERGIE'!R96</f>
        <v>0</v>
      </c>
      <c r="S38" s="37">
        <f>$C$36*'CONSO D''ENERGIE'!S96</f>
        <v>82.700509999999994</v>
      </c>
      <c r="T38" s="46"/>
      <c r="U38" s="46"/>
      <c r="V38" s="46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</row>
    <row r="39" spans="1:64" x14ac:dyDescent="0.25">
      <c r="A39" s="38"/>
      <c r="C39"/>
      <c r="D39" t="s">
        <v>43</v>
      </c>
      <c r="E39" s="37">
        <f>$C$36*'CONSO D''ENERGIE'!E97</f>
        <v>0</v>
      </c>
      <c r="F39" s="37">
        <f>$C$36*'CONSO D''ENERGIE'!F97</f>
        <v>0</v>
      </c>
      <c r="G39" s="37">
        <f>$C$36*'CONSO D''ENERGIE'!G97</f>
        <v>0</v>
      </c>
      <c r="H39" s="61">
        <f>$C$36*'CONSO D''ENERGIE'!H97</f>
        <v>0</v>
      </c>
      <c r="I39" s="61">
        <f>$C$36*'CONSO D''ENERGIE'!I97</f>
        <v>0</v>
      </c>
      <c r="J39" s="37">
        <f>$C$36*'CONSO D''ENERGIE'!J97</f>
        <v>0</v>
      </c>
      <c r="K39" s="61">
        <f>$C$36*'CONSO D''ENERGIE'!K97</f>
        <v>0</v>
      </c>
      <c r="L39" s="61">
        <f>$C$36*'CONSO D''ENERGIE'!L97</f>
        <v>0</v>
      </c>
      <c r="M39" s="37">
        <f>$C$36*'CONSO D''ENERGIE'!M97</f>
        <v>228.87079</v>
      </c>
      <c r="N39" s="61">
        <f>$C$36*'CONSO D''ENERGIE'!N97</f>
        <v>267.01302999999996</v>
      </c>
      <c r="O39" s="61">
        <f>$C$36*'CONSO D''ENERGIE'!O97</f>
        <v>200.26064</v>
      </c>
      <c r="P39" s="37">
        <f>$C$36*'CONSO D''ENERGIE'!P97</f>
        <v>0</v>
      </c>
      <c r="Q39" s="61">
        <f>$C$36*'CONSO D''ENERGIE'!Q97</f>
        <v>0</v>
      </c>
      <c r="R39" s="61">
        <f>$C$36*'CONSO D''ENERGIE'!R97</f>
        <v>0</v>
      </c>
      <c r="S39" s="37">
        <f>$C$36*'CONSO D''ENERGIE'!S97</f>
        <v>57.747739999999993</v>
      </c>
      <c r="T39" s="46"/>
      <c r="U39" s="46"/>
      <c r="V39" s="46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</row>
    <row r="40" spans="1:64" x14ac:dyDescent="0.25">
      <c r="C40"/>
      <c r="D40" t="s">
        <v>44</v>
      </c>
      <c r="E40" s="37">
        <f>$C$36*'CONSO D''ENERGIE'!E98</f>
        <v>0</v>
      </c>
      <c r="F40" s="37">
        <f>$C$36*'CONSO D''ENERGIE'!F98</f>
        <v>0</v>
      </c>
      <c r="G40" s="37">
        <f>$C$36*'CONSO D''ENERGIE'!G98</f>
        <v>0</v>
      </c>
      <c r="H40" s="61">
        <f>$C$36*'CONSO D''ENERGIE'!H98</f>
        <v>0</v>
      </c>
      <c r="I40" s="61">
        <f>$C$36*'CONSO D''ENERGIE'!I98</f>
        <v>0</v>
      </c>
      <c r="J40" s="37">
        <f>$C$36*'CONSO D''ENERGIE'!J98</f>
        <v>0</v>
      </c>
      <c r="K40" s="61">
        <f>$C$36*'CONSO D''ENERGIE'!K98</f>
        <v>0</v>
      </c>
      <c r="L40" s="61">
        <f>$C$36*'CONSO D''ENERGIE'!L98</f>
        <v>0</v>
      </c>
      <c r="M40" s="37">
        <f>$C$36*'CONSO D''ENERGIE'!M98</f>
        <v>208.88705999999999</v>
      </c>
      <c r="N40" s="61">
        <f>$C$36*'CONSO D''ENERGIE'!N98</f>
        <v>243.69810000000001</v>
      </c>
      <c r="O40" s="61">
        <f>$C$36*'CONSO D''ENERGIE'!O98</f>
        <v>182.77530999999999</v>
      </c>
      <c r="P40" s="37">
        <f>$C$36*'CONSO D''ENERGIE'!P98</f>
        <v>0</v>
      </c>
      <c r="Q40" s="61">
        <f>$C$36*'CONSO D''ENERGIE'!Q98</f>
        <v>0</v>
      </c>
      <c r="R40" s="61">
        <f>$C$36*'CONSO D''ENERGIE'!R98</f>
        <v>0</v>
      </c>
      <c r="S40" s="37">
        <f>$C$36*'CONSO D''ENERGIE'!S98</f>
        <v>49.912479999999995</v>
      </c>
      <c r="T40" s="46"/>
      <c r="U40" s="46"/>
      <c r="V40" s="46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</row>
    <row r="41" spans="1:64" x14ac:dyDescent="0.25">
      <c r="A41"/>
      <c r="C41"/>
      <c r="D41" t="s">
        <v>34</v>
      </c>
      <c r="E41" s="37">
        <f>$C$36*'CONSO D''ENERGIE'!E99</f>
        <v>0</v>
      </c>
      <c r="F41" s="37">
        <f>$C$36*'CONSO D''ENERGIE'!F99</f>
        <v>0</v>
      </c>
      <c r="G41" s="37">
        <f>$C$36*'CONSO D''ENERGIE'!G99</f>
        <v>0</v>
      </c>
      <c r="H41" s="61">
        <f>$C$36*'CONSO D''ENERGIE'!H99</f>
        <v>0</v>
      </c>
      <c r="I41" s="61">
        <f>$C$36*'CONSO D''ENERGIE'!I99</f>
        <v>0</v>
      </c>
      <c r="J41" s="37">
        <f>$C$36*'CONSO D''ENERGIE'!J99</f>
        <v>0</v>
      </c>
      <c r="K41" s="61">
        <f>$C$36*'CONSO D''ENERGIE'!K99</f>
        <v>0</v>
      </c>
      <c r="L41" s="61">
        <f>$C$36*'CONSO D''ENERGIE'!L99</f>
        <v>0</v>
      </c>
      <c r="M41" s="37">
        <f>$C$36*'CONSO D''ENERGIE'!M99</f>
        <v>139.87916999999999</v>
      </c>
      <c r="N41" s="61">
        <f>$C$36*'CONSO D''ENERGIE'!N99</f>
        <v>163.19409999999999</v>
      </c>
      <c r="O41" s="61">
        <f>$C$36*'CONSO D''ENERGIE'!O99</f>
        <v>122.39731</v>
      </c>
      <c r="P41" s="37">
        <f>$C$36*'CONSO D''ENERGIE'!P99</f>
        <v>0</v>
      </c>
      <c r="Q41" s="61">
        <f>$C$36*'CONSO D''ENERGIE'!Q99</f>
        <v>0</v>
      </c>
      <c r="R41" s="61">
        <f>$C$36*'CONSO D''ENERGIE'!R99</f>
        <v>0</v>
      </c>
      <c r="S41" s="37">
        <f>$C$36*'CONSO D''ENERGIE'!S99</f>
        <v>25.20608</v>
      </c>
      <c r="T41" s="46"/>
      <c r="U41" s="46"/>
      <c r="V41" s="46"/>
      <c r="BL41" s="22"/>
    </row>
    <row r="42" spans="1:64" x14ac:dyDescent="0.25">
      <c r="A42"/>
      <c r="C42"/>
      <c r="D42" t="s">
        <v>35</v>
      </c>
      <c r="E42" s="37">
        <f>$C$36*'CONSO D''ENERGIE'!E100</f>
        <v>0</v>
      </c>
      <c r="F42" s="37">
        <f>$C$36*'CONSO D''ENERGIE'!F100</f>
        <v>0</v>
      </c>
      <c r="G42" s="37">
        <f>$C$36*'CONSO D''ENERGIE'!G100</f>
        <v>0</v>
      </c>
      <c r="H42" s="61">
        <f>$C$36*'CONSO D''ENERGIE'!H100</f>
        <v>0</v>
      </c>
      <c r="I42" s="61">
        <f>$C$36*'CONSO D''ENERGIE'!I100</f>
        <v>0</v>
      </c>
      <c r="J42" s="37">
        <f>$C$36*'CONSO D''ENERGIE'!J100</f>
        <v>0</v>
      </c>
      <c r="K42" s="61">
        <f>$C$36*'CONSO D''ENERGIE'!K100</f>
        <v>0</v>
      </c>
      <c r="L42" s="61">
        <f>$C$36*'CONSO D''ENERGIE'!L100</f>
        <v>0</v>
      </c>
      <c r="M42" s="37">
        <f>$C$36*'CONSO D''ENERGIE'!M100</f>
        <v>72.873469999999998</v>
      </c>
      <c r="N42" s="61">
        <f>$C$36*'CONSO D''ENERGIE'!N100</f>
        <v>85.018469999999994</v>
      </c>
      <c r="O42" s="61">
        <f>$C$36*'CONSO D''ENERGIE'!O100</f>
        <v>63.76471999999999</v>
      </c>
      <c r="P42" s="37">
        <f>$C$36*'CONSO D''ENERGIE'!P100</f>
        <v>0</v>
      </c>
      <c r="Q42" s="61">
        <f>$C$36*'CONSO D''ENERGIE'!Q100</f>
        <v>0</v>
      </c>
      <c r="R42" s="61">
        <f>$C$36*'CONSO D''ENERGIE'!R100</f>
        <v>0</v>
      </c>
      <c r="S42" s="37">
        <f>$C$36*'CONSO D''ENERGIE'!S100</f>
        <v>22.489069999999998</v>
      </c>
      <c r="T42" s="46"/>
      <c r="U42" s="46"/>
      <c r="V42" s="46"/>
      <c r="BL42" s="22"/>
    </row>
    <row r="43" spans="1:64" x14ac:dyDescent="0.25">
      <c r="A43"/>
      <c r="C43"/>
      <c r="D43" t="s">
        <v>36</v>
      </c>
      <c r="E43" s="37">
        <f>$C$36*'CONSO D''ENERGIE'!E101</f>
        <v>0</v>
      </c>
      <c r="F43" s="37">
        <f>$C$36*'CONSO D''ENERGIE'!F101</f>
        <v>0</v>
      </c>
      <c r="G43" s="37">
        <f>$C$36*'CONSO D''ENERGIE'!G101</f>
        <v>0</v>
      </c>
      <c r="H43" s="61">
        <f>$C$36*'CONSO D''ENERGIE'!H101</f>
        <v>0</v>
      </c>
      <c r="I43" s="61">
        <f>$C$36*'CONSO D''ENERGIE'!I101</f>
        <v>0</v>
      </c>
      <c r="J43" s="37">
        <f>$C$36*'CONSO D''ENERGIE'!J101</f>
        <v>0</v>
      </c>
      <c r="K43" s="61">
        <f>$C$36*'CONSO D''ENERGIE'!K101</f>
        <v>0</v>
      </c>
      <c r="L43" s="61">
        <f>$C$36*'CONSO D''ENERGIE'!L101</f>
        <v>0</v>
      </c>
      <c r="M43" s="37">
        <f>$C$36*'CONSO D''ENERGIE'!M101</f>
        <v>29.689319999999999</v>
      </c>
      <c r="N43" s="61">
        <f>$C$36*'CONSO D''ENERGIE'!N101</f>
        <v>34.637539999999994</v>
      </c>
      <c r="O43" s="61">
        <f>$C$36*'CONSO D''ENERGIE'!O101</f>
        <v>25.979890000000001</v>
      </c>
      <c r="P43" s="37">
        <f>$C$36*'CONSO D''ENERGIE'!P101</f>
        <v>0</v>
      </c>
      <c r="Q43" s="61">
        <f>$C$36*'CONSO D''ENERGIE'!Q101</f>
        <v>0</v>
      </c>
      <c r="R43" s="61">
        <f>$C$36*'CONSO D''ENERGIE'!R101</f>
        <v>0</v>
      </c>
      <c r="S43" s="37">
        <f>$C$36*'CONSO D''ENERGIE'!S101</f>
        <v>21.444599999999998</v>
      </c>
      <c r="T43" s="46"/>
      <c r="U43" s="46"/>
      <c r="V43" s="46"/>
      <c r="BL43" s="22"/>
    </row>
    <row r="44" spans="1:64" x14ac:dyDescent="0.25">
      <c r="A44"/>
      <c r="C44"/>
      <c r="D44" t="s">
        <v>37</v>
      </c>
      <c r="E44" s="37">
        <f>$C$36*'CONSO D''ENERGIE'!E102</f>
        <v>0</v>
      </c>
      <c r="F44" s="37">
        <f>$C$36*'CONSO D''ENERGIE'!F102</f>
        <v>0</v>
      </c>
      <c r="G44" s="37">
        <f>$C$36*'CONSO D''ENERGIE'!G102</f>
        <v>0</v>
      </c>
      <c r="H44" s="61">
        <f>$C$36*'CONSO D''ENERGIE'!H102</f>
        <v>0</v>
      </c>
      <c r="I44" s="61">
        <f>$C$36*'CONSO D''ENERGIE'!I102</f>
        <v>0</v>
      </c>
      <c r="J44" s="37">
        <f>$C$36*'CONSO D''ENERGIE'!J102</f>
        <v>0</v>
      </c>
      <c r="K44" s="61">
        <f>$C$36*'CONSO D''ENERGIE'!K102</f>
        <v>0</v>
      </c>
      <c r="L44" s="61">
        <f>$C$36*'CONSO D''ENERGIE'!L102</f>
        <v>0</v>
      </c>
      <c r="M44" s="37">
        <f>$C$36*'CONSO D''ENERGIE'!M102</f>
        <v>24.813970000000001</v>
      </c>
      <c r="N44" s="61">
        <f>$C$36*'CONSO D''ENERGIE'!N102</f>
        <v>28.950209999999995</v>
      </c>
      <c r="O44" s="61">
        <f>$C$36*'CONSO D''ENERGIE'!O102</f>
        <v>21.715259999999997</v>
      </c>
      <c r="P44" s="37">
        <f>$C$36*'CONSO D''ENERGIE'!P102</f>
        <v>0</v>
      </c>
      <c r="Q44" s="61">
        <f>$C$36*'CONSO D''ENERGIE'!Q102</f>
        <v>0</v>
      </c>
      <c r="R44" s="61">
        <f>$C$36*'CONSO D''ENERGIE'!R102</f>
        <v>0</v>
      </c>
      <c r="S44" s="37">
        <f>$C$36*'CONSO D''ENERGIE'!S102</f>
        <v>21.503589999999999</v>
      </c>
      <c r="T44" s="46"/>
      <c r="U44" s="46"/>
      <c r="V44" s="46"/>
      <c r="BL44" s="22"/>
    </row>
    <row r="45" spans="1:64" x14ac:dyDescent="0.25">
      <c r="A45"/>
      <c r="C45"/>
      <c r="D45" t="s">
        <v>38</v>
      </c>
      <c r="E45" s="37">
        <f>$C$36*'CONSO D''ENERGIE'!E103</f>
        <v>0</v>
      </c>
      <c r="F45" s="37">
        <f>$C$36*'CONSO D''ENERGIE'!F103</f>
        <v>0</v>
      </c>
      <c r="G45" s="37">
        <f>$C$36*'CONSO D''ENERGIE'!G103</f>
        <v>0</v>
      </c>
      <c r="H45" s="61">
        <f>$C$36*'CONSO D''ENERGIE'!H103</f>
        <v>0</v>
      </c>
      <c r="I45" s="61">
        <f>$C$36*'CONSO D''ENERGIE'!I103</f>
        <v>0</v>
      </c>
      <c r="J45" s="37">
        <f>$C$36*'CONSO D''ENERGIE'!J103</f>
        <v>0</v>
      </c>
      <c r="K45" s="61">
        <f>$C$36*'CONSO D''ENERGIE'!K103</f>
        <v>0</v>
      </c>
      <c r="L45" s="61">
        <f>$C$36*'CONSO D''ENERGIE'!L103</f>
        <v>0</v>
      </c>
      <c r="M45" s="37">
        <f>$C$36*'CONSO D''ENERGIE'!M103</f>
        <v>28.30132</v>
      </c>
      <c r="N45" s="61">
        <f>$C$36*'CONSO D''ENERGIE'!N103</f>
        <v>33.020519999999998</v>
      </c>
      <c r="O45" s="61">
        <f>$C$36*'CONSO D''ENERGIE'!O103</f>
        <v>24.76539</v>
      </c>
      <c r="P45" s="37">
        <f>$C$36*'CONSO D''ENERGIE'!P103</f>
        <v>0</v>
      </c>
      <c r="Q45" s="61">
        <f>$C$36*'CONSO D''ENERGIE'!Q103</f>
        <v>0</v>
      </c>
      <c r="R45" s="61">
        <f>$C$36*'CONSO D''ENERGIE'!R103</f>
        <v>0</v>
      </c>
      <c r="S45" s="37">
        <f>$C$36*'CONSO D''ENERGIE'!S103</f>
        <v>22.627869999999998</v>
      </c>
      <c r="T45" s="46"/>
      <c r="U45" s="46"/>
      <c r="V45" s="46"/>
      <c r="BL45" s="22"/>
    </row>
    <row r="46" spans="1:64" x14ac:dyDescent="0.25">
      <c r="A46"/>
      <c r="C46"/>
      <c r="D46" t="s">
        <v>39</v>
      </c>
      <c r="E46" s="37">
        <f>$C$36*'CONSO D''ENERGIE'!E104</f>
        <v>0</v>
      </c>
      <c r="F46" s="37">
        <f>$C$36*'CONSO D''ENERGIE'!F104</f>
        <v>0</v>
      </c>
      <c r="G46" s="37">
        <f>$C$36*'CONSO D''ENERGIE'!G104</f>
        <v>0</v>
      </c>
      <c r="H46" s="61">
        <f>$C$36*'CONSO D''ENERGIE'!H104</f>
        <v>0</v>
      </c>
      <c r="I46" s="61">
        <f>$C$36*'CONSO D''ENERGIE'!I104</f>
        <v>0</v>
      </c>
      <c r="J46" s="37">
        <f>$C$36*'CONSO D''ENERGIE'!J104</f>
        <v>0</v>
      </c>
      <c r="K46" s="61">
        <f>$C$36*'CONSO D''ENERGIE'!K104</f>
        <v>0</v>
      </c>
      <c r="L46" s="61">
        <f>$C$36*'CONSO D''ENERGIE'!L104</f>
        <v>0</v>
      </c>
      <c r="M46" s="37">
        <f>$C$36*'CONSO D''ENERGIE'!M104</f>
        <v>41.088269999999994</v>
      </c>
      <c r="N46" s="61">
        <f>$C$36*'CONSO D''ENERGIE'!N104</f>
        <v>47.938049999999997</v>
      </c>
      <c r="O46" s="61">
        <f>$C$36*'CONSO D''ENERGIE'!O104</f>
        <v>35.952669999999998</v>
      </c>
      <c r="P46" s="37">
        <f>$C$36*'CONSO D''ENERGIE'!P104</f>
        <v>0</v>
      </c>
      <c r="Q46" s="61">
        <f>$C$36*'CONSO D''ENERGIE'!Q104</f>
        <v>0</v>
      </c>
      <c r="R46" s="61">
        <f>$C$36*'CONSO D''ENERGIE'!R104</f>
        <v>0</v>
      </c>
      <c r="S46" s="37">
        <f>$C$36*'CONSO D''ENERGIE'!S104</f>
        <v>20.972679999999997</v>
      </c>
      <c r="T46" s="46"/>
      <c r="U46" s="46"/>
      <c r="V46" s="46"/>
      <c r="BL46" s="22"/>
    </row>
    <row r="47" spans="1:64" x14ac:dyDescent="0.25">
      <c r="A47"/>
      <c r="C47"/>
      <c r="D47" t="s">
        <v>176</v>
      </c>
      <c r="E47" s="37">
        <f>$C$36*'CONSO D''ENERGIE'!E105</f>
        <v>0</v>
      </c>
      <c r="F47" s="37">
        <f>$C$36*'CONSO D''ENERGIE'!F105</f>
        <v>0</v>
      </c>
      <c r="G47" s="37">
        <f>$C$36*'CONSO D''ENERGIE'!G105</f>
        <v>0</v>
      </c>
      <c r="H47" s="61">
        <f>$C$36*'CONSO D''ENERGIE'!H105</f>
        <v>0</v>
      </c>
      <c r="I47" s="61">
        <f>$C$36*'CONSO D''ENERGIE'!I105</f>
        <v>0</v>
      </c>
      <c r="J47" s="37">
        <f>$C$36*'CONSO D''ENERGIE'!J105</f>
        <v>0</v>
      </c>
      <c r="K47" s="61">
        <f>$C$36*'CONSO D''ENERGIE'!K105</f>
        <v>0</v>
      </c>
      <c r="L47" s="61">
        <f>$C$36*'CONSO D''ENERGIE'!L105</f>
        <v>0</v>
      </c>
      <c r="M47" s="37">
        <f>$C$36*'CONSO D''ENERGIE'!M105</f>
        <v>119.77745999999998</v>
      </c>
      <c r="N47" s="61">
        <f>$C$36*'CONSO D''ENERGIE'!N105</f>
        <v>139.73343</v>
      </c>
      <c r="O47" s="61">
        <f>$C$36*'CONSO D''ENERGIE'!O105</f>
        <v>104.80093999999998</v>
      </c>
      <c r="P47" s="37">
        <f>$C$36*'CONSO D''ENERGIE'!P105</f>
        <v>0</v>
      </c>
      <c r="Q47" s="61">
        <f>$C$36*'CONSO D''ENERGIE'!Q105</f>
        <v>0</v>
      </c>
      <c r="R47" s="61">
        <f>$C$36*'CONSO D''ENERGIE'!R105</f>
        <v>0</v>
      </c>
      <c r="S47" s="37">
        <f>$C$36*'CONSO D''ENERGIE'!S105</f>
        <v>28.141699999999997</v>
      </c>
      <c r="T47" s="46"/>
      <c r="U47" s="46"/>
      <c r="V47" s="46"/>
      <c r="BL47" s="22"/>
    </row>
    <row r="48" spans="1:64" x14ac:dyDescent="0.25">
      <c r="A48"/>
      <c r="C48"/>
      <c r="D48" t="s">
        <v>40</v>
      </c>
      <c r="E48" s="37">
        <f>$C$36*'CONSO D''ENERGIE'!E106</f>
        <v>0</v>
      </c>
      <c r="F48" s="37">
        <f>$C$36*'CONSO D''ENERGIE'!F106</f>
        <v>0</v>
      </c>
      <c r="G48" s="37">
        <f>$C$36*'CONSO D''ENERGIE'!G106</f>
        <v>0</v>
      </c>
      <c r="H48" s="61">
        <f>$C$36*'CONSO D''ENERGIE'!H106</f>
        <v>0</v>
      </c>
      <c r="I48" s="61">
        <f>$C$36*'CONSO D''ENERGIE'!I106</f>
        <v>0</v>
      </c>
      <c r="J48" s="37">
        <f>$C$36*'CONSO D''ENERGIE'!J106</f>
        <v>0</v>
      </c>
      <c r="K48" s="61">
        <f>$C$36*'CONSO D''ENERGIE'!K106</f>
        <v>0</v>
      </c>
      <c r="L48" s="61">
        <f>$C$36*'CONSO D''ENERGIE'!L106</f>
        <v>0</v>
      </c>
      <c r="M48" s="37">
        <f>$C$36*'CONSO D''ENERGIE'!M106</f>
        <v>197.56444999999999</v>
      </c>
      <c r="N48" s="61">
        <f>$C$36*'CONSO D''ENERGIE'!N106</f>
        <v>230.49127999999999</v>
      </c>
      <c r="O48" s="61">
        <f>$C$36*'CONSO D''ENERGIE'!O106</f>
        <v>172.86846</v>
      </c>
      <c r="P48" s="37">
        <f>$C$36*'CONSO D''ENERGIE'!P106</f>
        <v>0</v>
      </c>
      <c r="Q48" s="61">
        <f>$C$36*'CONSO D''ENERGIE'!Q106</f>
        <v>0</v>
      </c>
      <c r="R48" s="61">
        <f>$C$36*'CONSO D''ENERGIE'!R106</f>
        <v>0</v>
      </c>
      <c r="S48" s="37">
        <f>$C$36*'CONSO D''ENERGIE'!S106</f>
        <v>47.990099999999998</v>
      </c>
      <c r="T48" s="46"/>
      <c r="U48" s="46"/>
      <c r="V48" s="46"/>
      <c r="BL48" s="22"/>
    </row>
    <row r="49" spans="1:64" x14ac:dyDescent="0.25">
      <c r="A49"/>
      <c r="C49"/>
      <c r="D49" t="s">
        <v>41</v>
      </c>
      <c r="E49" s="37">
        <f>$C$36*'CONSO D''ENERGIE'!E107</f>
        <v>0</v>
      </c>
      <c r="F49" s="37">
        <f>$C$36*'CONSO D''ENERGIE'!F107</f>
        <v>0</v>
      </c>
      <c r="G49" s="37">
        <f>$C$36*'CONSO D''ENERGIE'!G107</f>
        <v>0</v>
      </c>
      <c r="H49" s="61">
        <f>$C$36*'CONSO D''ENERGIE'!H107</f>
        <v>0</v>
      </c>
      <c r="I49" s="61">
        <f>$C$36*'CONSO D''ENERGIE'!I107</f>
        <v>0</v>
      </c>
      <c r="J49" s="37">
        <f>$C$36*'CONSO D''ENERGIE'!J107</f>
        <v>0</v>
      </c>
      <c r="K49" s="61">
        <f>$C$36*'CONSO D''ENERGIE'!K107</f>
        <v>0</v>
      </c>
      <c r="L49" s="61">
        <f>$C$36*'CONSO D''ENERGIE'!L107</f>
        <v>0</v>
      </c>
      <c r="M49" s="37">
        <f>$C$36*'CONSO D''ENERGIE'!M107</f>
        <v>275.02178999999995</v>
      </c>
      <c r="N49" s="61">
        <f>$C$36*'CONSO D''ENERGIE'!N107</f>
        <v>320.85701999999998</v>
      </c>
      <c r="O49" s="61">
        <f>$C$36*'CONSO D''ENERGIE'!O107</f>
        <v>240.64449999999999</v>
      </c>
      <c r="P49" s="37">
        <f>$C$36*'CONSO D''ENERGIE'!P107</f>
        <v>0</v>
      </c>
      <c r="Q49" s="61">
        <f>$C$36*'CONSO D''ENERGIE'!Q107</f>
        <v>0</v>
      </c>
      <c r="R49" s="61">
        <f>$C$36*'CONSO D''ENERGIE'!R107</f>
        <v>0</v>
      </c>
      <c r="S49" s="37">
        <f>$C$36*'CONSO D''ENERGIE'!S107</f>
        <v>78.408119999999997</v>
      </c>
      <c r="T49" s="46"/>
      <c r="U49" s="46"/>
      <c r="V49" s="46"/>
      <c r="BL49" s="22"/>
    </row>
    <row r="50" spans="1:64" x14ac:dyDescent="0.25">
      <c r="A50" s="38"/>
      <c r="E50" s="37"/>
      <c r="F50" s="37"/>
      <c r="G50" s="37"/>
      <c r="H50" s="61"/>
      <c r="I50" s="61"/>
      <c r="J50" s="37"/>
      <c r="K50" s="61"/>
      <c r="L50" s="61"/>
      <c r="M50" s="37"/>
      <c r="N50" s="61"/>
      <c r="O50" s="61"/>
      <c r="P50" s="37"/>
      <c r="Q50" s="61"/>
      <c r="R50" s="61"/>
      <c r="S50" s="37"/>
      <c r="T50" s="46"/>
      <c r="U50" s="46"/>
      <c r="V50" s="46"/>
    </row>
    <row r="51" spans="1:64" x14ac:dyDescent="0.25">
      <c r="A51" s="38"/>
      <c r="C51"/>
      <c r="E51" s="37"/>
      <c r="F51" s="37"/>
      <c r="G51" s="37"/>
      <c r="H51" s="61"/>
      <c r="I51" s="61"/>
      <c r="J51" s="37"/>
      <c r="K51" s="61"/>
      <c r="L51" s="61"/>
      <c r="M51" s="37"/>
      <c r="N51" s="61"/>
      <c r="O51" s="61"/>
      <c r="P51" s="37"/>
      <c r="Q51" s="61"/>
      <c r="R51" s="61"/>
      <c r="S51" s="37"/>
      <c r="T51" s="46"/>
      <c r="U51" s="46"/>
      <c r="V51" s="46"/>
    </row>
    <row r="52" spans="1:64" x14ac:dyDescent="0.25">
      <c r="A52" s="39" t="s">
        <v>109</v>
      </c>
      <c r="B52" s="7">
        <v>162</v>
      </c>
      <c r="C52" s="7" t="s">
        <v>61</v>
      </c>
      <c r="D52" s="7"/>
      <c r="E52" s="37"/>
      <c r="F52" s="37"/>
      <c r="G52" s="37"/>
      <c r="H52" s="61"/>
      <c r="I52" s="61"/>
      <c r="J52" s="37"/>
      <c r="K52" s="61"/>
      <c r="L52" s="61"/>
      <c r="M52" s="37"/>
      <c r="N52" s="61"/>
      <c r="O52" s="61"/>
      <c r="P52" s="37"/>
      <c r="Q52" s="61"/>
      <c r="R52" s="61"/>
      <c r="S52" s="37"/>
      <c r="T52" s="46"/>
      <c r="U52" s="46"/>
      <c r="V52" s="46"/>
    </row>
    <row r="53" spans="1:64" x14ac:dyDescent="0.25">
      <c r="A53" s="38"/>
      <c r="C53"/>
      <c r="E53" s="37"/>
      <c r="F53" s="37"/>
      <c r="G53" s="37"/>
      <c r="H53" s="61"/>
      <c r="I53" s="61"/>
      <c r="J53" s="37"/>
      <c r="K53" s="61"/>
      <c r="L53" s="61"/>
      <c r="M53" s="37"/>
      <c r="N53" s="61"/>
      <c r="O53" s="61"/>
      <c r="P53" s="37"/>
      <c r="Q53" s="61"/>
      <c r="R53" s="61"/>
      <c r="S53" s="37"/>
      <c r="T53" s="46"/>
      <c r="U53" s="46"/>
      <c r="V53" s="46"/>
    </row>
    <row r="54" spans="1:64" s="7" customFormat="1" x14ac:dyDescent="0.25">
      <c r="A54" s="56" t="s">
        <v>19</v>
      </c>
      <c r="B54" s="11" t="s">
        <v>21</v>
      </c>
      <c r="C54" s="13"/>
      <c r="D54" s="11"/>
      <c r="E54" s="53">
        <f>E3/$B$52</f>
        <v>31.735420740740743</v>
      </c>
      <c r="F54" s="53">
        <f>F3/$B$52</f>
        <v>28.478137407407409</v>
      </c>
      <c r="G54" s="53">
        <f t="shared" ref="G54:S54" si="17">G3/$B$52</f>
        <v>11.239304074074074</v>
      </c>
      <c r="H54" s="62">
        <f t="shared" si="17"/>
        <v>11.529581851851852</v>
      </c>
      <c r="I54" s="62">
        <f t="shared" si="17"/>
        <v>10.943746296296297</v>
      </c>
      <c r="J54" s="53">
        <f t="shared" si="17"/>
        <v>25.896950740740746</v>
      </c>
      <c r="K54" s="62">
        <f t="shared" si="17"/>
        <v>26.857605185185189</v>
      </c>
      <c r="L54" s="62">
        <f t="shared" si="17"/>
        <v>25.473499629629629</v>
      </c>
      <c r="M54" s="53">
        <f t="shared" si="17"/>
        <v>14.655872407407408</v>
      </c>
      <c r="N54" s="62">
        <f t="shared" si="17"/>
        <v>16.364504691358025</v>
      </c>
      <c r="O54" s="62">
        <f t="shared" si="17"/>
        <v>13.374392839506173</v>
      </c>
      <c r="P54" s="53">
        <f t="shared" si="17"/>
        <v>25.768125061728398</v>
      </c>
      <c r="Q54" s="62">
        <f t="shared" si="17"/>
        <v>26.0707275308642</v>
      </c>
      <c r="R54" s="62">
        <f t="shared" si="17"/>
        <v>25.465504691358031</v>
      </c>
      <c r="S54" s="53">
        <f t="shared" si="17"/>
        <v>4.6376774074074074</v>
      </c>
      <c r="T54" s="46"/>
      <c r="U54" s="46"/>
      <c r="V54" s="46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</row>
    <row r="55" spans="1:64" x14ac:dyDescent="0.25">
      <c r="A55" s="38" t="s">
        <v>23</v>
      </c>
      <c r="E55" s="37"/>
      <c r="F55" s="37"/>
      <c r="G55" s="37"/>
      <c r="H55" s="61"/>
      <c r="I55" s="61"/>
      <c r="J55" s="37"/>
      <c r="K55" s="61"/>
      <c r="L55" s="61"/>
      <c r="M55" s="37"/>
      <c r="N55" s="61"/>
      <c r="O55" s="61"/>
      <c r="P55" s="37"/>
      <c r="Q55" s="61"/>
      <c r="R55" s="61"/>
      <c r="S55" s="37"/>
      <c r="T55" s="46"/>
      <c r="U55" s="46"/>
      <c r="V55" s="46"/>
    </row>
    <row r="56" spans="1:64" x14ac:dyDescent="0.25">
      <c r="E56" s="37"/>
      <c r="F56" s="37"/>
      <c r="G56" s="37"/>
      <c r="H56" s="61"/>
      <c r="I56" s="61"/>
      <c r="J56" s="37"/>
      <c r="K56" s="61"/>
      <c r="L56" s="61"/>
      <c r="M56" s="37"/>
      <c r="N56" s="61"/>
      <c r="O56" s="61"/>
      <c r="P56" s="37"/>
      <c r="Q56" s="61"/>
      <c r="R56" s="61"/>
      <c r="S56" s="37"/>
      <c r="T56" s="46"/>
      <c r="U56" s="46"/>
      <c r="V56" s="46"/>
    </row>
    <row r="57" spans="1:64" x14ac:dyDescent="0.25">
      <c r="T57" s="46"/>
      <c r="U57" s="46"/>
      <c r="V57" s="46"/>
    </row>
    <row r="58" spans="1:64" x14ac:dyDescent="0.25">
      <c r="T58" s="46"/>
      <c r="U58" s="46"/>
      <c r="V58" s="46"/>
    </row>
    <row r="94" spans="4:63" x14ac:dyDescent="0.25">
      <c r="D94" t="s">
        <v>107</v>
      </c>
      <c r="E94" s="37">
        <f t="shared" ref="E94:S94" si="18">E7</f>
        <v>4427.7294600000005</v>
      </c>
      <c r="F94" s="37">
        <f t="shared" si="18"/>
        <v>3900.0495600000004</v>
      </c>
      <c r="G94" s="37">
        <f t="shared" si="18"/>
        <v>1107.3585599999999</v>
      </c>
      <c r="H94" s="37">
        <f t="shared" si="18"/>
        <v>1154.38356</v>
      </c>
      <c r="I94" s="37">
        <f t="shared" si="18"/>
        <v>1059.4782</v>
      </c>
      <c r="J94" s="37">
        <f t="shared" si="18"/>
        <v>3481.8973200000009</v>
      </c>
      <c r="K94" s="37">
        <f t="shared" si="18"/>
        <v>3637.5233400000006</v>
      </c>
      <c r="L94" s="37">
        <f t="shared" si="18"/>
        <v>3413.2982400000005</v>
      </c>
      <c r="M94" s="37">
        <f t="shared" si="18"/>
        <v>0</v>
      </c>
      <c r="N94" s="37">
        <f t="shared" si="18"/>
        <v>0</v>
      </c>
      <c r="O94" s="37">
        <f t="shared" si="18"/>
        <v>0</v>
      </c>
      <c r="P94" s="37">
        <f t="shared" si="18"/>
        <v>3902.2770600000003</v>
      </c>
      <c r="Q94" s="37">
        <f t="shared" si="18"/>
        <v>3902.2770600000003</v>
      </c>
      <c r="R94" s="37">
        <f t="shared" si="18"/>
        <v>3902.2770600000003</v>
      </c>
      <c r="S94" s="37">
        <f t="shared" si="18"/>
        <v>0</v>
      </c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</row>
    <row r="95" spans="4:63" x14ac:dyDescent="0.25">
      <c r="D95" t="s">
        <v>133</v>
      </c>
      <c r="E95" s="37">
        <f t="shared" ref="E95:S95" si="19">E22</f>
        <v>713.40869999999995</v>
      </c>
      <c r="F95" s="37">
        <f t="shared" si="19"/>
        <v>713.40869999999995</v>
      </c>
      <c r="G95" s="37">
        <f t="shared" si="19"/>
        <v>713.40869999999995</v>
      </c>
      <c r="H95" s="37">
        <f t="shared" si="19"/>
        <v>713.40869999999995</v>
      </c>
      <c r="I95" s="37">
        <f t="shared" si="19"/>
        <v>713.40869999999995</v>
      </c>
      <c r="J95" s="37">
        <f t="shared" si="19"/>
        <v>713.40869999999995</v>
      </c>
      <c r="K95" s="37">
        <f t="shared" si="19"/>
        <v>713.40869999999995</v>
      </c>
      <c r="L95" s="37">
        <f t="shared" si="19"/>
        <v>713.40869999999995</v>
      </c>
      <c r="M95" s="37">
        <f t="shared" si="19"/>
        <v>713.40869999999995</v>
      </c>
      <c r="N95" s="37">
        <f t="shared" si="19"/>
        <v>713.40869999999995</v>
      </c>
      <c r="O95" s="37">
        <f t="shared" si="19"/>
        <v>713.40869999999995</v>
      </c>
      <c r="P95" s="37">
        <f t="shared" si="19"/>
        <v>272.1592</v>
      </c>
      <c r="Q95" s="37">
        <f t="shared" si="19"/>
        <v>321.18079999999998</v>
      </c>
      <c r="R95" s="37">
        <f t="shared" si="19"/>
        <v>223.13470000000007</v>
      </c>
      <c r="S95" s="37">
        <f t="shared" si="19"/>
        <v>272.1592</v>
      </c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</row>
    <row r="96" spans="4:63" x14ac:dyDescent="0.25">
      <c r="D96" t="s">
        <v>206</v>
      </c>
      <c r="E96" s="37">
        <f t="shared" ref="E96:S96" si="20">E36</f>
        <v>0</v>
      </c>
      <c r="F96" s="37">
        <f t="shared" si="20"/>
        <v>0</v>
      </c>
      <c r="G96" s="37">
        <f t="shared" si="20"/>
        <v>0</v>
      </c>
      <c r="H96" s="37">
        <f t="shared" si="20"/>
        <v>0</v>
      </c>
      <c r="I96" s="37">
        <f t="shared" si="20"/>
        <v>0</v>
      </c>
      <c r="J96" s="37">
        <f t="shared" si="20"/>
        <v>0</v>
      </c>
      <c r="K96" s="37">
        <f t="shared" si="20"/>
        <v>0</v>
      </c>
      <c r="L96" s="37">
        <f t="shared" si="20"/>
        <v>0</v>
      </c>
      <c r="M96" s="37">
        <f t="shared" si="20"/>
        <v>1660.8426299999999</v>
      </c>
      <c r="N96" s="37">
        <f t="shared" si="20"/>
        <v>1937.6410599999997</v>
      </c>
      <c r="O96" s="37">
        <f t="shared" si="20"/>
        <v>1453.2429400000001</v>
      </c>
      <c r="P96" s="37">
        <f t="shared" si="20"/>
        <v>0</v>
      </c>
      <c r="Q96" s="37">
        <f t="shared" si="20"/>
        <v>0</v>
      </c>
      <c r="R96" s="37">
        <f t="shared" si="20"/>
        <v>0</v>
      </c>
      <c r="S96" s="37">
        <f t="shared" si="20"/>
        <v>479.14454000000001</v>
      </c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D753-AABD-4C2D-A95B-109AB7FD34EA}">
  <dimension ref="A1:BH25"/>
  <sheetViews>
    <sheetView topLeftCell="J1" workbookViewId="0">
      <pane ySplit="1" topLeftCell="A2" activePane="bottomLeft" state="frozen"/>
      <selection pane="bottomLeft" activeCell="P5" sqref="P5"/>
    </sheetView>
  </sheetViews>
  <sheetFormatPr baseColWidth="10" defaultRowHeight="15" x14ac:dyDescent="0.25"/>
  <cols>
    <col min="1" max="1" width="31.28515625" bestFit="1" customWidth="1"/>
    <col min="2" max="2" width="20" customWidth="1"/>
    <col min="3" max="3" width="10.85546875" bestFit="1" customWidth="1"/>
    <col min="4" max="4" width="13.42578125" customWidth="1"/>
    <col min="8" max="9" width="11.42578125" style="5"/>
    <col min="11" max="12" width="11.42578125" style="5"/>
    <col min="14" max="15" width="11.42578125" style="5"/>
    <col min="17" max="18" width="11.42578125" style="5"/>
    <col min="20" max="20" width="14.85546875" style="22" bestFit="1" customWidth="1"/>
    <col min="21" max="60" width="11.42578125" style="22"/>
  </cols>
  <sheetData>
    <row r="1" spans="1:60" s="72" customFormat="1" x14ac:dyDescent="0.25">
      <c r="E1" s="72" t="s">
        <v>155</v>
      </c>
      <c r="F1" s="72" t="s">
        <v>12</v>
      </c>
      <c r="G1" s="72" t="s">
        <v>13</v>
      </c>
      <c r="H1" s="73" t="s">
        <v>27</v>
      </c>
      <c r="I1" s="73" t="s">
        <v>26</v>
      </c>
      <c r="J1" s="72" t="s">
        <v>15</v>
      </c>
      <c r="K1" s="73" t="s">
        <v>28</v>
      </c>
      <c r="L1" s="73" t="s">
        <v>29</v>
      </c>
      <c r="M1" s="72" t="s">
        <v>14</v>
      </c>
      <c r="N1" s="73" t="s">
        <v>30</v>
      </c>
      <c r="O1" s="73" t="s">
        <v>31</v>
      </c>
      <c r="P1" s="72" t="s">
        <v>16</v>
      </c>
      <c r="Q1" s="73" t="s">
        <v>32</v>
      </c>
      <c r="R1" s="73" t="s">
        <v>33</v>
      </c>
      <c r="S1" s="72" t="s">
        <v>17</v>
      </c>
    </row>
    <row r="3" spans="1:60" s="7" customFormat="1" x14ac:dyDescent="0.25">
      <c r="A3" s="7" t="s">
        <v>193</v>
      </c>
      <c r="B3" s="7" t="s">
        <v>194</v>
      </c>
      <c r="C3" s="7" t="s">
        <v>195</v>
      </c>
      <c r="E3" s="20">
        <f>AVERAGE(E15,E16,E17)</f>
        <v>21.98</v>
      </c>
      <c r="F3" s="20">
        <f t="shared" ref="F3:S3" si="0">AVERAGE(F15,F16,F17)</f>
        <v>22.193333333333332</v>
      </c>
      <c r="G3" s="20">
        <f t="shared" si="0"/>
        <v>23.363333333333333</v>
      </c>
      <c r="H3" s="64">
        <f t="shared" si="0"/>
        <v>23.346666666666664</v>
      </c>
      <c r="I3" s="64">
        <f t="shared" si="0"/>
        <v>23.38</v>
      </c>
      <c r="J3" s="20">
        <f t="shared" si="0"/>
        <v>22.5</v>
      </c>
      <c r="K3" s="64">
        <f t="shared" si="0"/>
        <v>22.349999999999998</v>
      </c>
      <c r="L3" s="64">
        <f t="shared" si="0"/>
        <v>22.53</v>
      </c>
      <c r="M3" s="20">
        <f t="shared" si="0"/>
        <v>22.193333333333332</v>
      </c>
      <c r="N3" s="64">
        <f t="shared" si="0"/>
        <v>22.193333333333332</v>
      </c>
      <c r="O3" s="64">
        <f t="shared" si="0"/>
        <v>22.193333333333332</v>
      </c>
      <c r="P3" s="20">
        <f t="shared" si="0"/>
        <v>22.193333333333332</v>
      </c>
      <c r="Q3" s="64">
        <f t="shared" si="0"/>
        <v>22.193333333333332</v>
      </c>
      <c r="R3" s="64">
        <f t="shared" si="0"/>
        <v>22.193333333333332</v>
      </c>
      <c r="S3" s="20">
        <f t="shared" si="0"/>
        <v>23.166666666666668</v>
      </c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</row>
    <row r="4" spans="1:60" s="22" customFormat="1" x14ac:dyDescent="0.25">
      <c r="B4" s="22" t="s">
        <v>180</v>
      </c>
      <c r="C4" s="22" t="s">
        <v>122</v>
      </c>
      <c r="E4" s="45"/>
      <c r="F4" s="37">
        <f>($E3-F3)/$E3*100</f>
        <v>-0.97057931452834922</v>
      </c>
      <c r="G4" s="37">
        <f t="shared" ref="G4:P4" si="1">($E3-G3)/$E3*100</f>
        <v>-6.2936002426448274</v>
      </c>
      <c r="H4" s="37">
        <f t="shared" si="1"/>
        <v>-6.2177737336972863</v>
      </c>
      <c r="I4" s="37">
        <f t="shared" si="1"/>
        <v>-6.3694267515923499</v>
      </c>
      <c r="J4" s="37">
        <f t="shared" si="1"/>
        <v>-2.3657870791628732</v>
      </c>
      <c r="K4" s="37">
        <f t="shared" si="1"/>
        <v>-1.683348498635111</v>
      </c>
      <c r="L4" s="37">
        <f t="shared" si="1"/>
        <v>-2.5022747952684292</v>
      </c>
      <c r="M4" s="37">
        <f t="shared" si="1"/>
        <v>-0.97057931452834922</v>
      </c>
      <c r="N4" s="37">
        <f t="shared" si="1"/>
        <v>-0.97057931452834922</v>
      </c>
      <c r="O4" s="37">
        <f t="shared" si="1"/>
        <v>-0.97057931452834922</v>
      </c>
      <c r="P4" s="37">
        <f t="shared" si="1"/>
        <v>-0.97057931452834922</v>
      </c>
      <c r="Q4" s="37">
        <f>($E3-Q3)/$E3*100</f>
        <v>-0.97057931452834922</v>
      </c>
      <c r="R4" s="37">
        <f t="shared" ref="R4" si="2">($E3-R3)/$E3*100</f>
        <v>-0.97057931452834922</v>
      </c>
      <c r="S4" s="37">
        <f t="shared" ref="S4" si="3">($E3-S3)/$E3*100</f>
        <v>-5.3988474370640009</v>
      </c>
    </row>
    <row r="5" spans="1:60" s="22" customFormat="1" x14ac:dyDescent="0.25">
      <c r="B5" s="22" t="s">
        <v>201</v>
      </c>
      <c r="E5" s="45">
        <v>26.7</v>
      </c>
      <c r="F5" s="45">
        <v>25.9</v>
      </c>
      <c r="G5" s="45">
        <v>26</v>
      </c>
      <c r="H5" s="65">
        <v>26</v>
      </c>
      <c r="I5" s="65">
        <v>26</v>
      </c>
      <c r="J5" s="45">
        <v>26.2</v>
      </c>
      <c r="K5" s="65">
        <v>26.2</v>
      </c>
      <c r="L5" s="65">
        <v>26.2</v>
      </c>
      <c r="M5" s="45">
        <v>25.9</v>
      </c>
      <c r="N5" s="65">
        <v>25.9</v>
      </c>
      <c r="O5" s="65">
        <v>25.9</v>
      </c>
      <c r="P5" s="45">
        <v>26</v>
      </c>
      <c r="Q5" s="65">
        <v>26</v>
      </c>
      <c r="R5" s="65">
        <v>26</v>
      </c>
      <c r="S5" s="45">
        <v>26.1</v>
      </c>
      <c r="T5" s="45"/>
      <c r="U5" s="45"/>
    </row>
    <row r="6" spans="1:60" s="7" customFormat="1" x14ac:dyDescent="0.25">
      <c r="B6" s="7" t="s">
        <v>196</v>
      </c>
      <c r="C6" s="7" t="s">
        <v>197</v>
      </c>
      <c r="E6" s="20">
        <f>AVERAGE(E21,E10,E11)</f>
        <v>16.533333333333335</v>
      </c>
      <c r="F6" s="20">
        <f t="shared" ref="F6:S6" si="4">AVERAGE(F21,F10,F11)</f>
        <v>18.190000000000001</v>
      </c>
      <c r="G6" s="20">
        <f t="shared" si="4"/>
        <v>19.510000000000002</v>
      </c>
      <c r="H6" s="64">
        <f t="shared" si="4"/>
        <v>19.443333333333332</v>
      </c>
      <c r="I6" s="64">
        <f t="shared" si="4"/>
        <v>19.369666666666664</v>
      </c>
      <c r="J6" s="20">
        <f t="shared" si="4"/>
        <v>18.293333333333337</v>
      </c>
      <c r="K6" s="64">
        <f t="shared" si="4"/>
        <v>18.25</v>
      </c>
      <c r="L6" s="64">
        <f t="shared" si="4"/>
        <v>18.309999999999999</v>
      </c>
      <c r="M6" s="20">
        <f t="shared" si="4"/>
        <v>18.190000000000001</v>
      </c>
      <c r="N6" s="64">
        <f t="shared" si="4"/>
        <v>18.190000000000001</v>
      </c>
      <c r="O6" s="64">
        <f t="shared" si="4"/>
        <v>18.190000000000001</v>
      </c>
      <c r="P6" s="20">
        <f t="shared" si="4"/>
        <v>18.190000000000001</v>
      </c>
      <c r="Q6" s="64">
        <f t="shared" si="4"/>
        <v>18.190000000000001</v>
      </c>
      <c r="R6" s="64">
        <f t="shared" si="4"/>
        <v>18.190000000000001</v>
      </c>
      <c r="S6" s="20">
        <f t="shared" si="4"/>
        <v>18.819999999999997</v>
      </c>
      <c r="T6" s="45"/>
      <c r="U6" s="45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</row>
    <row r="7" spans="1:60" s="22" customFormat="1" x14ac:dyDescent="0.25">
      <c r="B7" s="22" t="s">
        <v>180</v>
      </c>
      <c r="C7" s="22" t="s">
        <v>122</v>
      </c>
      <c r="E7" s="45"/>
      <c r="F7" s="37">
        <f>($E6-F6)/$E6*100</f>
        <v>-10.020161290322577</v>
      </c>
      <c r="G7" s="37">
        <f t="shared" ref="G7:S7" si="5">($E6-G6)/$E6*100</f>
        <v>-18.004032258064516</v>
      </c>
      <c r="H7" s="37">
        <f t="shared" si="5"/>
        <v>-17.600806451612879</v>
      </c>
      <c r="I7" s="37">
        <f t="shared" si="5"/>
        <v>-17.155241935483843</v>
      </c>
      <c r="J7" s="37">
        <f t="shared" si="5"/>
        <v>-10.645161290322589</v>
      </c>
      <c r="K7" s="37">
        <f t="shared" si="5"/>
        <v>-10.383064516129021</v>
      </c>
      <c r="L7" s="37">
        <f t="shared" si="5"/>
        <v>-10.745967741935464</v>
      </c>
      <c r="M7" s="37">
        <f t="shared" si="5"/>
        <v>-10.020161290322577</v>
      </c>
      <c r="N7" s="37">
        <f t="shared" si="5"/>
        <v>-10.020161290322577</v>
      </c>
      <c r="O7" s="37">
        <f t="shared" si="5"/>
        <v>-10.020161290322577</v>
      </c>
      <c r="P7" s="37">
        <f t="shared" si="5"/>
        <v>-10.020161290322577</v>
      </c>
      <c r="Q7" s="37">
        <f t="shared" si="5"/>
        <v>-10.020161290322577</v>
      </c>
      <c r="R7" s="37">
        <f t="shared" si="5"/>
        <v>-10.020161290322577</v>
      </c>
      <c r="S7" s="37">
        <f t="shared" si="5"/>
        <v>-13.830645161290292</v>
      </c>
      <c r="T7" s="45"/>
      <c r="U7" s="45"/>
    </row>
    <row r="8" spans="1:60" s="22" customFormat="1" x14ac:dyDescent="0.25">
      <c r="B8" s="22" t="s">
        <v>202</v>
      </c>
      <c r="E8" s="45">
        <v>14.9</v>
      </c>
      <c r="F8" s="45">
        <v>17.100000000000001</v>
      </c>
      <c r="G8" s="45">
        <v>18.5</v>
      </c>
      <c r="H8" s="65">
        <v>18.600000000000001</v>
      </c>
      <c r="I8" s="65">
        <v>18.8</v>
      </c>
      <c r="J8" s="45">
        <v>17.2</v>
      </c>
      <c r="K8" s="65">
        <v>17.2</v>
      </c>
      <c r="L8" s="65">
        <v>17.2</v>
      </c>
      <c r="M8" s="45">
        <v>17.100000000000001</v>
      </c>
      <c r="N8" s="65">
        <v>17.100000000000001</v>
      </c>
      <c r="O8" s="65">
        <v>17.100000000000001</v>
      </c>
      <c r="P8" s="45">
        <v>17.100000000000001</v>
      </c>
      <c r="Q8" s="65">
        <v>17.100000000000001</v>
      </c>
      <c r="R8" s="65">
        <v>17.100000000000001</v>
      </c>
      <c r="S8" s="45">
        <v>17.600000000000001</v>
      </c>
    </row>
    <row r="9" spans="1:60" s="22" customFormat="1" x14ac:dyDescent="0.25">
      <c r="E9" s="45"/>
      <c r="F9" s="45"/>
      <c r="G9" s="45"/>
      <c r="H9" s="65"/>
      <c r="I9" s="65"/>
      <c r="J9" s="45"/>
      <c r="K9" s="65"/>
      <c r="L9" s="65"/>
      <c r="M9" s="45"/>
      <c r="N9" s="65"/>
      <c r="O9" s="65"/>
      <c r="P9" s="45"/>
      <c r="Q9" s="65"/>
      <c r="R9" s="65"/>
      <c r="S9" s="45"/>
    </row>
    <row r="10" spans="1:60" x14ac:dyDescent="0.25">
      <c r="A10" s="4" t="s">
        <v>45</v>
      </c>
      <c r="C10" t="s">
        <v>42</v>
      </c>
      <c r="E10" s="19">
        <v>16.350000000000001</v>
      </c>
      <c r="F10" s="19">
        <v>18.11</v>
      </c>
      <c r="G10" s="19">
        <v>19.420000000000002</v>
      </c>
      <c r="H10" s="66">
        <v>19.350000000000001</v>
      </c>
      <c r="I10" s="66">
        <v>19.48</v>
      </c>
      <c r="J10" s="19">
        <v>18.21</v>
      </c>
      <c r="K10" s="66">
        <v>18.16</v>
      </c>
      <c r="L10" s="66">
        <v>18.22</v>
      </c>
      <c r="M10" s="19">
        <v>18.11</v>
      </c>
      <c r="N10" s="66">
        <v>18.11</v>
      </c>
      <c r="O10" s="66">
        <v>18.11</v>
      </c>
      <c r="P10" s="19">
        <v>18.11</v>
      </c>
      <c r="Q10" s="66">
        <v>18.11</v>
      </c>
      <c r="R10" s="66">
        <v>18.11</v>
      </c>
      <c r="S10" s="19">
        <v>18.7</v>
      </c>
    </row>
    <row r="11" spans="1:60" x14ac:dyDescent="0.25">
      <c r="C11" t="s">
        <v>43</v>
      </c>
      <c r="E11" s="19">
        <v>16.71</v>
      </c>
      <c r="F11" s="19">
        <v>18.260000000000002</v>
      </c>
      <c r="G11" s="19">
        <v>19.62</v>
      </c>
      <c r="H11" s="66">
        <v>19.55</v>
      </c>
      <c r="I11" s="66">
        <v>19.068999999999999</v>
      </c>
      <c r="J11" s="19">
        <v>18.37</v>
      </c>
      <c r="K11" s="66">
        <v>18.329999999999998</v>
      </c>
      <c r="L11" s="66">
        <v>18.39</v>
      </c>
      <c r="M11" s="19">
        <v>18.260000000000002</v>
      </c>
      <c r="N11" s="66">
        <v>18.260000000000002</v>
      </c>
      <c r="O11" s="66">
        <v>18.260000000000002</v>
      </c>
      <c r="P11" s="19">
        <v>18.260000000000002</v>
      </c>
      <c r="Q11" s="66">
        <v>18.260000000000002</v>
      </c>
      <c r="R11" s="66">
        <v>18.260000000000002</v>
      </c>
      <c r="S11" s="19">
        <v>18.97</v>
      </c>
    </row>
    <row r="12" spans="1:60" x14ac:dyDescent="0.25">
      <c r="C12" t="s">
        <v>44</v>
      </c>
      <c r="E12" s="19">
        <v>17.170000000000002</v>
      </c>
      <c r="F12" s="19">
        <v>18.55</v>
      </c>
      <c r="G12" s="19">
        <v>20.100000000000001</v>
      </c>
      <c r="H12" s="66">
        <v>20.010000000000002</v>
      </c>
      <c r="I12" s="66">
        <v>20.190000000000001</v>
      </c>
      <c r="J12" s="19">
        <v>18.690000000000001</v>
      </c>
      <c r="K12" s="66">
        <v>18.64</v>
      </c>
      <c r="L12" s="66">
        <v>18.71</v>
      </c>
      <c r="M12" s="19">
        <v>18.55</v>
      </c>
      <c r="N12" s="66">
        <v>18.55</v>
      </c>
      <c r="O12" s="66">
        <v>18.55</v>
      </c>
      <c r="P12" s="19">
        <v>18.55</v>
      </c>
      <c r="Q12" s="66">
        <v>18.55</v>
      </c>
      <c r="R12" s="66">
        <v>18.55</v>
      </c>
      <c r="S12" s="19">
        <v>19.39</v>
      </c>
    </row>
    <row r="13" spans="1:60" x14ac:dyDescent="0.25">
      <c r="C13" t="s">
        <v>34</v>
      </c>
      <c r="E13" s="19">
        <v>17.88</v>
      </c>
      <c r="F13" s="19">
        <v>18.940000000000001</v>
      </c>
      <c r="G13" s="19">
        <v>21.32</v>
      </c>
      <c r="H13" s="66">
        <v>21.19</v>
      </c>
      <c r="I13" s="66">
        <v>21.42</v>
      </c>
      <c r="J13" s="19">
        <v>19.18</v>
      </c>
      <c r="K13" s="66">
        <v>19.100000000000001</v>
      </c>
      <c r="L13" s="66">
        <v>19.21</v>
      </c>
      <c r="M13" s="19">
        <v>18.940000000000001</v>
      </c>
      <c r="N13" s="66">
        <v>18.940000000000001</v>
      </c>
      <c r="O13" s="66">
        <v>18.940000000000001</v>
      </c>
      <c r="P13" s="19">
        <v>18.940000000000001</v>
      </c>
      <c r="Q13" s="66">
        <v>18.940000000000001</v>
      </c>
      <c r="R13" s="66">
        <v>18.940000000000001</v>
      </c>
      <c r="S13" s="19">
        <v>20.45</v>
      </c>
    </row>
    <row r="14" spans="1:60" x14ac:dyDescent="0.25">
      <c r="C14" t="s">
        <v>35</v>
      </c>
      <c r="E14" s="19">
        <v>19.190000000000001</v>
      </c>
      <c r="F14" s="19">
        <v>19.850000000000001</v>
      </c>
      <c r="G14" s="19">
        <v>22.27</v>
      </c>
      <c r="H14" s="66">
        <v>22.19</v>
      </c>
      <c r="I14" s="66">
        <v>22.35</v>
      </c>
      <c r="J14" s="19">
        <v>20.170000000000002</v>
      </c>
      <c r="K14" s="66">
        <v>20.079999999999998</v>
      </c>
      <c r="L14" s="66">
        <v>20.22</v>
      </c>
      <c r="M14" s="19">
        <v>19.850000000000001</v>
      </c>
      <c r="N14" s="66">
        <v>19.850000000000001</v>
      </c>
      <c r="O14" s="66">
        <v>19.850000000000001</v>
      </c>
      <c r="P14" s="19">
        <v>19.850000000000001</v>
      </c>
      <c r="Q14" s="66">
        <v>19.850000000000001</v>
      </c>
      <c r="R14" s="66">
        <v>19.850000000000001</v>
      </c>
      <c r="S14" s="19">
        <v>21.72</v>
      </c>
    </row>
    <row r="15" spans="1:60" x14ac:dyDescent="0.25">
      <c r="C15" t="s">
        <v>36</v>
      </c>
      <c r="E15" s="19">
        <v>21.71</v>
      </c>
      <c r="F15" s="19">
        <v>21.89</v>
      </c>
      <c r="G15" s="19">
        <v>23.25</v>
      </c>
      <c r="H15" s="66">
        <v>23.23</v>
      </c>
      <c r="I15" s="66">
        <v>23.27</v>
      </c>
      <c r="J15" s="19">
        <v>22.24</v>
      </c>
      <c r="K15" s="66">
        <v>22.14</v>
      </c>
      <c r="L15" s="66">
        <v>22.27</v>
      </c>
      <c r="M15" s="19">
        <v>21.89</v>
      </c>
      <c r="N15" s="66">
        <v>21.89</v>
      </c>
      <c r="O15" s="66">
        <v>21.89</v>
      </c>
      <c r="P15" s="19">
        <v>21.89</v>
      </c>
      <c r="Q15" s="66">
        <v>21.89</v>
      </c>
      <c r="R15" s="66">
        <v>21.89</v>
      </c>
      <c r="S15" s="19">
        <v>22.92</v>
      </c>
    </row>
    <row r="16" spans="1:60" x14ac:dyDescent="0.25">
      <c r="C16" t="s">
        <v>37</v>
      </c>
      <c r="E16" s="19">
        <v>22.56</v>
      </c>
      <c r="F16" s="19">
        <v>22.72</v>
      </c>
      <c r="G16" s="19">
        <v>23.64</v>
      </c>
      <c r="H16" s="66">
        <v>23.63</v>
      </c>
      <c r="I16" s="66">
        <v>23.65</v>
      </c>
      <c r="J16" s="19">
        <v>22.98</v>
      </c>
      <c r="K16" s="66">
        <v>22.91</v>
      </c>
      <c r="L16" s="66">
        <v>23.01</v>
      </c>
      <c r="M16" s="19">
        <v>22.72</v>
      </c>
      <c r="N16" s="66">
        <v>22.72</v>
      </c>
      <c r="O16" s="66">
        <v>22.72</v>
      </c>
      <c r="P16" s="19">
        <v>22.72</v>
      </c>
      <c r="Q16" s="66">
        <v>22.72</v>
      </c>
      <c r="R16" s="66">
        <v>22.72</v>
      </c>
      <c r="S16" s="19">
        <v>23.52</v>
      </c>
    </row>
    <row r="17" spans="1:60" x14ac:dyDescent="0.25">
      <c r="C17" t="s">
        <v>38</v>
      </c>
      <c r="E17" s="19">
        <v>21.67</v>
      </c>
      <c r="F17" s="19">
        <v>21.97</v>
      </c>
      <c r="G17" s="19">
        <v>23.2</v>
      </c>
      <c r="H17" s="66">
        <v>23.18</v>
      </c>
      <c r="I17" s="66">
        <v>23.22</v>
      </c>
      <c r="J17" s="19">
        <v>22.28</v>
      </c>
      <c r="K17" s="66">
        <v>22</v>
      </c>
      <c r="L17" s="66">
        <v>22.31</v>
      </c>
      <c r="M17" s="19">
        <v>21.97</v>
      </c>
      <c r="N17" s="66">
        <v>21.97</v>
      </c>
      <c r="O17" s="66">
        <v>21.97</v>
      </c>
      <c r="P17" s="19">
        <v>21.97</v>
      </c>
      <c r="Q17" s="66">
        <v>21.97</v>
      </c>
      <c r="R17" s="66">
        <v>21.97</v>
      </c>
      <c r="S17" s="19">
        <v>23.06</v>
      </c>
    </row>
    <row r="18" spans="1:60" x14ac:dyDescent="0.25">
      <c r="C18" t="s">
        <v>39</v>
      </c>
      <c r="E18" s="19">
        <v>20.02</v>
      </c>
      <c r="F18" s="19">
        <v>20.62</v>
      </c>
      <c r="G18" s="19">
        <v>22.4</v>
      </c>
      <c r="H18" s="66">
        <v>22.37</v>
      </c>
      <c r="I18" s="66">
        <v>22.44</v>
      </c>
      <c r="J18" s="19">
        <v>20.97</v>
      </c>
      <c r="K18" s="66">
        <v>20.88</v>
      </c>
      <c r="L18" s="66">
        <v>21.01</v>
      </c>
      <c r="M18" s="19">
        <v>20.62</v>
      </c>
      <c r="N18" s="66">
        <v>20.62</v>
      </c>
      <c r="O18" s="66">
        <v>20.62</v>
      </c>
      <c r="P18" s="19">
        <v>20.62</v>
      </c>
      <c r="Q18" s="66">
        <v>20.62</v>
      </c>
      <c r="R18" s="66">
        <v>20.62</v>
      </c>
      <c r="S18" s="19">
        <v>22.07</v>
      </c>
    </row>
    <row r="19" spans="1:60" x14ac:dyDescent="0.25">
      <c r="C19" t="s">
        <v>176</v>
      </c>
      <c r="E19" s="19">
        <v>18.010000000000002</v>
      </c>
      <c r="F19" s="19">
        <v>18.95</v>
      </c>
      <c r="G19" s="19">
        <v>21.01</v>
      </c>
      <c r="H19" s="66">
        <v>20.89</v>
      </c>
      <c r="I19" s="66">
        <v>21.12</v>
      </c>
      <c r="J19" s="19">
        <v>19.11</v>
      </c>
      <c r="K19" s="66">
        <v>19.05</v>
      </c>
      <c r="L19" s="66">
        <v>19.13</v>
      </c>
      <c r="M19" s="19">
        <v>18.95</v>
      </c>
      <c r="N19" s="66">
        <v>18.95</v>
      </c>
      <c r="O19" s="66">
        <v>18.95</v>
      </c>
      <c r="P19" s="19">
        <v>18.95</v>
      </c>
      <c r="Q19" s="66">
        <v>18.95</v>
      </c>
      <c r="R19" s="66">
        <v>18.95</v>
      </c>
      <c r="S19" s="19">
        <v>20.05</v>
      </c>
    </row>
    <row r="20" spans="1:60" x14ac:dyDescent="0.25">
      <c r="C20" t="s">
        <v>40</v>
      </c>
      <c r="E20" s="19">
        <v>17.22</v>
      </c>
      <c r="F20" s="19">
        <v>18.5</v>
      </c>
      <c r="G20" s="19">
        <v>20.059999999999999</v>
      </c>
      <c r="H20" s="66">
        <v>19.96</v>
      </c>
      <c r="I20" s="66">
        <v>20.149999999999999</v>
      </c>
      <c r="J20" s="19">
        <v>18.600000000000001</v>
      </c>
      <c r="K20" s="66">
        <v>18.559999999999999</v>
      </c>
      <c r="L20" s="66">
        <v>18.62</v>
      </c>
      <c r="M20" s="19">
        <v>18.5</v>
      </c>
      <c r="N20" s="66">
        <v>18.5</v>
      </c>
      <c r="O20" s="66">
        <v>18.5</v>
      </c>
      <c r="P20" s="19">
        <v>18.5</v>
      </c>
      <c r="Q20" s="66">
        <v>18.5</v>
      </c>
      <c r="R20" s="66">
        <v>18.5</v>
      </c>
      <c r="S20" s="19">
        <v>19.3</v>
      </c>
    </row>
    <row r="21" spans="1:60" x14ac:dyDescent="0.25">
      <c r="C21" t="s">
        <v>41</v>
      </c>
      <c r="E21" s="19">
        <v>16.54</v>
      </c>
      <c r="F21" s="19">
        <v>18.2</v>
      </c>
      <c r="G21" s="19">
        <v>19.489999999999998</v>
      </c>
      <c r="H21" s="66">
        <v>19.43</v>
      </c>
      <c r="I21" s="66">
        <v>19.559999999999999</v>
      </c>
      <c r="J21" s="19">
        <v>18.3</v>
      </c>
      <c r="K21" s="66">
        <v>18.260000000000002</v>
      </c>
      <c r="L21" s="66">
        <v>18.32</v>
      </c>
      <c r="M21" s="19">
        <v>18.2</v>
      </c>
      <c r="N21" s="66">
        <v>18.2</v>
      </c>
      <c r="O21" s="66">
        <v>18.2</v>
      </c>
      <c r="P21" s="19">
        <v>18.2</v>
      </c>
      <c r="Q21" s="66">
        <v>18.2</v>
      </c>
      <c r="R21" s="66">
        <v>18.2</v>
      </c>
      <c r="S21" s="19">
        <v>18.79</v>
      </c>
    </row>
    <row r="24" spans="1:60" s="14" customFormat="1" x14ac:dyDescent="0.25">
      <c r="A24" s="14" t="s">
        <v>46</v>
      </c>
      <c r="B24" s="14" t="s">
        <v>181</v>
      </c>
      <c r="E24" s="14">
        <v>65</v>
      </c>
      <c r="F24" s="14">
        <v>30</v>
      </c>
      <c r="G24" s="14">
        <v>59</v>
      </c>
      <c r="H24" s="8">
        <v>60</v>
      </c>
      <c r="I24" s="8">
        <v>59</v>
      </c>
      <c r="J24" s="14">
        <v>44</v>
      </c>
      <c r="K24" s="8">
        <v>40</v>
      </c>
      <c r="L24" s="8">
        <v>45</v>
      </c>
      <c r="M24" s="14">
        <v>30</v>
      </c>
      <c r="N24" s="8">
        <v>30</v>
      </c>
      <c r="O24" s="8">
        <v>30</v>
      </c>
      <c r="P24" s="14">
        <v>30</v>
      </c>
      <c r="Q24" s="8">
        <v>30</v>
      </c>
      <c r="R24" s="8">
        <v>30</v>
      </c>
      <c r="S24" s="14">
        <v>54</v>
      </c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</row>
    <row r="25" spans="1:60" x14ac:dyDescent="0.25">
      <c r="A25" s="4" t="s">
        <v>47</v>
      </c>
      <c r="C25" t="s">
        <v>122</v>
      </c>
      <c r="E25" s="19">
        <f>E24/8760*100</f>
        <v>0.74200913242009126</v>
      </c>
      <c r="F25" s="19">
        <f t="shared" ref="F25:S25" si="6">F24/8760*100</f>
        <v>0.34246575342465752</v>
      </c>
      <c r="G25" s="19">
        <f t="shared" si="6"/>
        <v>0.67351598173515981</v>
      </c>
      <c r="H25" s="66">
        <f t="shared" si="6"/>
        <v>0.68493150684931503</v>
      </c>
      <c r="I25" s="66">
        <f t="shared" si="6"/>
        <v>0.67351598173515981</v>
      </c>
      <c r="J25" s="19">
        <f t="shared" si="6"/>
        <v>0.50228310502283102</v>
      </c>
      <c r="K25" s="66">
        <f t="shared" si="6"/>
        <v>0.45662100456621002</v>
      </c>
      <c r="L25" s="66">
        <f t="shared" si="6"/>
        <v>0.51369863013698625</v>
      </c>
      <c r="M25" s="19">
        <f t="shared" si="6"/>
        <v>0.34246575342465752</v>
      </c>
      <c r="N25" s="66">
        <f t="shared" si="6"/>
        <v>0.34246575342465752</v>
      </c>
      <c r="O25" s="66">
        <f t="shared" si="6"/>
        <v>0.34246575342465752</v>
      </c>
      <c r="P25" s="19">
        <f t="shared" si="6"/>
        <v>0.34246575342465752</v>
      </c>
      <c r="Q25" s="66">
        <f t="shared" si="6"/>
        <v>0.34246575342465752</v>
      </c>
      <c r="R25" s="66">
        <f t="shared" si="6"/>
        <v>0.34246575342465752</v>
      </c>
      <c r="S25" s="19">
        <f t="shared" si="6"/>
        <v>0.61643835616438358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3E96F-22BE-4395-801B-1A9379FC2659}">
  <dimension ref="A1:CA133"/>
  <sheetViews>
    <sheetView workbookViewId="0">
      <pane ySplit="1" topLeftCell="A89" activePane="bottomLeft" state="frozen"/>
      <selection pane="bottomLeft" activeCell="K101" sqref="K101"/>
    </sheetView>
  </sheetViews>
  <sheetFormatPr baseColWidth="10" defaultRowHeight="15" x14ac:dyDescent="0.25"/>
  <cols>
    <col min="1" max="1" width="17.140625" bestFit="1" customWidth="1"/>
    <col min="2" max="2" width="30.7109375" bestFit="1" customWidth="1"/>
    <col min="3" max="3" width="20" bestFit="1" customWidth="1"/>
    <col min="4" max="4" width="4.28515625" customWidth="1"/>
    <col min="7" max="8" width="11.42578125" style="5"/>
    <col min="10" max="11" width="11.42578125" style="5"/>
    <col min="13" max="14" width="11.42578125" style="5"/>
    <col min="16" max="17" width="11.42578125" style="5"/>
    <col min="19" max="79" width="11.42578125" style="22"/>
  </cols>
  <sheetData>
    <row r="1" spans="1:79" s="72" customFormat="1" x14ac:dyDescent="0.25">
      <c r="E1" s="72" t="s">
        <v>12</v>
      </c>
      <c r="F1" s="72" t="s">
        <v>13</v>
      </c>
      <c r="G1" s="73" t="s">
        <v>27</v>
      </c>
      <c r="H1" s="73" t="s">
        <v>26</v>
      </c>
      <c r="I1" s="72" t="s">
        <v>15</v>
      </c>
      <c r="J1" s="73" t="s">
        <v>28</v>
      </c>
      <c r="K1" s="73" t="s">
        <v>29</v>
      </c>
      <c r="L1" s="72" t="s">
        <v>14</v>
      </c>
      <c r="M1" s="73" t="s">
        <v>30</v>
      </c>
      <c r="N1" s="73" t="s">
        <v>31</v>
      </c>
      <c r="O1" s="72" t="s">
        <v>16</v>
      </c>
      <c r="P1" s="73" t="s">
        <v>32</v>
      </c>
      <c r="Q1" s="73" t="s">
        <v>33</v>
      </c>
      <c r="R1" s="72" t="s">
        <v>17</v>
      </c>
    </row>
    <row r="2" spans="1:79" x14ac:dyDescent="0.25">
      <c r="A2" t="s">
        <v>75</v>
      </c>
      <c r="B2" t="s">
        <v>50</v>
      </c>
      <c r="C2">
        <v>34.200000000000003</v>
      </c>
    </row>
    <row r="3" spans="1:79" x14ac:dyDescent="0.25">
      <c r="A3" t="s">
        <v>61</v>
      </c>
      <c r="B3" t="s">
        <v>52</v>
      </c>
      <c r="C3">
        <v>11.3</v>
      </c>
    </row>
    <row r="4" spans="1:79" x14ac:dyDescent="0.25">
      <c r="B4" t="s">
        <v>53</v>
      </c>
      <c r="C4">
        <v>16.399999999999999</v>
      </c>
    </row>
    <row r="5" spans="1:79" x14ac:dyDescent="0.25">
      <c r="B5" t="s">
        <v>51</v>
      </c>
      <c r="C5">
        <v>8.8000000000000007</v>
      </c>
    </row>
    <row r="6" spans="1:79" x14ac:dyDescent="0.25">
      <c r="B6" t="s">
        <v>54</v>
      </c>
      <c r="C6">
        <v>26.5</v>
      </c>
    </row>
    <row r="7" spans="1:79" x14ac:dyDescent="0.25">
      <c r="B7" t="s">
        <v>55</v>
      </c>
      <c r="C7">
        <v>4.0999999999999996</v>
      </c>
    </row>
    <row r="8" spans="1:79" x14ac:dyDescent="0.25">
      <c r="B8" t="s">
        <v>58</v>
      </c>
      <c r="C8">
        <v>45.5</v>
      </c>
    </row>
    <row r="9" spans="1:79" x14ac:dyDescent="0.25">
      <c r="B9" t="s">
        <v>59</v>
      </c>
      <c r="C9">
        <v>12.9</v>
      </c>
    </row>
    <row r="10" spans="1:79" x14ac:dyDescent="0.25">
      <c r="B10" t="s">
        <v>60</v>
      </c>
      <c r="C10">
        <v>7.3</v>
      </c>
    </row>
    <row r="11" spans="1:79" x14ac:dyDescent="0.25">
      <c r="B11" t="s">
        <v>56</v>
      </c>
      <c r="C11">
        <v>26.3</v>
      </c>
    </row>
    <row r="12" spans="1:79" x14ac:dyDescent="0.25">
      <c r="B12" t="s">
        <v>57</v>
      </c>
      <c r="C12">
        <v>43.6</v>
      </c>
    </row>
    <row r="15" spans="1:79" s="7" customFormat="1" x14ac:dyDescent="0.25">
      <c r="A15" s="7" t="s">
        <v>48</v>
      </c>
      <c r="B15" s="7" t="s">
        <v>71</v>
      </c>
      <c r="C15" s="7" t="s">
        <v>49</v>
      </c>
      <c r="G15" s="8">
        <f t="shared" ref="G15" si="0">SUM(G16:G18)</f>
        <v>46.5</v>
      </c>
      <c r="H15" s="8"/>
      <c r="J15" s="8"/>
      <c r="K15" s="8"/>
      <c r="M15" s="8"/>
      <c r="N15" s="8"/>
      <c r="P15" s="8"/>
      <c r="Q15" s="8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</row>
    <row r="16" spans="1:79" x14ac:dyDescent="0.25">
      <c r="B16" t="s">
        <v>61</v>
      </c>
      <c r="C16" s="5" t="s">
        <v>59</v>
      </c>
      <c r="G16" s="5">
        <f>$C$9</f>
        <v>12.9</v>
      </c>
    </row>
    <row r="17" spans="2:79" x14ac:dyDescent="0.25">
      <c r="C17" s="5" t="s">
        <v>60</v>
      </c>
      <c r="G17" s="5">
        <f>$C$10</f>
        <v>7.3</v>
      </c>
    </row>
    <row r="18" spans="2:79" x14ac:dyDescent="0.25">
      <c r="C18" s="5" t="s">
        <v>56</v>
      </c>
      <c r="G18" s="5">
        <f>$C$11</f>
        <v>26.3</v>
      </c>
    </row>
    <row r="20" spans="2:79" s="7" customFormat="1" x14ac:dyDescent="0.25">
      <c r="B20" s="7" t="s">
        <v>66</v>
      </c>
      <c r="C20" s="7" t="s">
        <v>49</v>
      </c>
      <c r="F20" s="7">
        <f t="shared" ref="F20" si="1">SUM(F21:F23)</f>
        <v>46.5</v>
      </c>
      <c r="G20" s="8"/>
      <c r="H20" s="8"/>
      <c r="J20" s="8"/>
      <c r="K20" s="8"/>
      <c r="M20" s="8"/>
      <c r="N20" s="8"/>
      <c r="P20" s="8"/>
      <c r="Q20" s="8"/>
      <c r="R20" s="7">
        <f t="shared" ref="R20" si="2">SUM(R21:R23)</f>
        <v>46.5</v>
      </c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</row>
    <row r="21" spans="2:79" x14ac:dyDescent="0.25">
      <c r="B21" t="s">
        <v>61</v>
      </c>
      <c r="C21" t="s">
        <v>59</v>
      </c>
      <c r="F21">
        <f>$C$9</f>
        <v>12.9</v>
      </c>
      <c r="R21">
        <f>$C$9</f>
        <v>12.9</v>
      </c>
    </row>
    <row r="22" spans="2:79" x14ac:dyDescent="0.25">
      <c r="C22" t="s">
        <v>60</v>
      </c>
      <c r="F22">
        <f>$C$10</f>
        <v>7.3</v>
      </c>
      <c r="R22">
        <f>$C$10</f>
        <v>7.3</v>
      </c>
    </row>
    <row r="23" spans="2:79" x14ac:dyDescent="0.25">
      <c r="C23" t="s">
        <v>56</v>
      </c>
      <c r="F23">
        <f>$C$11</f>
        <v>26.3</v>
      </c>
      <c r="R23">
        <f>$C$11</f>
        <v>26.3</v>
      </c>
    </row>
    <row r="25" spans="2:79" s="7" customFormat="1" x14ac:dyDescent="0.25">
      <c r="B25" s="7" t="s">
        <v>72</v>
      </c>
      <c r="C25" s="7" t="s">
        <v>49</v>
      </c>
      <c r="G25" s="8">
        <f t="shared" ref="G25" si="3">SUM(G26:G28)</f>
        <v>61.9</v>
      </c>
      <c r="H25" s="8"/>
      <c r="J25" s="8"/>
      <c r="K25" s="8"/>
      <c r="M25" s="8"/>
      <c r="N25" s="8"/>
      <c r="P25" s="8"/>
      <c r="Q25" s="8"/>
      <c r="R25" s="7">
        <f t="shared" ref="R25" si="4">SUM(R26:R28)</f>
        <v>0</v>
      </c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</row>
    <row r="26" spans="2:79" x14ac:dyDescent="0.25">
      <c r="B26" t="s">
        <v>61</v>
      </c>
      <c r="C26" s="5" t="s">
        <v>50</v>
      </c>
      <c r="G26" s="5">
        <f>$C$2</f>
        <v>34.200000000000003</v>
      </c>
    </row>
    <row r="27" spans="2:79" x14ac:dyDescent="0.25">
      <c r="C27" s="5" t="s">
        <v>52</v>
      </c>
      <c r="G27" s="5">
        <f>$C$3</f>
        <v>11.3</v>
      </c>
    </row>
    <row r="28" spans="2:79" x14ac:dyDescent="0.25">
      <c r="C28" s="5" t="s">
        <v>53</v>
      </c>
      <c r="G28" s="5">
        <f>$C$4</f>
        <v>16.399999999999999</v>
      </c>
    </row>
    <row r="29" spans="2:79" x14ac:dyDescent="0.25">
      <c r="C29" s="5"/>
    </row>
    <row r="30" spans="2:79" s="7" customFormat="1" x14ac:dyDescent="0.25">
      <c r="B30" s="7" t="s">
        <v>67</v>
      </c>
      <c r="C30" s="7" t="s">
        <v>49</v>
      </c>
      <c r="F30" s="7">
        <f t="shared" ref="F30" si="5">SUM(F31:F33)</f>
        <v>61.9</v>
      </c>
      <c r="G30" s="8"/>
      <c r="H30" s="8">
        <f>SUM(H34:H36)</f>
        <v>46.5</v>
      </c>
      <c r="J30" s="8"/>
      <c r="K30" s="8"/>
      <c r="M30" s="8"/>
      <c r="N30" s="8"/>
      <c r="P30" s="8"/>
      <c r="Q30" s="8"/>
      <c r="R30" s="7">
        <f t="shared" ref="R30" si="6">SUM(R31:R33)</f>
        <v>61.9</v>
      </c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</row>
    <row r="31" spans="2:79" x14ac:dyDescent="0.25">
      <c r="B31" t="s">
        <v>61</v>
      </c>
      <c r="C31" t="s">
        <v>50</v>
      </c>
      <c r="F31">
        <f>$C$2</f>
        <v>34.200000000000003</v>
      </c>
      <c r="R31">
        <f>$C$2</f>
        <v>34.200000000000003</v>
      </c>
    </row>
    <row r="32" spans="2:79" x14ac:dyDescent="0.25">
      <c r="C32" t="s">
        <v>52</v>
      </c>
      <c r="F32">
        <f>$C$3</f>
        <v>11.3</v>
      </c>
      <c r="R32">
        <f>$C$3</f>
        <v>11.3</v>
      </c>
    </row>
    <row r="33" spans="2:79" x14ac:dyDescent="0.25">
      <c r="C33" t="s">
        <v>53</v>
      </c>
      <c r="F33">
        <f>$C$4</f>
        <v>16.399999999999999</v>
      </c>
      <c r="R33">
        <f>$C$4</f>
        <v>16.399999999999999</v>
      </c>
    </row>
    <row r="34" spans="2:79" x14ac:dyDescent="0.25">
      <c r="C34" s="5" t="s">
        <v>59</v>
      </c>
      <c r="H34" s="5">
        <f>$C$9</f>
        <v>12.9</v>
      </c>
    </row>
    <row r="35" spans="2:79" x14ac:dyDescent="0.25">
      <c r="C35" s="5" t="s">
        <v>60</v>
      </c>
      <c r="H35" s="5">
        <f>$C$10</f>
        <v>7.3</v>
      </c>
    </row>
    <row r="36" spans="2:79" x14ac:dyDescent="0.25">
      <c r="C36" s="5" t="s">
        <v>56</v>
      </c>
      <c r="H36" s="5">
        <f>$C$11</f>
        <v>26.3</v>
      </c>
    </row>
    <row r="38" spans="2:79" s="7" customFormat="1" x14ac:dyDescent="0.25">
      <c r="B38" s="7" t="s">
        <v>70</v>
      </c>
      <c r="C38" s="7" t="s">
        <v>49</v>
      </c>
      <c r="E38" s="7">
        <f>SUM(E39:E41)</f>
        <v>43.6</v>
      </c>
      <c r="G38" s="8"/>
      <c r="H38" s="8">
        <f>SUM(H40:H42)</f>
        <v>61.9</v>
      </c>
      <c r="I38" s="7">
        <f t="shared" ref="I38:Q38" si="7">SUM(I39:I41)</f>
        <v>43.6</v>
      </c>
      <c r="J38" s="8">
        <f t="shared" si="7"/>
        <v>43.6</v>
      </c>
      <c r="K38" s="8">
        <f t="shared" si="7"/>
        <v>43.6</v>
      </c>
      <c r="L38" s="7">
        <f t="shared" si="7"/>
        <v>43.6</v>
      </c>
      <c r="M38" s="8">
        <f t="shared" si="7"/>
        <v>43.6</v>
      </c>
      <c r="N38" s="8">
        <f t="shared" si="7"/>
        <v>43.6</v>
      </c>
      <c r="O38" s="7">
        <f t="shared" si="7"/>
        <v>43.6</v>
      </c>
      <c r="P38" s="8">
        <f t="shared" si="7"/>
        <v>43.6</v>
      </c>
      <c r="Q38" s="8">
        <f t="shared" si="7"/>
        <v>43.6</v>
      </c>
      <c r="R38" s="7">
        <f t="shared" ref="R38" si="8">SUM(R39:R41)</f>
        <v>0</v>
      </c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</row>
    <row r="39" spans="2:79" x14ac:dyDescent="0.25">
      <c r="C39" t="s">
        <v>57</v>
      </c>
      <c r="E39">
        <f>$C$12</f>
        <v>43.6</v>
      </c>
      <c r="I39">
        <f t="shared" ref="I39:Q39" si="9">$C$12</f>
        <v>43.6</v>
      </c>
      <c r="J39" s="5">
        <f t="shared" si="9"/>
        <v>43.6</v>
      </c>
      <c r="K39" s="5">
        <f t="shared" si="9"/>
        <v>43.6</v>
      </c>
      <c r="L39">
        <f t="shared" si="9"/>
        <v>43.6</v>
      </c>
      <c r="M39" s="5">
        <f t="shared" si="9"/>
        <v>43.6</v>
      </c>
      <c r="N39" s="5">
        <f t="shared" si="9"/>
        <v>43.6</v>
      </c>
      <c r="O39">
        <f t="shared" si="9"/>
        <v>43.6</v>
      </c>
      <c r="P39" s="5">
        <f t="shared" si="9"/>
        <v>43.6</v>
      </c>
      <c r="Q39" s="5">
        <f t="shared" si="9"/>
        <v>43.6</v>
      </c>
    </row>
    <row r="40" spans="2:79" x14ac:dyDescent="0.25">
      <c r="C40" s="5" t="s">
        <v>50</v>
      </c>
      <c r="H40" s="5">
        <f>$C$2</f>
        <v>34.200000000000003</v>
      </c>
    </row>
    <row r="41" spans="2:79" x14ac:dyDescent="0.25">
      <c r="C41" s="5" t="s">
        <v>52</v>
      </c>
      <c r="H41" s="5">
        <f>$C$3</f>
        <v>11.3</v>
      </c>
    </row>
    <row r="42" spans="2:79" x14ac:dyDescent="0.25">
      <c r="C42" s="5" t="s">
        <v>53</v>
      </c>
      <c r="H42" s="5">
        <f>$C$4</f>
        <v>16.399999999999999</v>
      </c>
    </row>
    <row r="44" spans="2:79" s="7" customFormat="1" x14ac:dyDescent="0.25">
      <c r="B44" s="7" t="s">
        <v>74</v>
      </c>
      <c r="C44" s="7" t="s">
        <v>49</v>
      </c>
      <c r="G44" s="8">
        <f t="shared" ref="G44" si="10">SUM(G45:G47)</f>
        <v>39.4</v>
      </c>
      <c r="H44" s="8"/>
      <c r="J44" s="8"/>
      <c r="K44" s="8"/>
      <c r="M44" s="8"/>
      <c r="N44" s="8"/>
      <c r="P44" s="8"/>
      <c r="Q44" s="8"/>
      <c r="R44" s="7">
        <f t="shared" ref="R44" si="11">SUM(R45:R47)</f>
        <v>0</v>
      </c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</row>
    <row r="45" spans="2:79" x14ac:dyDescent="0.25">
      <c r="B45" t="s">
        <v>61</v>
      </c>
      <c r="C45" s="5" t="s">
        <v>51</v>
      </c>
      <c r="G45" s="5">
        <f>$C$5</f>
        <v>8.8000000000000007</v>
      </c>
    </row>
    <row r="46" spans="2:79" x14ac:dyDescent="0.25">
      <c r="C46" s="5" t="s">
        <v>54</v>
      </c>
      <c r="G46" s="5">
        <f>$C$6</f>
        <v>26.5</v>
      </c>
    </row>
    <row r="47" spans="2:79" x14ac:dyDescent="0.25">
      <c r="C47" s="5" t="s">
        <v>55</v>
      </c>
      <c r="G47" s="5">
        <f>$C$7</f>
        <v>4.0999999999999996</v>
      </c>
    </row>
    <row r="48" spans="2:79" x14ac:dyDescent="0.25">
      <c r="C48" s="5" t="s">
        <v>57</v>
      </c>
      <c r="G48" s="5">
        <f>$C$12</f>
        <v>43.6</v>
      </c>
    </row>
    <row r="50" spans="2:79" s="7" customFormat="1" x14ac:dyDescent="0.25">
      <c r="B50" s="7" t="s">
        <v>68</v>
      </c>
      <c r="C50" s="7" t="s">
        <v>49</v>
      </c>
      <c r="F50" s="7">
        <f t="shared" ref="F50" si="12">SUM(F51:F53)</f>
        <v>39.4</v>
      </c>
      <c r="G50" s="8"/>
      <c r="H50" s="8"/>
      <c r="J50" s="8"/>
      <c r="K50" s="8"/>
      <c r="M50" s="8"/>
      <c r="N50" s="8"/>
      <c r="P50" s="8"/>
      <c r="Q50" s="8"/>
      <c r="R50" s="7">
        <f t="shared" ref="R50" si="13">SUM(R51:R53)</f>
        <v>39.4</v>
      </c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</row>
    <row r="51" spans="2:79" x14ac:dyDescent="0.25">
      <c r="B51" t="s">
        <v>61</v>
      </c>
      <c r="C51" t="s">
        <v>51</v>
      </c>
      <c r="F51">
        <f>$C$5</f>
        <v>8.8000000000000007</v>
      </c>
      <c r="R51">
        <f>$C$5</f>
        <v>8.8000000000000007</v>
      </c>
    </row>
    <row r="52" spans="2:79" x14ac:dyDescent="0.25">
      <c r="C52" t="s">
        <v>54</v>
      </c>
      <c r="F52">
        <f>$C$6</f>
        <v>26.5</v>
      </c>
      <c r="R52">
        <f>$C$6</f>
        <v>26.5</v>
      </c>
    </row>
    <row r="53" spans="2:79" x14ac:dyDescent="0.25">
      <c r="C53" t="s">
        <v>55</v>
      </c>
      <c r="F53">
        <f>$C$7</f>
        <v>4.0999999999999996</v>
      </c>
      <c r="R53">
        <f>$C$7</f>
        <v>4.0999999999999996</v>
      </c>
    </row>
    <row r="54" spans="2:79" x14ac:dyDescent="0.25">
      <c r="C54" t="s">
        <v>57</v>
      </c>
      <c r="F54">
        <f>$C$12</f>
        <v>43.6</v>
      </c>
      <c r="R54">
        <f>$C$12</f>
        <v>43.6</v>
      </c>
    </row>
    <row r="56" spans="2:79" s="7" customFormat="1" x14ac:dyDescent="0.25">
      <c r="B56" s="7" t="s">
        <v>73</v>
      </c>
      <c r="C56" s="7" t="s">
        <v>49</v>
      </c>
      <c r="G56" s="8"/>
      <c r="H56" s="8">
        <f t="shared" ref="H56" si="14">SUM(H57:H59)</f>
        <v>39.4</v>
      </c>
      <c r="J56" s="8"/>
      <c r="K56" s="8"/>
      <c r="M56" s="8"/>
      <c r="N56" s="8"/>
      <c r="P56" s="8"/>
      <c r="Q56" s="8"/>
      <c r="R56" s="7">
        <f t="shared" ref="R56" si="15">SUM(R57:R59)</f>
        <v>0</v>
      </c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</row>
    <row r="57" spans="2:79" x14ac:dyDescent="0.25">
      <c r="B57" t="s">
        <v>61</v>
      </c>
      <c r="C57" s="5" t="s">
        <v>51</v>
      </c>
      <c r="H57" s="5">
        <f>$C$5</f>
        <v>8.8000000000000007</v>
      </c>
    </row>
    <row r="58" spans="2:79" x14ac:dyDescent="0.25">
      <c r="C58" s="5" t="s">
        <v>54</v>
      </c>
      <c r="H58" s="5">
        <f>$C$6</f>
        <v>26.5</v>
      </c>
    </row>
    <row r="59" spans="2:79" x14ac:dyDescent="0.25">
      <c r="C59" s="5" t="s">
        <v>55</v>
      </c>
      <c r="H59" s="5">
        <f>$C$7</f>
        <v>4.0999999999999996</v>
      </c>
    </row>
    <row r="60" spans="2:79" x14ac:dyDescent="0.25">
      <c r="C60" s="5" t="s">
        <v>57</v>
      </c>
      <c r="H60" s="5">
        <f>$C$12</f>
        <v>43.6</v>
      </c>
    </row>
    <row r="62" spans="2:79" s="7" customFormat="1" x14ac:dyDescent="0.25">
      <c r="B62" s="7" t="s">
        <v>69</v>
      </c>
      <c r="C62" s="7" t="s">
        <v>49</v>
      </c>
      <c r="E62" s="7">
        <f>SUM(E63:E65)</f>
        <v>84.7</v>
      </c>
      <c r="F62" s="7">
        <f t="shared" ref="F62" si="16">SUM(F63:F65)</f>
        <v>84.7</v>
      </c>
      <c r="G62" s="8">
        <f t="shared" ref="G62:H62" si="17">SUM(G63:G65)</f>
        <v>84.7</v>
      </c>
      <c r="H62" s="8">
        <f t="shared" si="17"/>
        <v>84.7</v>
      </c>
      <c r="I62" s="7">
        <f t="shared" ref="I62:Q62" si="18">SUM(I63:I65)</f>
        <v>84.7</v>
      </c>
      <c r="J62" s="8">
        <f t="shared" si="18"/>
        <v>84.7</v>
      </c>
      <c r="K62" s="8">
        <f t="shared" si="18"/>
        <v>84.7</v>
      </c>
      <c r="L62" s="7">
        <f t="shared" si="18"/>
        <v>84.7</v>
      </c>
      <c r="M62" s="8">
        <f t="shared" si="18"/>
        <v>84.7</v>
      </c>
      <c r="N62" s="8">
        <f t="shared" si="18"/>
        <v>84.7</v>
      </c>
      <c r="O62" s="7">
        <f t="shared" si="18"/>
        <v>84.7</v>
      </c>
      <c r="P62" s="8">
        <f t="shared" si="18"/>
        <v>84.7</v>
      </c>
      <c r="Q62" s="8">
        <f t="shared" si="18"/>
        <v>84.7</v>
      </c>
      <c r="R62" s="7">
        <f t="shared" ref="R62" si="19">SUM(R63:R65)</f>
        <v>84.7</v>
      </c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</row>
    <row r="63" spans="2:79" x14ac:dyDescent="0.25">
      <c r="B63" t="s">
        <v>61</v>
      </c>
      <c r="C63" t="s">
        <v>58</v>
      </c>
      <c r="E63">
        <f t="shared" ref="E63:R63" si="20">$C$8</f>
        <v>45.5</v>
      </c>
      <c r="F63">
        <f t="shared" si="20"/>
        <v>45.5</v>
      </c>
      <c r="G63" s="5">
        <f t="shared" si="20"/>
        <v>45.5</v>
      </c>
      <c r="H63" s="5">
        <f t="shared" si="20"/>
        <v>45.5</v>
      </c>
      <c r="I63">
        <f t="shared" si="20"/>
        <v>45.5</v>
      </c>
      <c r="J63" s="5">
        <f t="shared" si="20"/>
        <v>45.5</v>
      </c>
      <c r="K63" s="5">
        <f t="shared" si="20"/>
        <v>45.5</v>
      </c>
      <c r="L63">
        <f t="shared" si="20"/>
        <v>45.5</v>
      </c>
      <c r="M63" s="5">
        <f t="shared" si="20"/>
        <v>45.5</v>
      </c>
      <c r="N63" s="5">
        <f t="shared" si="20"/>
        <v>45.5</v>
      </c>
      <c r="O63">
        <f t="shared" si="20"/>
        <v>45.5</v>
      </c>
      <c r="P63" s="5">
        <f t="shared" si="20"/>
        <v>45.5</v>
      </c>
      <c r="Q63" s="5">
        <f t="shared" si="20"/>
        <v>45.5</v>
      </c>
      <c r="R63">
        <f t="shared" si="20"/>
        <v>45.5</v>
      </c>
    </row>
    <row r="64" spans="2:79" x14ac:dyDescent="0.25">
      <c r="C64" t="s">
        <v>59</v>
      </c>
      <c r="E64">
        <f t="shared" ref="E64:R64" si="21">$C$9</f>
        <v>12.9</v>
      </c>
      <c r="F64">
        <f t="shared" si="21"/>
        <v>12.9</v>
      </c>
      <c r="G64" s="5">
        <f t="shared" si="21"/>
        <v>12.9</v>
      </c>
      <c r="H64" s="5">
        <f t="shared" si="21"/>
        <v>12.9</v>
      </c>
      <c r="I64">
        <f t="shared" si="21"/>
        <v>12.9</v>
      </c>
      <c r="J64" s="5">
        <f t="shared" si="21"/>
        <v>12.9</v>
      </c>
      <c r="K64" s="5">
        <f t="shared" si="21"/>
        <v>12.9</v>
      </c>
      <c r="L64">
        <f t="shared" si="21"/>
        <v>12.9</v>
      </c>
      <c r="M64" s="5">
        <f t="shared" si="21"/>
        <v>12.9</v>
      </c>
      <c r="N64" s="5">
        <f t="shared" si="21"/>
        <v>12.9</v>
      </c>
      <c r="O64">
        <f t="shared" si="21"/>
        <v>12.9</v>
      </c>
      <c r="P64" s="5">
        <f t="shared" si="21"/>
        <v>12.9</v>
      </c>
      <c r="Q64" s="5">
        <f t="shared" si="21"/>
        <v>12.9</v>
      </c>
      <c r="R64">
        <f t="shared" si="21"/>
        <v>12.9</v>
      </c>
    </row>
    <row r="65" spans="2:79" x14ac:dyDescent="0.25">
      <c r="C65" t="s">
        <v>56</v>
      </c>
      <c r="E65">
        <f t="shared" ref="E65:R65" si="22">$C$11</f>
        <v>26.3</v>
      </c>
      <c r="F65">
        <f t="shared" si="22"/>
        <v>26.3</v>
      </c>
      <c r="G65" s="5">
        <f t="shared" si="22"/>
        <v>26.3</v>
      </c>
      <c r="H65" s="5">
        <f t="shared" si="22"/>
        <v>26.3</v>
      </c>
      <c r="I65">
        <f t="shared" si="22"/>
        <v>26.3</v>
      </c>
      <c r="J65" s="5">
        <f t="shared" si="22"/>
        <v>26.3</v>
      </c>
      <c r="K65" s="5">
        <f t="shared" si="22"/>
        <v>26.3</v>
      </c>
      <c r="L65">
        <f t="shared" si="22"/>
        <v>26.3</v>
      </c>
      <c r="M65" s="5">
        <f t="shared" si="22"/>
        <v>26.3</v>
      </c>
      <c r="N65" s="5">
        <f t="shared" si="22"/>
        <v>26.3</v>
      </c>
      <c r="O65">
        <f t="shared" si="22"/>
        <v>26.3</v>
      </c>
      <c r="P65" s="5">
        <f t="shared" si="22"/>
        <v>26.3</v>
      </c>
      <c r="Q65" s="5">
        <f t="shared" si="22"/>
        <v>26.3</v>
      </c>
      <c r="R65">
        <f t="shared" si="22"/>
        <v>26.3</v>
      </c>
    </row>
    <row r="68" spans="2:79" s="7" customFormat="1" x14ac:dyDescent="0.25">
      <c r="B68" s="7" t="s">
        <v>62</v>
      </c>
      <c r="C68" s="7" t="s">
        <v>49</v>
      </c>
      <c r="F68" s="7">
        <f>SUM(F69:F71)</f>
        <v>61.9</v>
      </c>
      <c r="G68" s="8">
        <f t="shared" ref="G68" si="23">SUM(G69:G71)</f>
        <v>61.9</v>
      </c>
      <c r="H68" s="8">
        <f t="shared" ref="H68" si="24">SUM(H69:H71)</f>
        <v>61.9</v>
      </c>
      <c r="J68" s="8"/>
      <c r="K68" s="8"/>
      <c r="M68" s="8"/>
      <c r="N68" s="8"/>
      <c r="P68" s="8"/>
      <c r="Q68" s="8"/>
      <c r="R68" s="7">
        <f>SUM(R69:R71)</f>
        <v>61.9</v>
      </c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</row>
    <row r="69" spans="2:79" x14ac:dyDescent="0.25">
      <c r="B69" t="s">
        <v>61</v>
      </c>
      <c r="C69" t="s">
        <v>50</v>
      </c>
      <c r="F69">
        <f>$C$2</f>
        <v>34.200000000000003</v>
      </c>
      <c r="G69" s="5">
        <f>$C$2</f>
        <v>34.200000000000003</v>
      </c>
      <c r="H69" s="5">
        <f>$C$2</f>
        <v>34.200000000000003</v>
      </c>
      <c r="R69">
        <f>$C$2</f>
        <v>34.200000000000003</v>
      </c>
    </row>
    <row r="70" spans="2:79" x14ac:dyDescent="0.25">
      <c r="C70" t="s">
        <v>52</v>
      </c>
      <c r="F70">
        <f>$C$3</f>
        <v>11.3</v>
      </c>
      <c r="G70" s="5">
        <f>$C$3</f>
        <v>11.3</v>
      </c>
      <c r="H70" s="5">
        <f>$C$3</f>
        <v>11.3</v>
      </c>
      <c r="R70">
        <f>$C$3</f>
        <v>11.3</v>
      </c>
    </row>
    <row r="71" spans="2:79" x14ac:dyDescent="0.25">
      <c r="C71" t="s">
        <v>53</v>
      </c>
      <c r="F71">
        <f>$C$4</f>
        <v>16.399999999999999</v>
      </c>
      <c r="G71" s="5">
        <f>$C$4</f>
        <v>16.399999999999999</v>
      </c>
      <c r="H71" s="5">
        <f>$C$4</f>
        <v>16.399999999999999</v>
      </c>
      <c r="R71">
        <f>$C$4</f>
        <v>16.399999999999999</v>
      </c>
    </row>
    <row r="72" spans="2:79" x14ac:dyDescent="0.25">
      <c r="C72" t="s">
        <v>59</v>
      </c>
      <c r="F72">
        <f>$C$9</f>
        <v>12.9</v>
      </c>
      <c r="G72" s="5">
        <f>$C$9</f>
        <v>12.9</v>
      </c>
      <c r="H72" s="5">
        <f>$C$9</f>
        <v>12.9</v>
      </c>
      <c r="R72">
        <f>$C$9</f>
        <v>12.9</v>
      </c>
    </row>
    <row r="73" spans="2:79" x14ac:dyDescent="0.25">
      <c r="C73" t="s">
        <v>60</v>
      </c>
      <c r="F73">
        <f>$C$10</f>
        <v>7.3</v>
      </c>
      <c r="G73" s="5">
        <f>$C$10</f>
        <v>7.3</v>
      </c>
      <c r="H73" s="5">
        <f>$C$10</f>
        <v>7.3</v>
      </c>
      <c r="R73">
        <f>$C$10</f>
        <v>7.3</v>
      </c>
    </row>
    <row r="74" spans="2:79" x14ac:dyDescent="0.25">
      <c r="C74" t="s">
        <v>56</v>
      </c>
      <c r="F74">
        <f>$C$11</f>
        <v>26.3</v>
      </c>
      <c r="G74" s="5">
        <f>$C$11</f>
        <v>26.3</v>
      </c>
      <c r="H74" s="5">
        <f>$C$11</f>
        <v>26.3</v>
      </c>
      <c r="R74">
        <f>$C$11</f>
        <v>26.3</v>
      </c>
    </row>
    <row r="76" spans="2:79" s="7" customFormat="1" x14ac:dyDescent="0.25">
      <c r="B76" s="7" t="s">
        <v>168</v>
      </c>
      <c r="C76" s="7" t="s">
        <v>49</v>
      </c>
      <c r="F76" s="7">
        <f t="shared" ref="F76" si="25">SUM(F77:F79)</f>
        <v>61.9</v>
      </c>
      <c r="G76" s="8">
        <f t="shared" ref="G76" si="26">SUM(G77:G79)</f>
        <v>61.9</v>
      </c>
      <c r="H76" s="8">
        <f t="shared" ref="H76" si="27">SUM(H77:H79)</f>
        <v>61.9</v>
      </c>
      <c r="J76" s="8"/>
      <c r="K76" s="8"/>
      <c r="M76" s="8"/>
      <c r="N76" s="8"/>
      <c r="P76" s="8"/>
      <c r="Q76" s="8"/>
      <c r="R76" s="7">
        <f t="shared" ref="R76" si="28">SUM(R77:R79)</f>
        <v>61.9</v>
      </c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</row>
    <row r="77" spans="2:79" x14ac:dyDescent="0.25">
      <c r="B77" t="s">
        <v>61</v>
      </c>
      <c r="C77" t="s">
        <v>50</v>
      </c>
      <c r="F77">
        <f>$C$2</f>
        <v>34.200000000000003</v>
      </c>
      <c r="G77" s="5">
        <f>$C$2</f>
        <v>34.200000000000003</v>
      </c>
      <c r="H77" s="5">
        <f>$C$2</f>
        <v>34.200000000000003</v>
      </c>
      <c r="R77">
        <f>$C$2</f>
        <v>34.200000000000003</v>
      </c>
    </row>
    <row r="78" spans="2:79" x14ac:dyDescent="0.25">
      <c r="C78" t="s">
        <v>52</v>
      </c>
      <c r="F78">
        <f>$C$3</f>
        <v>11.3</v>
      </c>
      <c r="G78" s="5">
        <f>$C$3</f>
        <v>11.3</v>
      </c>
      <c r="H78" s="5">
        <f>$C$3</f>
        <v>11.3</v>
      </c>
      <c r="R78">
        <f>$C$3</f>
        <v>11.3</v>
      </c>
    </row>
    <row r="79" spans="2:79" x14ac:dyDescent="0.25">
      <c r="C79" t="s">
        <v>53</v>
      </c>
      <c r="F79">
        <f>$C$4</f>
        <v>16.399999999999999</v>
      </c>
      <c r="G79" s="5">
        <f>$C$4</f>
        <v>16.399999999999999</v>
      </c>
      <c r="H79" s="5">
        <f>$C$4</f>
        <v>16.399999999999999</v>
      </c>
      <c r="R79">
        <f>$C$4</f>
        <v>16.399999999999999</v>
      </c>
    </row>
    <row r="80" spans="2:79" x14ac:dyDescent="0.25">
      <c r="C80" t="s">
        <v>56</v>
      </c>
      <c r="F80">
        <f>$C$11</f>
        <v>26.3</v>
      </c>
      <c r="G80" s="5">
        <f>$C$11</f>
        <v>26.3</v>
      </c>
      <c r="H80" s="5">
        <f>$C$11</f>
        <v>26.3</v>
      </c>
      <c r="R80">
        <f>$C$11</f>
        <v>26.3</v>
      </c>
    </row>
    <row r="82" spans="2:79" s="7" customFormat="1" x14ac:dyDescent="0.25">
      <c r="B82" s="7" t="s">
        <v>167</v>
      </c>
      <c r="C82" s="7" t="s">
        <v>49</v>
      </c>
      <c r="F82" s="7">
        <f t="shared" ref="F82" si="29">SUM(F83:F85)</f>
        <v>39.4</v>
      </c>
      <c r="G82" s="8">
        <f t="shared" ref="G82" si="30">SUM(G83:G85)</f>
        <v>39.4</v>
      </c>
      <c r="H82" s="8">
        <f t="shared" ref="H82" si="31">SUM(H83:H85)</f>
        <v>39.4</v>
      </c>
      <c r="J82" s="8"/>
      <c r="K82" s="8"/>
      <c r="M82" s="8"/>
      <c r="N82" s="8"/>
      <c r="P82" s="8"/>
      <c r="Q82" s="8"/>
      <c r="R82" s="7">
        <f t="shared" ref="R82" si="32">SUM(R83:R85)</f>
        <v>39.4</v>
      </c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</row>
    <row r="83" spans="2:79" x14ac:dyDescent="0.25">
      <c r="B83" t="s">
        <v>61</v>
      </c>
      <c r="C83" t="s">
        <v>51</v>
      </c>
      <c r="F83">
        <f>$C$5</f>
        <v>8.8000000000000007</v>
      </c>
      <c r="G83" s="5">
        <f>$C$5</f>
        <v>8.8000000000000007</v>
      </c>
      <c r="H83" s="5">
        <f>$C$5</f>
        <v>8.8000000000000007</v>
      </c>
      <c r="R83">
        <f>$C$5</f>
        <v>8.8000000000000007</v>
      </c>
    </row>
    <row r="84" spans="2:79" x14ac:dyDescent="0.25">
      <c r="C84" t="s">
        <v>54</v>
      </c>
      <c r="F84">
        <f>$C$6</f>
        <v>26.5</v>
      </c>
      <c r="G84" s="5">
        <f>$C$6</f>
        <v>26.5</v>
      </c>
      <c r="H84" s="5">
        <f>$C$6</f>
        <v>26.5</v>
      </c>
      <c r="R84">
        <f>$C$6</f>
        <v>26.5</v>
      </c>
    </row>
    <row r="85" spans="2:79" x14ac:dyDescent="0.25">
      <c r="C85" t="s">
        <v>55</v>
      </c>
      <c r="F85">
        <f>$C$7</f>
        <v>4.0999999999999996</v>
      </c>
      <c r="G85" s="5">
        <f>$C$7</f>
        <v>4.0999999999999996</v>
      </c>
      <c r="H85" s="5">
        <f>$C$7</f>
        <v>4.0999999999999996</v>
      </c>
      <c r="R85">
        <f>$C$7</f>
        <v>4.0999999999999996</v>
      </c>
    </row>
    <row r="86" spans="2:79" x14ac:dyDescent="0.25">
      <c r="C86" t="s">
        <v>56</v>
      </c>
      <c r="F86">
        <f>$C$11</f>
        <v>26.3</v>
      </c>
      <c r="G86" s="5">
        <f>$C$11</f>
        <v>26.3</v>
      </c>
      <c r="H86" s="5">
        <f>$C$11</f>
        <v>26.3</v>
      </c>
      <c r="R86">
        <f>$C$11</f>
        <v>26.3</v>
      </c>
    </row>
    <row r="88" spans="2:79" s="7" customFormat="1" x14ac:dyDescent="0.25">
      <c r="B88" s="7" t="s">
        <v>64</v>
      </c>
      <c r="C88" s="7" t="s">
        <v>49</v>
      </c>
      <c r="F88" s="7">
        <f t="shared" ref="F88" si="33">SUM(F89:F91)</f>
        <v>39.4</v>
      </c>
      <c r="G88" s="8">
        <f t="shared" ref="G88" si="34">SUM(G89:G91)</f>
        <v>39.4</v>
      </c>
      <c r="H88" s="8">
        <f t="shared" ref="H88" si="35">SUM(H89:H91)</f>
        <v>39.4</v>
      </c>
      <c r="J88" s="8"/>
      <c r="K88" s="8"/>
      <c r="M88" s="8"/>
      <c r="N88" s="8"/>
      <c r="P88" s="8"/>
      <c r="Q88" s="8"/>
      <c r="R88" s="7">
        <f t="shared" ref="R88" si="36">SUM(R89:R91)</f>
        <v>39.4</v>
      </c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</row>
    <row r="89" spans="2:79" x14ac:dyDescent="0.25">
      <c r="B89" t="s">
        <v>61</v>
      </c>
      <c r="C89" t="s">
        <v>51</v>
      </c>
      <c r="F89">
        <f>$C$5</f>
        <v>8.8000000000000007</v>
      </c>
      <c r="G89" s="5">
        <f>$C$5</f>
        <v>8.8000000000000007</v>
      </c>
      <c r="H89" s="5">
        <f>$C$5</f>
        <v>8.8000000000000007</v>
      </c>
      <c r="R89">
        <f>$C$5</f>
        <v>8.8000000000000007</v>
      </c>
    </row>
    <row r="90" spans="2:79" x14ac:dyDescent="0.25">
      <c r="C90" t="s">
        <v>54</v>
      </c>
      <c r="F90">
        <f>$C$6</f>
        <v>26.5</v>
      </c>
      <c r="G90" s="5">
        <f>$C$6</f>
        <v>26.5</v>
      </c>
      <c r="H90" s="5">
        <f>$C$6</f>
        <v>26.5</v>
      </c>
      <c r="R90">
        <f>$C$6</f>
        <v>26.5</v>
      </c>
    </row>
    <row r="91" spans="2:79" x14ac:dyDescent="0.25">
      <c r="C91" t="s">
        <v>55</v>
      </c>
      <c r="F91">
        <f>$C$7</f>
        <v>4.0999999999999996</v>
      </c>
      <c r="G91" s="5">
        <f>$C$7</f>
        <v>4.0999999999999996</v>
      </c>
      <c r="H91" s="5">
        <f>$C$7</f>
        <v>4.0999999999999996</v>
      </c>
      <c r="R91">
        <f>$C$7</f>
        <v>4.0999999999999996</v>
      </c>
    </row>
    <row r="93" spans="2:79" s="7" customFormat="1" x14ac:dyDescent="0.25">
      <c r="B93" s="7" t="s">
        <v>63</v>
      </c>
      <c r="C93" s="7" t="s">
        <v>49</v>
      </c>
      <c r="F93" s="7">
        <f t="shared" ref="F93" si="37">SUM(F94:F96)</f>
        <v>39.4</v>
      </c>
      <c r="G93" s="8">
        <f t="shared" ref="G93" si="38">SUM(G94:G96)</f>
        <v>39.4</v>
      </c>
      <c r="H93" s="8">
        <f t="shared" ref="H93" si="39">SUM(H94:H96)</f>
        <v>39.4</v>
      </c>
      <c r="J93" s="8"/>
      <c r="K93" s="8"/>
      <c r="M93" s="8"/>
      <c r="N93" s="8"/>
      <c r="P93" s="8"/>
      <c r="Q93" s="8"/>
      <c r="R93" s="7">
        <f t="shared" ref="R93" si="40">SUM(R94:R96)</f>
        <v>39.4</v>
      </c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</row>
    <row r="94" spans="2:79" x14ac:dyDescent="0.25">
      <c r="B94" t="s">
        <v>61</v>
      </c>
      <c r="C94" t="s">
        <v>51</v>
      </c>
      <c r="F94">
        <f>$C$5</f>
        <v>8.8000000000000007</v>
      </c>
      <c r="G94" s="5">
        <f>$C$5</f>
        <v>8.8000000000000007</v>
      </c>
      <c r="H94" s="5">
        <f>$C$5</f>
        <v>8.8000000000000007</v>
      </c>
      <c r="R94">
        <f>$C$5</f>
        <v>8.8000000000000007</v>
      </c>
    </row>
    <row r="95" spans="2:79" x14ac:dyDescent="0.25">
      <c r="C95" t="s">
        <v>54</v>
      </c>
      <c r="F95">
        <f>$C$6</f>
        <v>26.5</v>
      </c>
      <c r="G95" s="5">
        <f>$C$6</f>
        <v>26.5</v>
      </c>
      <c r="H95" s="5">
        <f>$C$6</f>
        <v>26.5</v>
      </c>
      <c r="R95">
        <f>$C$6</f>
        <v>26.5</v>
      </c>
    </row>
    <row r="96" spans="2:79" x14ac:dyDescent="0.25">
      <c r="C96" t="s">
        <v>55</v>
      </c>
      <c r="F96">
        <f>$C$7</f>
        <v>4.0999999999999996</v>
      </c>
      <c r="G96" s="5">
        <f>$C$7</f>
        <v>4.0999999999999996</v>
      </c>
      <c r="H96" s="5">
        <f>$C$7</f>
        <v>4.0999999999999996</v>
      </c>
      <c r="R96">
        <f>$C$7</f>
        <v>4.0999999999999996</v>
      </c>
    </row>
    <row r="99" spans="1:79" s="7" customFormat="1" x14ac:dyDescent="0.25">
      <c r="A99" s="7" t="s">
        <v>65</v>
      </c>
      <c r="B99" s="7" t="s">
        <v>77</v>
      </c>
      <c r="C99" s="7" t="s">
        <v>49</v>
      </c>
      <c r="G99" s="8"/>
      <c r="H99" s="8"/>
      <c r="I99" s="7">
        <f>SUM(I100:I108)</f>
        <v>16.43</v>
      </c>
      <c r="J99" s="8">
        <f>SUM(J100:J108)</f>
        <v>16.43</v>
      </c>
      <c r="K99" s="8">
        <f>SUM(K100:K108)</f>
        <v>16.43</v>
      </c>
      <c r="M99" s="8"/>
      <c r="N99" s="8"/>
      <c r="P99" s="8"/>
      <c r="Q99" s="8"/>
      <c r="R99" s="7">
        <f>SUM(R100:R108)</f>
        <v>16.43</v>
      </c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</row>
    <row r="100" spans="1:79" x14ac:dyDescent="0.25">
      <c r="B100" t="s">
        <v>61</v>
      </c>
      <c r="C100" t="s">
        <v>82</v>
      </c>
      <c r="I100">
        <v>2.4900000000000002</v>
      </c>
      <c r="J100" s="5">
        <v>2.4900000000000002</v>
      </c>
      <c r="K100" s="5">
        <v>2.4900000000000002</v>
      </c>
      <c r="R100">
        <v>2.4900000000000002</v>
      </c>
    </row>
    <row r="101" spans="1:79" x14ac:dyDescent="0.25">
      <c r="C101" t="s">
        <v>76</v>
      </c>
      <c r="I101">
        <v>1.07</v>
      </c>
      <c r="J101" s="5">
        <v>1.07</v>
      </c>
      <c r="K101" s="5">
        <v>1.07</v>
      </c>
      <c r="R101">
        <v>1.07</v>
      </c>
    </row>
    <row r="102" spans="1:79" x14ac:dyDescent="0.25">
      <c r="C102" t="s">
        <v>83</v>
      </c>
      <c r="I102">
        <v>1.45</v>
      </c>
      <c r="J102" s="5">
        <v>1.45</v>
      </c>
      <c r="K102" s="5">
        <v>1.45</v>
      </c>
      <c r="R102">
        <v>1.45</v>
      </c>
    </row>
    <row r="103" spans="1:79" x14ac:dyDescent="0.25">
      <c r="C103" t="s">
        <v>84</v>
      </c>
      <c r="I103">
        <v>2.4900000000000002</v>
      </c>
      <c r="J103" s="5">
        <v>2.4900000000000002</v>
      </c>
      <c r="K103" s="5">
        <v>2.4900000000000002</v>
      </c>
      <c r="R103">
        <v>2.4900000000000002</v>
      </c>
    </row>
    <row r="104" spans="1:79" x14ac:dyDescent="0.25">
      <c r="C104" t="s">
        <v>85</v>
      </c>
      <c r="I104">
        <v>2.4900000000000002</v>
      </c>
      <c r="J104" s="5">
        <v>2.4900000000000002</v>
      </c>
      <c r="K104" s="5">
        <v>2.4900000000000002</v>
      </c>
      <c r="R104">
        <v>2.4900000000000002</v>
      </c>
    </row>
    <row r="105" spans="1:79" x14ac:dyDescent="0.25">
      <c r="C105" t="s">
        <v>86</v>
      </c>
      <c r="I105">
        <v>2.34</v>
      </c>
      <c r="J105" s="5">
        <v>2.34</v>
      </c>
      <c r="K105" s="5">
        <v>2.34</v>
      </c>
      <c r="R105">
        <v>2.34</v>
      </c>
    </row>
    <row r="106" spans="1:79" x14ac:dyDescent="0.25">
      <c r="C106" t="s">
        <v>87</v>
      </c>
      <c r="I106">
        <v>2.38</v>
      </c>
      <c r="J106" s="5">
        <v>2.38</v>
      </c>
      <c r="K106" s="5">
        <v>2.38</v>
      </c>
      <c r="R106">
        <v>2.38</v>
      </c>
    </row>
    <row r="107" spans="1:79" x14ac:dyDescent="0.25">
      <c r="C107" t="s">
        <v>101</v>
      </c>
      <c r="I107">
        <v>0.89</v>
      </c>
      <c r="J107" s="5">
        <v>0.89</v>
      </c>
      <c r="K107" s="5">
        <v>0.89</v>
      </c>
      <c r="R107">
        <v>0.89</v>
      </c>
    </row>
    <row r="108" spans="1:79" x14ac:dyDescent="0.25">
      <c r="C108" t="s">
        <v>157</v>
      </c>
      <c r="I108">
        <v>0.83</v>
      </c>
      <c r="J108" s="5">
        <v>0.83</v>
      </c>
      <c r="K108" s="5">
        <v>0.83</v>
      </c>
      <c r="R108">
        <v>0.83</v>
      </c>
    </row>
    <row r="110" spans="1:79" s="7" customFormat="1" x14ac:dyDescent="0.25">
      <c r="B110" s="7" t="s">
        <v>78</v>
      </c>
      <c r="C110" s="7" t="s">
        <v>76</v>
      </c>
      <c r="G110" s="8"/>
      <c r="H110" s="8"/>
      <c r="I110" s="7">
        <v>6.16</v>
      </c>
      <c r="J110" s="8">
        <v>6.16</v>
      </c>
      <c r="K110" s="8">
        <v>6.16</v>
      </c>
      <c r="M110" s="8"/>
      <c r="N110" s="8"/>
      <c r="P110" s="8"/>
      <c r="Q110" s="8"/>
      <c r="R110" s="7">
        <v>6.16</v>
      </c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</row>
    <row r="111" spans="1:79" x14ac:dyDescent="0.25">
      <c r="B111" t="s">
        <v>61</v>
      </c>
    </row>
    <row r="113" spans="1:79" s="7" customFormat="1" x14ac:dyDescent="0.25">
      <c r="B113" s="7" t="s">
        <v>79</v>
      </c>
      <c r="C113" s="7" t="s">
        <v>49</v>
      </c>
      <c r="G113" s="8"/>
      <c r="H113" s="8"/>
      <c r="I113" s="7">
        <f>SUM(I114:I115)</f>
        <v>6.48</v>
      </c>
      <c r="J113" s="8">
        <f>SUM(J114:J115)</f>
        <v>6.48</v>
      </c>
      <c r="K113" s="8">
        <f>SUM(K114:K115)</f>
        <v>6.48</v>
      </c>
      <c r="M113" s="8"/>
      <c r="N113" s="8"/>
      <c r="P113" s="8"/>
      <c r="Q113" s="8"/>
      <c r="R113" s="7">
        <f>SUM(R114:R115)</f>
        <v>6.48</v>
      </c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</row>
    <row r="114" spans="1:79" x14ac:dyDescent="0.25">
      <c r="B114" t="s">
        <v>61</v>
      </c>
      <c r="C114" t="s">
        <v>80</v>
      </c>
      <c r="I114">
        <v>3.24</v>
      </c>
      <c r="J114" s="5">
        <v>3.24</v>
      </c>
      <c r="K114" s="5">
        <v>3.24</v>
      </c>
      <c r="R114">
        <v>3.24</v>
      </c>
    </row>
    <row r="115" spans="1:79" x14ac:dyDescent="0.25">
      <c r="C115" t="s">
        <v>81</v>
      </c>
      <c r="I115">
        <v>3.24</v>
      </c>
      <c r="J115" s="5">
        <v>3.24</v>
      </c>
      <c r="K115" s="5">
        <v>3.24</v>
      </c>
      <c r="R115">
        <v>3.24</v>
      </c>
    </row>
    <row r="117" spans="1:79" s="7" customFormat="1" x14ac:dyDescent="0.25">
      <c r="A117" s="7" t="s">
        <v>88</v>
      </c>
      <c r="B117" s="29" t="s">
        <v>89</v>
      </c>
      <c r="G117" s="8"/>
      <c r="H117" s="8"/>
      <c r="J117" s="8"/>
      <c r="K117" s="8"/>
      <c r="M117" s="8"/>
      <c r="N117" s="8"/>
      <c r="P117" s="8"/>
      <c r="Q117" s="8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</row>
    <row r="118" spans="1:79" s="28" customFormat="1" x14ac:dyDescent="0.25">
      <c r="B118" s="76" t="s">
        <v>92</v>
      </c>
      <c r="C118" s="28" t="s">
        <v>117</v>
      </c>
      <c r="M118" s="28">
        <v>1</v>
      </c>
    </row>
    <row r="119" spans="1:79" s="28" customFormat="1" x14ac:dyDescent="0.25">
      <c r="C119" s="28" t="s">
        <v>118</v>
      </c>
      <c r="L119" s="28">
        <v>1</v>
      </c>
      <c r="R119" s="28">
        <v>1</v>
      </c>
    </row>
    <row r="120" spans="1:79" s="28" customFormat="1" x14ac:dyDescent="0.25">
      <c r="C120" s="28" t="s">
        <v>119</v>
      </c>
      <c r="N120" s="28">
        <v>1</v>
      </c>
    </row>
    <row r="121" spans="1:79" s="76" customFormat="1" x14ac:dyDescent="0.25"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</row>
    <row r="122" spans="1:79" s="29" customFormat="1" x14ac:dyDescent="0.25">
      <c r="A122" s="29" t="s">
        <v>96</v>
      </c>
      <c r="B122" s="29" t="s">
        <v>90</v>
      </c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</row>
    <row r="123" spans="1:79" s="28" customFormat="1" x14ac:dyDescent="0.25">
      <c r="B123" s="76" t="s">
        <v>92</v>
      </c>
      <c r="C123" s="28" t="s">
        <v>97</v>
      </c>
      <c r="E123" s="28">
        <v>1</v>
      </c>
      <c r="F123" s="28">
        <v>1</v>
      </c>
      <c r="G123" s="28">
        <v>1</v>
      </c>
      <c r="H123" s="28">
        <v>1</v>
      </c>
      <c r="I123" s="28">
        <v>1</v>
      </c>
      <c r="J123" s="28">
        <v>1</v>
      </c>
      <c r="K123" s="28">
        <v>1</v>
      </c>
      <c r="L123" s="28">
        <v>1</v>
      </c>
      <c r="M123" s="28">
        <v>1</v>
      </c>
      <c r="N123" s="28">
        <v>1</v>
      </c>
      <c r="O123" s="28">
        <v>1</v>
      </c>
      <c r="P123" s="28">
        <v>1</v>
      </c>
      <c r="Q123" s="28">
        <v>1</v>
      </c>
    </row>
    <row r="124" spans="1:79" s="76" customFormat="1" x14ac:dyDescent="0.25">
      <c r="C124" s="28" t="s">
        <v>91</v>
      </c>
      <c r="R124" s="28">
        <v>1</v>
      </c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</row>
    <row r="125" spans="1:79" s="76" customFormat="1" x14ac:dyDescent="0.25"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</row>
    <row r="126" spans="1:79" s="29" customFormat="1" x14ac:dyDescent="0.25">
      <c r="A126" s="29" t="s">
        <v>120</v>
      </c>
      <c r="B126" s="29" t="s">
        <v>9</v>
      </c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</row>
    <row r="127" spans="1:79" s="28" customFormat="1" x14ac:dyDescent="0.25">
      <c r="B127" s="28" t="s">
        <v>61</v>
      </c>
      <c r="C127" s="28" t="s">
        <v>94</v>
      </c>
      <c r="P127" s="28">
        <v>8</v>
      </c>
    </row>
    <row r="128" spans="1:79" s="28" customFormat="1" x14ac:dyDescent="0.25">
      <c r="C128" s="28" t="s">
        <v>93</v>
      </c>
      <c r="O128" s="28">
        <v>8</v>
      </c>
      <c r="R128" s="28">
        <v>8</v>
      </c>
    </row>
    <row r="129" spans="3:79" s="28" customFormat="1" x14ac:dyDescent="0.25">
      <c r="C129" s="28" t="s">
        <v>95</v>
      </c>
      <c r="Q129" s="28">
        <v>8</v>
      </c>
    </row>
    <row r="130" spans="3:79" s="76" customFormat="1" x14ac:dyDescent="0.25"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</row>
    <row r="131" spans="3:79" s="76" customFormat="1" x14ac:dyDescent="0.25"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</row>
    <row r="132" spans="3:79" s="76" customFormat="1" x14ac:dyDescent="0.25"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</row>
    <row r="133" spans="3:79" s="76" customFormat="1" x14ac:dyDescent="0.25"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37500-C9BE-4AC8-9FDD-8F2C883D868B}">
  <dimension ref="A1:CB66"/>
  <sheetViews>
    <sheetView zoomScaleNormal="100" workbookViewId="0">
      <pane ySplit="1" topLeftCell="A2" activePane="bottomLeft" state="frozen"/>
      <selection pane="bottomLeft" activeCell="E19" sqref="E19"/>
    </sheetView>
  </sheetViews>
  <sheetFormatPr baseColWidth="10" defaultRowHeight="15" x14ac:dyDescent="0.25"/>
  <cols>
    <col min="1" max="1" width="31.140625" customWidth="1"/>
    <col min="2" max="2" width="35.5703125" bestFit="1" customWidth="1"/>
    <col min="3" max="3" width="7.7109375" bestFit="1" customWidth="1"/>
    <col min="4" max="4" width="7.85546875" customWidth="1"/>
    <col min="8" max="9" width="11.42578125" style="5"/>
    <col min="11" max="12" width="11.42578125" style="5"/>
    <col min="14" max="15" width="11.42578125" style="5"/>
    <col min="17" max="18" width="11.42578125" style="5"/>
    <col min="20" max="42" width="11.42578125" style="22"/>
  </cols>
  <sheetData>
    <row r="1" spans="1:80" s="72" customFormat="1" x14ac:dyDescent="0.25">
      <c r="E1" s="72" t="s">
        <v>155</v>
      </c>
      <c r="F1" s="72" t="s">
        <v>12</v>
      </c>
      <c r="G1" s="72" t="s">
        <v>13</v>
      </c>
      <c r="H1" s="73" t="s">
        <v>27</v>
      </c>
      <c r="I1" s="73" t="s">
        <v>26</v>
      </c>
      <c r="J1" s="72" t="s">
        <v>15</v>
      </c>
      <c r="K1" s="73" t="s">
        <v>28</v>
      </c>
      <c r="L1" s="73" t="s">
        <v>29</v>
      </c>
      <c r="M1" s="72" t="s">
        <v>14</v>
      </c>
      <c r="N1" s="73" t="s">
        <v>30</v>
      </c>
      <c r="O1" s="73" t="s">
        <v>31</v>
      </c>
      <c r="P1" s="72" t="s">
        <v>16</v>
      </c>
      <c r="Q1" s="73" t="s">
        <v>32</v>
      </c>
      <c r="R1" s="73" t="s">
        <v>33</v>
      </c>
      <c r="S1" s="72" t="s">
        <v>17</v>
      </c>
    </row>
    <row r="2" spans="1:80" x14ac:dyDescent="0.25"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</row>
    <row r="3" spans="1:80" x14ac:dyDescent="0.25">
      <c r="A3" s="34" t="s">
        <v>112</v>
      </c>
      <c r="B3" s="32"/>
      <c r="C3" s="32"/>
      <c r="D3" s="33" t="s">
        <v>110</v>
      </c>
      <c r="E3" s="35">
        <f>SUM(E12:E17)*$A$6</f>
        <v>0</v>
      </c>
      <c r="F3" s="51">
        <f>SUM(F12:F17)*$A$6</f>
        <v>8850.1520000000019</v>
      </c>
      <c r="G3" s="51">
        <f>SUM(G12:G17)*$A$6</f>
        <v>22391.355199999998</v>
      </c>
      <c r="H3" s="67">
        <f>SUM(H12:H17)*$A$6</f>
        <v>21514.0144</v>
      </c>
      <c r="I3" s="67">
        <f>SUM(I12:I17)*$A$6</f>
        <v>23544.720000000001</v>
      </c>
      <c r="J3" s="51">
        <f>SUM(J12:J17)*$A$6</f>
        <v>25900.124800000001</v>
      </c>
      <c r="K3" s="67">
        <f>SUM(K12:K17)*$A$6</f>
        <v>24174.529600000002</v>
      </c>
      <c r="L3" s="67">
        <f>SUM(L12:L17)*$A$6</f>
        <v>27625.72</v>
      </c>
      <c r="M3" s="51">
        <f>SUM(M12:M17)*$A$6</f>
        <v>20722.152000000002</v>
      </c>
      <c r="N3" s="67">
        <f>SUM(N12:N17)*$A$6</f>
        <v>19534.952000000001</v>
      </c>
      <c r="O3" s="67">
        <f>SUM(O12:O17)*$A$6</f>
        <v>21909.352000000003</v>
      </c>
      <c r="P3" s="51">
        <f>SUM(P12:P17)*$A$6</f>
        <v>15023.592000000002</v>
      </c>
      <c r="Q3" s="67">
        <f>SUM(Q12:Q17)*$A$6</f>
        <v>14548.712000000001</v>
      </c>
      <c r="R3" s="67">
        <f>SUM(R12:R17)*$A$6</f>
        <v>15498.472000000002</v>
      </c>
      <c r="S3" s="51">
        <f>SUM(S12:S17)*$A$6</f>
        <v>61641.968000000008</v>
      </c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</row>
    <row r="4" spans="1:80" s="22" customFormat="1" x14ac:dyDescent="0.25">
      <c r="A4" s="77"/>
      <c r="D4" s="26"/>
      <c r="E4" s="78"/>
      <c r="F4" s="79"/>
      <c r="G4" s="79"/>
      <c r="H4" s="80"/>
      <c r="I4" s="80"/>
      <c r="J4" s="79"/>
      <c r="K4" s="80"/>
      <c r="L4" s="80"/>
      <c r="M4" s="79"/>
      <c r="N4" s="80"/>
      <c r="O4" s="80"/>
      <c r="P4" s="79"/>
      <c r="Q4" s="80"/>
      <c r="R4" s="80"/>
      <c r="S4" s="79"/>
    </row>
    <row r="5" spans="1:80" x14ac:dyDescent="0.25">
      <c r="A5" t="s">
        <v>134</v>
      </c>
      <c r="B5" t="s">
        <v>126</v>
      </c>
      <c r="F5" s="37">
        <f>F12*$A$6</f>
        <v>4542.1000000000004</v>
      </c>
      <c r="G5" s="37">
        <f t="shared" ref="G5:S5" si="0">G12*$A$6</f>
        <v>16632.46</v>
      </c>
      <c r="H5" s="37">
        <f t="shared" si="0"/>
        <v>15849.12</v>
      </c>
      <c r="I5" s="37">
        <f t="shared" si="0"/>
        <v>17662.25</v>
      </c>
      <c r="J5" s="37">
        <f t="shared" si="0"/>
        <v>4542.1000000000004</v>
      </c>
      <c r="K5" s="37">
        <f t="shared" si="0"/>
        <v>4542.1000000000004</v>
      </c>
      <c r="L5" s="37">
        <f t="shared" si="0"/>
        <v>4542.1000000000004</v>
      </c>
      <c r="M5" s="37">
        <f t="shared" si="0"/>
        <v>4542.1000000000004</v>
      </c>
      <c r="N5" s="37">
        <f t="shared" si="0"/>
        <v>4542.1000000000004</v>
      </c>
      <c r="O5" s="37">
        <f t="shared" si="0"/>
        <v>4542.1000000000004</v>
      </c>
      <c r="P5" s="37">
        <f t="shared" si="0"/>
        <v>4542.1000000000004</v>
      </c>
      <c r="Q5" s="37">
        <f t="shared" si="0"/>
        <v>4542.1000000000004</v>
      </c>
      <c r="R5" s="37">
        <f t="shared" si="0"/>
        <v>4542.1000000000004</v>
      </c>
      <c r="S5" s="37">
        <f t="shared" si="0"/>
        <v>16632.46</v>
      </c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</row>
    <row r="6" spans="1:80" x14ac:dyDescent="0.25">
      <c r="A6" s="36">
        <v>1.06</v>
      </c>
      <c r="B6" t="s">
        <v>127</v>
      </c>
      <c r="F6" s="37"/>
      <c r="G6" s="37"/>
      <c r="H6" s="37"/>
      <c r="I6" s="37"/>
      <c r="J6" s="37">
        <f t="shared" ref="F6:S10" si="1">J13*$A$6</f>
        <v>15223.19</v>
      </c>
      <c r="K6" s="37">
        <f t="shared" si="1"/>
        <v>13682.480000000001</v>
      </c>
      <c r="L6" s="37">
        <f t="shared" si="1"/>
        <v>16763.900000000001</v>
      </c>
      <c r="M6" s="37"/>
      <c r="N6" s="37"/>
      <c r="O6" s="37"/>
      <c r="P6" s="37"/>
      <c r="Q6" s="37"/>
      <c r="R6" s="37"/>
      <c r="S6" s="37">
        <f t="shared" si="1"/>
        <v>15223.19</v>
      </c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</row>
    <row r="7" spans="1:80" x14ac:dyDescent="0.25">
      <c r="B7" t="s">
        <v>128</v>
      </c>
      <c r="F7" s="37"/>
      <c r="G7" s="37"/>
      <c r="H7" s="37"/>
      <c r="I7" s="37"/>
      <c r="J7" s="37"/>
      <c r="K7" s="37"/>
      <c r="L7" s="37"/>
      <c r="M7" s="37">
        <f t="shared" si="1"/>
        <v>10600</v>
      </c>
      <c r="N7" s="37">
        <f t="shared" si="1"/>
        <v>9540</v>
      </c>
      <c r="O7" s="37">
        <f t="shared" si="1"/>
        <v>11660</v>
      </c>
      <c r="P7" s="37"/>
      <c r="Q7" s="37"/>
      <c r="R7" s="37"/>
      <c r="S7" s="37">
        <f t="shared" si="1"/>
        <v>10600</v>
      </c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</row>
    <row r="8" spans="1:80" x14ac:dyDescent="0.25">
      <c r="B8" t="s">
        <v>129</v>
      </c>
      <c r="F8" s="37">
        <f t="shared" si="1"/>
        <v>2650</v>
      </c>
      <c r="G8" s="37">
        <f t="shared" si="1"/>
        <v>2650</v>
      </c>
      <c r="H8" s="37">
        <f t="shared" si="1"/>
        <v>2650</v>
      </c>
      <c r="I8" s="37">
        <f t="shared" si="1"/>
        <v>2650</v>
      </c>
      <c r="J8" s="37">
        <f t="shared" si="1"/>
        <v>2650</v>
      </c>
      <c r="K8" s="37">
        <f t="shared" si="1"/>
        <v>2650</v>
      </c>
      <c r="L8" s="37">
        <f t="shared" si="1"/>
        <v>2650</v>
      </c>
      <c r="M8" s="37">
        <f t="shared" si="1"/>
        <v>2650</v>
      </c>
      <c r="N8" s="37">
        <f t="shared" si="1"/>
        <v>2650</v>
      </c>
      <c r="O8" s="37">
        <f t="shared" si="1"/>
        <v>2650</v>
      </c>
      <c r="P8" s="37">
        <f t="shared" si="1"/>
        <v>2650</v>
      </c>
      <c r="Q8" s="37">
        <f t="shared" si="1"/>
        <v>2650</v>
      </c>
      <c r="R8" s="37">
        <f t="shared" si="1"/>
        <v>2650</v>
      </c>
      <c r="S8" s="37">
        <f t="shared" si="1"/>
        <v>6360</v>
      </c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</row>
    <row r="9" spans="1:80" x14ac:dyDescent="0.25">
      <c r="B9" t="s">
        <v>130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>
        <f t="shared" si="1"/>
        <v>5512</v>
      </c>
      <c r="Q9" s="37">
        <f t="shared" si="1"/>
        <v>5088</v>
      </c>
      <c r="R9" s="37">
        <f t="shared" si="1"/>
        <v>5936</v>
      </c>
      <c r="S9" s="37">
        <f t="shared" si="1"/>
        <v>5512</v>
      </c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</row>
    <row r="10" spans="1:80" x14ac:dyDescent="0.25">
      <c r="B10" t="s">
        <v>125</v>
      </c>
      <c r="F10" s="37">
        <f t="shared" si="1"/>
        <v>1658.0519999999999</v>
      </c>
      <c r="G10" s="37">
        <f t="shared" si="1"/>
        <v>3108.8952000000004</v>
      </c>
      <c r="H10" s="37">
        <f t="shared" si="1"/>
        <v>3014.8944000000001</v>
      </c>
      <c r="I10" s="37">
        <f t="shared" si="1"/>
        <v>3232.4700000000003</v>
      </c>
      <c r="J10" s="37">
        <f t="shared" si="1"/>
        <v>3484.8348000000001</v>
      </c>
      <c r="K10" s="37">
        <f t="shared" si="1"/>
        <v>3299.9495999999999</v>
      </c>
      <c r="L10" s="37">
        <f t="shared" si="1"/>
        <v>3669.7200000000003</v>
      </c>
      <c r="M10" s="37">
        <f t="shared" si="1"/>
        <v>2930.0520000000001</v>
      </c>
      <c r="N10" s="37">
        <f t="shared" si="1"/>
        <v>2802.8519999999999</v>
      </c>
      <c r="O10" s="37">
        <f t="shared" si="1"/>
        <v>3057.252</v>
      </c>
      <c r="P10" s="37">
        <f t="shared" si="1"/>
        <v>2319.4919999999997</v>
      </c>
      <c r="Q10" s="37">
        <f t="shared" si="1"/>
        <v>2268.6120000000001</v>
      </c>
      <c r="R10" s="37">
        <f t="shared" si="1"/>
        <v>2370.3719999999998</v>
      </c>
      <c r="S10" s="37">
        <f t="shared" si="1"/>
        <v>7314.3180000000002</v>
      </c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</row>
    <row r="11" spans="1:80" x14ac:dyDescent="0.25">
      <c r="F11" s="37"/>
      <c r="G11" s="37"/>
      <c r="H11" s="61"/>
      <c r="I11" s="61"/>
      <c r="J11" s="37"/>
      <c r="K11" s="61"/>
      <c r="L11" s="61"/>
      <c r="M11" s="37"/>
      <c r="N11" s="61"/>
      <c r="O11" s="61"/>
      <c r="P11" s="37"/>
      <c r="Q11" s="61"/>
      <c r="R11" s="61"/>
      <c r="S11" s="37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</row>
    <row r="12" spans="1:80" x14ac:dyDescent="0.25">
      <c r="A12" t="s">
        <v>213</v>
      </c>
      <c r="B12" t="s">
        <v>126</v>
      </c>
      <c r="F12" s="37">
        <f>F22</f>
        <v>4285</v>
      </c>
      <c r="G12" s="37">
        <f t="shared" ref="G12:S12" si="2">G22</f>
        <v>15691</v>
      </c>
      <c r="H12" s="61">
        <f t="shared" si="2"/>
        <v>14952</v>
      </c>
      <c r="I12" s="61">
        <f t="shared" si="2"/>
        <v>16662.5</v>
      </c>
      <c r="J12" s="37">
        <f t="shared" si="2"/>
        <v>4285</v>
      </c>
      <c r="K12" s="61">
        <f t="shared" si="2"/>
        <v>4285</v>
      </c>
      <c r="L12" s="61">
        <f t="shared" si="2"/>
        <v>4285</v>
      </c>
      <c r="M12" s="37">
        <f t="shared" si="2"/>
        <v>4285</v>
      </c>
      <c r="N12" s="61">
        <f t="shared" si="2"/>
        <v>4285</v>
      </c>
      <c r="O12" s="61">
        <f t="shared" si="2"/>
        <v>4285</v>
      </c>
      <c r="P12" s="37">
        <f t="shared" si="2"/>
        <v>4285</v>
      </c>
      <c r="Q12" s="61">
        <f t="shared" si="2"/>
        <v>4285</v>
      </c>
      <c r="R12" s="61">
        <f t="shared" si="2"/>
        <v>4285</v>
      </c>
      <c r="S12" s="37">
        <f t="shared" si="2"/>
        <v>15691</v>
      </c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</row>
    <row r="13" spans="1:80" x14ac:dyDescent="0.25">
      <c r="B13" t="s">
        <v>127</v>
      </c>
      <c r="D13" s="37"/>
      <c r="F13" s="37"/>
      <c r="G13" s="37"/>
      <c r="H13" s="61"/>
      <c r="I13" s="61"/>
      <c r="J13" s="37">
        <f>J38</f>
        <v>14361.5</v>
      </c>
      <c r="K13" s="61">
        <f t="shared" ref="K13:L13" si="3">K38</f>
        <v>12908</v>
      </c>
      <c r="L13" s="61">
        <f t="shared" si="3"/>
        <v>15815</v>
      </c>
      <c r="M13" s="37"/>
      <c r="N13" s="61"/>
      <c r="O13" s="61"/>
      <c r="P13" s="37"/>
      <c r="Q13" s="61"/>
      <c r="R13" s="61"/>
      <c r="S13" s="37">
        <f>S38</f>
        <v>14361.5</v>
      </c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</row>
    <row r="14" spans="1:80" x14ac:dyDescent="0.25">
      <c r="B14" t="s">
        <v>128</v>
      </c>
      <c r="F14" s="37"/>
      <c r="G14" s="37"/>
      <c r="H14" s="61"/>
      <c r="I14" s="61"/>
      <c r="J14" s="37"/>
      <c r="K14" s="61"/>
      <c r="L14" s="61"/>
      <c r="M14" s="52">
        <f t="shared" ref="M14:N14" si="4">M49</f>
        <v>10000</v>
      </c>
      <c r="N14" s="61">
        <f t="shared" si="4"/>
        <v>9000</v>
      </c>
      <c r="O14" s="61">
        <f>O49</f>
        <v>11000</v>
      </c>
      <c r="P14" s="37"/>
      <c r="Q14" s="61"/>
      <c r="R14" s="61"/>
      <c r="S14" s="37">
        <f>S49</f>
        <v>10000</v>
      </c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</row>
    <row r="15" spans="1:80" x14ac:dyDescent="0.25">
      <c r="B15" t="s">
        <v>129</v>
      </c>
      <c r="F15" s="37">
        <f>F54</f>
        <v>2500</v>
      </c>
      <c r="G15" s="37">
        <f t="shared" ref="G15:S15" si="5">G54</f>
        <v>2500</v>
      </c>
      <c r="H15" s="61">
        <f t="shared" si="5"/>
        <v>2500</v>
      </c>
      <c r="I15" s="61">
        <f t="shared" si="5"/>
        <v>2500</v>
      </c>
      <c r="J15" s="37">
        <f t="shared" si="5"/>
        <v>2500</v>
      </c>
      <c r="K15" s="61">
        <f t="shared" si="5"/>
        <v>2500</v>
      </c>
      <c r="L15" s="61">
        <f t="shared" si="5"/>
        <v>2500</v>
      </c>
      <c r="M15" s="37">
        <f t="shared" si="5"/>
        <v>2500</v>
      </c>
      <c r="N15" s="61">
        <f t="shared" si="5"/>
        <v>2500</v>
      </c>
      <c r="O15" s="61">
        <f t="shared" si="5"/>
        <v>2500</v>
      </c>
      <c r="P15" s="37">
        <f t="shared" si="5"/>
        <v>2500</v>
      </c>
      <c r="Q15" s="61">
        <f t="shared" si="5"/>
        <v>2500</v>
      </c>
      <c r="R15" s="61">
        <f t="shared" si="5"/>
        <v>2500</v>
      </c>
      <c r="S15" s="37">
        <f t="shared" si="5"/>
        <v>6000</v>
      </c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</row>
    <row r="16" spans="1:80" x14ac:dyDescent="0.25">
      <c r="B16" t="s">
        <v>130</v>
      </c>
      <c r="F16" s="37"/>
      <c r="G16" s="37"/>
      <c r="H16" s="61"/>
      <c r="I16" s="61"/>
      <c r="J16" s="37"/>
      <c r="K16" s="61"/>
      <c r="L16" s="61"/>
      <c r="M16" s="37"/>
      <c r="N16" s="61"/>
      <c r="O16" s="61"/>
      <c r="P16" s="37">
        <f t="shared" ref="P16:R16" si="6">P58</f>
        <v>5200</v>
      </c>
      <c r="Q16" s="61">
        <f t="shared" si="6"/>
        <v>4800</v>
      </c>
      <c r="R16" s="61">
        <f t="shared" si="6"/>
        <v>5600</v>
      </c>
      <c r="S16" s="37">
        <f>S58</f>
        <v>5200</v>
      </c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</row>
    <row r="17" spans="1:80" x14ac:dyDescent="0.25">
      <c r="B17" t="s">
        <v>125</v>
      </c>
      <c r="F17" s="37">
        <f>F65+$C$66</f>
        <v>1564.1999999999998</v>
      </c>
      <c r="G17" s="37">
        <f t="shared" ref="G17:S17" si="7">G65+$C$66</f>
        <v>2932.92</v>
      </c>
      <c r="H17" s="61">
        <f t="shared" si="7"/>
        <v>2844.24</v>
      </c>
      <c r="I17" s="61">
        <f t="shared" si="7"/>
        <v>3049.5</v>
      </c>
      <c r="J17" s="37">
        <f t="shared" si="7"/>
        <v>3287.58</v>
      </c>
      <c r="K17" s="61">
        <f t="shared" si="7"/>
        <v>3113.16</v>
      </c>
      <c r="L17" s="61">
        <f t="shared" si="7"/>
        <v>3462</v>
      </c>
      <c r="M17" s="37">
        <f t="shared" si="7"/>
        <v>2764.2</v>
      </c>
      <c r="N17" s="61">
        <f t="shared" si="7"/>
        <v>2644.2</v>
      </c>
      <c r="O17" s="61">
        <f t="shared" si="7"/>
        <v>2884.2</v>
      </c>
      <c r="P17" s="37">
        <f t="shared" si="7"/>
        <v>2188.1999999999998</v>
      </c>
      <c r="Q17" s="61">
        <f t="shared" si="7"/>
        <v>2140.1999999999998</v>
      </c>
      <c r="R17" s="61">
        <f t="shared" si="7"/>
        <v>2236.1999999999998</v>
      </c>
      <c r="S17" s="37">
        <f t="shared" si="7"/>
        <v>6900.3</v>
      </c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</row>
    <row r="18" spans="1:80" x14ac:dyDescent="0.25">
      <c r="F18" s="37"/>
      <c r="G18" s="37"/>
      <c r="H18" s="61"/>
      <c r="I18" s="61"/>
      <c r="J18" s="37"/>
      <c r="K18" s="61"/>
      <c r="L18" s="61"/>
      <c r="M18" s="37"/>
      <c r="N18" s="61"/>
      <c r="O18" s="61"/>
      <c r="P18" s="37"/>
      <c r="Q18" s="61"/>
      <c r="R18" s="61"/>
      <c r="S18" s="37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</row>
    <row r="19" spans="1:80" x14ac:dyDescent="0.25">
      <c r="F19" s="37"/>
      <c r="G19" s="37"/>
      <c r="H19" s="61"/>
      <c r="I19" s="61"/>
      <c r="J19" s="37"/>
      <c r="K19" s="61"/>
      <c r="L19" s="61"/>
      <c r="M19" s="37"/>
      <c r="N19" s="61"/>
      <c r="O19" s="61"/>
      <c r="P19" s="37"/>
      <c r="Q19" s="61"/>
      <c r="R19" s="61"/>
      <c r="S19" s="37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</row>
    <row r="20" spans="1:80" x14ac:dyDescent="0.25">
      <c r="A20" s="11" t="s">
        <v>156</v>
      </c>
      <c r="B20" s="11" t="s">
        <v>112</v>
      </c>
      <c r="C20" s="13" t="s">
        <v>116</v>
      </c>
      <c r="D20" s="30" t="s">
        <v>110</v>
      </c>
      <c r="E20" s="11">
        <f t="shared" ref="E20:S20" si="8">SUM(E22,E38,E49,E54,E58)</f>
        <v>0</v>
      </c>
      <c r="F20" s="53">
        <f t="shared" si="8"/>
        <v>6785</v>
      </c>
      <c r="G20" s="53">
        <f t="shared" si="8"/>
        <v>18191</v>
      </c>
      <c r="H20" s="62">
        <f t="shared" si="8"/>
        <v>17452</v>
      </c>
      <c r="I20" s="62">
        <f t="shared" si="8"/>
        <v>19162.5</v>
      </c>
      <c r="J20" s="53">
        <f t="shared" si="8"/>
        <v>21146.5</v>
      </c>
      <c r="K20" s="62">
        <f t="shared" si="8"/>
        <v>19693</v>
      </c>
      <c r="L20" s="62">
        <f t="shared" si="8"/>
        <v>22600</v>
      </c>
      <c r="M20" s="53">
        <f t="shared" si="8"/>
        <v>16785</v>
      </c>
      <c r="N20" s="62">
        <f t="shared" si="8"/>
        <v>15785</v>
      </c>
      <c r="O20" s="62">
        <f t="shared" si="8"/>
        <v>17785</v>
      </c>
      <c r="P20" s="53">
        <f t="shared" si="8"/>
        <v>11985</v>
      </c>
      <c r="Q20" s="62">
        <f t="shared" si="8"/>
        <v>11585</v>
      </c>
      <c r="R20" s="62">
        <f t="shared" si="8"/>
        <v>12385</v>
      </c>
      <c r="S20" s="53">
        <f t="shared" si="8"/>
        <v>51252.5</v>
      </c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</row>
    <row r="21" spans="1:80" x14ac:dyDescent="0.25">
      <c r="F21" s="37"/>
      <c r="G21" s="37"/>
      <c r="H21" s="61"/>
      <c r="I21" s="61"/>
      <c r="J21" s="37"/>
      <c r="K21" s="61"/>
      <c r="L21" s="61"/>
      <c r="M21" s="37"/>
      <c r="N21" s="61"/>
      <c r="O21" s="61"/>
      <c r="P21" s="37"/>
      <c r="Q21" s="61"/>
      <c r="R21" s="61"/>
      <c r="S21" s="37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</row>
    <row r="22" spans="1:80" x14ac:dyDescent="0.25">
      <c r="A22" s="7" t="s">
        <v>48</v>
      </c>
      <c r="B22" s="7" t="s">
        <v>49</v>
      </c>
      <c r="C22" s="12" t="s">
        <v>111</v>
      </c>
      <c r="D22" s="27" t="s">
        <v>110</v>
      </c>
      <c r="E22" s="7"/>
      <c r="F22" s="54">
        <f>SUM(F23:F36)</f>
        <v>4285</v>
      </c>
      <c r="G22" s="54">
        <f t="shared" ref="G22:S22" si="9">SUM(G23:G36)</f>
        <v>15691</v>
      </c>
      <c r="H22" s="63">
        <f t="shared" si="9"/>
        <v>14952</v>
      </c>
      <c r="I22" s="63">
        <f t="shared" si="9"/>
        <v>16662.5</v>
      </c>
      <c r="J22" s="54">
        <f t="shared" si="9"/>
        <v>4285</v>
      </c>
      <c r="K22" s="63">
        <f t="shared" si="9"/>
        <v>4285</v>
      </c>
      <c r="L22" s="63">
        <f t="shared" si="9"/>
        <v>4285</v>
      </c>
      <c r="M22" s="54">
        <f t="shared" si="9"/>
        <v>4285</v>
      </c>
      <c r="N22" s="63">
        <f t="shared" si="9"/>
        <v>4285</v>
      </c>
      <c r="O22" s="63">
        <f t="shared" si="9"/>
        <v>4285</v>
      </c>
      <c r="P22" s="54">
        <f t="shared" si="9"/>
        <v>4285</v>
      </c>
      <c r="Q22" s="63">
        <f t="shared" si="9"/>
        <v>4285</v>
      </c>
      <c r="R22" s="63">
        <f t="shared" si="9"/>
        <v>4285</v>
      </c>
      <c r="S22" s="54">
        <f t="shared" si="9"/>
        <v>15691</v>
      </c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</row>
    <row r="23" spans="1:80" s="22" customFormat="1" x14ac:dyDescent="0.25">
      <c r="B23" s="22" t="s">
        <v>71</v>
      </c>
      <c r="C23" s="22">
        <v>20</v>
      </c>
      <c r="D23" s="26"/>
      <c r="F23" s="46"/>
      <c r="G23" s="46">
        <f>$C23*MÉTRÉ!F15</f>
        <v>0</v>
      </c>
      <c r="H23" s="68">
        <f>$C23*MÉTRÉ!G15</f>
        <v>930</v>
      </c>
      <c r="I23" s="68">
        <f>$C23*MÉTRÉ!H15</f>
        <v>0</v>
      </c>
      <c r="J23" s="46"/>
      <c r="K23" s="68"/>
      <c r="L23" s="68"/>
      <c r="M23" s="46"/>
      <c r="N23" s="68"/>
      <c r="O23" s="68"/>
      <c r="P23" s="46"/>
      <c r="Q23" s="68"/>
      <c r="R23" s="68"/>
      <c r="S23" s="46">
        <f>$C23*MÉTRÉ!R15</f>
        <v>0</v>
      </c>
    </row>
    <row r="24" spans="1:80" s="22" customFormat="1" x14ac:dyDescent="0.25">
      <c r="B24" s="22" t="s">
        <v>66</v>
      </c>
      <c r="C24" s="22">
        <v>25</v>
      </c>
      <c r="F24" s="46"/>
      <c r="G24" s="46">
        <f>$C24*MÉTRÉ!F20</f>
        <v>1162.5</v>
      </c>
      <c r="H24" s="68">
        <f>$C24*MÉTRÉ!G20</f>
        <v>0</v>
      </c>
      <c r="I24" s="68">
        <f>$C24*MÉTRÉ!H20</f>
        <v>0</v>
      </c>
      <c r="J24" s="46"/>
      <c r="K24" s="68"/>
      <c r="L24" s="68"/>
      <c r="M24" s="46"/>
      <c r="N24" s="68"/>
      <c r="O24" s="68"/>
      <c r="P24" s="46"/>
      <c r="Q24" s="68"/>
      <c r="R24" s="68"/>
      <c r="S24" s="46">
        <f>$C24*MÉTRÉ!R20</f>
        <v>1162.5</v>
      </c>
    </row>
    <row r="25" spans="1:80" s="22" customFormat="1" x14ac:dyDescent="0.25">
      <c r="B25" s="22" t="s">
        <v>72</v>
      </c>
      <c r="C25" s="22">
        <v>30</v>
      </c>
      <c r="F25" s="46"/>
      <c r="G25" s="46">
        <f>$C25*MÉTRÉ!F25</f>
        <v>0</v>
      </c>
      <c r="H25" s="68">
        <f>$C25*MÉTRÉ!G25</f>
        <v>1857</v>
      </c>
      <c r="I25" s="68">
        <f>$C25*MÉTRÉ!H25</f>
        <v>0</v>
      </c>
      <c r="J25" s="46"/>
      <c r="K25" s="68"/>
      <c r="L25" s="68"/>
      <c r="M25" s="46"/>
      <c r="N25" s="68"/>
      <c r="O25" s="68"/>
      <c r="P25" s="46"/>
      <c r="Q25" s="68"/>
      <c r="R25" s="68"/>
      <c r="S25" s="46">
        <f>$C25*MÉTRÉ!R25</f>
        <v>0</v>
      </c>
    </row>
    <row r="26" spans="1:80" s="22" customFormat="1" x14ac:dyDescent="0.25">
      <c r="B26" s="22" t="s">
        <v>67</v>
      </c>
      <c r="C26" s="22">
        <v>35</v>
      </c>
      <c r="F26" s="46"/>
      <c r="G26" s="46">
        <f>$C26*MÉTRÉ!F30</f>
        <v>2166.5</v>
      </c>
      <c r="H26" s="68">
        <f>$C26*MÉTRÉ!G30</f>
        <v>0</v>
      </c>
      <c r="I26" s="68">
        <f>$C26*MÉTRÉ!H30</f>
        <v>1627.5</v>
      </c>
      <c r="J26" s="46"/>
      <c r="K26" s="68"/>
      <c r="L26" s="68"/>
      <c r="M26" s="46"/>
      <c r="N26" s="68"/>
      <c r="O26" s="68"/>
      <c r="P26" s="46"/>
      <c r="Q26" s="68"/>
      <c r="R26" s="68"/>
      <c r="S26" s="46">
        <f>$C26*MÉTRÉ!R30</f>
        <v>2166.5</v>
      </c>
    </row>
    <row r="27" spans="1:80" s="22" customFormat="1" x14ac:dyDescent="0.25">
      <c r="B27" s="22" t="s">
        <v>70</v>
      </c>
      <c r="C27" s="22">
        <v>40</v>
      </c>
      <c r="F27" s="46">
        <f>$C27*MÉTRÉ!E38</f>
        <v>1744</v>
      </c>
      <c r="G27" s="46">
        <f>$C27*MÉTRÉ!F38</f>
        <v>0</v>
      </c>
      <c r="H27" s="68">
        <f>$C27*MÉTRÉ!G38</f>
        <v>0</v>
      </c>
      <c r="I27" s="68">
        <f>$C27*MÉTRÉ!H38</f>
        <v>2476</v>
      </c>
      <c r="J27" s="46">
        <f>$C27*MÉTRÉ!I38</f>
        <v>1744</v>
      </c>
      <c r="K27" s="68">
        <f>$C27*MÉTRÉ!J38</f>
        <v>1744</v>
      </c>
      <c r="L27" s="68">
        <f>$C27*MÉTRÉ!K38</f>
        <v>1744</v>
      </c>
      <c r="M27" s="46">
        <f>$C27*MÉTRÉ!L38</f>
        <v>1744</v>
      </c>
      <c r="N27" s="68">
        <f>$C27*MÉTRÉ!M38</f>
        <v>1744</v>
      </c>
      <c r="O27" s="68">
        <f>$C27*MÉTRÉ!N38</f>
        <v>1744</v>
      </c>
      <c r="P27" s="46">
        <f>$C27*MÉTRÉ!O38</f>
        <v>1744</v>
      </c>
      <c r="Q27" s="68">
        <f>$C27*MÉTRÉ!P38</f>
        <v>1744</v>
      </c>
      <c r="R27" s="68">
        <f>$C27*MÉTRÉ!Q38</f>
        <v>1744</v>
      </c>
      <c r="S27" s="46">
        <f>$C27*MÉTRÉ!R38</f>
        <v>0</v>
      </c>
    </row>
    <row r="28" spans="1:80" s="22" customFormat="1" x14ac:dyDescent="0.25">
      <c r="B28" s="22" t="s">
        <v>74</v>
      </c>
      <c r="C28" s="22">
        <v>45</v>
      </c>
      <c r="F28" s="46"/>
      <c r="G28" s="46">
        <f>$C28*MÉTRÉ!F44</f>
        <v>0</v>
      </c>
      <c r="H28" s="68">
        <f>$C28*MÉTRÉ!G44</f>
        <v>1773</v>
      </c>
      <c r="I28" s="68">
        <f>$C28*MÉTRÉ!H44</f>
        <v>0</v>
      </c>
      <c r="J28" s="46"/>
      <c r="K28" s="68"/>
      <c r="L28" s="68"/>
      <c r="M28" s="46"/>
      <c r="N28" s="68"/>
      <c r="O28" s="68"/>
      <c r="P28" s="46"/>
      <c r="Q28" s="68"/>
      <c r="R28" s="68"/>
      <c r="S28" s="46">
        <f>$C28*MÉTRÉ!R44</f>
        <v>0</v>
      </c>
    </row>
    <row r="29" spans="1:80" s="22" customFormat="1" x14ac:dyDescent="0.25">
      <c r="B29" s="22" t="s">
        <v>68</v>
      </c>
      <c r="C29" s="22">
        <v>50</v>
      </c>
      <c r="F29" s="46"/>
      <c r="G29" s="46">
        <f>$C29*MÉTRÉ!F50</f>
        <v>1970</v>
      </c>
      <c r="H29" s="68">
        <f>$C29*MÉTRÉ!G50</f>
        <v>0</v>
      </c>
      <c r="I29" s="68">
        <f>$C29*MÉTRÉ!H50</f>
        <v>0</v>
      </c>
      <c r="J29" s="46"/>
      <c r="K29" s="68"/>
      <c r="L29" s="68"/>
      <c r="M29" s="46"/>
      <c r="N29" s="68"/>
      <c r="O29" s="68"/>
      <c r="P29" s="46"/>
      <c r="Q29" s="68"/>
      <c r="R29" s="68"/>
      <c r="S29" s="46">
        <f>$C29*MÉTRÉ!R50</f>
        <v>1970</v>
      </c>
    </row>
    <row r="30" spans="1:80" s="22" customFormat="1" x14ac:dyDescent="0.25">
      <c r="B30" s="22" t="s">
        <v>73</v>
      </c>
      <c r="C30" s="22">
        <v>55</v>
      </c>
      <c r="F30" s="46"/>
      <c r="G30" s="46">
        <f>$C30*MÉTRÉ!F56</f>
        <v>0</v>
      </c>
      <c r="H30" s="68">
        <f>$C30*MÉTRÉ!G56</f>
        <v>0</v>
      </c>
      <c r="I30" s="68">
        <f>$C30*MÉTRÉ!H56</f>
        <v>2167</v>
      </c>
      <c r="J30" s="46"/>
      <c r="K30" s="68"/>
      <c r="L30" s="68"/>
      <c r="M30" s="46"/>
      <c r="N30" s="68"/>
      <c r="O30" s="68"/>
      <c r="P30" s="46"/>
      <c r="Q30" s="68"/>
      <c r="R30" s="68"/>
      <c r="S30" s="46">
        <f>$C30*MÉTRÉ!R56</f>
        <v>0</v>
      </c>
    </row>
    <row r="31" spans="1:80" s="22" customFormat="1" x14ac:dyDescent="0.25">
      <c r="B31" s="22" t="s">
        <v>69</v>
      </c>
      <c r="C31" s="22">
        <v>30</v>
      </c>
      <c r="F31" s="46">
        <f>$C31*MÉTRÉ!E62</f>
        <v>2541</v>
      </c>
      <c r="G31" s="46">
        <f>$C31*MÉTRÉ!F62</f>
        <v>2541</v>
      </c>
      <c r="H31" s="68">
        <f>$C31*MÉTRÉ!G62</f>
        <v>2541</v>
      </c>
      <c r="I31" s="68">
        <f>$C31*MÉTRÉ!H62</f>
        <v>2541</v>
      </c>
      <c r="J31" s="46">
        <f>$C31*MÉTRÉ!I62</f>
        <v>2541</v>
      </c>
      <c r="K31" s="68">
        <f>$C31*MÉTRÉ!J62</f>
        <v>2541</v>
      </c>
      <c r="L31" s="68">
        <f>$C31*MÉTRÉ!K62</f>
        <v>2541</v>
      </c>
      <c r="M31" s="46">
        <f>$C31*MÉTRÉ!L62</f>
        <v>2541</v>
      </c>
      <c r="N31" s="68">
        <f>$C31*MÉTRÉ!M62</f>
        <v>2541</v>
      </c>
      <c r="O31" s="68">
        <f>$C31*MÉTRÉ!N62</f>
        <v>2541</v>
      </c>
      <c r="P31" s="46">
        <f>$C31*MÉTRÉ!O62</f>
        <v>2541</v>
      </c>
      <c r="Q31" s="68">
        <f>$C31*MÉTRÉ!P62</f>
        <v>2541</v>
      </c>
      <c r="R31" s="68">
        <f>$C31*MÉTRÉ!Q62</f>
        <v>2541</v>
      </c>
      <c r="S31" s="46">
        <f>$C31*MÉTRÉ!R62</f>
        <v>2541</v>
      </c>
    </row>
    <row r="32" spans="1:80" s="22" customFormat="1" x14ac:dyDescent="0.25">
      <c r="B32" s="22" t="s">
        <v>62</v>
      </c>
      <c r="C32" s="22">
        <v>10</v>
      </c>
      <c r="F32" s="46"/>
      <c r="G32" s="46">
        <f>$C32*MÉTRÉ!F68</f>
        <v>619</v>
      </c>
      <c r="H32" s="68">
        <f>$C32*MÉTRÉ!G68</f>
        <v>619</v>
      </c>
      <c r="I32" s="68">
        <f>$C32*MÉTRÉ!H68</f>
        <v>619</v>
      </c>
      <c r="J32" s="46"/>
      <c r="K32" s="68"/>
      <c r="L32" s="68"/>
      <c r="M32" s="46"/>
      <c r="N32" s="68"/>
      <c r="O32" s="68"/>
      <c r="P32" s="46"/>
      <c r="Q32" s="68"/>
      <c r="R32" s="68"/>
      <c r="S32" s="46">
        <f>$C32*MÉTRÉ!R68</f>
        <v>619</v>
      </c>
    </row>
    <row r="33" spans="1:80" s="22" customFormat="1" x14ac:dyDescent="0.25">
      <c r="B33" s="22" t="s">
        <v>168</v>
      </c>
      <c r="C33" s="22">
        <v>50</v>
      </c>
      <c r="F33" s="46"/>
      <c r="G33" s="46">
        <f>$C33*MÉTRÉ!F76</f>
        <v>3095</v>
      </c>
      <c r="H33" s="68">
        <f>$C33*MÉTRÉ!G76</f>
        <v>3095</v>
      </c>
      <c r="I33" s="68">
        <f>$C33*MÉTRÉ!H76</f>
        <v>3095</v>
      </c>
      <c r="J33" s="46"/>
      <c r="K33" s="68"/>
      <c r="L33" s="68"/>
      <c r="M33" s="46"/>
      <c r="N33" s="68"/>
      <c r="O33" s="68"/>
      <c r="P33" s="46"/>
      <c r="Q33" s="68"/>
      <c r="R33" s="68"/>
      <c r="S33" s="46">
        <f>$C33*MÉTRÉ!R76</f>
        <v>3095</v>
      </c>
    </row>
    <row r="34" spans="1:80" s="22" customFormat="1" x14ac:dyDescent="0.25">
      <c r="B34" s="22" t="s">
        <v>167</v>
      </c>
      <c r="C34" s="22">
        <v>15</v>
      </c>
      <c r="F34" s="46"/>
      <c r="G34" s="46">
        <f>$C34*MÉTRÉ!F82</f>
        <v>591</v>
      </c>
      <c r="H34" s="68">
        <f>$C34*MÉTRÉ!G82</f>
        <v>591</v>
      </c>
      <c r="I34" s="68">
        <f>$C34*MÉTRÉ!H82</f>
        <v>591</v>
      </c>
      <c r="J34" s="46"/>
      <c r="K34" s="68"/>
      <c r="L34" s="68"/>
      <c r="M34" s="46"/>
      <c r="N34" s="68"/>
      <c r="O34" s="68"/>
      <c r="P34" s="46"/>
      <c r="Q34" s="68"/>
      <c r="R34" s="68"/>
      <c r="S34" s="46">
        <f>$C34*MÉTRÉ!R82</f>
        <v>591</v>
      </c>
    </row>
    <row r="35" spans="1:80" s="22" customFormat="1" x14ac:dyDescent="0.25">
      <c r="B35" s="22" t="s">
        <v>64</v>
      </c>
      <c r="C35" s="22">
        <v>10</v>
      </c>
      <c r="F35" s="46"/>
      <c r="G35" s="46">
        <f>$C35*MÉTRÉ!F88</f>
        <v>394</v>
      </c>
      <c r="H35" s="68">
        <f>$C35*MÉTRÉ!G88</f>
        <v>394</v>
      </c>
      <c r="I35" s="68">
        <f>$C35*MÉTRÉ!H88</f>
        <v>394</v>
      </c>
      <c r="J35" s="46"/>
      <c r="K35" s="68"/>
      <c r="L35" s="68"/>
      <c r="M35" s="46"/>
      <c r="N35" s="68"/>
      <c r="O35" s="68"/>
      <c r="P35" s="46"/>
      <c r="Q35" s="68"/>
      <c r="R35" s="68"/>
      <c r="S35" s="46">
        <f>$C35*MÉTRÉ!R88</f>
        <v>394</v>
      </c>
    </row>
    <row r="36" spans="1:80" s="22" customFormat="1" x14ac:dyDescent="0.25">
      <c r="B36" s="22" t="s">
        <v>63</v>
      </c>
      <c r="C36" s="22">
        <v>80</v>
      </c>
      <c r="F36" s="46"/>
      <c r="G36" s="46">
        <f>$C36*MÉTRÉ!F93</f>
        <v>3152</v>
      </c>
      <c r="H36" s="68">
        <f>$C36*MÉTRÉ!G93</f>
        <v>3152</v>
      </c>
      <c r="I36" s="68">
        <f>$C36*MÉTRÉ!H93</f>
        <v>3152</v>
      </c>
      <c r="J36" s="46"/>
      <c r="K36" s="68"/>
      <c r="L36" s="68"/>
      <c r="M36" s="46"/>
      <c r="N36" s="68"/>
      <c r="O36" s="68"/>
      <c r="P36" s="46"/>
      <c r="Q36" s="68"/>
      <c r="R36" s="68"/>
      <c r="S36" s="46">
        <f>$C36*MÉTRÉ!R93</f>
        <v>3152</v>
      </c>
    </row>
    <row r="37" spans="1:80" x14ac:dyDescent="0.25">
      <c r="F37" s="37"/>
      <c r="G37" s="37"/>
      <c r="H37" s="61"/>
      <c r="I37" s="61"/>
      <c r="J37" s="37"/>
      <c r="K37" s="61"/>
      <c r="L37" s="61"/>
      <c r="M37" s="37"/>
      <c r="N37" s="61"/>
      <c r="O37" s="61"/>
      <c r="P37" s="37"/>
      <c r="Q37" s="61"/>
      <c r="R37" s="61"/>
      <c r="S37" s="37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</row>
    <row r="38" spans="1:80" s="7" customFormat="1" x14ac:dyDescent="0.25">
      <c r="A38" s="7" t="s">
        <v>65</v>
      </c>
      <c r="B38" s="7" t="s">
        <v>49</v>
      </c>
      <c r="C38" s="12" t="s">
        <v>111</v>
      </c>
      <c r="D38" s="27" t="s">
        <v>110</v>
      </c>
      <c r="F38" s="54"/>
      <c r="G38" s="54"/>
      <c r="H38" s="63"/>
      <c r="I38" s="63"/>
      <c r="J38" s="54">
        <f>SUM(J42:J44)</f>
        <v>14361.5</v>
      </c>
      <c r="K38" s="63">
        <f>SUM(K39:K41)</f>
        <v>12908</v>
      </c>
      <c r="L38" s="63">
        <f>SUM(L45:L47)</f>
        <v>15815</v>
      </c>
      <c r="M38" s="54"/>
      <c r="N38" s="63"/>
      <c r="O38" s="63"/>
      <c r="P38" s="54"/>
      <c r="Q38" s="63"/>
      <c r="R38" s="63"/>
      <c r="S38" s="54">
        <f>SUM(S42:S44)</f>
        <v>14361.5</v>
      </c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</row>
    <row r="39" spans="1:80" x14ac:dyDescent="0.25">
      <c r="B39" s="22" t="s">
        <v>160</v>
      </c>
      <c r="C39">
        <v>400</v>
      </c>
      <c r="E39" s="22"/>
      <c r="F39" s="46"/>
      <c r="G39" s="46"/>
      <c r="H39" s="68"/>
      <c r="I39" s="68"/>
      <c r="K39" s="68">
        <f>$C39*MÉTRÉ!J99</f>
        <v>6572</v>
      </c>
      <c r="M39" s="46"/>
      <c r="N39" s="68"/>
      <c r="O39" s="68"/>
      <c r="P39" s="46"/>
      <c r="Q39" s="68"/>
      <c r="R39" s="68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</row>
    <row r="40" spans="1:80" s="22" customFormat="1" x14ac:dyDescent="0.25">
      <c r="B40" s="22" t="s">
        <v>161</v>
      </c>
      <c r="C40">
        <v>450</v>
      </c>
      <c r="F40" s="46"/>
      <c r="G40" s="46"/>
      <c r="H40" s="68"/>
      <c r="I40" s="68"/>
      <c r="K40" s="68">
        <f>$C40*MÉTRÉ!J110</f>
        <v>2772</v>
      </c>
      <c r="L40" s="25"/>
      <c r="M40" s="46"/>
      <c r="N40" s="68"/>
      <c r="O40" s="68"/>
      <c r="P40" s="46"/>
      <c r="Q40" s="68"/>
      <c r="R40" s="68"/>
    </row>
    <row r="41" spans="1:80" s="22" customFormat="1" x14ac:dyDescent="0.25">
      <c r="B41" s="22" t="s">
        <v>166</v>
      </c>
      <c r="C41">
        <v>550</v>
      </c>
      <c r="F41" s="46"/>
      <c r="G41" s="46"/>
      <c r="H41" s="68"/>
      <c r="I41" s="68"/>
      <c r="K41" s="68">
        <f>$C41*MÉTRÉ!J113</f>
        <v>3564.0000000000005</v>
      </c>
      <c r="L41" s="25"/>
      <c r="M41" s="46"/>
      <c r="N41" s="68"/>
      <c r="O41" s="68"/>
      <c r="P41" s="46"/>
      <c r="Q41" s="68"/>
      <c r="R41" s="68"/>
    </row>
    <row r="42" spans="1:80" s="22" customFormat="1" x14ac:dyDescent="0.25">
      <c r="B42" s="22" t="s">
        <v>162</v>
      </c>
      <c r="C42">
        <v>450</v>
      </c>
      <c r="F42" s="46"/>
      <c r="G42" s="46"/>
      <c r="H42" s="68"/>
      <c r="I42" s="68"/>
      <c r="J42" s="46">
        <f>$C42*MÉTRÉ!I99</f>
        <v>7393.5</v>
      </c>
      <c r="K42" s="25"/>
      <c r="L42" s="68"/>
      <c r="M42" s="46"/>
      <c r="N42" s="68"/>
      <c r="O42" s="68"/>
      <c r="P42" s="46"/>
      <c r="Q42" s="68"/>
      <c r="R42" s="68"/>
      <c r="S42" s="46">
        <f>$C42*MÉTRÉ!R99</f>
        <v>7393.5</v>
      </c>
    </row>
    <row r="43" spans="1:80" s="22" customFormat="1" x14ac:dyDescent="0.25">
      <c r="B43" s="22" t="s">
        <v>163</v>
      </c>
      <c r="C43">
        <v>500</v>
      </c>
      <c r="F43" s="46"/>
      <c r="G43" s="46"/>
      <c r="H43" s="68"/>
      <c r="I43" s="68"/>
      <c r="J43" s="46">
        <f>$C43*MÉTRÉ!I110</f>
        <v>3080</v>
      </c>
      <c r="K43" s="25"/>
      <c r="L43" s="68"/>
      <c r="M43" s="46"/>
      <c r="N43" s="68"/>
      <c r="O43" s="68"/>
      <c r="P43" s="46"/>
      <c r="Q43" s="68"/>
      <c r="R43" s="68"/>
      <c r="S43" s="46">
        <f>$C43*MÉTRÉ!R110</f>
        <v>3080</v>
      </c>
    </row>
    <row r="44" spans="1:80" s="22" customFormat="1" x14ac:dyDescent="0.25">
      <c r="B44" s="22" t="s">
        <v>164</v>
      </c>
      <c r="C44">
        <v>600</v>
      </c>
      <c r="F44" s="46"/>
      <c r="G44" s="46"/>
      <c r="H44" s="68"/>
      <c r="I44" s="68"/>
      <c r="J44" s="46">
        <f>$C44*MÉTRÉ!I113</f>
        <v>3888.0000000000005</v>
      </c>
      <c r="K44" s="25"/>
      <c r="L44" s="68"/>
      <c r="M44" s="46"/>
      <c r="N44" s="68"/>
      <c r="O44" s="68"/>
      <c r="P44" s="46"/>
      <c r="Q44" s="68"/>
      <c r="R44" s="68"/>
      <c r="S44" s="46">
        <f>$C44*MÉTRÉ!R113</f>
        <v>3888.0000000000005</v>
      </c>
    </row>
    <row r="45" spans="1:80" s="22" customFormat="1" x14ac:dyDescent="0.25">
      <c r="B45" s="22" t="s">
        <v>158</v>
      </c>
      <c r="C45">
        <v>500</v>
      </c>
      <c r="F45" s="46"/>
      <c r="G45" s="46"/>
      <c r="H45" s="68"/>
      <c r="I45" s="68"/>
      <c r="J45" s="46"/>
      <c r="K45" s="68"/>
      <c r="L45" s="68">
        <f>$C45*MÉTRÉ!K99</f>
        <v>8215</v>
      </c>
      <c r="M45" s="46"/>
      <c r="N45" s="68"/>
      <c r="O45" s="68"/>
      <c r="P45" s="46"/>
      <c r="Q45" s="68"/>
      <c r="R45" s="68"/>
      <c r="S45" s="46"/>
    </row>
    <row r="46" spans="1:80" s="22" customFormat="1" x14ac:dyDescent="0.25">
      <c r="B46" s="22" t="s">
        <v>159</v>
      </c>
      <c r="C46">
        <v>550</v>
      </c>
      <c r="F46" s="46"/>
      <c r="G46" s="46"/>
      <c r="H46" s="68"/>
      <c r="I46" s="68"/>
      <c r="J46" s="46"/>
      <c r="K46" s="68"/>
      <c r="L46" s="68">
        <f>$C46*MÉTRÉ!K110</f>
        <v>3388</v>
      </c>
      <c r="M46" s="46"/>
      <c r="N46" s="68"/>
      <c r="O46" s="68"/>
      <c r="P46" s="46"/>
      <c r="Q46" s="68"/>
      <c r="R46" s="68"/>
      <c r="S46" s="46"/>
    </row>
    <row r="47" spans="1:80" s="22" customFormat="1" x14ac:dyDescent="0.25">
      <c r="B47" s="22" t="s">
        <v>165</v>
      </c>
      <c r="C47">
        <v>650</v>
      </c>
      <c r="F47" s="46"/>
      <c r="G47" s="46"/>
      <c r="H47" s="68"/>
      <c r="I47" s="68"/>
      <c r="J47" s="46"/>
      <c r="K47" s="68"/>
      <c r="L47" s="68">
        <f>$C47*MÉTRÉ!K113</f>
        <v>4212</v>
      </c>
      <c r="M47" s="46"/>
      <c r="N47" s="68"/>
      <c r="O47" s="68"/>
      <c r="P47" s="46"/>
      <c r="Q47" s="68"/>
      <c r="R47" s="68"/>
      <c r="S47" s="46"/>
    </row>
    <row r="48" spans="1:80" x14ac:dyDescent="0.25">
      <c r="F48" s="37"/>
      <c r="G48" s="37"/>
      <c r="H48" s="61"/>
      <c r="I48" s="61"/>
      <c r="J48" s="37"/>
      <c r="K48" s="61"/>
      <c r="L48" s="61"/>
      <c r="M48" s="37"/>
      <c r="N48" s="61"/>
      <c r="O48" s="61"/>
      <c r="P48" s="37"/>
      <c r="Q48" s="61"/>
      <c r="R48" s="61"/>
      <c r="S48" s="37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</row>
    <row r="49" spans="1:80" s="7" customFormat="1" x14ac:dyDescent="0.25">
      <c r="A49" s="7" t="s">
        <v>88</v>
      </c>
      <c r="B49" s="7" t="s">
        <v>49</v>
      </c>
      <c r="C49" s="12" t="s">
        <v>113</v>
      </c>
      <c r="D49" s="27" t="s">
        <v>110</v>
      </c>
      <c r="F49" s="54"/>
      <c r="G49" s="54"/>
      <c r="H49" s="63"/>
      <c r="I49" s="63"/>
      <c r="J49" s="54"/>
      <c r="K49" s="63"/>
      <c r="L49" s="63"/>
      <c r="M49" s="54">
        <f t="shared" ref="M49:S49" si="10">SUM(M50:M52)</f>
        <v>10000</v>
      </c>
      <c r="N49" s="63">
        <f t="shared" si="10"/>
        <v>9000</v>
      </c>
      <c r="O49" s="63">
        <f t="shared" si="10"/>
        <v>11000</v>
      </c>
      <c r="P49" s="54"/>
      <c r="Q49" s="63"/>
      <c r="R49" s="63"/>
      <c r="S49" s="54">
        <f t="shared" si="10"/>
        <v>10000</v>
      </c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</row>
    <row r="50" spans="1:80" s="22" customFormat="1" x14ac:dyDescent="0.25">
      <c r="B50" s="28" t="s">
        <v>98</v>
      </c>
      <c r="C50" s="22">
        <v>9000</v>
      </c>
      <c r="F50" s="46"/>
      <c r="G50" s="46"/>
      <c r="H50" s="68"/>
      <c r="I50" s="68"/>
      <c r="J50" s="46"/>
      <c r="K50" s="68"/>
      <c r="L50" s="68"/>
      <c r="M50" s="46">
        <f>$C50*MÉTRÉ!L118</f>
        <v>0</v>
      </c>
      <c r="N50" s="68">
        <f>$C50*MÉTRÉ!M118</f>
        <v>9000</v>
      </c>
      <c r="O50" s="68">
        <f>$C50*MÉTRÉ!N118</f>
        <v>0</v>
      </c>
      <c r="P50" s="46"/>
      <c r="Q50" s="68"/>
      <c r="R50" s="68"/>
      <c r="S50" s="46">
        <f>$C50*MÉTRÉ!R118</f>
        <v>0</v>
      </c>
    </row>
    <row r="51" spans="1:80" s="22" customFormat="1" x14ac:dyDescent="0.25">
      <c r="B51" s="28" t="s">
        <v>99</v>
      </c>
      <c r="C51" s="22">
        <v>10000</v>
      </c>
      <c r="F51" s="46"/>
      <c r="G51" s="46"/>
      <c r="H51" s="68"/>
      <c r="I51" s="68"/>
      <c r="J51" s="46"/>
      <c r="K51" s="68"/>
      <c r="L51" s="68"/>
      <c r="M51" s="46">
        <f>$C51*MÉTRÉ!L119</f>
        <v>10000</v>
      </c>
      <c r="N51" s="68">
        <f>$C51*MÉTRÉ!M119</f>
        <v>0</v>
      </c>
      <c r="O51" s="68">
        <f>$C51*MÉTRÉ!N119</f>
        <v>0</v>
      </c>
      <c r="P51" s="46"/>
      <c r="Q51" s="68"/>
      <c r="R51" s="68"/>
      <c r="S51" s="46">
        <f>$C51*MÉTRÉ!R119</f>
        <v>10000</v>
      </c>
    </row>
    <row r="52" spans="1:80" s="22" customFormat="1" x14ac:dyDescent="0.25">
      <c r="B52" s="28" t="s">
        <v>100</v>
      </c>
      <c r="C52" s="22">
        <v>11000</v>
      </c>
      <c r="F52" s="46"/>
      <c r="G52" s="46"/>
      <c r="H52" s="68"/>
      <c r="I52" s="68"/>
      <c r="J52" s="46"/>
      <c r="K52" s="68"/>
      <c r="L52" s="68"/>
      <c r="M52" s="46">
        <f>$C52*MÉTRÉ!L120</f>
        <v>0</v>
      </c>
      <c r="N52" s="68">
        <f>$C52*MÉTRÉ!M120</f>
        <v>0</v>
      </c>
      <c r="O52" s="68">
        <f>$C52*MÉTRÉ!N120</f>
        <v>11000</v>
      </c>
      <c r="P52" s="46"/>
      <c r="Q52" s="68"/>
      <c r="R52" s="68"/>
      <c r="S52" s="46">
        <f>$C52*MÉTRÉ!R120</f>
        <v>0</v>
      </c>
    </row>
    <row r="53" spans="1:80" s="22" customFormat="1" x14ac:dyDescent="0.25">
      <c r="F53" s="46"/>
      <c r="G53" s="46"/>
      <c r="H53" s="68"/>
      <c r="I53" s="68"/>
      <c r="J53" s="46"/>
      <c r="K53" s="68"/>
      <c r="L53" s="68"/>
      <c r="M53" s="46"/>
      <c r="N53" s="68"/>
      <c r="O53" s="68"/>
      <c r="P53" s="46"/>
      <c r="Q53" s="68"/>
      <c r="R53" s="68"/>
      <c r="S53" s="46"/>
    </row>
    <row r="54" spans="1:80" s="7" customFormat="1" x14ac:dyDescent="0.25">
      <c r="A54" s="7" t="s">
        <v>96</v>
      </c>
      <c r="B54" s="7" t="s">
        <v>49</v>
      </c>
      <c r="C54" s="12" t="s">
        <v>113</v>
      </c>
      <c r="D54" s="27" t="s">
        <v>110</v>
      </c>
      <c r="F54" s="54">
        <f>SUM(F55:F56)</f>
        <v>2500</v>
      </c>
      <c r="G54" s="54">
        <f t="shared" ref="G54:S54" si="11">SUM(G55:G56)</f>
        <v>2500</v>
      </c>
      <c r="H54" s="63">
        <f t="shared" si="11"/>
        <v>2500</v>
      </c>
      <c r="I54" s="63">
        <f t="shared" si="11"/>
        <v>2500</v>
      </c>
      <c r="J54" s="54">
        <f t="shared" si="11"/>
        <v>2500</v>
      </c>
      <c r="K54" s="63">
        <f t="shared" si="11"/>
        <v>2500</v>
      </c>
      <c r="L54" s="63">
        <f t="shared" si="11"/>
        <v>2500</v>
      </c>
      <c r="M54" s="54">
        <f t="shared" si="11"/>
        <v>2500</v>
      </c>
      <c r="N54" s="63">
        <f t="shared" si="11"/>
        <v>2500</v>
      </c>
      <c r="O54" s="63">
        <f t="shared" si="11"/>
        <v>2500</v>
      </c>
      <c r="P54" s="54">
        <f t="shared" si="11"/>
        <v>2500</v>
      </c>
      <c r="Q54" s="63">
        <f t="shared" si="11"/>
        <v>2500</v>
      </c>
      <c r="R54" s="63">
        <f t="shared" si="11"/>
        <v>2500</v>
      </c>
      <c r="S54" s="54">
        <f t="shared" si="11"/>
        <v>6000</v>
      </c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</row>
    <row r="55" spans="1:80" s="22" customFormat="1" x14ac:dyDescent="0.25">
      <c r="B55" s="22" t="s">
        <v>97</v>
      </c>
      <c r="C55" s="22">
        <v>2500</v>
      </c>
      <c r="F55" s="46">
        <f>$C55*MÉTRÉ!E123</f>
        <v>2500</v>
      </c>
      <c r="G55" s="46">
        <f>$C55*MÉTRÉ!F123</f>
        <v>2500</v>
      </c>
      <c r="H55" s="68">
        <f>$C55*MÉTRÉ!G123</f>
        <v>2500</v>
      </c>
      <c r="I55" s="68">
        <f>$C55*MÉTRÉ!H123</f>
        <v>2500</v>
      </c>
      <c r="J55" s="46">
        <f>$C55*MÉTRÉ!I123</f>
        <v>2500</v>
      </c>
      <c r="K55" s="68">
        <f>$C55*MÉTRÉ!J123</f>
        <v>2500</v>
      </c>
      <c r="L55" s="68">
        <f>$C55*MÉTRÉ!K123</f>
        <v>2500</v>
      </c>
      <c r="M55" s="46">
        <f>$C55*MÉTRÉ!L123</f>
        <v>2500</v>
      </c>
      <c r="N55" s="68">
        <f>$C55*MÉTRÉ!M123</f>
        <v>2500</v>
      </c>
      <c r="O55" s="68">
        <f>$C55*MÉTRÉ!N123</f>
        <v>2500</v>
      </c>
      <c r="P55" s="46">
        <f>$C55*MÉTRÉ!O123</f>
        <v>2500</v>
      </c>
      <c r="Q55" s="68">
        <f>$C55*MÉTRÉ!P123</f>
        <v>2500</v>
      </c>
      <c r="R55" s="68">
        <f>$C55*MÉTRÉ!Q123</f>
        <v>2500</v>
      </c>
      <c r="S55" s="46">
        <f>$C55*MÉTRÉ!R123</f>
        <v>0</v>
      </c>
    </row>
    <row r="56" spans="1:80" s="22" customFormat="1" x14ac:dyDescent="0.25">
      <c r="B56" s="22" t="s">
        <v>91</v>
      </c>
      <c r="C56" s="22">
        <v>6000</v>
      </c>
      <c r="F56" s="46">
        <f>$C56*MÉTRÉ!E124</f>
        <v>0</v>
      </c>
      <c r="G56" s="46">
        <f>$C56*MÉTRÉ!F124</f>
        <v>0</v>
      </c>
      <c r="H56" s="68">
        <f>$C56*MÉTRÉ!G124</f>
        <v>0</v>
      </c>
      <c r="I56" s="68">
        <f>$C56*MÉTRÉ!H124</f>
        <v>0</v>
      </c>
      <c r="J56" s="46">
        <f>$C56*MÉTRÉ!I124</f>
        <v>0</v>
      </c>
      <c r="K56" s="68">
        <f>$C56*MÉTRÉ!J124</f>
        <v>0</v>
      </c>
      <c r="L56" s="68">
        <f>$C56*MÉTRÉ!K124</f>
        <v>0</v>
      </c>
      <c r="M56" s="46">
        <f>$C56*MÉTRÉ!L124</f>
        <v>0</v>
      </c>
      <c r="N56" s="68">
        <f>$C56*MÉTRÉ!M124</f>
        <v>0</v>
      </c>
      <c r="O56" s="68">
        <f>$C56*MÉTRÉ!N124</f>
        <v>0</v>
      </c>
      <c r="P56" s="46">
        <f>$C56*MÉTRÉ!O124</f>
        <v>0</v>
      </c>
      <c r="Q56" s="68">
        <f>$C56*MÉTRÉ!P124</f>
        <v>0</v>
      </c>
      <c r="R56" s="68">
        <f>$C56*MÉTRÉ!Q124</f>
        <v>0</v>
      </c>
      <c r="S56" s="46">
        <f>$C56*MÉTRÉ!R124</f>
        <v>6000</v>
      </c>
    </row>
    <row r="57" spans="1:80" x14ac:dyDescent="0.25">
      <c r="F57" s="37"/>
      <c r="G57" s="37"/>
      <c r="H57" s="61"/>
      <c r="I57" s="61"/>
      <c r="J57" s="37"/>
      <c r="K57" s="61"/>
      <c r="L57" s="61"/>
      <c r="M57" s="37"/>
      <c r="N57" s="61"/>
      <c r="O57" s="61"/>
      <c r="P57" s="37"/>
      <c r="Q57" s="61"/>
      <c r="R57" s="61"/>
      <c r="S57" s="37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</row>
    <row r="58" spans="1:80" s="7" customFormat="1" x14ac:dyDescent="0.25">
      <c r="A58" s="7" t="s">
        <v>9</v>
      </c>
      <c r="B58" s="7" t="s">
        <v>49</v>
      </c>
      <c r="C58" s="12" t="s">
        <v>111</v>
      </c>
      <c r="D58" s="27" t="s">
        <v>110</v>
      </c>
      <c r="F58" s="54"/>
      <c r="G58" s="54"/>
      <c r="H58" s="63"/>
      <c r="I58" s="63"/>
      <c r="J58" s="54"/>
      <c r="K58" s="63"/>
      <c r="L58" s="63"/>
      <c r="M58" s="54"/>
      <c r="N58" s="63"/>
      <c r="O58" s="63"/>
      <c r="P58" s="54">
        <f t="shared" ref="P58:S58" si="12">SUM(P59:P61)</f>
        <v>5200</v>
      </c>
      <c r="Q58" s="63">
        <f t="shared" si="12"/>
        <v>4800</v>
      </c>
      <c r="R58" s="63">
        <f t="shared" si="12"/>
        <v>5600</v>
      </c>
      <c r="S58" s="54">
        <f t="shared" si="12"/>
        <v>5200</v>
      </c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</row>
    <row r="59" spans="1:80" s="28" customFormat="1" x14ac:dyDescent="0.25">
      <c r="B59" s="28" t="s">
        <v>188</v>
      </c>
      <c r="C59" s="28">
        <v>600</v>
      </c>
      <c r="E59" s="22"/>
      <c r="F59" s="46"/>
      <c r="G59" s="46"/>
      <c r="H59" s="68"/>
      <c r="I59" s="68"/>
      <c r="J59" s="46"/>
      <c r="K59" s="68"/>
      <c r="L59" s="68"/>
      <c r="M59" s="46"/>
      <c r="N59" s="68"/>
      <c r="O59" s="68"/>
      <c r="P59" s="46">
        <f>$C59*MÉTRÉ!O127</f>
        <v>0</v>
      </c>
      <c r="Q59" s="68">
        <f>$C59*MÉTRÉ!P127</f>
        <v>4800</v>
      </c>
      <c r="R59" s="68">
        <f>$C59*MÉTRÉ!Q127</f>
        <v>0</v>
      </c>
      <c r="S59" s="46">
        <f>$C59*MÉTRÉ!R127</f>
        <v>0</v>
      </c>
    </row>
    <row r="60" spans="1:80" s="28" customFormat="1" x14ac:dyDescent="0.25">
      <c r="B60" s="28" t="s">
        <v>189</v>
      </c>
      <c r="C60" s="28">
        <v>650</v>
      </c>
      <c r="E60" s="22"/>
      <c r="F60" s="46"/>
      <c r="G60" s="46"/>
      <c r="H60" s="68"/>
      <c r="I60" s="68"/>
      <c r="J60" s="46"/>
      <c r="K60" s="68"/>
      <c r="L60" s="68"/>
      <c r="M60" s="46"/>
      <c r="N60" s="68"/>
      <c r="O60" s="68"/>
      <c r="P60" s="46">
        <f>$C60*MÉTRÉ!O128</f>
        <v>5200</v>
      </c>
      <c r="Q60" s="68">
        <f>$C60*MÉTRÉ!P128</f>
        <v>0</v>
      </c>
      <c r="R60" s="68">
        <f>$C60*MÉTRÉ!Q128</f>
        <v>0</v>
      </c>
      <c r="S60" s="46">
        <f>$C60*MÉTRÉ!R128</f>
        <v>5200</v>
      </c>
    </row>
    <row r="61" spans="1:80" s="28" customFormat="1" x14ac:dyDescent="0.25">
      <c r="B61" s="28" t="s">
        <v>95</v>
      </c>
      <c r="C61" s="28">
        <v>700</v>
      </c>
      <c r="E61" s="22"/>
      <c r="F61" s="46"/>
      <c r="G61" s="46"/>
      <c r="H61" s="68"/>
      <c r="I61" s="68"/>
      <c r="J61" s="46"/>
      <c r="K61" s="68"/>
      <c r="L61" s="68"/>
      <c r="M61" s="46"/>
      <c r="N61" s="68"/>
      <c r="O61" s="68"/>
      <c r="P61" s="46">
        <f>$C61*MÉTRÉ!O129</f>
        <v>0</v>
      </c>
      <c r="Q61" s="68">
        <f>$C61*MÉTRÉ!P129</f>
        <v>0</v>
      </c>
      <c r="R61" s="68">
        <f>$C61*MÉTRÉ!Q129</f>
        <v>5600</v>
      </c>
      <c r="S61" s="46">
        <f>$C61*MÉTRÉ!R129</f>
        <v>0</v>
      </c>
    </row>
    <row r="62" spans="1:80" s="28" customFormat="1" x14ac:dyDescent="0.25">
      <c r="F62" s="55"/>
      <c r="G62" s="55"/>
      <c r="H62" s="68"/>
      <c r="I62" s="68"/>
      <c r="J62" s="55"/>
      <c r="K62" s="68"/>
      <c r="L62" s="68"/>
      <c r="M62" s="55"/>
      <c r="N62" s="68"/>
      <c r="O62" s="68"/>
      <c r="P62" s="55"/>
      <c r="Q62" s="68"/>
      <c r="R62" s="68"/>
      <c r="S62" s="55"/>
    </row>
    <row r="63" spans="1:80" s="28" customFormat="1" x14ac:dyDescent="0.25">
      <c r="F63" s="55"/>
      <c r="G63" s="55"/>
      <c r="H63" s="68"/>
      <c r="I63" s="68"/>
      <c r="J63" s="55"/>
      <c r="K63" s="68"/>
      <c r="L63" s="68"/>
      <c r="M63" s="55"/>
      <c r="N63" s="68"/>
      <c r="O63" s="68"/>
      <c r="P63" s="55"/>
      <c r="Q63" s="68"/>
      <c r="R63" s="68"/>
      <c r="S63" s="55"/>
    </row>
    <row r="64" spans="1:80" x14ac:dyDescent="0.25">
      <c r="A64" s="11" t="s">
        <v>121</v>
      </c>
      <c r="B64" s="11" t="s">
        <v>112</v>
      </c>
      <c r="C64" s="13"/>
      <c r="D64" s="30"/>
      <c r="E64" s="11"/>
      <c r="F64" s="53">
        <f>F65+$C$66</f>
        <v>1564.1999999999998</v>
      </c>
      <c r="G64" s="53">
        <f t="shared" ref="G64:S64" si="13">G65+$C$66</f>
        <v>2932.92</v>
      </c>
      <c r="H64" s="62">
        <f t="shared" si="13"/>
        <v>2844.24</v>
      </c>
      <c r="I64" s="62">
        <f t="shared" si="13"/>
        <v>3049.5</v>
      </c>
      <c r="J64" s="53">
        <f t="shared" si="13"/>
        <v>3287.58</v>
      </c>
      <c r="K64" s="62">
        <f t="shared" si="13"/>
        <v>3113.16</v>
      </c>
      <c r="L64" s="62">
        <f t="shared" si="13"/>
        <v>3462</v>
      </c>
      <c r="M64" s="53">
        <f t="shared" si="13"/>
        <v>2764.2</v>
      </c>
      <c r="N64" s="62">
        <f t="shared" si="13"/>
        <v>2644.2</v>
      </c>
      <c r="O64" s="62">
        <f t="shared" si="13"/>
        <v>2884.2</v>
      </c>
      <c r="P64" s="53">
        <f t="shared" si="13"/>
        <v>2188.1999999999998</v>
      </c>
      <c r="Q64" s="62">
        <f t="shared" si="13"/>
        <v>2140.1999999999998</v>
      </c>
      <c r="R64" s="62">
        <f t="shared" si="13"/>
        <v>2236.1999999999998</v>
      </c>
      <c r="S64" s="53">
        <f t="shared" si="13"/>
        <v>6900.3</v>
      </c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</row>
    <row r="65" spans="2:19" x14ac:dyDescent="0.25">
      <c r="B65" t="s">
        <v>124</v>
      </c>
      <c r="C65">
        <v>0.12</v>
      </c>
      <c r="D65" t="s">
        <v>122</v>
      </c>
      <c r="F65" s="37">
        <f t="shared" ref="F65:S65" si="14">$C$65*SUM(F12:F16)</f>
        <v>814.19999999999993</v>
      </c>
      <c r="G65" s="37">
        <f t="shared" si="14"/>
        <v>2182.92</v>
      </c>
      <c r="H65" s="61">
        <f t="shared" si="14"/>
        <v>2094.2399999999998</v>
      </c>
      <c r="I65" s="61">
        <f t="shared" si="14"/>
        <v>2299.5</v>
      </c>
      <c r="J65" s="37">
        <f t="shared" si="14"/>
        <v>2537.58</v>
      </c>
      <c r="K65" s="61">
        <f t="shared" si="14"/>
        <v>2363.16</v>
      </c>
      <c r="L65" s="61">
        <f t="shared" si="14"/>
        <v>2712</v>
      </c>
      <c r="M65" s="37">
        <f t="shared" si="14"/>
        <v>2014.1999999999998</v>
      </c>
      <c r="N65" s="61">
        <f t="shared" si="14"/>
        <v>1894.1999999999998</v>
      </c>
      <c r="O65" s="61">
        <f t="shared" si="14"/>
        <v>2134.1999999999998</v>
      </c>
      <c r="P65" s="37">
        <f t="shared" si="14"/>
        <v>1438.2</v>
      </c>
      <c r="Q65" s="61">
        <f t="shared" si="14"/>
        <v>1390.2</v>
      </c>
      <c r="R65" s="61">
        <f t="shared" si="14"/>
        <v>1486.2</v>
      </c>
      <c r="S65" s="37">
        <f t="shared" si="14"/>
        <v>6150.3</v>
      </c>
    </row>
    <row r="66" spans="2:19" x14ac:dyDescent="0.25">
      <c r="B66" t="s">
        <v>123</v>
      </c>
      <c r="C66">
        <v>750</v>
      </c>
      <c r="D66" t="s">
        <v>110</v>
      </c>
    </row>
  </sheetData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A7ECD-0F31-4A1F-AD88-C6882EBC470E}">
  <dimension ref="A1:T25"/>
  <sheetViews>
    <sheetView workbookViewId="0">
      <pane ySplit="1" topLeftCell="A2" activePane="bottomLeft" state="frozen"/>
      <selection pane="bottomLeft" activeCell="E5" sqref="E5"/>
    </sheetView>
  </sheetViews>
  <sheetFormatPr baseColWidth="10" defaultRowHeight="15" x14ac:dyDescent="0.25"/>
  <cols>
    <col min="1" max="1" width="14.42578125" bestFit="1" customWidth="1"/>
    <col min="2" max="2" width="18.28515625" bestFit="1" customWidth="1"/>
    <col min="3" max="3" width="29.140625" bestFit="1" customWidth="1"/>
    <col min="4" max="4" width="23" bestFit="1" customWidth="1"/>
    <col min="5" max="5" width="6.5703125" style="41" customWidth="1"/>
    <col min="9" max="10" width="11.42578125" style="5"/>
    <col min="12" max="13" width="11.42578125" style="5"/>
    <col min="15" max="16" width="11.42578125" style="5"/>
    <col min="18" max="19" width="11.42578125" style="5"/>
  </cols>
  <sheetData>
    <row r="1" spans="1:20" s="72" customFormat="1" x14ac:dyDescent="0.25">
      <c r="A1" s="69"/>
      <c r="B1" s="70"/>
      <c r="C1" s="70"/>
      <c r="D1" s="70"/>
      <c r="E1" s="71"/>
      <c r="F1" s="72" t="s">
        <v>155</v>
      </c>
      <c r="G1" s="72" t="s">
        <v>12</v>
      </c>
      <c r="H1" s="72" t="s">
        <v>13</v>
      </c>
      <c r="I1" s="73" t="s">
        <v>27</v>
      </c>
      <c r="J1" s="73" t="s">
        <v>26</v>
      </c>
      <c r="K1" s="72" t="s">
        <v>15</v>
      </c>
      <c r="L1" s="73" t="s">
        <v>28</v>
      </c>
      <c r="M1" s="73" t="s">
        <v>29</v>
      </c>
      <c r="N1" s="72" t="s">
        <v>14</v>
      </c>
      <c r="O1" s="73" t="s">
        <v>30</v>
      </c>
      <c r="P1" s="73" t="s">
        <v>31</v>
      </c>
      <c r="Q1" s="72" t="s">
        <v>16</v>
      </c>
      <c r="R1" s="73" t="s">
        <v>32</v>
      </c>
      <c r="S1" s="73" t="s">
        <v>33</v>
      </c>
      <c r="T1" s="72" t="s">
        <v>17</v>
      </c>
    </row>
    <row r="3" spans="1:20" x14ac:dyDescent="0.25">
      <c r="A3" s="11" t="s">
        <v>112</v>
      </c>
      <c r="B3" s="11"/>
      <c r="C3" s="11"/>
      <c r="D3" s="11"/>
      <c r="E3" s="30" t="s">
        <v>110</v>
      </c>
      <c r="F3" s="11">
        <f>F7+F17</f>
        <v>4750</v>
      </c>
      <c r="G3" s="11">
        <f t="shared" ref="G3:T3" si="0">G7+G17</f>
        <v>8750</v>
      </c>
      <c r="H3" s="11">
        <f t="shared" si="0"/>
        <v>8750</v>
      </c>
      <c r="I3" s="31">
        <f t="shared" si="0"/>
        <v>8750</v>
      </c>
      <c r="J3" s="31">
        <f t="shared" si="0"/>
        <v>8750</v>
      </c>
      <c r="K3" s="11">
        <f t="shared" si="0"/>
        <v>8750</v>
      </c>
      <c r="L3" s="31">
        <f t="shared" si="0"/>
        <v>8750</v>
      </c>
      <c r="M3" s="31">
        <f t="shared" si="0"/>
        <v>8750</v>
      </c>
      <c r="N3" s="11">
        <f t="shared" si="0"/>
        <v>15250</v>
      </c>
      <c r="O3" s="31">
        <f t="shared" si="0"/>
        <v>16250</v>
      </c>
      <c r="P3" s="31">
        <f t="shared" si="0"/>
        <v>17250</v>
      </c>
      <c r="Q3" s="11">
        <f t="shared" si="0"/>
        <v>12050</v>
      </c>
      <c r="R3" s="31">
        <f t="shared" si="0"/>
        <v>12050</v>
      </c>
      <c r="S3" s="31">
        <f t="shared" si="0"/>
        <v>12050</v>
      </c>
      <c r="T3" s="11">
        <f t="shared" si="0"/>
        <v>23550</v>
      </c>
    </row>
    <row r="4" spans="1:20" x14ac:dyDescent="0.25">
      <c r="A4" t="s">
        <v>184</v>
      </c>
      <c r="D4" t="s">
        <v>205</v>
      </c>
      <c r="E4" s="41" t="s">
        <v>110</v>
      </c>
      <c r="G4" s="37">
        <f>(G3-$F3)/30</f>
        <v>133.33333333333334</v>
      </c>
      <c r="H4" s="37">
        <f t="shared" ref="H4:T4" si="1">(H3-$F3)/30</f>
        <v>133.33333333333334</v>
      </c>
      <c r="I4" s="37">
        <f t="shared" si="1"/>
        <v>133.33333333333334</v>
      </c>
      <c r="J4" s="37">
        <f t="shared" si="1"/>
        <v>133.33333333333334</v>
      </c>
      <c r="K4" s="37">
        <f t="shared" si="1"/>
        <v>133.33333333333334</v>
      </c>
      <c r="L4" s="37">
        <f t="shared" si="1"/>
        <v>133.33333333333334</v>
      </c>
      <c r="M4" s="37">
        <f t="shared" si="1"/>
        <v>133.33333333333334</v>
      </c>
      <c r="N4" s="37">
        <f t="shared" si="1"/>
        <v>350</v>
      </c>
      <c r="O4" s="37">
        <f t="shared" si="1"/>
        <v>383.33333333333331</v>
      </c>
      <c r="P4" s="37">
        <f t="shared" si="1"/>
        <v>416.66666666666669</v>
      </c>
      <c r="Q4" s="37">
        <f t="shared" si="1"/>
        <v>243.33333333333334</v>
      </c>
      <c r="R4" s="37">
        <f t="shared" si="1"/>
        <v>243.33333333333334</v>
      </c>
      <c r="S4" s="37">
        <f t="shared" si="1"/>
        <v>243.33333333333334</v>
      </c>
      <c r="T4" s="37">
        <f t="shared" si="1"/>
        <v>626.66666666666663</v>
      </c>
    </row>
    <row r="6" spans="1:20" x14ac:dyDescent="0.25">
      <c r="C6" s="2"/>
      <c r="D6" s="2"/>
    </row>
    <row r="7" spans="1:20" x14ac:dyDescent="0.25">
      <c r="A7" s="7" t="s">
        <v>144</v>
      </c>
      <c r="B7" s="7" t="s">
        <v>49</v>
      </c>
      <c r="C7" s="12" t="s">
        <v>186</v>
      </c>
      <c r="D7" s="12" t="s">
        <v>148</v>
      </c>
      <c r="E7" s="27" t="s">
        <v>110</v>
      </c>
      <c r="F7" s="7">
        <f>SUM(F8:F12)</f>
        <v>1500</v>
      </c>
      <c r="G7" s="7">
        <f>SUM(G8:G12)</f>
        <v>3000</v>
      </c>
      <c r="H7" s="7">
        <f t="shared" ref="H7:T7" si="2">SUM(H8:H12)</f>
        <v>3000</v>
      </c>
      <c r="I7" s="8">
        <f t="shared" si="2"/>
        <v>3000</v>
      </c>
      <c r="J7" s="8">
        <f t="shared" si="2"/>
        <v>3000</v>
      </c>
      <c r="K7" s="7">
        <f t="shared" si="2"/>
        <v>3000</v>
      </c>
      <c r="L7" s="8">
        <f t="shared" si="2"/>
        <v>3000</v>
      </c>
      <c r="M7" s="8">
        <f t="shared" si="2"/>
        <v>3000</v>
      </c>
      <c r="N7" s="7">
        <f t="shared" si="2"/>
        <v>3750</v>
      </c>
      <c r="O7" s="8">
        <f t="shared" si="2"/>
        <v>3750</v>
      </c>
      <c r="P7" s="8">
        <f t="shared" si="2"/>
        <v>3750</v>
      </c>
      <c r="Q7" s="7">
        <f t="shared" si="2"/>
        <v>4500</v>
      </c>
      <c r="R7" s="8">
        <f t="shared" si="2"/>
        <v>4500</v>
      </c>
      <c r="S7" s="8">
        <f t="shared" si="2"/>
        <v>4500</v>
      </c>
      <c r="T7" s="7">
        <f t="shared" si="2"/>
        <v>5750</v>
      </c>
    </row>
    <row r="8" spans="1:20" x14ac:dyDescent="0.25">
      <c r="A8" t="s">
        <v>184</v>
      </c>
      <c r="B8" t="s">
        <v>145</v>
      </c>
      <c r="C8">
        <v>15</v>
      </c>
      <c r="D8">
        <v>100</v>
      </c>
      <c r="F8">
        <f>$D8*$C8</f>
        <v>1500</v>
      </c>
      <c r="G8">
        <f>$D8*$C8</f>
        <v>1500</v>
      </c>
      <c r="H8">
        <f t="shared" ref="H8:S8" si="3">$D8*$C8</f>
        <v>1500</v>
      </c>
      <c r="I8" s="5">
        <f t="shared" si="3"/>
        <v>1500</v>
      </c>
      <c r="J8" s="5">
        <f t="shared" si="3"/>
        <v>1500</v>
      </c>
      <c r="K8">
        <f t="shared" si="3"/>
        <v>1500</v>
      </c>
      <c r="L8" s="5">
        <f t="shared" si="3"/>
        <v>1500</v>
      </c>
      <c r="M8" s="5">
        <f t="shared" si="3"/>
        <v>1500</v>
      </c>
      <c r="Q8">
        <f t="shared" si="3"/>
        <v>1500</v>
      </c>
      <c r="R8" s="5">
        <f t="shared" si="3"/>
        <v>1500</v>
      </c>
      <c r="S8" s="5">
        <f t="shared" si="3"/>
        <v>1500</v>
      </c>
    </row>
    <row r="9" spans="1:20" x14ac:dyDescent="0.25">
      <c r="B9" t="s">
        <v>115</v>
      </c>
      <c r="C9">
        <v>15</v>
      </c>
      <c r="D9">
        <v>150</v>
      </c>
      <c r="N9">
        <f t="shared" ref="G9:T12" si="4">$D9*$C9</f>
        <v>2250</v>
      </c>
      <c r="O9" s="5">
        <f t="shared" si="4"/>
        <v>2250</v>
      </c>
      <c r="P9" s="5">
        <f t="shared" si="4"/>
        <v>2250</v>
      </c>
      <c r="T9">
        <f t="shared" si="4"/>
        <v>2250</v>
      </c>
    </row>
    <row r="10" spans="1:20" x14ac:dyDescent="0.25">
      <c r="B10" t="s">
        <v>150</v>
      </c>
      <c r="C10">
        <v>10</v>
      </c>
      <c r="D10">
        <v>150</v>
      </c>
      <c r="G10">
        <f t="shared" si="4"/>
        <v>1500</v>
      </c>
      <c r="H10">
        <f t="shared" si="4"/>
        <v>1500</v>
      </c>
      <c r="I10" s="5">
        <f t="shared" si="4"/>
        <v>1500</v>
      </c>
      <c r="J10" s="5">
        <f t="shared" si="4"/>
        <v>1500</v>
      </c>
      <c r="K10">
        <f t="shared" si="4"/>
        <v>1500</v>
      </c>
      <c r="L10" s="5">
        <f t="shared" si="4"/>
        <v>1500</v>
      </c>
      <c r="M10" s="5">
        <f t="shared" si="4"/>
        <v>1500</v>
      </c>
      <c r="N10">
        <f t="shared" si="4"/>
        <v>1500</v>
      </c>
      <c r="O10" s="5">
        <f t="shared" si="4"/>
        <v>1500</v>
      </c>
      <c r="P10" s="5">
        <f t="shared" si="4"/>
        <v>1500</v>
      </c>
      <c r="Q10">
        <f t="shared" si="4"/>
        <v>1500</v>
      </c>
      <c r="R10" s="5">
        <f t="shared" si="4"/>
        <v>1500</v>
      </c>
      <c r="S10" s="5">
        <f t="shared" si="4"/>
        <v>1500</v>
      </c>
    </row>
    <row r="11" spans="1:20" x14ac:dyDescent="0.25">
      <c r="B11" t="s">
        <v>151</v>
      </c>
      <c r="C11">
        <v>10</v>
      </c>
      <c r="D11">
        <v>200</v>
      </c>
      <c r="T11">
        <f t="shared" si="4"/>
        <v>2000</v>
      </c>
    </row>
    <row r="12" spans="1:20" x14ac:dyDescent="0.25">
      <c r="B12" t="s">
        <v>9</v>
      </c>
      <c r="C12">
        <v>15</v>
      </c>
      <c r="D12">
        <v>100</v>
      </c>
      <c r="Q12">
        <f t="shared" si="4"/>
        <v>1500</v>
      </c>
      <c r="R12" s="5">
        <f t="shared" si="4"/>
        <v>1500</v>
      </c>
      <c r="S12" s="5">
        <f t="shared" si="4"/>
        <v>1500</v>
      </c>
      <c r="T12">
        <f t="shared" si="4"/>
        <v>1500</v>
      </c>
    </row>
    <row r="16" spans="1:20" x14ac:dyDescent="0.25">
      <c r="C16" s="2"/>
      <c r="D16" s="2"/>
    </row>
    <row r="17" spans="1:20" x14ac:dyDescent="0.25">
      <c r="A17" s="7" t="s">
        <v>147</v>
      </c>
      <c r="B17" s="7" t="s">
        <v>49</v>
      </c>
      <c r="C17" s="12" t="s">
        <v>187</v>
      </c>
      <c r="D17" s="12" t="s">
        <v>149</v>
      </c>
      <c r="E17" s="27" t="s">
        <v>110</v>
      </c>
      <c r="F17" s="7">
        <f t="shared" ref="F17:T17" si="5">SUM(F18:F25)</f>
        <v>3250</v>
      </c>
      <c r="G17" s="7">
        <f t="shared" si="5"/>
        <v>5750</v>
      </c>
      <c r="H17" s="7">
        <f t="shared" si="5"/>
        <v>5750</v>
      </c>
      <c r="I17" s="8">
        <f t="shared" si="5"/>
        <v>5750</v>
      </c>
      <c r="J17" s="8">
        <f t="shared" si="5"/>
        <v>5750</v>
      </c>
      <c r="K17" s="7">
        <f t="shared" si="5"/>
        <v>5750</v>
      </c>
      <c r="L17" s="8">
        <f t="shared" si="5"/>
        <v>5750</v>
      </c>
      <c r="M17" s="8">
        <f t="shared" si="5"/>
        <v>5750</v>
      </c>
      <c r="N17" s="7">
        <f t="shared" si="5"/>
        <v>11500</v>
      </c>
      <c r="O17" s="8">
        <f t="shared" si="5"/>
        <v>12500</v>
      </c>
      <c r="P17" s="8">
        <f t="shared" si="5"/>
        <v>13500</v>
      </c>
      <c r="Q17" s="7">
        <f t="shared" si="5"/>
        <v>7550</v>
      </c>
      <c r="R17" s="8">
        <f t="shared" si="5"/>
        <v>7550</v>
      </c>
      <c r="S17" s="8">
        <f t="shared" si="5"/>
        <v>7550</v>
      </c>
      <c r="T17" s="7">
        <f t="shared" si="5"/>
        <v>17800</v>
      </c>
    </row>
    <row r="18" spans="1:20" x14ac:dyDescent="0.25">
      <c r="A18" t="s">
        <v>184</v>
      </c>
      <c r="B18" t="s">
        <v>145</v>
      </c>
      <c r="C18">
        <v>1</v>
      </c>
      <c r="D18">
        <v>2500</v>
      </c>
      <c r="F18">
        <f>$C18*$D18</f>
        <v>2500</v>
      </c>
      <c r="G18">
        <f t="shared" ref="G18:M19" si="6">$C18*$D18</f>
        <v>2500</v>
      </c>
      <c r="H18">
        <f t="shared" si="6"/>
        <v>2500</v>
      </c>
      <c r="I18" s="5">
        <f t="shared" si="6"/>
        <v>2500</v>
      </c>
      <c r="J18" s="5">
        <f t="shared" si="6"/>
        <v>2500</v>
      </c>
      <c r="K18">
        <f t="shared" si="6"/>
        <v>2500</v>
      </c>
      <c r="L18" s="5">
        <f t="shared" si="6"/>
        <v>2500</v>
      </c>
      <c r="M18" s="5">
        <f t="shared" si="6"/>
        <v>2500</v>
      </c>
      <c r="Q18">
        <f t="shared" ref="Q18:S19" si="7">$C18*$D18</f>
        <v>2500</v>
      </c>
      <c r="R18" s="5">
        <f t="shared" si="7"/>
        <v>2500</v>
      </c>
      <c r="S18" s="5">
        <f t="shared" si="7"/>
        <v>2500</v>
      </c>
    </row>
    <row r="19" spans="1:20" x14ac:dyDescent="0.25">
      <c r="B19" t="s">
        <v>114</v>
      </c>
      <c r="C19">
        <v>1</v>
      </c>
      <c r="D19">
        <v>750</v>
      </c>
      <c r="F19">
        <f>$C19*$D19</f>
        <v>750</v>
      </c>
      <c r="G19">
        <f t="shared" si="6"/>
        <v>750</v>
      </c>
      <c r="H19">
        <f t="shared" si="6"/>
        <v>750</v>
      </c>
      <c r="I19" s="5">
        <f t="shared" si="6"/>
        <v>750</v>
      </c>
      <c r="J19" s="5">
        <f t="shared" si="6"/>
        <v>750</v>
      </c>
      <c r="K19">
        <f t="shared" si="6"/>
        <v>750</v>
      </c>
      <c r="L19" s="5">
        <f t="shared" si="6"/>
        <v>750</v>
      </c>
      <c r="M19" s="5">
        <f t="shared" si="6"/>
        <v>750</v>
      </c>
      <c r="Q19">
        <f t="shared" si="7"/>
        <v>750</v>
      </c>
      <c r="R19" s="5">
        <f t="shared" si="7"/>
        <v>750</v>
      </c>
      <c r="S19" s="5">
        <f t="shared" si="7"/>
        <v>750</v>
      </c>
    </row>
    <row r="20" spans="1:20" x14ac:dyDescent="0.25">
      <c r="B20" t="s">
        <v>152</v>
      </c>
      <c r="C20">
        <v>1</v>
      </c>
      <c r="D20">
        <f>'COÛTS D''INVEST'!C50</f>
        <v>9000</v>
      </c>
      <c r="N20">
        <f>C20*D20</f>
        <v>9000</v>
      </c>
    </row>
    <row r="21" spans="1:20" x14ac:dyDescent="0.25">
      <c r="B21" t="s">
        <v>153</v>
      </c>
      <c r="C21">
        <v>1</v>
      </c>
      <c r="D21">
        <f>'COÛTS D''INVEST'!C51</f>
        <v>10000</v>
      </c>
      <c r="O21" s="5">
        <f>C21*D21</f>
        <v>10000</v>
      </c>
      <c r="T21">
        <f>C21*D21</f>
        <v>10000</v>
      </c>
    </row>
    <row r="22" spans="1:20" x14ac:dyDescent="0.25">
      <c r="B22" t="s">
        <v>154</v>
      </c>
      <c r="C22">
        <v>1</v>
      </c>
      <c r="D22">
        <f>'COÛTS D''INVEST'!C52</f>
        <v>11000</v>
      </c>
      <c r="P22" s="5">
        <f>C22*D22</f>
        <v>11000</v>
      </c>
    </row>
    <row r="23" spans="1:20" x14ac:dyDescent="0.25">
      <c r="B23" t="s">
        <v>150</v>
      </c>
      <c r="C23">
        <v>1</v>
      </c>
      <c r="D23">
        <f>'COÛTS D''INVEST'!C55</f>
        <v>2500</v>
      </c>
      <c r="G23">
        <f t="shared" ref="G23:S23" si="8">$C23*$D23</f>
        <v>2500</v>
      </c>
      <c r="H23">
        <f t="shared" si="8"/>
        <v>2500</v>
      </c>
      <c r="I23" s="5">
        <f t="shared" si="8"/>
        <v>2500</v>
      </c>
      <c r="J23" s="5">
        <f t="shared" si="8"/>
        <v>2500</v>
      </c>
      <c r="K23">
        <f t="shared" si="8"/>
        <v>2500</v>
      </c>
      <c r="L23" s="5">
        <f t="shared" si="8"/>
        <v>2500</v>
      </c>
      <c r="M23" s="5">
        <f t="shared" si="8"/>
        <v>2500</v>
      </c>
      <c r="N23">
        <f t="shared" si="8"/>
        <v>2500</v>
      </c>
      <c r="O23" s="5">
        <f t="shared" si="8"/>
        <v>2500</v>
      </c>
      <c r="P23" s="5">
        <f t="shared" si="8"/>
        <v>2500</v>
      </c>
      <c r="Q23">
        <f t="shared" si="8"/>
        <v>2500</v>
      </c>
      <c r="R23" s="5">
        <f t="shared" si="8"/>
        <v>2500</v>
      </c>
      <c r="S23" s="5">
        <f t="shared" si="8"/>
        <v>2500</v>
      </c>
    </row>
    <row r="24" spans="1:20" x14ac:dyDescent="0.25">
      <c r="B24" t="s">
        <v>151</v>
      </c>
      <c r="C24">
        <v>1</v>
      </c>
      <c r="D24">
        <f>'COÛTS D''INVEST'!C56</f>
        <v>6000</v>
      </c>
      <c r="T24">
        <f>C24*D24</f>
        <v>6000</v>
      </c>
    </row>
    <row r="25" spans="1:20" x14ac:dyDescent="0.25">
      <c r="B25" t="s">
        <v>146</v>
      </c>
      <c r="C25">
        <v>2</v>
      </c>
      <c r="D25">
        <v>900</v>
      </c>
      <c r="Q25">
        <f>$C25*$D25</f>
        <v>1800</v>
      </c>
      <c r="R25" s="5">
        <f>$C25*$D25</f>
        <v>1800</v>
      </c>
      <c r="S25" s="5">
        <f>$C25*$D25</f>
        <v>1800</v>
      </c>
      <c r="T25">
        <f>$C25*$D25</f>
        <v>1800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EFC6B-3371-44AA-82A3-691A7E87F270}">
  <dimension ref="A1:AC184"/>
  <sheetViews>
    <sheetView zoomScaleNormal="100" zoomScaleSheetLayoutView="50" workbookViewId="0">
      <pane ySplit="1" topLeftCell="A5" activePane="bottomLeft" state="frozen"/>
      <selection activeCell="E1" sqref="E1"/>
      <selection pane="bottomLeft" activeCell="C30" sqref="C30"/>
    </sheetView>
  </sheetViews>
  <sheetFormatPr baseColWidth="10" defaultRowHeight="15" x14ac:dyDescent="0.25"/>
  <cols>
    <col min="1" max="1" width="19" bestFit="1" customWidth="1"/>
    <col min="2" max="2" width="32.42578125" bestFit="1" customWidth="1"/>
    <col min="3" max="3" width="24.7109375" bestFit="1" customWidth="1"/>
    <col min="4" max="4" width="7.140625" style="41" customWidth="1"/>
    <col min="8" max="9" width="11.42578125" style="5"/>
    <col min="11" max="12" width="11.42578125" style="5"/>
    <col min="14" max="15" width="11.42578125" style="5"/>
    <col min="16" max="16" width="11.5703125" customWidth="1"/>
    <col min="17" max="18" width="11.42578125" style="5"/>
    <col min="21" max="21" width="10.42578125" customWidth="1"/>
    <col min="22" max="22" width="5.5703125" customWidth="1"/>
    <col min="23" max="23" width="7.140625" customWidth="1"/>
    <col min="24" max="24" width="9.85546875" bestFit="1" customWidth="1"/>
    <col min="25" max="25" width="5" bestFit="1" customWidth="1"/>
    <col min="28" max="28" width="19.5703125" style="19" bestFit="1" customWidth="1"/>
    <col min="29" max="29" width="18.42578125" style="19" bestFit="1" customWidth="1"/>
  </cols>
  <sheetData>
    <row r="1" spans="1:29" s="72" customFormat="1" x14ac:dyDescent="0.25">
      <c r="B1" s="72" t="s">
        <v>132</v>
      </c>
      <c r="C1" s="72" t="s">
        <v>185</v>
      </c>
      <c r="D1" s="71"/>
      <c r="E1" s="72" t="s">
        <v>155</v>
      </c>
      <c r="F1" s="72" t="s">
        <v>12</v>
      </c>
      <c r="G1" s="72" t="s">
        <v>13</v>
      </c>
      <c r="H1" s="73" t="s">
        <v>27</v>
      </c>
      <c r="I1" s="73" t="s">
        <v>26</v>
      </c>
      <c r="J1" s="72" t="s">
        <v>15</v>
      </c>
      <c r="K1" s="73" t="s">
        <v>28</v>
      </c>
      <c r="L1" s="73" t="s">
        <v>29</v>
      </c>
      <c r="M1" s="72" t="s">
        <v>14</v>
      </c>
      <c r="N1" s="73" t="s">
        <v>30</v>
      </c>
      <c r="O1" s="73" t="s">
        <v>31</v>
      </c>
      <c r="P1" s="72" t="s">
        <v>16</v>
      </c>
      <c r="Q1" s="73" t="s">
        <v>32</v>
      </c>
      <c r="R1" s="73" t="s">
        <v>33</v>
      </c>
      <c r="S1" s="72" t="s">
        <v>17</v>
      </c>
      <c r="AB1" s="74" t="s">
        <v>105</v>
      </c>
      <c r="AC1" s="74" t="s">
        <v>102</v>
      </c>
    </row>
    <row r="2" spans="1:29" x14ac:dyDescent="0.25">
      <c r="C2" s="18" t="s">
        <v>103</v>
      </c>
      <c r="D2" s="49"/>
      <c r="AB2" s="18" t="s">
        <v>103</v>
      </c>
      <c r="AC2" s="18" t="s">
        <v>103</v>
      </c>
    </row>
    <row r="4" spans="1:29" x14ac:dyDescent="0.25">
      <c r="A4" s="11" t="s">
        <v>49</v>
      </c>
      <c r="B4" s="11" t="s">
        <v>141</v>
      </c>
      <c r="C4" s="47"/>
      <c r="D4" s="48" t="s">
        <v>110</v>
      </c>
      <c r="E4" s="53">
        <f>E12+E17+E22+E27</f>
        <v>60688.275300000008</v>
      </c>
      <c r="F4" s="53">
        <f t="shared" ref="F4:S4" si="0">F12+F17+F22+F27</f>
        <v>55971.136800000007</v>
      </c>
      <c r="G4" s="53">
        <f t="shared" si="0"/>
        <v>31006.1718</v>
      </c>
      <c r="H4" s="62">
        <f t="shared" si="0"/>
        <v>31426.5468</v>
      </c>
      <c r="I4" s="62">
        <f t="shared" si="0"/>
        <v>30578.150399999999</v>
      </c>
      <c r="J4" s="53">
        <f t="shared" si="0"/>
        <v>52233.109200000006</v>
      </c>
      <c r="K4" s="62">
        <f t="shared" si="0"/>
        <v>53624.311500000003</v>
      </c>
      <c r="L4" s="62">
        <f t="shared" si="0"/>
        <v>51619.875</v>
      </c>
      <c r="M4" s="53">
        <f t="shared" si="0"/>
        <v>62173.425600000002</v>
      </c>
      <c r="N4" s="62">
        <f t="shared" si="0"/>
        <v>69017.605800000005</v>
      </c>
      <c r="O4" s="62">
        <f t="shared" si="0"/>
        <v>57040.269</v>
      </c>
      <c r="P4" s="53">
        <f t="shared" si="0"/>
        <v>42936.150299999994</v>
      </c>
      <c r="Q4" s="62">
        <f t="shared" si="0"/>
        <v>44386.513500000001</v>
      </c>
      <c r="R4" s="62">
        <f t="shared" si="0"/>
        <v>41485.701300000001</v>
      </c>
      <c r="S4" s="53">
        <f t="shared" si="0"/>
        <v>19899.594000000001</v>
      </c>
      <c r="U4" t="s">
        <v>0</v>
      </c>
      <c r="X4" t="s">
        <v>3</v>
      </c>
      <c r="AA4" s="15">
        <v>40179</v>
      </c>
      <c r="AB4" s="19">
        <v>5.24</v>
      </c>
      <c r="AC4" s="19">
        <v>20.9</v>
      </c>
    </row>
    <row r="5" spans="1:29" x14ac:dyDescent="0.25">
      <c r="A5" s="11" t="s">
        <v>184</v>
      </c>
      <c r="B5" s="11" t="s">
        <v>142</v>
      </c>
      <c r="C5" s="47"/>
      <c r="D5" s="48" t="s">
        <v>110</v>
      </c>
      <c r="E5" s="53">
        <f>E13+E18+E23+E28</f>
        <v>79198.534009708848</v>
      </c>
      <c r="F5" s="53">
        <f t="shared" ref="F5:S5" si="1">F13+F18+F23+F28</f>
        <v>73560.750819843524</v>
      </c>
      <c r="G5" s="53">
        <f t="shared" si="1"/>
        <v>43723.369531891833</v>
      </c>
      <c r="H5" s="62">
        <f t="shared" si="1"/>
        <v>44225.789189156429</v>
      </c>
      <c r="I5" s="62">
        <f t="shared" si="1"/>
        <v>43211.81112549299</v>
      </c>
      <c r="J5" s="53">
        <f t="shared" si="1"/>
        <v>69093.171763911057</v>
      </c>
      <c r="K5" s="62">
        <f t="shared" si="1"/>
        <v>70755.895243546431</v>
      </c>
      <c r="L5" s="62">
        <f t="shared" si="1"/>
        <v>68360.252545149415</v>
      </c>
      <c r="M5" s="53">
        <f t="shared" si="1"/>
        <v>93942.513266905269</v>
      </c>
      <c r="N5" s="62">
        <f t="shared" si="1"/>
        <v>104283.90081367076</v>
      </c>
      <c r="O5" s="62">
        <f t="shared" si="1"/>
        <v>86186.440196409996</v>
      </c>
      <c r="P5" s="53">
        <f t="shared" si="1"/>
        <v>53858.919110316696</v>
      </c>
      <c r="Q5" s="62">
        <f t="shared" si="1"/>
        <v>56050.382148470919</v>
      </c>
      <c r="R5" s="62">
        <f t="shared" si="1"/>
        <v>51667.326430477784</v>
      </c>
      <c r="S5" s="53">
        <f t="shared" si="1"/>
        <v>30067.795932270921</v>
      </c>
      <c r="AA5" s="15">
        <v>40210</v>
      </c>
      <c r="AB5" s="19">
        <v>5.24</v>
      </c>
      <c r="AC5" s="19">
        <v>21.05</v>
      </c>
    </row>
    <row r="6" spans="1:29" x14ac:dyDescent="0.25">
      <c r="B6" t="s">
        <v>177</v>
      </c>
      <c r="D6" s="41" t="s">
        <v>179</v>
      </c>
      <c r="E6" s="37">
        <f>E4/30</f>
        <v>2022.9425100000003</v>
      </c>
      <c r="F6" s="37">
        <f t="shared" ref="F6:S6" si="2">F4/30</f>
        <v>1865.7045600000004</v>
      </c>
      <c r="G6" s="37">
        <f t="shared" si="2"/>
        <v>1033.5390600000001</v>
      </c>
      <c r="H6" s="37">
        <f t="shared" si="2"/>
        <v>1047.5515600000001</v>
      </c>
      <c r="I6" s="37">
        <f t="shared" si="2"/>
        <v>1019.2716799999999</v>
      </c>
      <c r="J6" s="37">
        <f t="shared" si="2"/>
        <v>1741.1036400000003</v>
      </c>
      <c r="K6" s="37">
        <f t="shared" si="2"/>
        <v>1787.4770500000002</v>
      </c>
      <c r="L6" s="37">
        <f t="shared" si="2"/>
        <v>1720.6624999999999</v>
      </c>
      <c r="M6" s="37">
        <f t="shared" si="2"/>
        <v>2072.4475200000002</v>
      </c>
      <c r="N6" s="37">
        <f t="shared" si="2"/>
        <v>2300.5868600000003</v>
      </c>
      <c r="O6" s="37">
        <f t="shared" si="2"/>
        <v>1901.3423</v>
      </c>
      <c r="P6" s="37">
        <f t="shared" si="2"/>
        <v>1431.2050099999999</v>
      </c>
      <c r="Q6" s="37">
        <f t="shared" si="2"/>
        <v>1479.55045</v>
      </c>
      <c r="R6" s="37">
        <f t="shared" si="2"/>
        <v>1382.85671</v>
      </c>
      <c r="S6" s="37">
        <f t="shared" si="2"/>
        <v>663.31979999999999</v>
      </c>
      <c r="U6" t="s">
        <v>131</v>
      </c>
      <c r="V6">
        <v>5.9</v>
      </c>
      <c r="X6" t="s">
        <v>131</v>
      </c>
      <c r="Y6">
        <v>28.6</v>
      </c>
      <c r="AA6" s="15">
        <v>40238</v>
      </c>
      <c r="AB6" s="19">
        <v>5.19</v>
      </c>
      <c r="AC6" s="19">
        <v>21.2</v>
      </c>
    </row>
    <row r="7" spans="1:29" x14ac:dyDescent="0.25">
      <c r="B7" t="s">
        <v>190</v>
      </c>
      <c r="D7" s="41" t="s">
        <v>179</v>
      </c>
      <c r="F7" s="37">
        <f>$E6-F6</f>
        <v>157.23794999999996</v>
      </c>
      <c r="G7" s="37">
        <f t="shared" ref="G7:S7" si="3">$E6-G6</f>
        <v>989.40345000000025</v>
      </c>
      <c r="H7" s="61">
        <f t="shared" si="3"/>
        <v>975.3909500000002</v>
      </c>
      <c r="I7" s="61">
        <f t="shared" si="3"/>
        <v>1003.6708300000004</v>
      </c>
      <c r="J7" s="37">
        <f t="shared" si="3"/>
        <v>281.83887000000004</v>
      </c>
      <c r="K7" s="61">
        <f t="shared" si="3"/>
        <v>235.46546000000012</v>
      </c>
      <c r="L7" s="61">
        <f t="shared" si="3"/>
        <v>302.2800100000004</v>
      </c>
      <c r="M7" s="37">
        <f t="shared" si="3"/>
        <v>-49.505009999999857</v>
      </c>
      <c r="N7" s="61">
        <f t="shared" si="3"/>
        <v>-277.64435000000003</v>
      </c>
      <c r="O7" s="61">
        <f t="shared" si="3"/>
        <v>121.60021000000029</v>
      </c>
      <c r="P7" s="37">
        <f t="shared" si="3"/>
        <v>591.73750000000041</v>
      </c>
      <c r="Q7" s="61">
        <f t="shared" si="3"/>
        <v>543.39206000000036</v>
      </c>
      <c r="R7" s="61">
        <f t="shared" si="3"/>
        <v>640.08580000000029</v>
      </c>
      <c r="S7" s="37">
        <f t="shared" si="3"/>
        <v>1359.6227100000003</v>
      </c>
      <c r="U7" s="36">
        <v>2</v>
      </c>
      <c r="V7" s="19">
        <f t="shared" ref="V7:V28" si="4">V6*1.012</f>
        <v>5.9708000000000006</v>
      </c>
      <c r="X7" s="36">
        <v>2</v>
      </c>
      <c r="Y7" s="19">
        <f t="shared" ref="Y7:Y28" si="5">Y6*1.027</f>
        <v>29.372199999999999</v>
      </c>
      <c r="AA7" s="15">
        <v>40269</v>
      </c>
      <c r="AB7" s="19">
        <v>5.24</v>
      </c>
      <c r="AC7" s="19">
        <v>21.3</v>
      </c>
    </row>
    <row r="8" spans="1:29" x14ac:dyDescent="0.25">
      <c r="B8" t="s">
        <v>178</v>
      </c>
      <c r="D8" s="41" t="s">
        <v>179</v>
      </c>
      <c r="E8" s="37">
        <f>E5/30</f>
        <v>2639.9511336569617</v>
      </c>
      <c r="F8" s="37">
        <f t="shared" ref="F8:S8" si="6">F5/30</f>
        <v>2452.0250273281176</v>
      </c>
      <c r="G8" s="37">
        <f t="shared" si="6"/>
        <v>1457.4456510630612</v>
      </c>
      <c r="H8" s="37">
        <f t="shared" si="6"/>
        <v>1474.1929729718809</v>
      </c>
      <c r="I8" s="37">
        <f t="shared" si="6"/>
        <v>1440.3937041830998</v>
      </c>
      <c r="J8" s="37">
        <f t="shared" si="6"/>
        <v>2303.1057254637021</v>
      </c>
      <c r="K8" s="37">
        <f t="shared" si="6"/>
        <v>2358.5298414515478</v>
      </c>
      <c r="L8" s="37">
        <f t="shared" si="6"/>
        <v>2278.675084838314</v>
      </c>
      <c r="M8" s="37">
        <f t="shared" si="6"/>
        <v>3131.4171088968424</v>
      </c>
      <c r="N8" s="37">
        <f t="shared" si="6"/>
        <v>3476.1300271223586</v>
      </c>
      <c r="O8" s="37">
        <f t="shared" si="6"/>
        <v>2872.8813398803331</v>
      </c>
      <c r="P8" s="37">
        <f t="shared" si="6"/>
        <v>1795.2973036772232</v>
      </c>
      <c r="Q8" s="37">
        <f t="shared" si="6"/>
        <v>1868.3460716156974</v>
      </c>
      <c r="R8" s="37">
        <f t="shared" si="6"/>
        <v>1722.2442143492594</v>
      </c>
      <c r="S8" s="37">
        <f t="shared" si="6"/>
        <v>1002.2598644090307</v>
      </c>
      <c r="U8" s="36">
        <v>3</v>
      </c>
      <c r="V8" s="19">
        <f t="shared" si="4"/>
        <v>6.0424496000000003</v>
      </c>
      <c r="X8" s="36">
        <v>3</v>
      </c>
      <c r="Y8" s="19">
        <f t="shared" si="5"/>
        <v>30.165249399999997</v>
      </c>
      <c r="AA8" s="15"/>
    </row>
    <row r="9" spans="1:29" x14ac:dyDescent="0.25">
      <c r="B9" t="s">
        <v>191</v>
      </c>
      <c r="D9" s="41" t="s">
        <v>179</v>
      </c>
      <c r="E9" s="37"/>
      <c r="F9" s="37">
        <f>$E8-F8</f>
        <v>187.92610632884407</v>
      </c>
      <c r="G9" s="37">
        <f t="shared" ref="G9:S9" si="7">$E8-G8</f>
        <v>1182.5054825939005</v>
      </c>
      <c r="H9" s="61">
        <f t="shared" si="7"/>
        <v>1165.7581606850808</v>
      </c>
      <c r="I9" s="61">
        <f t="shared" si="7"/>
        <v>1199.5574294738619</v>
      </c>
      <c r="J9" s="37">
        <f t="shared" si="7"/>
        <v>336.84540819325957</v>
      </c>
      <c r="K9" s="61">
        <f t="shared" si="7"/>
        <v>281.42129220541392</v>
      </c>
      <c r="L9" s="61">
        <f t="shared" si="7"/>
        <v>361.27604881864772</v>
      </c>
      <c r="M9" s="37">
        <f t="shared" si="7"/>
        <v>-491.46597523988066</v>
      </c>
      <c r="N9" s="61">
        <f t="shared" si="7"/>
        <v>-836.17889346539687</v>
      </c>
      <c r="O9" s="61">
        <f t="shared" si="7"/>
        <v>-232.93020622337144</v>
      </c>
      <c r="P9" s="37">
        <f t="shared" si="7"/>
        <v>844.65382997973848</v>
      </c>
      <c r="Q9" s="61">
        <f t="shared" si="7"/>
        <v>771.60506204126432</v>
      </c>
      <c r="R9" s="61">
        <f t="shared" si="7"/>
        <v>917.70691930770226</v>
      </c>
      <c r="S9" s="37">
        <f t="shared" si="7"/>
        <v>1637.6912692479309</v>
      </c>
      <c r="U9" s="36">
        <v>4</v>
      </c>
      <c r="V9" s="19">
        <f t="shared" si="4"/>
        <v>6.1149589952000003</v>
      </c>
      <c r="X9" s="36">
        <v>4</v>
      </c>
      <c r="Y9" s="19">
        <f t="shared" si="5"/>
        <v>30.979711133799995</v>
      </c>
      <c r="AA9" s="15"/>
    </row>
    <row r="10" spans="1:29" x14ac:dyDescent="0.25">
      <c r="E10" s="37"/>
      <c r="F10" s="37"/>
      <c r="G10" s="37"/>
      <c r="H10" s="61"/>
      <c r="I10" s="61"/>
      <c r="J10" s="37"/>
      <c r="K10" s="61"/>
      <c r="L10" s="61"/>
      <c r="M10" s="37"/>
      <c r="N10" s="61"/>
      <c r="O10" s="61"/>
      <c r="P10" s="37"/>
      <c r="Q10" s="61"/>
      <c r="R10" s="61"/>
      <c r="S10" s="37"/>
      <c r="U10" s="36">
        <v>5</v>
      </c>
      <c r="V10" s="19">
        <f t="shared" si="4"/>
        <v>6.1883385031424005</v>
      </c>
      <c r="X10" s="36">
        <v>5</v>
      </c>
      <c r="Y10" s="19">
        <f t="shared" si="5"/>
        <v>31.816163334412593</v>
      </c>
      <c r="AA10" s="15">
        <v>40299</v>
      </c>
      <c r="AB10" s="19">
        <v>5.33</v>
      </c>
      <c r="AC10" s="19">
        <v>22</v>
      </c>
    </row>
    <row r="11" spans="1:29" x14ac:dyDescent="0.25">
      <c r="E11" s="37"/>
      <c r="F11" s="37"/>
      <c r="G11" s="37"/>
      <c r="H11" s="61"/>
      <c r="I11" s="61"/>
      <c r="J11" s="37"/>
      <c r="K11" s="61"/>
      <c r="L11" s="61"/>
      <c r="M11" s="37"/>
      <c r="N11" s="61"/>
      <c r="O11" s="61"/>
      <c r="P11" s="37"/>
      <c r="Q11" s="61"/>
      <c r="R11" s="61"/>
      <c r="S11" s="37"/>
      <c r="U11" s="36">
        <v>6</v>
      </c>
      <c r="V11" s="19">
        <f t="shared" si="4"/>
        <v>6.2625985651801095</v>
      </c>
      <c r="X11" s="36">
        <v>6</v>
      </c>
      <c r="Y11" s="19">
        <f t="shared" si="5"/>
        <v>32.675199744441727</v>
      </c>
      <c r="AA11" s="15">
        <v>40330</v>
      </c>
      <c r="AB11" s="19">
        <v>5.42</v>
      </c>
      <c r="AC11" s="19">
        <v>23</v>
      </c>
    </row>
    <row r="12" spans="1:29" x14ac:dyDescent="0.25">
      <c r="A12" s="7" t="s">
        <v>0</v>
      </c>
      <c r="B12" s="7" t="s">
        <v>141</v>
      </c>
      <c r="C12" s="20">
        <f>30*V6</f>
        <v>177</v>
      </c>
      <c r="D12" s="50" t="s">
        <v>110</v>
      </c>
      <c r="E12" s="54">
        <f>$C12/100*'CONSO D''ENERGIE'!E$6</f>
        <v>39581.217900000003</v>
      </c>
      <c r="F12" s="54">
        <f>$C12/100*'CONSO D''ENERGIE'!F$6</f>
        <v>34864.079400000002</v>
      </c>
      <c r="G12" s="54">
        <f>$C12/100*'CONSO D''ENERGIE'!G$6</f>
        <v>9899.1143999999986</v>
      </c>
      <c r="H12" s="63">
        <f>$C12/100*'CONSO D''ENERGIE'!H$6</f>
        <v>10319.489399999999</v>
      </c>
      <c r="I12" s="63">
        <f>$C12/100*'CONSO D''ENERGIE'!I$6</f>
        <v>9471.0929999999989</v>
      </c>
      <c r="J12" s="54">
        <f>$C12/100*'CONSO D''ENERGIE'!J$6</f>
        <v>31126.051800000008</v>
      </c>
      <c r="K12" s="63">
        <f>$C12/100*'CONSO D''ENERGIE'!K$6</f>
        <v>32517.254100000002</v>
      </c>
      <c r="L12" s="63">
        <f>$C12/100*'CONSO D''ENERGIE'!L$6</f>
        <v>30512.817600000002</v>
      </c>
      <c r="M12" s="54">
        <f>$C12/100*'CONSO D''ENERGIE'!M$6</f>
        <v>0</v>
      </c>
      <c r="N12" s="63">
        <f>$C12/100*'CONSO D''ENERGIE'!N$6</f>
        <v>0</v>
      </c>
      <c r="O12" s="63">
        <f>$C12/100*'CONSO D''ENERGIE'!O$6</f>
        <v>0</v>
      </c>
      <c r="P12" s="54">
        <f>$C12/100*'CONSO D''ENERGIE'!P$6</f>
        <v>34883.991900000001</v>
      </c>
      <c r="Q12" s="63">
        <f>$C12/100*'CONSO D''ENERGIE'!Q$6</f>
        <v>34883.991900000001</v>
      </c>
      <c r="R12" s="63">
        <f>$C12/100*'CONSO D''ENERGIE'!R$6</f>
        <v>34883.991900000001</v>
      </c>
      <c r="S12" s="54">
        <f>$C12/100*'CONSO D''ENERGIE'!S$6</f>
        <v>0</v>
      </c>
      <c r="U12" s="36">
        <v>7</v>
      </c>
      <c r="V12" s="19">
        <f t="shared" si="4"/>
        <v>6.3377497479622713</v>
      </c>
      <c r="X12" s="36">
        <v>7</v>
      </c>
      <c r="Y12" s="19">
        <f t="shared" si="5"/>
        <v>33.557430137541651</v>
      </c>
      <c r="AA12" s="15">
        <v>40360</v>
      </c>
      <c r="AB12" s="19">
        <v>5.51</v>
      </c>
      <c r="AC12" s="19">
        <v>23.5</v>
      </c>
    </row>
    <row r="13" spans="1:29" x14ac:dyDescent="0.25">
      <c r="A13" s="7" t="s">
        <v>184</v>
      </c>
      <c r="B13" s="7" t="s">
        <v>142</v>
      </c>
      <c r="C13" s="20">
        <f>SUM(V6:V35)</f>
        <v>211.54511884825186</v>
      </c>
      <c r="D13" s="50" t="s">
        <v>110</v>
      </c>
      <c r="E13" s="54">
        <f>$C13/100*'CONSO D''ENERGIE'!E$6</f>
        <v>47306.290648666974</v>
      </c>
      <c r="F13" s="54">
        <f>$C13/100*'CONSO D''ENERGIE'!F$6</f>
        <v>41668.507458801636</v>
      </c>
      <c r="G13" s="54">
        <f>$C13/100*'CONSO D''ENERGIE'!G$6</f>
        <v>11831.12617084995</v>
      </c>
      <c r="H13" s="63">
        <f>$C13/100*'CONSO D''ENERGIE'!H$6</f>
        <v>12333.545828114549</v>
      </c>
      <c r="I13" s="63">
        <f>$C13/100*'CONSO D''ENERGIE'!I$6</f>
        <v>11319.567764451109</v>
      </c>
      <c r="J13" s="54">
        <f>$C13/100*'CONSO D''ENERGIE'!J$6</f>
        <v>37200.928402869184</v>
      </c>
      <c r="K13" s="63">
        <f>$C13/100*'CONSO D''ENERGIE'!K$6</f>
        <v>38863.651882504557</v>
      </c>
      <c r="L13" s="63">
        <f>$C13/100*'CONSO D''ENERGIE'!L$6</f>
        <v>36468.009184107526</v>
      </c>
      <c r="M13" s="54">
        <f>$C13/100*'CONSO D''ENERGIE'!M$6</f>
        <v>0</v>
      </c>
      <c r="N13" s="63">
        <f>$C13/100*'CONSO D''ENERGIE'!N$6</f>
        <v>0</v>
      </c>
      <c r="O13" s="63">
        <f>$C13/100*'CONSO D''ENERGIE'!O$6</f>
        <v>0</v>
      </c>
      <c r="P13" s="54">
        <f>$C13/100*'CONSO D''ENERGIE'!P$6</f>
        <v>41692.306284672064</v>
      </c>
      <c r="Q13" s="63">
        <f>$C13/100*'CONSO D''ENERGIE'!Q$6</f>
        <v>41692.306284672064</v>
      </c>
      <c r="R13" s="63">
        <f>$C13/100*'CONSO D''ENERGIE'!R$6</f>
        <v>41692.306284672064</v>
      </c>
      <c r="S13" s="54">
        <f>$C13/100*'CONSO D''ENERGIE'!S$6</f>
        <v>0</v>
      </c>
      <c r="U13" s="36">
        <v>8</v>
      </c>
      <c r="V13" s="19">
        <f t="shared" si="4"/>
        <v>6.4138027449378185</v>
      </c>
      <c r="X13" s="36">
        <v>8</v>
      </c>
      <c r="Y13" s="19">
        <f t="shared" si="5"/>
        <v>34.463480751255275</v>
      </c>
      <c r="AA13" s="15">
        <v>40391</v>
      </c>
      <c r="AB13" s="19">
        <v>5.6</v>
      </c>
      <c r="AC13" s="19">
        <v>23.8</v>
      </c>
    </row>
    <row r="14" spans="1:29" x14ac:dyDescent="0.25">
      <c r="B14" t="s">
        <v>177</v>
      </c>
      <c r="D14" s="41" t="s">
        <v>179</v>
      </c>
      <c r="E14" s="37">
        <f t="shared" ref="E14:R14" si="8">E12/20</f>
        <v>1979.0608950000001</v>
      </c>
      <c r="F14" s="37">
        <f t="shared" si="8"/>
        <v>1743.20397</v>
      </c>
      <c r="G14" s="37">
        <f t="shared" si="8"/>
        <v>494.95571999999993</v>
      </c>
      <c r="H14" s="61">
        <f t="shared" si="8"/>
        <v>515.97446999999988</v>
      </c>
      <c r="I14" s="61">
        <f t="shared" si="8"/>
        <v>473.55464999999992</v>
      </c>
      <c r="J14" s="37">
        <f t="shared" si="8"/>
        <v>1556.3025900000005</v>
      </c>
      <c r="K14" s="61">
        <f t="shared" si="8"/>
        <v>1625.862705</v>
      </c>
      <c r="L14" s="61">
        <f t="shared" si="8"/>
        <v>1525.6408800000002</v>
      </c>
      <c r="M14" s="37">
        <f t="shared" si="8"/>
        <v>0</v>
      </c>
      <c r="N14" s="61">
        <f t="shared" si="8"/>
        <v>0</v>
      </c>
      <c r="O14" s="61">
        <f t="shared" si="8"/>
        <v>0</v>
      </c>
      <c r="P14" s="37">
        <f t="shared" si="8"/>
        <v>1744.199595</v>
      </c>
      <c r="Q14" s="61">
        <f t="shared" si="8"/>
        <v>1744.199595</v>
      </c>
      <c r="R14" s="61">
        <f t="shared" si="8"/>
        <v>1744.199595</v>
      </c>
      <c r="S14" s="37">
        <f t="shared" ref="S14" si="9">S12/20</f>
        <v>0</v>
      </c>
      <c r="U14" s="36">
        <v>9</v>
      </c>
      <c r="V14" s="19">
        <f t="shared" si="4"/>
        <v>6.4907683778770728</v>
      </c>
      <c r="X14" s="36">
        <v>9</v>
      </c>
      <c r="Y14" s="19">
        <f t="shared" si="5"/>
        <v>35.393994731539166</v>
      </c>
      <c r="AA14" s="15">
        <v>40422</v>
      </c>
      <c r="AB14" s="19">
        <v>5.69</v>
      </c>
      <c r="AC14" s="19">
        <v>24</v>
      </c>
    </row>
    <row r="15" spans="1:29" x14ac:dyDescent="0.25">
      <c r="B15" t="s">
        <v>178</v>
      </c>
      <c r="D15" s="41" t="s">
        <v>179</v>
      </c>
      <c r="E15" s="37">
        <f t="shared" ref="E15:R15" si="10">E13/20</f>
        <v>2365.3145324333486</v>
      </c>
      <c r="F15" s="37">
        <f t="shared" si="10"/>
        <v>2083.4253729400816</v>
      </c>
      <c r="G15" s="37">
        <f t="shared" si="10"/>
        <v>591.5563085424975</v>
      </c>
      <c r="H15" s="61">
        <f t="shared" si="10"/>
        <v>616.67729140572749</v>
      </c>
      <c r="I15" s="61">
        <f t="shared" si="10"/>
        <v>565.9783882225554</v>
      </c>
      <c r="J15" s="37">
        <f t="shared" si="10"/>
        <v>1860.0464201434593</v>
      </c>
      <c r="K15" s="61">
        <f t="shared" si="10"/>
        <v>1943.1825941252278</v>
      </c>
      <c r="L15" s="61">
        <f t="shared" si="10"/>
        <v>1823.4004592053764</v>
      </c>
      <c r="M15" s="37">
        <f t="shared" si="10"/>
        <v>0</v>
      </c>
      <c r="N15" s="61">
        <f t="shared" si="10"/>
        <v>0</v>
      </c>
      <c r="O15" s="61">
        <f t="shared" si="10"/>
        <v>0</v>
      </c>
      <c r="P15" s="37">
        <f t="shared" si="10"/>
        <v>2084.6153142336034</v>
      </c>
      <c r="Q15" s="61">
        <f t="shared" si="10"/>
        <v>2084.6153142336034</v>
      </c>
      <c r="R15" s="61">
        <f t="shared" si="10"/>
        <v>2084.6153142336034</v>
      </c>
      <c r="S15" s="37">
        <f t="shared" ref="S15" si="11">S13/20</f>
        <v>0</v>
      </c>
      <c r="U15" s="36">
        <v>10</v>
      </c>
      <c r="V15" s="19">
        <f t="shared" si="4"/>
        <v>6.5686575984115976</v>
      </c>
      <c r="X15" s="36">
        <v>10</v>
      </c>
      <c r="Y15" s="19">
        <f t="shared" si="5"/>
        <v>36.349632589290721</v>
      </c>
      <c r="AA15" s="15">
        <v>40452</v>
      </c>
      <c r="AB15" s="19">
        <v>5.78</v>
      </c>
      <c r="AC15" s="19">
        <v>24.2</v>
      </c>
    </row>
    <row r="16" spans="1:29" x14ac:dyDescent="0.25">
      <c r="E16" s="37"/>
      <c r="F16" s="37"/>
      <c r="G16" s="37"/>
      <c r="H16" s="61"/>
      <c r="I16" s="61"/>
      <c r="J16" s="37"/>
      <c r="K16" s="61"/>
      <c r="L16" s="61"/>
      <c r="M16" s="37"/>
      <c r="N16" s="61"/>
      <c r="O16" s="61"/>
      <c r="P16" s="37"/>
      <c r="Q16" s="61"/>
      <c r="R16" s="61"/>
      <c r="S16" s="37"/>
      <c r="U16" s="36">
        <v>11</v>
      </c>
      <c r="V16" s="19">
        <f t="shared" si="4"/>
        <v>6.6474814895925372</v>
      </c>
      <c r="X16" s="36">
        <v>11</v>
      </c>
      <c r="Y16" s="19">
        <f t="shared" si="5"/>
        <v>37.331072669201568</v>
      </c>
      <c r="AA16" s="15">
        <v>40483</v>
      </c>
      <c r="AB16" s="19">
        <v>5.87</v>
      </c>
      <c r="AC16" s="19">
        <v>24</v>
      </c>
    </row>
    <row r="17" spans="1:29" x14ac:dyDescent="0.25">
      <c r="A17" s="7" t="s">
        <v>133</v>
      </c>
      <c r="B17" s="7" t="s">
        <v>141</v>
      </c>
      <c r="C17" s="20">
        <f>30*Y6</f>
        <v>858</v>
      </c>
      <c r="D17" s="50" t="s">
        <v>110</v>
      </c>
      <c r="E17" s="54">
        <f>$C17/100*'CONSO D''ENERGIE'!E$50</f>
        <v>21107.057400000002</v>
      </c>
      <c r="F17" s="54">
        <f>$C17/100*'CONSO D''ENERGIE'!F$50</f>
        <v>21107.057400000002</v>
      </c>
      <c r="G17" s="54">
        <f>$C17/100*'CONSO D''ENERGIE'!G$50</f>
        <v>21107.057400000002</v>
      </c>
      <c r="H17" s="63">
        <f>$C17/100*'CONSO D''ENERGIE'!H$50</f>
        <v>21107.057400000002</v>
      </c>
      <c r="I17" s="63">
        <f>$C17/100*'CONSO D''ENERGIE'!I$50</f>
        <v>21107.057400000002</v>
      </c>
      <c r="J17" s="54">
        <f>$C17/100*'CONSO D''ENERGIE'!J$50</f>
        <v>21107.057400000002</v>
      </c>
      <c r="K17" s="63">
        <f>$C17/100*'CONSO D''ENERGIE'!K$50</f>
        <v>21107.057400000002</v>
      </c>
      <c r="L17" s="63">
        <f>$C17/100*'CONSO D''ENERGIE'!L$50</f>
        <v>21107.057400000002</v>
      </c>
      <c r="M17" s="54">
        <f>$C17/100*'CONSO D''ENERGIE'!M$50</f>
        <v>21107.057400000002</v>
      </c>
      <c r="N17" s="63">
        <f>$C17/100*'CONSO D''ENERGIE'!N$50</f>
        <v>21107.057400000002</v>
      </c>
      <c r="O17" s="63">
        <f>$C17/100*'CONSO D''ENERGIE'!O$50</f>
        <v>21107.057400000002</v>
      </c>
      <c r="P17" s="54">
        <f>$C17/100*'CONSO D''ENERGIE'!P$50</f>
        <v>21107.057400000002</v>
      </c>
      <c r="Q17" s="63">
        <f>$C17/100*'CONSO D''ENERGIE'!Q$50</f>
        <v>21107.057400000002</v>
      </c>
      <c r="R17" s="63">
        <f>$C17/100*'CONSO D''ENERGIE'!R$50</f>
        <v>21107.057400000002</v>
      </c>
      <c r="S17" s="54">
        <f>$C17/100*'CONSO D''ENERGIE'!S$50</f>
        <v>21107.057400000002</v>
      </c>
      <c r="U17" s="36">
        <v>12</v>
      </c>
      <c r="V17" s="19">
        <f t="shared" si="4"/>
        <v>6.7272512674676479</v>
      </c>
      <c r="X17" s="36">
        <v>12</v>
      </c>
      <c r="Y17" s="19">
        <f t="shared" si="5"/>
        <v>38.339011631270004</v>
      </c>
      <c r="AA17" s="15">
        <v>40513</v>
      </c>
      <c r="AB17" s="19">
        <v>5.96</v>
      </c>
      <c r="AC17" s="19">
        <v>23.9</v>
      </c>
    </row>
    <row r="18" spans="1:29" x14ac:dyDescent="0.25">
      <c r="A18" s="7" t="s">
        <v>184</v>
      </c>
      <c r="B18" s="7" t="s">
        <v>142</v>
      </c>
      <c r="C18" s="20">
        <f>SUM(Y6:Y35)</f>
        <v>1296.4168469913732</v>
      </c>
      <c r="D18" s="50" t="s">
        <v>110</v>
      </c>
      <c r="E18" s="54">
        <f>$C18/100*'CONSO D''ENERGIE'!E$50</f>
        <v>31892.243361041881</v>
      </c>
      <c r="F18" s="54">
        <f>$C18/100*'CONSO D''ENERGIE'!F$50</f>
        <v>31892.243361041881</v>
      </c>
      <c r="G18" s="54">
        <f>$C18/100*'CONSO D''ENERGIE'!G$50</f>
        <v>31892.243361041881</v>
      </c>
      <c r="H18" s="63">
        <f>$C18/100*'CONSO D''ENERGIE'!H$50</f>
        <v>31892.243361041881</v>
      </c>
      <c r="I18" s="63">
        <f>$C18/100*'CONSO D''ENERGIE'!I$50</f>
        <v>31892.243361041881</v>
      </c>
      <c r="J18" s="54">
        <f>$C18/100*'CONSO D''ENERGIE'!J$50</f>
        <v>31892.243361041881</v>
      </c>
      <c r="K18" s="63">
        <f>$C18/100*'CONSO D''ENERGIE'!K$50</f>
        <v>31892.243361041881</v>
      </c>
      <c r="L18" s="63">
        <f>$C18/100*'CONSO D''ENERGIE'!L$50</f>
        <v>31892.243361041881</v>
      </c>
      <c r="M18" s="54">
        <f>$C18/100*'CONSO D''ENERGIE'!M$50</f>
        <v>31892.243361041881</v>
      </c>
      <c r="N18" s="63">
        <f>$C18/100*'CONSO D''ENERGIE'!N$50</f>
        <v>31892.243361041881</v>
      </c>
      <c r="O18" s="63">
        <f>$C18/100*'CONSO D''ENERGIE'!O$50</f>
        <v>31892.243361041881</v>
      </c>
      <c r="P18" s="54">
        <f>$C18/100*'CONSO D''ENERGIE'!P$50</f>
        <v>31892.243361041881</v>
      </c>
      <c r="Q18" s="63">
        <f>$C18/100*'CONSO D''ENERGIE'!Q$50</f>
        <v>31892.243361041881</v>
      </c>
      <c r="R18" s="63">
        <f>$C18/100*'CONSO D''ENERGIE'!R$50</f>
        <v>31892.243361041881</v>
      </c>
      <c r="S18" s="54">
        <f>$C18/100*'CONSO D''ENERGIE'!S$50</f>
        <v>31892.243361041881</v>
      </c>
      <c r="U18" s="36">
        <v>13</v>
      </c>
      <c r="V18" s="19">
        <f t="shared" si="4"/>
        <v>6.8079782826772597</v>
      </c>
      <c r="X18" s="36">
        <v>13</v>
      </c>
      <c r="Y18" s="19">
        <f t="shared" si="5"/>
        <v>39.374164945314291</v>
      </c>
      <c r="AA18" s="17" t="s">
        <v>104</v>
      </c>
      <c r="AB18" s="20">
        <f>AVERAGE(AB4:AB17)</f>
        <v>5.5058333333333325</v>
      </c>
      <c r="AC18" s="20">
        <f>AVERAGE(AC4:AC17)</f>
        <v>22.737499999999997</v>
      </c>
    </row>
    <row r="19" spans="1:29" x14ac:dyDescent="0.25">
      <c r="B19" t="s">
        <v>177</v>
      </c>
      <c r="D19" s="41" t="s">
        <v>179</v>
      </c>
      <c r="E19" s="37">
        <f t="shared" ref="E19:R19" si="12">E17/20</f>
        <v>1055.3528700000002</v>
      </c>
      <c r="F19" s="37">
        <f t="shared" si="12"/>
        <v>1055.3528700000002</v>
      </c>
      <c r="G19" s="37">
        <f t="shared" si="12"/>
        <v>1055.3528700000002</v>
      </c>
      <c r="H19" s="61">
        <f t="shared" si="12"/>
        <v>1055.3528700000002</v>
      </c>
      <c r="I19" s="61">
        <f t="shared" si="12"/>
        <v>1055.3528700000002</v>
      </c>
      <c r="J19" s="37">
        <f t="shared" si="12"/>
        <v>1055.3528700000002</v>
      </c>
      <c r="K19" s="61">
        <f t="shared" si="12"/>
        <v>1055.3528700000002</v>
      </c>
      <c r="L19" s="61">
        <f t="shared" si="12"/>
        <v>1055.3528700000002</v>
      </c>
      <c r="M19" s="37">
        <f t="shared" si="12"/>
        <v>1055.3528700000002</v>
      </c>
      <c r="N19" s="61">
        <f t="shared" si="12"/>
        <v>1055.3528700000002</v>
      </c>
      <c r="O19" s="61">
        <f t="shared" si="12"/>
        <v>1055.3528700000002</v>
      </c>
      <c r="P19" s="37">
        <f t="shared" si="12"/>
        <v>1055.3528700000002</v>
      </c>
      <c r="Q19" s="61">
        <f t="shared" si="12"/>
        <v>1055.3528700000002</v>
      </c>
      <c r="R19" s="61">
        <f t="shared" si="12"/>
        <v>1055.3528700000002</v>
      </c>
      <c r="S19" s="37">
        <f t="shared" ref="S19:S20" si="13">S17/20</f>
        <v>1055.3528700000002</v>
      </c>
      <c r="U19" s="36">
        <v>14</v>
      </c>
      <c r="V19" s="19">
        <f t="shared" si="4"/>
        <v>6.8896740220693866</v>
      </c>
      <c r="X19" s="36">
        <v>14</v>
      </c>
      <c r="Y19" s="19">
        <f t="shared" si="5"/>
        <v>40.437267398837776</v>
      </c>
      <c r="AA19" s="15"/>
    </row>
    <row r="20" spans="1:29" x14ac:dyDescent="0.25">
      <c r="B20" t="s">
        <v>178</v>
      </c>
      <c r="D20" s="41" t="s">
        <v>179</v>
      </c>
      <c r="E20" s="37">
        <f t="shared" ref="E20:R20" si="14">E18/20</f>
        <v>1594.6121680520941</v>
      </c>
      <c r="F20" s="37">
        <f t="shared" si="14"/>
        <v>1594.6121680520941</v>
      </c>
      <c r="G20" s="37">
        <f t="shared" si="14"/>
        <v>1594.6121680520941</v>
      </c>
      <c r="H20" s="61">
        <f t="shared" si="14"/>
        <v>1594.6121680520941</v>
      </c>
      <c r="I20" s="61">
        <f t="shared" si="14"/>
        <v>1594.6121680520941</v>
      </c>
      <c r="J20" s="37">
        <f t="shared" si="14"/>
        <v>1594.6121680520941</v>
      </c>
      <c r="K20" s="61">
        <f t="shared" si="14"/>
        <v>1594.6121680520941</v>
      </c>
      <c r="L20" s="61">
        <f t="shared" si="14"/>
        <v>1594.6121680520941</v>
      </c>
      <c r="M20" s="37">
        <f t="shared" si="14"/>
        <v>1594.6121680520941</v>
      </c>
      <c r="N20" s="61">
        <f t="shared" si="14"/>
        <v>1594.6121680520941</v>
      </c>
      <c r="O20" s="61">
        <f t="shared" si="14"/>
        <v>1594.6121680520941</v>
      </c>
      <c r="P20" s="37">
        <f t="shared" si="14"/>
        <v>1594.6121680520941</v>
      </c>
      <c r="Q20" s="61">
        <f t="shared" si="14"/>
        <v>1594.6121680520941</v>
      </c>
      <c r="R20" s="61">
        <f t="shared" si="14"/>
        <v>1594.6121680520941</v>
      </c>
      <c r="S20" s="37">
        <f t="shared" si="13"/>
        <v>1594.6121680520941</v>
      </c>
      <c r="U20" s="36">
        <v>10</v>
      </c>
      <c r="V20" s="19">
        <f t="shared" si="4"/>
        <v>6.9723501103342196</v>
      </c>
      <c r="X20" s="36">
        <v>10</v>
      </c>
      <c r="Y20" s="19">
        <f t="shared" si="5"/>
        <v>41.52907361860639</v>
      </c>
      <c r="AA20" s="15">
        <v>40544</v>
      </c>
      <c r="AB20" s="19">
        <v>6.05</v>
      </c>
      <c r="AC20" s="19">
        <v>23.8</v>
      </c>
    </row>
    <row r="21" spans="1:29" x14ac:dyDescent="0.25">
      <c r="D21" s="49"/>
      <c r="E21" s="37"/>
      <c r="F21" s="37"/>
      <c r="G21" s="37"/>
      <c r="H21" s="61"/>
      <c r="I21" s="61"/>
      <c r="J21" s="37"/>
      <c r="K21" s="61"/>
      <c r="L21" s="61"/>
      <c r="M21" s="37"/>
      <c r="N21" s="61"/>
      <c r="O21" s="61"/>
      <c r="P21" s="37"/>
      <c r="Q21" s="61"/>
      <c r="R21" s="61"/>
      <c r="S21" s="37"/>
      <c r="U21" s="36">
        <v>11</v>
      </c>
      <c r="V21" s="19">
        <f t="shared" si="4"/>
        <v>7.0560183116582307</v>
      </c>
      <c r="X21" s="36">
        <v>11</v>
      </c>
      <c r="Y21" s="19">
        <f t="shared" si="5"/>
        <v>42.650358606308757</v>
      </c>
      <c r="AA21" s="15">
        <v>40575</v>
      </c>
      <c r="AB21" s="19">
        <v>6.19</v>
      </c>
      <c r="AC21" s="19">
        <v>24</v>
      </c>
    </row>
    <row r="22" spans="1:29" x14ac:dyDescent="0.25">
      <c r="A22" s="7" t="s">
        <v>198</v>
      </c>
      <c r="B22" s="7" t="s">
        <v>141</v>
      </c>
      <c r="C22" s="20">
        <f>30*Y6</f>
        <v>858</v>
      </c>
      <c r="D22" s="50" t="s">
        <v>110</v>
      </c>
      <c r="E22" s="54">
        <f>$C22/100*'CONSO D''ENERGIE'!E$93</f>
        <v>0</v>
      </c>
      <c r="F22" s="54">
        <f>$C22/100*'CONSO D''ENERGIE'!F$93</f>
        <v>0</v>
      </c>
      <c r="G22" s="54">
        <f>$C22/100*'CONSO D''ENERGIE'!G$93</f>
        <v>0</v>
      </c>
      <c r="H22" s="63">
        <f>$C22/100*'CONSO D''ENERGIE'!H$93</f>
        <v>0</v>
      </c>
      <c r="I22" s="63">
        <f>$C22/100*'CONSO D''ENERGIE'!I$93</f>
        <v>0</v>
      </c>
      <c r="J22" s="54">
        <f>$C22/100*'CONSO D''ENERGIE'!J$93</f>
        <v>0</v>
      </c>
      <c r="K22" s="63">
        <f>$C22/100*'CONSO D''ENERGIE'!K$93</f>
        <v>0</v>
      </c>
      <c r="L22" s="63">
        <f>$C22/100*'CONSO D''ENERGIE'!L$93</f>
        <v>0</v>
      </c>
      <c r="M22" s="54">
        <f>$C22/100*'CONSO D''ENERGIE'!M$93</f>
        <v>41066.368199999997</v>
      </c>
      <c r="N22" s="63">
        <f>$C22/100*'CONSO D''ENERGIE'!N$93</f>
        <v>47910.5484</v>
      </c>
      <c r="O22" s="63">
        <f>$C22/100*'CONSO D''ENERGIE'!O$93</f>
        <v>35933.211600000002</v>
      </c>
      <c r="P22" s="54">
        <f>$C22/100*'CONSO D''ENERGIE'!P$93</f>
        <v>0</v>
      </c>
      <c r="Q22" s="63">
        <f>$C22/100*'CONSO D''ENERGIE'!Q$93</f>
        <v>0</v>
      </c>
      <c r="R22" s="63">
        <f>$C22/100*'CONSO D''ENERGIE'!R$93</f>
        <v>0</v>
      </c>
      <c r="S22" s="54">
        <f>$C22/100*'CONSO D''ENERGIE'!S$93</f>
        <v>11847.435600000001</v>
      </c>
      <c r="U22" s="36">
        <v>12</v>
      </c>
      <c r="V22" s="19">
        <f t="shared" si="4"/>
        <v>7.1406905313981293</v>
      </c>
      <c r="X22" s="36">
        <v>12</v>
      </c>
      <c r="Y22" s="19">
        <f t="shared" si="5"/>
        <v>43.80191828867909</v>
      </c>
      <c r="AA22" s="15">
        <v>40513</v>
      </c>
      <c r="AB22" s="19">
        <v>5.96</v>
      </c>
      <c r="AC22" s="19">
        <v>23.9</v>
      </c>
    </row>
    <row r="23" spans="1:29" x14ac:dyDescent="0.25">
      <c r="A23" s="7" t="s">
        <v>184</v>
      </c>
      <c r="B23" s="7" t="s">
        <v>142</v>
      </c>
      <c r="C23" s="20">
        <f>SUM(Y6:Y35)</f>
        <v>1296.4168469913732</v>
      </c>
      <c r="D23" s="50" t="s">
        <v>110</v>
      </c>
      <c r="E23" s="54">
        <f>$C23/100*'CONSO D''ENERGIE'!E$93</f>
        <v>0</v>
      </c>
      <c r="F23" s="54">
        <f>$C23/100*'CONSO D''ENERGIE'!F$93</f>
        <v>0</v>
      </c>
      <c r="G23" s="54">
        <f>$C23/100*'CONSO D''ENERGIE'!G$93</f>
        <v>0</v>
      </c>
      <c r="H23" s="63">
        <f>$C23/100*'CONSO D''ENERGIE'!H$93</f>
        <v>0</v>
      </c>
      <c r="I23" s="63">
        <f>$C23/100*'CONSO D''ENERGIE'!I$93</f>
        <v>0</v>
      </c>
      <c r="J23" s="54">
        <f>$C23/100*'CONSO D''ENERGIE'!J$93</f>
        <v>0</v>
      </c>
      <c r="K23" s="63">
        <f>$C23/100*'CONSO D''ENERGIE'!K$93</f>
        <v>0</v>
      </c>
      <c r="L23" s="63">
        <f>$C23/100*'CONSO D''ENERGIE'!L$93</f>
        <v>0</v>
      </c>
      <c r="M23" s="54">
        <f>$C23/100*'CONSO D''ENERGIE'!M$93</f>
        <v>62050.269905863395</v>
      </c>
      <c r="N23" s="63">
        <f>$C23/100*'CONSO D''ENERGIE'!N$93</f>
        <v>72391.657452628875</v>
      </c>
      <c r="O23" s="63">
        <f>$C23/100*'CONSO D''ENERGIE'!O$93</f>
        <v>54294.196835368115</v>
      </c>
      <c r="P23" s="54">
        <f>$C23/100*'CONSO D''ENERGIE'!P$93</f>
        <v>0</v>
      </c>
      <c r="Q23" s="63">
        <f>$C23/100*'CONSO D''ENERGIE'!Q$93</f>
        <v>0</v>
      </c>
      <c r="R23" s="63">
        <f>$C23/100*'CONSO D''ENERGIE'!R$93</f>
        <v>0</v>
      </c>
      <c r="S23" s="54">
        <f>$C23/100*'CONSO D''ENERGIE'!S$93</f>
        <v>17901.183106626282</v>
      </c>
      <c r="U23" s="36">
        <v>13</v>
      </c>
      <c r="V23" s="19">
        <f t="shared" si="4"/>
        <v>7.2263788177749069</v>
      </c>
      <c r="X23" s="36">
        <v>13</v>
      </c>
      <c r="Y23" s="19">
        <f t="shared" si="5"/>
        <v>44.984570082473425</v>
      </c>
      <c r="AA23" s="17" t="s">
        <v>104</v>
      </c>
      <c r="AB23" s="20">
        <f>AVERAGE(AB9:AB22)</f>
        <v>5.7388194444444443</v>
      </c>
      <c r="AC23" s="20">
        <f>AVERAGE(AC9:AC22)</f>
        <v>23.569791666666664</v>
      </c>
    </row>
    <row r="24" spans="1:29" x14ac:dyDescent="0.25">
      <c r="B24" t="s">
        <v>177</v>
      </c>
      <c r="D24" s="41" t="s">
        <v>179</v>
      </c>
      <c r="E24" s="37">
        <f t="shared" ref="E24:R24" si="15">E22/20</f>
        <v>0</v>
      </c>
      <c r="F24" s="37">
        <f t="shared" si="15"/>
        <v>0</v>
      </c>
      <c r="G24" s="37">
        <f t="shared" si="15"/>
        <v>0</v>
      </c>
      <c r="H24" s="61">
        <f t="shared" si="15"/>
        <v>0</v>
      </c>
      <c r="I24" s="61">
        <f t="shared" si="15"/>
        <v>0</v>
      </c>
      <c r="J24" s="37">
        <f t="shared" si="15"/>
        <v>0</v>
      </c>
      <c r="K24" s="61">
        <f t="shared" si="15"/>
        <v>0</v>
      </c>
      <c r="L24" s="61">
        <f t="shared" si="15"/>
        <v>0</v>
      </c>
      <c r="M24" s="37">
        <f t="shared" si="15"/>
        <v>2053.3184099999999</v>
      </c>
      <c r="N24" s="61">
        <f t="shared" si="15"/>
        <v>2395.5274199999999</v>
      </c>
      <c r="O24" s="61">
        <f t="shared" si="15"/>
        <v>1796.6605800000002</v>
      </c>
      <c r="P24" s="37">
        <f t="shared" si="15"/>
        <v>0</v>
      </c>
      <c r="Q24" s="61">
        <f t="shared" si="15"/>
        <v>0</v>
      </c>
      <c r="R24" s="61">
        <f t="shared" si="15"/>
        <v>0</v>
      </c>
      <c r="S24" s="37">
        <f t="shared" ref="S24:S25" si="16">S22/20</f>
        <v>592.37178000000006</v>
      </c>
      <c r="U24" s="36">
        <v>19</v>
      </c>
      <c r="V24" s="19">
        <f t="shared" si="4"/>
        <v>7.3130953635882054</v>
      </c>
      <c r="X24" s="36">
        <v>19</v>
      </c>
      <c r="Y24" s="19">
        <f t="shared" si="5"/>
        <v>46.199153474700204</v>
      </c>
      <c r="AA24" s="15"/>
    </row>
    <row r="25" spans="1:29" x14ac:dyDescent="0.25">
      <c r="B25" t="s">
        <v>178</v>
      </c>
      <c r="D25" s="41" t="s">
        <v>179</v>
      </c>
      <c r="E25" s="37">
        <f t="shared" ref="E25:R25" si="17">E23/20</f>
        <v>0</v>
      </c>
      <c r="F25" s="37">
        <f t="shared" si="17"/>
        <v>0</v>
      </c>
      <c r="G25" s="37">
        <f t="shared" si="17"/>
        <v>0</v>
      </c>
      <c r="H25" s="61">
        <f t="shared" si="17"/>
        <v>0</v>
      </c>
      <c r="I25" s="61">
        <f t="shared" si="17"/>
        <v>0</v>
      </c>
      <c r="J25" s="37">
        <f t="shared" si="17"/>
        <v>0</v>
      </c>
      <c r="K25" s="61">
        <f t="shared" si="17"/>
        <v>0</v>
      </c>
      <c r="L25" s="61">
        <f t="shared" si="17"/>
        <v>0</v>
      </c>
      <c r="M25" s="37">
        <f t="shared" si="17"/>
        <v>3102.5134952931699</v>
      </c>
      <c r="N25" s="61">
        <f t="shared" si="17"/>
        <v>3619.5828726314439</v>
      </c>
      <c r="O25" s="61">
        <f t="shared" si="17"/>
        <v>2714.7098417684056</v>
      </c>
      <c r="P25" s="37">
        <f t="shared" si="17"/>
        <v>0</v>
      </c>
      <c r="Q25" s="61">
        <f t="shared" si="17"/>
        <v>0</v>
      </c>
      <c r="R25" s="61">
        <f t="shared" si="17"/>
        <v>0</v>
      </c>
      <c r="S25" s="37">
        <f t="shared" si="16"/>
        <v>895.05915533131406</v>
      </c>
      <c r="U25" s="36">
        <v>10</v>
      </c>
      <c r="V25" s="19">
        <f t="shared" si="4"/>
        <v>7.4008525079512637</v>
      </c>
      <c r="X25" s="36">
        <v>10</v>
      </c>
      <c r="Y25" s="19">
        <f t="shared" si="5"/>
        <v>47.446530618517102</v>
      </c>
      <c r="AA25" s="15">
        <v>40544</v>
      </c>
      <c r="AB25" s="19">
        <v>6.05</v>
      </c>
      <c r="AC25" s="19">
        <v>23.8</v>
      </c>
    </row>
    <row r="26" spans="1:29" x14ac:dyDescent="0.25">
      <c r="D26" s="49"/>
      <c r="E26" s="37"/>
      <c r="F26" s="37"/>
      <c r="G26" s="37"/>
      <c r="H26" s="61"/>
      <c r="I26" s="61"/>
      <c r="J26" s="37"/>
      <c r="K26" s="61"/>
      <c r="L26" s="61"/>
      <c r="M26" s="37"/>
      <c r="N26" s="61"/>
      <c r="O26" s="61"/>
      <c r="P26" s="37"/>
      <c r="Q26" s="61"/>
      <c r="R26" s="61"/>
      <c r="S26" s="37"/>
      <c r="U26" s="36">
        <v>11</v>
      </c>
      <c r="V26" s="19">
        <f t="shared" si="4"/>
        <v>7.4896627380466789</v>
      </c>
      <c r="X26" s="36">
        <v>11</v>
      </c>
      <c r="Y26" s="19">
        <f t="shared" si="5"/>
        <v>48.727586945217062</v>
      </c>
      <c r="AA26" s="15">
        <v>40725</v>
      </c>
      <c r="AB26" s="19">
        <v>6.73</v>
      </c>
      <c r="AC26" s="19">
        <v>25.25</v>
      </c>
    </row>
    <row r="27" spans="1:29" x14ac:dyDescent="0.25">
      <c r="A27" s="7" t="s">
        <v>9</v>
      </c>
      <c r="B27" s="7" t="s">
        <v>141</v>
      </c>
      <c r="C27" s="20">
        <f>30*Y6</f>
        <v>858</v>
      </c>
      <c r="D27" s="50" t="s">
        <v>110</v>
      </c>
      <c r="E27" s="54">
        <f>$C27/100*'CONSO D''ENERGIE'!E$137</f>
        <v>0</v>
      </c>
      <c r="F27" s="54">
        <f>$C27/100*'CONSO D''ENERGIE'!F$137</f>
        <v>0</v>
      </c>
      <c r="G27" s="54">
        <f>$C27/100*'CONSO D''ENERGIE'!G$137</f>
        <v>0</v>
      </c>
      <c r="H27" s="63">
        <f>$C27/100*'CONSO D''ENERGIE'!H$137</f>
        <v>0</v>
      </c>
      <c r="I27" s="63">
        <f>$C27/100*'CONSO D''ENERGIE'!I$137</f>
        <v>0</v>
      </c>
      <c r="J27" s="54">
        <f>$C27/100*'CONSO D''ENERGIE'!J$137</f>
        <v>0</v>
      </c>
      <c r="K27" s="63">
        <f>$C27/100*'CONSO D''ENERGIE'!K$137</f>
        <v>0</v>
      </c>
      <c r="L27" s="63">
        <f>$C27/100*'CONSO D''ENERGIE'!L$137</f>
        <v>0</v>
      </c>
      <c r="M27" s="54">
        <f>$C27/100*'CONSO D''ENERGIE'!M$137</f>
        <v>0</v>
      </c>
      <c r="N27" s="63">
        <f>$C27/100*'CONSO D''ENERGIE'!N$137</f>
        <v>0</v>
      </c>
      <c r="O27" s="63">
        <f>$C27/100*'CONSO D''ENERGIE'!O$137</f>
        <v>0</v>
      </c>
      <c r="P27" s="54">
        <f>$C27/100*'CONSO D''ENERGIE'!P$137</f>
        <v>-13054.899000000001</v>
      </c>
      <c r="Q27" s="63">
        <f>$C27/100*'CONSO D''ENERGIE'!Q$137</f>
        <v>-11604.535800000001</v>
      </c>
      <c r="R27" s="63">
        <f>$C27/100*'CONSO D''ENERGIE'!R$137</f>
        <v>-14505.348</v>
      </c>
      <c r="S27" s="54">
        <f>$C27/100*'CONSO D''ENERGIE'!S$137</f>
        <v>-13054.899000000001</v>
      </c>
      <c r="U27" s="36">
        <v>12</v>
      </c>
      <c r="V27" s="19">
        <f t="shared" si="4"/>
        <v>7.579538690903239</v>
      </c>
      <c r="X27" s="36">
        <v>12</v>
      </c>
      <c r="Y27" s="19">
        <f t="shared" si="5"/>
        <v>50.04323179273792</v>
      </c>
      <c r="AA27" s="15">
        <v>40513</v>
      </c>
      <c r="AB27" s="19">
        <v>5.96</v>
      </c>
      <c r="AC27" s="19">
        <v>23.9</v>
      </c>
    </row>
    <row r="28" spans="1:29" x14ac:dyDescent="0.25">
      <c r="A28" s="7" t="s">
        <v>184</v>
      </c>
      <c r="B28" s="7" t="s">
        <v>142</v>
      </c>
      <c r="C28" s="20">
        <f>SUM(Y6:Y35)</f>
        <v>1296.4168469913732</v>
      </c>
      <c r="D28" s="50" t="s">
        <v>110</v>
      </c>
      <c r="E28" s="54">
        <f>$C28/100*'CONSO D''ENERGIE'!E$137</f>
        <v>0</v>
      </c>
      <c r="F28" s="54">
        <f>$C28/100*'CONSO D''ENERGIE'!F$137</f>
        <v>0</v>
      </c>
      <c r="G28" s="54">
        <f>$C28/100*'CONSO D''ENERGIE'!G$137</f>
        <v>0</v>
      </c>
      <c r="H28" s="63">
        <f>$C28/100*'CONSO D''ENERGIE'!H$137</f>
        <v>0</v>
      </c>
      <c r="I28" s="63">
        <f>$C28/100*'CONSO D''ENERGIE'!I$137</f>
        <v>0</v>
      </c>
      <c r="J28" s="54">
        <f>$C28/100*'CONSO D''ENERGIE'!J$137</f>
        <v>0</v>
      </c>
      <c r="K28" s="63">
        <f>$C28/100*'CONSO D''ENERGIE'!K$137</f>
        <v>0</v>
      </c>
      <c r="L28" s="63">
        <f>$C28/100*'CONSO D''ENERGIE'!L$137</f>
        <v>0</v>
      </c>
      <c r="M28" s="54">
        <f>$C28/100*'CONSO D''ENERGIE'!M$137</f>
        <v>0</v>
      </c>
      <c r="N28" s="63">
        <f>$C28/100*'CONSO D''ENERGIE'!N$137</f>
        <v>0</v>
      </c>
      <c r="O28" s="63">
        <f>$C28/100*'CONSO D''ENERGIE'!O$137</f>
        <v>0</v>
      </c>
      <c r="P28" s="54">
        <f>$C28/100*'CONSO D''ENERGIE'!P$137</f>
        <v>-19725.630535397242</v>
      </c>
      <c r="Q28" s="63">
        <f>$C28/100*'CONSO D''ENERGIE'!Q$137</f>
        <v>-17534.167497243023</v>
      </c>
      <c r="R28" s="63">
        <f>$C28/100*'CONSO D''ENERGIE'!R$137</f>
        <v>-21917.223215236154</v>
      </c>
      <c r="S28" s="54">
        <f>$C28/100*'CONSO D''ENERGIE'!S$137</f>
        <v>-19725.630535397242</v>
      </c>
      <c r="U28" s="36">
        <v>13</v>
      </c>
      <c r="V28" s="19">
        <f t="shared" si="4"/>
        <v>7.6704931551940776</v>
      </c>
      <c r="X28" s="36">
        <v>13</v>
      </c>
      <c r="Y28" s="19">
        <f t="shared" si="5"/>
        <v>51.394399051141839</v>
      </c>
      <c r="AA28" s="17" t="s">
        <v>104</v>
      </c>
      <c r="AB28" s="20">
        <f>AVERAGE(AB14:AB27)</f>
        <v>5.9570543981481476</v>
      </c>
      <c r="AC28" s="20">
        <f>AVERAGE(AC14:AC27)</f>
        <v>23.921440972222218</v>
      </c>
    </row>
    <row r="29" spans="1:29" x14ac:dyDescent="0.25">
      <c r="B29" t="s">
        <v>177</v>
      </c>
      <c r="D29" s="41" t="s">
        <v>179</v>
      </c>
      <c r="E29" s="37">
        <f t="shared" ref="E29:R29" si="18">E27/20</f>
        <v>0</v>
      </c>
      <c r="F29" s="37">
        <f t="shared" si="18"/>
        <v>0</v>
      </c>
      <c r="G29" s="37">
        <f t="shared" si="18"/>
        <v>0</v>
      </c>
      <c r="H29" s="61">
        <f t="shared" si="18"/>
        <v>0</v>
      </c>
      <c r="I29" s="61">
        <f t="shared" si="18"/>
        <v>0</v>
      </c>
      <c r="J29" s="37">
        <f t="shared" si="18"/>
        <v>0</v>
      </c>
      <c r="K29" s="61">
        <f t="shared" si="18"/>
        <v>0</v>
      </c>
      <c r="L29" s="61">
        <f t="shared" si="18"/>
        <v>0</v>
      </c>
      <c r="M29" s="37">
        <f t="shared" si="18"/>
        <v>0</v>
      </c>
      <c r="N29" s="61">
        <f t="shared" si="18"/>
        <v>0</v>
      </c>
      <c r="O29" s="61">
        <f t="shared" si="18"/>
        <v>0</v>
      </c>
      <c r="P29" s="37">
        <f t="shared" si="18"/>
        <v>-652.74495000000002</v>
      </c>
      <c r="Q29" s="61">
        <f t="shared" si="18"/>
        <v>-580.22679000000005</v>
      </c>
      <c r="R29" s="61">
        <f t="shared" si="18"/>
        <v>-725.26739999999995</v>
      </c>
      <c r="S29" s="37">
        <f t="shared" ref="S29:S30" si="19">S27/20</f>
        <v>-652.74495000000002</v>
      </c>
      <c r="U29" s="36">
        <v>24</v>
      </c>
      <c r="V29" s="19">
        <f t="shared" ref="V29:V35" si="20">V28*1.012</f>
        <v>7.7625390730564066</v>
      </c>
      <c r="X29" s="36">
        <v>24</v>
      </c>
      <c r="Y29" s="19">
        <f t="shared" ref="Y29:Y35" si="21">Y28*1.027</f>
        <v>52.782047825522667</v>
      </c>
      <c r="AA29" s="15"/>
    </row>
    <row r="30" spans="1:29" x14ac:dyDescent="0.25">
      <c r="B30" t="s">
        <v>178</v>
      </c>
      <c r="D30" s="41" t="s">
        <v>179</v>
      </c>
      <c r="E30" s="37">
        <f t="shared" ref="E30:R30" si="22">E28/20</f>
        <v>0</v>
      </c>
      <c r="F30" s="37">
        <f t="shared" si="22"/>
        <v>0</v>
      </c>
      <c r="G30" s="37">
        <f t="shared" si="22"/>
        <v>0</v>
      </c>
      <c r="H30" s="61">
        <f t="shared" si="22"/>
        <v>0</v>
      </c>
      <c r="I30" s="61">
        <f t="shared" si="22"/>
        <v>0</v>
      </c>
      <c r="J30" s="37">
        <f t="shared" si="22"/>
        <v>0</v>
      </c>
      <c r="K30" s="61">
        <f t="shared" si="22"/>
        <v>0</v>
      </c>
      <c r="L30" s="61">
        <f t="shared" si="22"/>
        <v>0</v>
      </c>
      <c r="M30" s="37">
        <f t="shared" si="22"/>
        <v>0</v>
      </c>
      <c r="N30" s="61">
        <f t="shared" si="22"/>
        <v>0</v>
      </c>
      <c r="O30" s="61">
        <f t="shared" si="22"/>
        <v>0</v>
      </c>
      <c r="P30" s="37">
        <f t="shared" si="22"/>
        <v>-986.28152676986213</v>
      </c>
      <c r="Q30" s="61">
        <f t="shared" si="22"/>
        <v>-876.70837486215112</v>
      </c>
      <c r="R30" s="61">
        <f t="shared" si="22"/>
        <v>-1095.8611607618077</v>
      </c>
      <c r="S30" s="37">
        <f t="shared" si="19"/>
        <v>-986.28152676986213</v>
      </c>
      <c r="U30" s="36">
        <v>25</v>
      </c>
      <c r="V30" s="19">
        <f t="shared" si="20"/>
        <v>7.8556895419330832</v>
      </c>
      <c r="X30" s="36">
        <v>25</v>
      </c>
      <c r="Y30" s="19">
        <f t="shared" si="21"/>
        <v>54.207163116811778</v>
      </c>
      <c r="AA30" s="15">
        <v>40544</v>
      </c>
      <c r="AB30" s="19">
        <v>6.05</v>
      </c>
      <c r="AC30" s="19">
        <v>23.8</v>
      </c>
    </row>
    <row r="31" spans="1:29" x14ac:dyDescent="0.25">
      <c r="D31" s="49"/>
      <c r="E31" s="37"/>
      <c r="F31" s="37"/>
      <c r="G31" s="37"/>
      <c r="H31" s="61"/>
      <c r="I31" s="61"/>
      <c r="J31" s="37"/>
      <c r="K31" s="61"/>
      <c r="L31" s="61"/>
      <c r="M31" s="37"/>
      <c r="N31" s="61"/>
      <c r="O31" s="61"/>
      <c r="P31" s="37"/>
      <c r="Q31" s="61"/>
      <c r="R31" s="61"/>
      <c r="S31" s="37"/>
      <c r="U31" s="36">
        <v>26</v>
      </c>
      <c r="V31" s="19">
        <f t="shared" si="20"/>
        <v>7.9499578164362807</v>
      </c>
      <c r="X31" s="36">
        <v>26</v>
      </c>
      <c r="Y31" s="19">
        <f t="shared" si="21"/>
        <v>55.670756520965689</v>
      </c>
      <c r="AA31" s="15">
        <v>40878</v>
      </c>
      <c r="AB31" s="19">
        <v>6.95</v>
      </c>
      <c r="AC31" s="19">
        <v>24.9</v>
      </c>
    </row>
    <row r="32" spans="1:29" x14ac:dyDescent="0.25">
      <c r="D32" s="49"/>
      <c r="E32" s="37"/>
      <c r="F32" s="37"/>
      <c r="G32" s="37"/>
      <c r="H32" s="61"/>
      <c r="I32" s="61"/>
      <c r="J32" s="37"/>
      <c r="K32" s="61"/>
      <c r="L32" s="61"/>
      <c r="M32" s="37"/>
      <c r="N32" s="61"/>
      <c r="O32" s="61"/>
      <c r="P32" s="37"/>
      <c r="Q32" s="61"/>
      <c r="R32" s="61"/>
      <c r="S32" s="37"/>
      <c r="U32" s="36">
        <v>27</v>
      </c>
      <c r="V32" s="19">
        <f t="shared" si="20"/>
        <v>8.0453573102335163</v>
      </c>
      <c r="X32" s="36">
        <v>27</v>
      </c>
      <c r="Y32" s="19">
        <f t="shared" si="21"/>
        <v>57.173866947031755</v>
      </c>
      <c r="AA32" s="17" t="s">
        <v>104</v>
      </c>
      <c r="AB32" s="20">
        <f>AVERAGE(AB20:AB31)</f>
        <v>6.1635873842592597</v>
      </c>
      <c r="AC32" s="20">
        <f>AVERAGE(AC20:AC31)</f>
        <v>24.084123263888891</v>
      </c>
    </row>
    <row r="33" spans="4:29" x14ac:dyDescent="0.25">
      <c r="D33" s="49"/>
      <c r="E33" s="37"/>
      <c r="F33" s="37"/>
      <c r="G33" s="37"/>
      <c r="H33" s="61"/>
      <c r="I33" s="61"/>
      <c r="J33" s="37"/>
      <c r="K33" s="61"/>
      <c r="L33" s="61"/>
      <c r="M33" s="37"/>
      <c r="N33" s="61"/>
      <c r="O33" s="61"/>
      <c r="P33" s="37"/>
      <c r="Q33" s="61"/>
      <c r="R33" s="61"/>
      <c r="S33" s="37"/>
      <c r="U33" s="36">
        <v>28</v>
      </c>
      <c r="V33" s="19">
        <f t="shared" si="20"/>
        <v>8.1419015979563181</v>
      </c>
      <c r="X33" s="36">
        <v>28</v>
      </c>
      <c r="Y33" s="19">
        <f t="shared" si="21"/>
        <v>58.717561354601607</v>
      </c>
      <c r="AA33" s="15"/>
    </row>
    <row r="34" spans="4:29" x14ac:dyDescent="0.25">
      <c r="D34" s="49"/>
      <c r="E34" s="37"/>
      <c r="F34" s="37"/>
      <c r="G34" s="37"/>
      <c r="H34" s="61"/>
      <c r="I34" s="61"/>
      <c r="J34" s="37"/>
      <c r="K34" s="61"/>
      <c r="L34" s="61"/>
      <c r="M34" s="37"/>
      <c r="N34" s="61"/>
      <c r="O34" s="61"/>
      <c r="P34" s="37"/>
      <c r="Q34" s="61"/>
      <c r="R34" s="61"/>
      <c r="S34" s="37"/>
      <c r="U34" s="36">
        <v>29</v>
      </c>
      <c r="V34" s="19">
        <f t="shared" si="20"/>
        <v>8.2396044171317939</v>
      </c>
      <c r="X34" s="36">
        <v>29</v>
      </c>
      <c r="Y34" s="19">
        <f t="shared" si="21"/>
        <v>60.302935511175846</v>
      </c>
      <c r="AA34" s="15">
        <v>40909</v>
      </c>
      <c r="AB34" s="19">
        <v>7.04</v>
      </c>
      <c r="AC34" s="19">
        <v>25</v>
      </c>
    </row>
    <row r="35" spans="4:29" x14ac:dyDescent="0.25">
      <c r="D35" s="49"/>
      <c r="E35" s="37"/>
      <c r="F35" s="37"/>
      <c r="G35" s="37"/>
      <c r="H35" s="61"/>
      <c r="I35" s="61"/>
      <c r="J35" s="37"/>
      <c r="K35" s="61"/>
      <c r="L35" s="61"/>
      <c r="M35" s="37"/>
      <c r="N35" s="61"/>
      <c r="O35" s="61"/>
      <c r="P35" s="37"/>
      <c r="Q35" s="61"/>
      <c r="R35" s="61"/>
      <c r="S35" s="37"/>
      <c r="U35" s="36">
        <v>30</v>
      </c>
      <c r="V35" s="19">
        <f t="shared" si="20"/>
        <v>8.3384796701373762</v>
      </c>
      <c r="X35" s="36">
        <v>30</v>
      </c>
      <c r="Y35" s="19">
        <f t="shared" si="21"/>
        <v>61.93111476997759</v>
      </c>
      <c r="AA35" s="15">
        <v>40940</v>
      </c>
      <c r="AB35" s="19">
        <v>7.22</v>
      </c>
      <c r="AC35" s="19">
        <v>25.1</v>
      </c>
    </row>
    <row r="36" spans="4:29" x14ac:dyDescent="0.25">
      <c r="D36" s="49"/>
      <c r="E36" s="37"/>
      <c r="F36" s="37"/>
      <c r="G36" s="37"/>
      <c r="H36" s="61"/>
      <c r="I36" s="61"/>
      <c r="J36" s="37"/>
      <c r="K36" s="61"/>
      <c r="L36" s="61"/>
      <c r="M36" s="37"/>
      <c r="N36" s="61"/>
      <c r="O36" s="61"/>
      <c r="P36" s="37"/>
      <c r="Q36" s="61"/>
      <c r="R36" s="61"/>
      <c r="S36" s="37"/>
      <c r="AA36" s="15">
        <v>40969</v>
      </c>
      <c r="AB36" s="19">
        <v>7.4</v>
      </c>
      <c r="AC36" s="19">
        <v>25.1</v>
      </c>
    </row>
    <row r="37" spans="4:29" x14ac:dyDescent="0.25">
      <c r="E37" s="37"/>
      <c r="F37" s="37"/>
      <c r="G37" s="37"/>
      <c r="H37" s="61"/>
      <c r="I37" s="61"/>
      <c r="J37" s="37"/>
      <c r="K37" s="61"/>
      <c r="L37" s="61"/>
      <c r="M37" s="37"/>
      <c r="N37" s="61"/>
      <c r="O37" s="61"/>
      <c r="P37" s="37"/>
      <c r="Q37" s="61"/>
      <c r="R37" s="61"/>
      <c r="S37" s="37"/>
      <c r="AA37" s="15">
        <v>41000</v>
      </c>
      <c r="AB37" s="19">
        <v>7.59</v>
      </c>
      <c r="AC37" s="19">
        <v>24.3</v>
      </c>
    </row>
    <row r="38" spans="4:29" x14ac:dyDescent="0.25">
      <c r="AA38" s="15">
        <v>41030</v>
      </c>
      <c r="AB38" s="19">
        <v>7.59</v>
      </c>
      <c r="AC38" s="19">
        <v>24.2</v>
      </c>
    </row>
    <row r="39" spans="4:29" x14ac:dyDescent="0.25">
      <c r="AA39" s="15">
        <v>41061</v>
      </c>
      <c r="AB39" s="19">
        <v>7.6</v>
      </c>
      <c r="AC39" s="19">
        <v>24.1</v>
      </c>
    </row>
    <row r="40" spans="4:29" x14ac:dyDescent="0.25">
      <c r="AA40" s="15">
        <v>41091</v>
      </c>
      <c r="AB40" s="19">
        <v>7.56</v>
      </c>
      <c r="AC40" s="19">
        <v>24.49</v>
      </c>
    </row>
    <row r="41" spans="4:29" x14ac:dyDescent="0.25">
      <c r="AA41" s="15">
        <v>41122</v>
      </c>
      <c r="AB41" s="19">
        <v>7.56</v>
      </c>
      <c r="AC41" s="19">
        <v>24.32</v>
      </c>
    </row>
    <row r="42" spans="4:29" x14ac:dyDescent="0.25">
      <c r="U42" s="36"/>
      <c r="AA42" s="15">
        <v>41153</v>
      </c>
      <c r="AB42" s="19">
        <v>7.56</v>
      </c>
      <c r="AC42" s="19">
        <v>24.27</v>
      </c>
    </row>
    <row r="43" spans="4:29" x14ac:dyDescent="0.25">
      <c r="AA43" s="15">
        <v>41183</v>
      </c>
      <c r="AB43" s="19">
        <v>7.56</v>
      </c>
      <c r="AC43" s="19">
        <v>23.73</v>
      </c>
    </row>
    <row r="44" spans="4:29" x14ac:dyDescent="0.25">
      <c r="D44" s="49"/>
      <c r="AA44" s="15">
        <v>41214</v>
      </c>
      <c r="AB44" s="19">
        <v>7.56</v>
      </c>
      <c r="AC44" s="19">
        <v>25.03</v>
      </c>
    </row>
    <row r="45" spans="4:29" x14ac:dyDescent="0.25">
      <c r="D45" s="49"/>
      <c r="AA45" s="15">
        <v>41244</v>
      </c>
      <c r="AB45" s="19">
        <v>7.56</v>
      </c>
      <c r="AC45" s="19">
        <v>25.03</v>
      </c>
    </row>
    <row r="46" spans="4:29" x14ac:dyDescent="0.25">
      <c r="D46" s="49"/>
      <c r="AA46" s="17" t="s">
        <v>104</v>
      </c>
      <c r="AB46" s="20">
        <f>AVERAGE(AB34:AB45)</f>
        <v>7.4833333333333343</v>
      </c>
      <c r="AC46" s="20">
        <f>AVERAGE(AC34:AC45)</f>
        <v>24.555833333333329</v>
      </c>
    </row>
    <row r="47" spans="4:29" x14ac:dyDescent="0.25">
      <c r="D47" s="49"/>
      <c r="AA47" s="15"/>
    </row>
    <row r="48" spans="4:29" x14ac:dyDescent="0.25">
      <c r="D48" s="49"/>
      <c r="AA48" s="15">
        <v>41275</v>
      </c>
      <c r="AB48" s="19">
        <v>7.02</v>
      </c>
      <c r="AC48" s="19">
        <v>24.04</v>
      </c>
    </row>
    <row r="49" spans="4:29" x14ac:dyDescent="0.25">
      <c r="D49" s="49"/>
      <c r="AA49" s="15">
        <v>41306</v>
      </c>
      <c r="AB49" s="19">
        <v>7.02</v>
      </c>
      <c r="AC49" s="19">
        <v>24.3</v>
      </c>
    </row>
    <row r="50" spans="4:29" x14ac:dyDescent="0.25">
      <c r="D50" s="49"/>
      <c r="AA50" s="15">
        <v>41334</v>
      </c>
      <c r="AB50" s="19">
        <v>7.02</v>
      </c>
      <c r="AC50" s="19">
        <v>24.23</v>
      </c>
    </row>
    <row r="51" spans="4:29" x14ac:dyDescent="0.25">
      <c r="D51" s="49"/>
      <c r="AA51" s="15">
        <v>41365</v>
      </c>
      <c r="AB51" s="19">
        <v>6.86</v>
      </c>
      <c r="AC51" s="19">
        <v>23.66</v>
      </c>
    </row>
    <row r="52" spans="4:29" x14ac:dyDescent="0.25">
      <c r="D52" s="49"/>
      <c r="AA52" s="15">
        <v>41395</v>
      </c>
      <c r="AB52" s="19">
        <v>6.86</v>
      </c>
      <c r="AC52" s="19">
        <v>23.57</v>
      </c>
    </row>
    <row r="53" spans="4:29" x14ac:dyDescent="0.25">
      <c r="D53" s="49"/>
      <c r="AA53" s="15">
        <v>41426</v>
      </c>
      <c r="AB53" s="19">
        <v>6.83</v>
      </c>
      <c r="AC53" s="19">
        <v>23.73</v>
      </c>
    </row>
    <row r="54" spans="4:29" x14ac:dyDescent="0.25">
      <c r="D54" s="49"/>
      <c r="AA54" s="15">
        <v>41456</v>
      </c>
      <c r="AB54" s="19">
        <v>6.83</v>
      </c>
      <c r="AC54" s="19">
        <v>23.62</v>
      </c>
    </row>
    <row r="55" spans="4:29" x14ac:dyDescent="0.25">
      <c r="D55" s="49"/>
      <c r="AA55" s="15">
        <v>41487</v>
      </c>
      <c r="AB55" s="19">
        <v>6.79</v>
      </c>
      <c r="AC55" s="19">
        <v>23.4</v>
      </c>
    </row>
    <row r="56" spans="4:29" x14ac:dyDescent="0.25">
      <c r="D56" s="49"/>
      <c r="AA56" s="15">
        <v>41518</v>
      </c>
      <c r="AB56" s="19">
        <v>6.79</v>
      </c>
      <c r="AC56" s="19">
        <v>23.3</v>
      </c>
    </row>
    <row r="57" spans="4:29" x14ac:dyDescent="0.25">
      <c r="D57" s="49"/>
      <c r="AA57" s="15">
        <v>41548</v>
      </c>
      <c r="AB57" s="19">
        <v>6.86</v>
      </c>
      <c r="AC57" s="19">
        <v>23.62</v>
      </c>
    </row>
    <row r="58" spans="4:29" x14ac:dyDescent="0.25">
      <c r="D58" s="49"/>
      <c r="AA58" s="15">
        <v>41579</v>
      </c>
      <c r="AB58" s="19">
        <v>6.84</v>
      </c>
      <c r="AC58" s="19">
        <v>23.57</v>
      </c>
    </row>
    <row r="59" spans="4:29" x14ac:dyDescent="0.25">
      <c r="D59" s="49"/>
      <c r="AA59" s="15">
        <v>41609</v>
      </c>
      <c r="AB59" s="19">
        <v>6.88</v>
      </c>
      <c r="AC59" s="19">
        <v>23.64</v>
      </c>
    </row>
    <row r="60" spans="4:29" x14ac:dyDescent="0.25">
      <c r="D60" s="49"/>
      <c r="AA60" s="17" t="s">
        <v>104</v>
      </c>
      <c r="AB60" s="20">
        <f>AVERAGE(AB48:AB59)</f>
        <v>6.8833333333333329</v>
      </c>
      <c r="AC60" s="20">
        <f>AVERAGE(AC48:AC59)</f>
        <v>23.723333333333333</v>
      </c>
    </row>
    <row r="61" spans="4:29" x14ac:dyDescent="0.25">
      <c r="D61" s="49"/>
      <c r="AA61" s="15"/>
    </row>
    <row r="62" spans="4:29" x14ac:dyDescent="0.25">
      <c r="D62" s="49"/>
      <c r="AA62" s="15">
        <v>41640</v>
      </c>
      <c r="AB62" s="19">
        <v>6.95</v>
      </c>
      <c r="AC62" s="19">
        <v>24.02</v>
      </c>
    </row>
    <row r="63" spans="4:29" x14ac:dyDescent="0.25">
      <c r="AA63" s="15">
        <v>41671</v>
      </c>
      <c r="AB63" s="19">
        <v>6.95</v>
      </c>
      <c r="AC63" s="19">
        <v>24.02</v>
      </c>
    </row>
    <row r="64" spans="4:29" x14ac:dyDescent="0.25">
      <c r="AA64" s="15">
        <v>41699</v>
      </c>
      <c r="AB64" s="19">
        <v>9.98</v>
      </c>
      <c r="AC64" s="19">
        <v>24.06</v>
      </c>
    </row>
    <row r="65" spans="27:29" x14ac:dyDescent="0.25">
      <c r="AA65" s="15">
        <v>41730</v>
      </c>
      <c r="AB65" s="19">
        <v>6.63</v>
      </c>
      <c r="AC65" s="19">
        <v>20.65</v>
      </c>
    </row>
    <row r="66" spans="27:29" x14ac:dyDescent="0.25">
      <c r="AA66" s="15">
        <v>41760</v>
      </c>
      <c r="AB66" s="19">
        <v>6.59</v>
      </c>
      <c r="AC66" s="19">
        <v>20.62</v>
      </c>
    </row>
    <row r="67" spans="27:29" x14ac:dyDescent="0.25">
      <c r="AA67" s="15">
        <v>41791</v>
      </c>
      <c r="AB67" s="19">
        <v>6.59</v>
      </c>
      <c r="AC67" s="19">
        <v>20.59</v>
      </c>
    </row>
    <row r="68" spans="27:29" x14ac:dyDescent="0.25">
      <c r="AA68" s="15">
        <v>41821</v>
      </c>
      <c r="AB68" s="19">
        <v>6.11</v>
      </c>
      <c r="AC68" s="19">
        <v>20.63</v>
      </c>
    </row>
    <row r="69" spans="27:29" x14ac:dyDescent="0.25">
      <c r="AA69" s="15">
        <v>41852</v>
      </c>
      <c r="AB69" s="19">
        <v>6.14</v>
      </c>
      <c r="AC69" s="19">
        <v>20.74</v>
      </c>
    </row>
    <row r="70" spans="27:29" x14ac:dyDescent="0.25">
      <c r="AA70" s="15">
        <v>41883</v>
      </c>
      <c r="AB70" s="19">
        <v>6.14</v>
      </c>
      <c r="AC70" s="19">
        <v>20.77</v>
      </c>
    </row>
    <row r="71" spans="27:29" x14ac:dyDescent="0.25">
      <c r="AA71" s="15">
        <v>41913</v>
      </c>
      <c r="AB71" s="19">
        <v>6.5</v>
      </c>
      <c r="AC71" s="19">
        <v>21.14</v>
      </c>
    </row>
    <row r="72" spans="27:29" x14ac:dyDescent="0.25">
      <c r="AA72" s="15">
        <v>41944</v>
      </c>
      <c r="AB72" s="19">
        <v>6.55</v>
      </c>
      <c r="AC72" s="19">
        <v>21.2</v>
      </c>
    </row>
    <row r="73" spans="27:29" x14ac:dyDescent="0.25">
      <c r="AA73" s="15">
        <v>41974</v>
      </c>
      <c r="AB73" s="19">
        <v>6.57</v>
      </c>
      <c r="AC73" s="19">
        <v>21.38</v>
      </c>
    </row>
    <row r="74" spans="27:29" x14ac:dyDescent="0.25">
      <c r="AA74" s="17" t="s">
        <v>104</v>
      </c>
      <c r="AB74" s="20">
        <f>AVERAGE(AB62:AB73)</f>
        <v>6.8083333333333327</v>
      </c>
      <c r="AC74" s="20">
        <f>AVERAGE(AC62:AC73)</f>
        <v>21.651666666666667</v>
      </c>
    </row>
    <row r="75" spans="27:29" x14ac:dyDescent="0.25">
      <c r="AA75" s="15"/>
    </row>
    <row r="76" spans="27:29" x14ac:dyDescent="0.25">
      <c r="AA76" s="15">
        <v>42005</v>
      </c>
      <c r="AB76" s="19">
        <v>6.52</v>
      </c>
      <c r="AC76" s="19">
        <v>21.46</v>
      </c>
    </row>
    <row r="77" spans="27:29" x14ac:dyDescent="0.25">
      <c r="AA77" s="15">
        <v>42036</v>
      </c>
      <c r="AB77" s="19">
        <v>6.47</v>
      </c>
      <c r="AC77" s="19">
        <v>21.32</v>
      </c>
    </row>
    <row r="78" spans="27:29" x14ac:dyDescent="0.25">
      <c r="AA78" s="15">
        <v>42064</v>
      </c>
      <c r="AB78" s="19">
        <v>6.69</v>
      </c>
      <c r="AC78" s="19">
        <v>21.55</v>
      </c>
    </row>
    <row r="79" spans="27:29" x14ac:dyDescent="0.25">
      <c r="AA79" s="15">
        <v>42095</v>
      </c>
      <c r="AB79" s="19">
        <v>6.41</v>
      </c>
      <c r="AC79" s="19">
        <v>20.97</v>
      </c>
    </row>
    <row r="80" spans="27:29" x14ac:dyDescent="0.25">
      <c r="AA80" s="15">
        <v>42125</v>
      </c>
      <c r="AB80" s="19">
        <v>6.45</v>
      </c>
      <c r="AC80" s="19">
        <v>21.04</v>
      </c>
    </row>
    <row r="81" spans="27:29" x14ac:dyDescent="0.25">
      <c r="AA81" s="15">
        <v>42156</v>
      </c>
      <c r="AB81" s="19">
        <v>6.65</v>
      </c>
      <c r="AC81" s="19">
        <v>21.77</v>
      </c>
    </row>
    <row r="82" spans="27:29" x14ac:dyDescent="0.25">
      <c r="AA82" s="15">
        <v>42186</v>
      </c>
      <c r="AB82" s="19">
        <v>6.6</v>
      </c>
      <c r="AC82" s="19">
        <v>21.82</v>
      </c>
    </row>
    <row r="83" spans="27:29" x14ac:dyDescent="0.25">
      <c r="AA83" s="15">
        <v>42217</v>
      </c>
      <c r="AB83" s="19">
        <v>6.57</v>
      </c>
      <c r="AC83" s="19">
        <v>21.61</v>
      </c>
    </row>
    <row r="84" spans="27:29" x14ac:dyDescent="0.25">
      <c r="AA84" s="15">
        <v>42248</v>
      </c>
      <c r="AB84" s="19">
        <v>6.56</v>
      </c>
      <c r="AC84" s="19">
        <v>24.63</v>
      </c>
    </row>
    <row r="85" spans="27:29" x14ac:dyDescent="0.25">
      <c r="AA85" s="15">
        <v>42278</v>
      </c>
      <c r="AB85" s="19">
        <v>6.46</v>
      </c>
      <c r="AC85" s="19">
        <v>24.85</v>
      </c>
    </row>
    <row r="86" spans="27:29" x14ac:dyDescent="0.25">
      <c r="AA86" s="15">
        <v>42309</v>
      </c>
      <c r="AB86" s="19">
        <v>6.42</v>
      </c>
      <c r="AC86" s="19">
        <v>24.84</v>
      </c>
    </row>
    <row r="87" spans="27:29" x14ac:dyDescent="0.25">
      <c r="AA87" s="15">
        <v>42339</v>
      </c>
      <c r="AB87" s="19">
        <v>6.39</v>
      </c>
      <c r="AC87" s="19">
        <v>24.77</v>
      </c>
    </row>
    <row r="88" spans="27:29" x14ac:dyDescent="0.25">
      <c r="AA88" s="17" t="s">
        <v>104</v>
      </c>
      <c r="AB88" s="20">
        <f>AVERAGE(AB76:AB87)</f>
        <v>6.5158333333333331</v>
      </c>
      <c r="AC88" s="20">
        <f>AVERAGE(AC76:AC87)</f>
        <v>22.552499999999998</v>
      </c>
    </row>
    <row r="89" spans="27:29" x14ac:dyDescent="0.25">
      <c r="AA89" s="15"/>
    </row>
    <row r="90" spans="27:29" x14ac:dyDescent="0.25">
      <c r="AA90" s="15">
        <v>42370</v>
      </c>
      <c r="AB90" s="19">
        <v>6.22</v>
      </c>
      <c r="AC90" s="19">
        <v>24.82</v>
      </c>
    </row>
    <row r="91" spans="27:29" x14ac:dyDescent="0.25">
      <c r="AA91" s="15">
        <v>42401</v>
      </c>
      <c r="AB91" s="19">
        <v>6.13</v>
      </c>
      <c r="AC91" s="19">
        <v>24.7</v>
      </c>
    </row>
    <row r="92" spans="27:29" x14ac:dyDescent="0.25">
      <c r="AA92" s="15">
        <v>42430</v>
      </c>
      <c r="AB92" s="19">
        <v>6.09</v>
      </c>
      <c r="AC92" s="19">
        <v>24.57</v>
      </c>
    </row>
    <row r="93" spans="27:29" x14ac:dyDescent="0.25">
      <c r="AA93" s="15">
        <v>42461</v>
      </c>
      <c r="AB93" s="19">
        <v>5.7</v>
      </c>
      <c r="AC93" s="19">
        <v>23.84</v>
      </c>
    </row>
    <row r="94" spans="27:29" x14ac:dyDescent="0.25">
      <c r="AA94" s="15">
        <v>42491</v>
      </c>
      <c r="AB94" s="19">
        <v>5.67</v>
      </c>
      <c r="AC94" s="19">
        <v>23.82</v>
      </c>
    </row>
    <row r="95" spans="27:29" x14ac:dyDescent="0.25">
      <c r="AA95" s="15">
        <v>42522</v>
      </c>
      <c r="AB95" s="19">
        <v>5.72</v>
      </c>
      <c r="AC95" s="19">
        <v>23.82</v>
      </c>
    </row>
    <row r="96" spans="27:29" x14ac:dyDescent="0.25">
      <c r="AA96" s="15">
        <v>42552</v>
      </c>
      <c r="AB96" s="19">
        <v>5.89</v>
      </c>
      <c r="AC96" s="19">
        <v>23.71</v>
      </c>
    </row>
    <row r="97" spans="27:29" x14ac:dyDescent="0.25">
      <c r="AA97" s="15">
        <v>42583</v>
      </c>
      <c r="AB97" s="19">
        <v>5.92</v>
      </c>
      <c r="AC97" s="19">
        <v>23.66</v>
      </c>
    </row>
    <row r="98" spans="27:29" x14ac:dyDescent="0.25">
      <c r="AA98" s="15">
        <v>42614</v>
      </c>
      <c r="AB98" s="19">
        <v>5.9</v>
      </c>
      <c r="AC98" s="19">
        <v>23.66</v>
      </c>
    </row>
    <row r="99" spans="27:29" x14ac:dyDescent="0.25">
      <c r="AA99" s="15">
        <v>42644</v>
      </c>
      <c r="AB99" s="19">
        <v>6.04</v>
      </c>
      <c r="AC99" s="19">
        <v>24.53</v>
      </c>
    </row>
    <row r="100" spans="27:29" x14ac:dyDescent="0.25">
      <c r="AA100" s="15">
        <v>42675</v>
      </c>
      <c r="AB100" s="19">
        <v>6.04</v>
      </c>
      <c r="AC100" s="19">
        <v>24.53</v>
      </c>
    </row>
    <row r="101" spans="27:29" x14ac:dyDescent="0.25">
      <c r="AA101" s="15">
        <v>42705</v>
      </c>
      <c r="AB101" s="19">
        <v>6.09</v>
      </c>
      <c r="AC101" s="19">
        <v>24.53</v>
      </c>
    </row>
    <row r="102" spans="27:29" x14ac:dyDescent="0.25">
      <c r="AA102" s="17" t="s">
        <v>104</v>
      </c>
      <c r="AB102" s="20">
        <f>AVERAGE(AB90:AB101)</f>
        <v>5.9508333333333328</v>
      </c>
      <c r="AC102" s="20">
        <f>AVERAGE(AC90:AC101)</f>
        <v>24.182499999999994</v>
      </c>
    </row>
    <row r="103" spans="27:29" x14ac:dyDescent="0.25">
      <c r="AA103" s="15"/>
    </row>
    <row r="104" spans="27:29" x14ac:dyDescent="0.25">
      <c r="AA104" s="15">
        <v>42736</v>
      </c>
      <c r="AB104" s="19">
        <v>6.24</v>
      </c>
      <c r="AC104" s="19">
        <v>26.66</v>
      </c>
    </row>
    <row r="105" spans="27:29" x14ac:dyDescent="0.25">
      <c r="AA105" s="15">
        <v>42767</v>
      </c>
      <c r="AB105" s="19">
        <v>6.3</v>
      </c>
      <c r="AC105" s="19">
        <v>26.66</v>
      </c>
    </row>
    <row r="106" spans="27:29" x14ac:dyDescent="0.25">
      <c r="AA106" s="15">
        <v>42795</v>
      </c>
      <c r="AB106" s="19">
        <v>6.31</v>
      </c>
      <c r="AC106" s="19">
        <v>26.75</v>
      </c>
    </row>
    <row r="107" spans="27:29" x14ac:dyDescent="0.25">
      <c r="AA107" s="15">
        <v>42826</v>
      </c>
      <c r="AB107" s="19">
        <v>6.18</v>
      </c>
      <c r="AC107" s="19">
        <v>24.68</v>
      </c>
    </row>
    <row r="108" spans="27:29" x14ac:dyDescent="0.25">
      <c r="AA108" s="15">
        <v>42856</v>
      </c>
      <c r="AB108" s="19">
        <v>6.17</v>
      </c>
      <c r="AC108" s="19">
        <v>24.68</v>
      </c>
    </row>
    <row r="109" spans="27:29" x14ac:dyDescent="0.25">
      <c r="AA109" s="15">
        <v>42887</v>
      </c>
      <c r="AB109" s="19">
        <v>6.16</v>
      </c>
      <c r="AC109" s="19">
        <v>24.68</v>
      </c>
    </row>
    <row r="110" spans="27:29" x14ac:dyDescent="0.25">
      <c r="AA110" s="15">
        <v>42917</v>
      </c>
      <c r="AB110" s="19">
        <v>6.01</v>
      </c>
      <c r="AC110" s="19">
        <v>24.67</v>
      </c>
    </row>
    <row r="111" spans="27:29" x14ac:dyDescent="0.25">
      <c r="AA111" s="15">
        <v>42948</v>
      </c>
      <c r="AB111" s="19">
        <v>6.01</v>
      </c>
      <c r="AC111" s="19">
        <v>24.67</v>
      </c>
    </row>
    <row r="112" spans="27:29" x14ac:dyDescent="0.25">
      <c r="AA112" s="15">
        <v>42979</v>
      </c>
      <c r="AB112" s="19">
        <v>6.01</v>
      </c>
      <c r="AC112" s="19">
        <v>24.67</v>
      </c>
    </row>
    <row r="113" spans="27:29" x14ac:dyDescent="0.25">
      <c r="AA113" s="15">
        <v>43009</v>
      </c>
      <c r="AB113" s="19">
        <v>6.21</v>
      </c>
      <c r="AC113" s="19">
        <v>25.77</v>
      </c>
    </row>
    <row r="114" spans="27:29" x14ac:dyDescent="0.25">
      <c r="AA114" s="15">
        <v>43040</v>
      </c>
      <c r="AB114" s="19">
        <v>6.23</v>
      </c>
      <c r="AC114" s="19">
        <v>25.77</v>
      </c>
    </row>
    <row r="115" spans="27:29" x14ac:dyDescent="0.25">
      <c r="AA115" s="15">
        <v>43070</v>
      </c>
      <c r="AB115" s="19">
        <v>6.27</v>
      </c>
      <c r="AC115" s="19">
        <v>25.77</v>
      </c>
    </row>
    <row r="116" spans="27:29" x14ac:dyDescent="0.25">
      <c r="AA116" s="17" t="s">
        <v>104</v>
      </c>
      <c r="AB116" s="20">
        <f>AVERAGE(AB104:AB115)</f>
        <v>6.1749999999999998</v>
      </c>
      <c r="AC116" s="20">
        <f>AVERAGE(AC104:AC115)</f>
        <v>25.452500000000004</v>
      </c>
    </row>
    <row r="117" spans="27:29" x14ac:dyDescent="0.25">
      <c r="AA117" s="15"/>
    </row>
    <row r="118" spans="27:29" x14ac:dyDescent="0.25">
      <c r="AA118" s="15">
        <v>43101</v>
      </c>
      <c r="AB118" s="19">
        <v>6.52</v>
      </c>
      <c r="AC118" s="19">
        <v>26.44</v>
      </c>
    </row>
    <row r="119" spans="27:29" x14ac:dyDescent="0.25">
      <c r="AA119" s="15">
        <v>43132</v>
      </c>
      <c r="AB119" s="19">
        <v>6.52</v>
      </c>
      <c r="AC119" s="19">
        <v>26.44</v>
      </c>
    </row>
    <row r="120" spans="27:29" x14ac:dyDescent="0.25">
      <c r="AA120" s="15">
        <v>43160</v>
      </c>
      <c r="AB120" s="19">
        <v>6.47</v>
      </c>
      <c r="AC120" s="19">
        <v>26.6</v>
      </c>
    </row>
    <row r="121" spans="27:29" x14ac:dyDescent="0.25">
      <c r="AA121" s="15">
        <v>43191</v>
      </c>
      <c r="AB121" s="19">
        <v>6.27</v>
      </c>
      <c r="AC121" s="19">
        <v>25.16</v>
      </c>
    </row>
    <row r="122" spans="27:29" x14ac:dyDescent="0.25">
      <c r="AA122" s="15">
        <v>43221</v>
      </c>
      <c r="AB122" s="19">
        <v>6.3</v>
      </c>
      <c r="AC122" s="19">
        <v>25.16</v>
      </c>
    </row>
    <row r="123" spans="27:29" x14ac:dyDescent="0.25">
      <c r="AA123" s="15">
        <v>43252</v>
      </c>
      <c r="AB123" s="19">
        <v>6.39</v>
      </c>
      <c r="AC123" s="19">
        <v>25.16</v>
      </c>
    </row>
    <row r="124" spans="27:29" x14ac:dyDescent="0.25">
      <c r="AA124" s="15">
        <v>43282</v>
      </c>
      <c r="AB124" s="19">
        <v>6.73</v>
      </c>
      <c r="AC124" s="19">
        <v>26.16</v>
      </c>
    </row>
    <row r="125" spans="27:29" x14ac:dyDescent="0.25">
      <c r="AA125" s="15">
        <v>43313</v>
      </c>
      <c r="AB125" s="19">
        <v>6.74</v>
      </c>
      <c r="AC125" s="19">
        <v>26.16</v>
      </c>
    </row>
    <row r="126" spans="27:29" x14ac:dyDescent="0.25">
      <c r="AA126" s="15">
        <v>43344</v>
      </c>
      <c r="AB126" s="19">
        <v>6.72</v>
      </c>
      <c r="AC126" s="19">
        <v>26.16</v>
      </c>
    </row>
    <row r="127" spans="27:29" x14ac:dyDescent="0.25">
      <c r="AA127" s="15">
        <v>43374</v>
      </c>
      <c r="AB127" s="19">
        <v>7.31</v>
      </c>
      <c r="AC127" s="19">
        <v>29.04</v>
      </c>
    </row>
    <row r="128" spans="27:29" x14ac:dyDescent="0.25">
      <c r="AA128" s="15">
        <v>43405</v>
      </c>
      <c r="AB128" s="19">
        <v>7.32</v>
      </c>
      <c r="AC128" s="19">
        <v>29.04</v>
      </c>
    </row>
    <row r="129" spans="27:29" x14ac:dyDescent="0.25">
      <c r="AA129" s="15">
        <v>43435</v>
      </c>
      <c r="AB129" s="19">
        <v>7.21</v>
      </c>
      <c r="AC129" s="19">
        <v>29.04</v>
      </c>
    </row>
    <row r="130" spans="27:29" x14ac:dyDescent="0.25">
      <c r="AA130" s="17" t="s">
        <v>104</v>
      </c>
      <c r="AB130" s="20">
        <f>AVERAGE(AB118:AB129)</f>
        <v>6.7083333333333321</v>
      </c>
      <c r="AC130" s="20">
        <f>AVERAGE(AC118:AC129)</f>
        <v>26.713333333333338</v>
      </c>
    </row>
    <row r="131" spans="27:29" x14ac:dyDescent="0.25">
      <c r="AA131" s="15"/>
    </row>
    <row r="132" spans="27:29" x14ac:dyDescent="0.25">
      <c r="AA132" s="15">
        <v>43466</v>
      </c>
      <c r="AB132" s="19">
        <v>7.08</v>
      </c>
      <c r="AC132" s="19">
        <v>30.17</v>
      </c>
    </row>
    <row r="133" spans="27:29" x14ac:dyDescent="0.25">
      <c r="AA133" s="15">
        <v>43497</v>
      </c>
      <c r="AB133" s="19">
        <v>7.03</v>
      </c>
      <c r="AC133" s="19">
        <v>30.17</v>
      </c>
    </row>
    <row r="134" spans="27:29" x14ac:dyDescent="0.25">
      <c r="AA134" s="15">
        <v>43525</v>
      </c>
      <c r="AB134" s="19">
        <v>6.94</v>
      </c>
      <c r="AC134" s="19">
        <v>31.34</v>
      </c>
    </row>
    <row r="135" spans="27:29" x14ac:dyDescent="0.25">
      <c r="AA135" s="15">
        <v>43556</v>
      </c>
      <c r="AB135" s="19">
        <v>6.28</v>
      </c>
      <c r="AC135" s="19">
        <v>27.76</v>
      </c>
    </row>
    <row r="136" spans="27:29" x14ac:dyDescent="0.25">
      <c r="AA136" s="15">
        <v>43586</v>
      </c>
      <c r="AB136" s="19">
        <v>6.2</v>
      </c>
      <c r="AC136" s="19">
        <v>27.76</v>
      </c>
    </row>
    <row r="137" spans="27:29" x14ac:dyDescent="0.25">
      <c r="AA137" s="15">
        <v>43617</v>
      </c>
      <c r="AB137" s="19">
        <v>6.24</v>
      </c>
      <c r="AC137" s="19">
        <v>27.76</v>
      </c>
    </row>
    <row r="138" spans="27:29" x14ac:dyDescent="0.25">
      <c r="AA138" s="15">
        <v>43647</v>
      </c>
      <c r="AB138" s="19">
        <v>5.01</v>
      </c>
      <c r="AC138" s="19">
        <v>27.32</v>
      </c>
    </row>
    <row r="139" spans="27:29" x14ac:dyDescent="0.25">
      <c r="AA139" s="15">
        <v>43678</v>
      </c>
      <c r="AB139" s="19">
        <v>5.01</v>
      </c>
      <c r="AC139" s="19">
        <v>27.35</v>
      </c>
    </row>
    <row r="140" spans="27:29" x14ac:dyDescent="0.25">
      <c r="AA140" s="15">
        <v>43709</v>
      </c>
      <c r="AB140" s="19">
        <v>5.01</v>
      </c>
      <c r="AC140" s="19">
        <v>27.33</v>
      </c>
    </row>
    <row r="141" spans="27:29" x14ac:dyDescent="0.25">
      <c r="AA141" s="15">
        <v>43739</v>
      </c>
      <c r="AB141" s="19">
        <v>5.19</v>
      </c>
      <c r="AC141" s="19">
        <v>28.61</v>
      </c>
    </row>
    <row r="142" spans="27:29" x14ac:dyDescent="0.25">
      <c r="AA142" s="15">
        <v>43770</v>
      </c>
      <c r="AB142" s="19">
        <v>5.19</v>
      </c>
      <c r="AC142" s="19">
        <v>28.61</v>
      </c>
    </row>
    <row r="143" spans="27:29" x14ac:dyDescent="0.25">
      <c r="AA143" s="15">
        <v>43800</v>
      </c>
      <c r="AB143" s="19">
        <v>5.19</v>
      </c>
      <c r="AC143" s="19">
        <v>28.61</v>
      </c>
    </row>
    <row r="144" spans="27:29" x14ac:dyDescent="0.25">
      <c r="AA144" s="7" t="s">
        <v>104</v>
      </c>
      <c r="AB144" s="20">
        <f>AVERAGE(AB132:AB143)</f>
        <v>5.8641666666666659</v>
      </c>
      <c r="AC144" s="20">
        <f>AVERAGE(AC132:AC143)</f>
        <v>28.565833333333334</v>
      </c>
    </row>
    <row r="146" spans="27:29" x14ac:dyDescent="0.25">
      <c r="AA146" s="15">
        <v>43831</v>
      </c>
      <c r="AB146" s="19">
        <v>5.19</v>
      </c>
      <c r="AC146" s="19">
        <v>27.7</v>
      </c>
    </row>
    <row r="147" spans="27:29" x14ac:dyDescent="0.25">
      <c r="AA147" s="15">
        <v>43862</v>
      </c>
      <c r="AB147" s="19">
        <v>5.14</v>
      </c>
      <c r="AC147" s="19">
        <v>27.64</v>
      </c>
    </row>
    <row r="148" spans="27:29" x14ac:dyDescent="0.25">
      <c r="AA148" s="15">
        <v>43891</v>
      </c>
      <c r="AB148" s="19">
        <v>5.08</v>
      </c>
      <c r="AC148" s="19">
        <v>27.59</v>
      </c>
    </row>
    <row r="149" spans="27:29" x14ac:dyDescent="0.25">
      <c r="AA149" s="15">
        <v>43922</v>
      </c>
      <c r="AB149" s="19">
        <v>4.5599999999999996</v>
      </c>
      <c r="AC149" s="19">
        <v>24.66</v>
      </c>
    </row>
    <row r="150" spans="27:29" x14ac:dyDescent="0.25">
      <c r="AA150" s="15">
        <v>43952</v>
      </c>
      <c r="AB150" s="19">
        <v>4.42</v>
      </c>
      <c r="AC150" s="19">
        <v>24.1</v>
      </c>
    </row>
    <row r="151" spans="27:29" x14ac:dyDescent="0.25">
      <c r="AA151" s="15">
        <v>43983</v>
      </c>
      <c r="AB151" s="19">
        <v>4.29</v>
      </c>
      <c r="AC151" s="19">
        <v>24.15</v>
      </c>
    </row>
    <row r="152" spans="27:29" x14ac:dyDescent="0.25">
      <c r="AA152" s="15">
        <v>44013</v>
      </c>
      <c r="AB152" s="19">
        <v>4.18</v>
      </c>
      <c r="AC152" s="19">
        <v>24.61</v>
      </c>
    </row>
    <row r="153" spans="27:29" x14ac:dyDescent="0.25">
      <c r="AA153" s="15">
        <v>44044</v>
      </c>
      <c r="AB153" s="19">
        <v>4.17</v>
      </c>
      <c r="AC153" s="19">
        <v>24.89</v>
      </c>
    </row>
    <row r="154" spans="27:29" x14ac:dyDescent="0.25">
      <c r="AA154" s="15">
        <v>44075</v>
      </c>
      <c r="AB154" s="19">
        <v>4.3600000000000003</v>
      </c>
      <c r="AC154" s="19">
        <v>25.2</v>
      </c>
    </row>
    <row r="155" spans="27:29" x14ac:dyDescent="0.25">
      <c r="AA155" s="15">
        <v>44105</v>
      </c>
      <c r="AB155" s="19">
        <v>4.96</v>
      </c>
      <c r="AC155" s="19">
        <v>26.7</v>
      </c>
    </row>
    <row r="156" spans="27:29" x14ac:dyDescent="0.25">
      <c r="AA156" s="15">
        <v>44136</v>
      </c>
      <c r="AB156" s="19">
        <v>5.16</v>
      </c>
      <c r="AC156" s="19">
        <v>26.42</v>
      </c>
    </row>
    <row r="157" spans="27:29" x14ac:dyDescent="0.25">
      <c r="AA157" s="15">
        <v>44166</v>
      </c>
      <c r="AB157" s="19">
        <v>5.15</v>
      </c>
      <c r="AC157" s="19">
        <v>26.41</v>
      </c>
    </row>
    <row r="158" spans="27:29" x14ac:dyDescent="0.25">
      <c r="AA158" s="7" t="s">
        <v>104</v>
      </c>
      <c r="AB158" s="20">
        <f>AVERAGE(AB146:AB157)</f>
        <v>4.7216666666666667</v>
      </c>
      <c r="AC158" s="20">
        <f>AVERAGE(AC146:AC157)</f>
        <v>25.839166666666667</v>
      </c>
    </row>
    <row r="160" spans="27:29" x14ac:dyDescent="0.25">
      <c r="AA160" s="15">
        <v>44197</v>
      </c>
      <c r="AB160" s="19">
        <v>5.15</v>
      </c>
      <c r="AC160" s="19">
        <v>27.2</v>
      </c>
    </row>
    <row r="161" spans="1:29" x14ac:dyDescent="0.25">
      <c r="AA161" s="15">
        <v>44228</v>
      </c>
      <c r="AB161" s="19">
        <v>5.52</v>
      </c>
      <c r="AC161" s="19">
        <v>27.83</v>
      </c>
    </row>
    <row r="162" spans="1:29" x14ac:dyDescent="0.25">
      <c r="AA162" s="15">
        <v>44256</v>
      </c>
      <c r="AB162" s="19">
        <v>5.84</v>
      </c>
      <c r="AC162" s="19">
        <v>27.64</v>
      </c>
    </row>
    <row r="163" spans="1:29" x14ac:dyDescent="0.25">
      <c r="AA163" s="15">
        <v>44287</v>
      </c>
      <c r="AB163" s="19">
        <v>5.61</v>
      </c>
      <c r="AC163" s="19">
        <v>27.42</v>
      </c>
    </row>
    <row r="164" spans="1:29" x14ac:dyDescent="0.25">
      <c r="AA164" s="15">
        <v>44317</v>
      </c>
      <c r="AB164" s="19">
        <v>5.68</v>
      </c>
      <c r="AC164" s="19">
        <v>28.16</v>
      </c>
    </row>
    <row r="165" spans="1:29" x14ac:dyDescent="0.25">
      <c r="AA165" s="15">
        <v>44348</v>
      </c>
      <c r="AB165" s="19">
        <v>5.87</v>
      </c>
      <c r="AC165" s="19">
        <v>28.25</v>
      </c>
    </row>
    <row r="166" spans="1:29" x14ac:dyDescent="0.25">
      <c r="AA166" s="15">
        <v>44378</v>
      </c>
      <c r="AB166" s="19">
        <v>6.2</v>
      </c>
      <c r="AC166" s="19">
        <v>30.36</v>
      </c>
    </row>
    <row r="167" spans="1:29" x14ac:dyDescent="0.25">
      <c r="AA167" s="15">
        <v>44409</v>
      </c>
      <c r="AB167" s="19">
        <v>7.06</v>
      </c>
      <c r="AC167" s="19">
        <v>30.72</v>
      </c>
    </row>
    <row r="168" spans="1:29" x14ac:dyDescent="0.25">
      <c r="AA168" s="15">
        <v>44440</v>
      </c>
      <c r="AB168" s="19">
        <v>7.57</v>
      </c>
      <c r="AC168" s="19">
        <v>30.92</v>
      </c>
    </row>
    <row r="169" spans="1:29" x14ac:dyDescent="0.25">
      <c r="AA169" s="15">
        <v>44470</v>
      </c>
      <c r="AB169" s="19">
        <v>8.1300000000000008</v>
      </c>
    </row>
    <row r="170" spans="1:29" x14ac:dyDescent="0.25">
      <c r="AA170" s="7" t="s">
        <v>104</v>
      </c>
      <c r="AB170" s="20">
        <f>AVERAGE(AB160:AB169)</f>
        <v>6.2629999999999999</v>
      </c>
      <c r="AC170" s="20">
        <f>AVERAGE(AC160:AC169)</f>
        <v>28.722222222222221</v>
      </c>
    </row>
    <row r="172" spans="1:29" x14ac:dyDescent="0.25">
      <c r="A172" t="s">
        <v>108</v>
      </c>
      <c r="AA172" s="7" t="s">
        <v>106</v>
      </c>
      <c r="AB172" s="21" t="s">
        <v>107</v>
      </c>
      <c r="AC172" s="21" t="s">
        <v>3</v>
      </c>
    </row>
    <row r="173" spans="1:29" x14ac:dyDescent="0.25">
      <c r="AA173" s="7">
        <v>2010</v>
      </c>
      <c r="AB173" s="20">
        <f>AB18</f>
        <v>5.5058333333333325</v>
      </c>
      <c r="AC173" s="20">
        <f>AC18</f>
        <v>22.737499999999997</v>
      </c>
    </row>
    <row r="174" spans="1:29" x14ac:dyDescent="0.25">
      <c r="A174" s="19">
        <f>100+100*((AC174-AC173)/AC173)</f>
        <v>105.92247724635028</v>
      </c>
      <c r="B174" s="19"/>
      <c r="C174" s="19"/>
      <c r="D174" s="49"/>
      <c r="AA174" s="7">
        <v>2011</v>
      </c>
      <c r="AB174" s="20">
        <f>AB32</f>
        <v>6.1635873842592597</v>
      </c>
      <c r="AC174" s="20">
        <f>AC32</f>
        <v>24.084123263888891</v>
      </c>
    </row>
    <row r="175" spans="1:29" x14ac:dyDescent="0.25">
      <c r="A175" s="19">
        <f>100+100*((AC175-AC174)/AC174)</f>
        <v>101.95859348615653</v>
      </c>
      <c r="B175" s="19"/>
      <c r="C175" s="19"/>
      <c r="D175" s="49"/>
      <c r="AA175" s="7">
        <v>2012</v>
      </c>
      <c r="AB175" s="20">
        <f>AB46</f>
        <v>7.4833333333333343</v>
      </c>
      <c r="AC175" s="20">
        <f>AC46</f>
        <v>24.555833333333329</v>
      </c>
    </row>
    <row r="176" spans="1:29" x14ac:dyDescent="0.25">
      <c r="A176" s="19">
        <f>100+100*((AC176-AC175)/AC175)</f>
        <v>96.609766857840995</v>
      </c>
      <c r="B176" s="19"/>
      <c r="C176" s="19"/>
      <c r="D176" s="49"/>
      <c r="AA176" s="7">
        <v>2013</v>
      </c>
      <c r="AB176" s="20">
        <f>AB60</f>
        <v>6.8833333333333329</v>
      </c>
      <c r="AC176" s="20">
        <f>AC60</f>
        <v>23.723333333333333</v>
      </c>
    </row>
    <row r="177" spans="1:29" x14ac:dyDescent="0.25">
      <c r="A177" s="19">
        <f>100+100*((AC177-AC176)/AC176)</f>
        <v>91.267387944358589</v>
      </c>
      <c r="B177" s="19"/>
      <c r="C177" s="19"/>
      <c r="D177" s="49"/>
      <c r="AA177" s="7">
        <v>2014</v>
      </c>
      <c r="AB177" s="20">
        <f>AB74</f>
        <v>6.8083333333333327</v>
      </c>
      <c r="AC177" s="20">
        <f>AC74</f>
        <v>21.651666666666667</v>
      </c>
    </row>
    <row r="178" spans="1:29" x14ac:dyDescent="0.25">
      <c r="A178" s="19">
        <f>100+100*((AC178-AC177)/AC177)</f>
        <v>104.16057270417981</v>
      </c>
      <c r="B178" s="19"/>
      <c r="C178" s="19"/>
      <c r="D178" s="49"/>
      <c r="AA178" s="7">
        <v>2015</v>
      </c>
      <c r="AB178" s="20">
        <f>AB88</f>
        <v>6.5158333333333331</v>
      </c>
      <c r="AC178" s="20">
        <f>AC88</f>
        <v>22.552499999999998</v>
      </c>
    </row>
    <row r="179" spans="1:29" x14ac:dyDescent="0.25">
      <c r="A179" s="19">
        <f>100+100*((AC179-AC178)/AC178)</f>
        <v>107.227580090899</v>
      </c>
      <c r="B179" s="19"/>
      <c r="C179" s="19"/>
      <c r="D179" s="49"/>
      <c r="AA179" s="7">
        <v>2016</v>
      </c>
      <c r="AB179" s="20">
        <f>AB102</f>
        <v>5.9508333333333328</v>
      </c>
      <c r="AC179" s="20">
        <f>AC102</f>
        <v>24.182499999999994</v>
      </c>
    </row>
    <row r="180" spans="1:29" x14ac:dyDescent="0.25">
      <c r="A180" s="19">
        <f>100+100*((AC180-AC179)/AC179)</f>
        <v>105.25173162410839</v>
      </c>
      <c r="B180" s="19"/>
      <c r="C180" s="19"/>
      <c r="D180" s="49"/>
      <c r="AA180" s="7">
        <v>2017</v>
      </c>
      <c r="AB180" s="20">
        <f>AB116</f>
        <v>6.1749999999999998</v>
      </c>
      <c r="AC180" s="20">
        <f>AC116</f>
        <v>25.452500000000004</v>
      </c>
    </row>
    <row r="181" spans="1:29" x14ac:dyDescent="0.25">
      <c r="A181" s="19">
        <f>100+100*((AC181-AC180)/AC180)</f>
        <v>104.95367187244213</v>
      </c>
      <c r="B181" s="19"/>
      <c r="C181" s="19"/>
      <c r="D181" s="49"/>
      <c r="AA181" s="7">
        <v>2018</v>
      </c>
      <c r="AB181" s="20">
        <f>AB130</f>
        <v>6.7083333333333321</v>
      </c>
      <c r="AC181" s="20">
        <f>AC130</f>
        <v>26.713333333333338</v>
      </c>
    </row>
    <row r="182" spans="1:29" x14ac:dyDescent="0.25">
      <c r="A182" s="19">
        <f>100+100*((AC182-AC181)/AC181)</f>
        <v>106.9347392063888</v>
      </c>
      <c r="B182" s="19"/>
      <c r="C182" s="19"/>
      <c r="D182" s="49"/>
      <c r="AA182" s="7">
        <v>2019</v>
      </c>
      <c r="AB182" s="20">
        <f>AB144</f>
        <v>5.8641666666666659</v>
      </c>
      <c r="AC182" s="20">
        <f>AC144</f>
        <v>28.565833333333334</v>
      </c>
    </row>
    <row r="183" spans="1:29" x14ac:dyDescent="0.25">
      <c r="AA183" s="7">
        <v>2020</v>
      </c>
      <c r="AB183" s="20">
        <f>AB158</f>
        <v>4.7216666666666667</v>
      </c>
      <c r="AC183" s="20">
        <f>AC158</f>
        <v>25.839166666666667</v>
      </c>
    </row>
    <row r="184" spans="1:29" x14ac:dyDescent="0.25">
      <c r="A184" s="19">
        <f>AVERAGE(A174:A182)</f>
        <v>102.6985023369694</v>
      </c>
      <c r="B184" s="19"/>
      <c r="C184" s="19"/>
      <c r="D184" s="49"/>
      <c r="AA184" s="7">
        <v>2021</v>
      </c>
      <c r="AB184" s="20">
        <f>AB170</f>
        <v>6.2629999999999999</v>
      </c>
      <c r="AC184" s="20">
        <f>AC170</f>
        <v>28.722222222222221</v>
      </c>
    </row>
  </sheetData>
  <phoneticPr fontId="5" type="noConversion"/>
  <pageMargins left="0.7" right="0.7" top="0.75" bottom="0.75" header="0.3" footer="0.3"/>
  <pageSetup paperSize="9" orientation="portrait" horizontalDpi="4294967293" verticalDpi="0" r:id="rId1"/>
  <ignoredErrors>
    <ignoredError sqref="F8:G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3732E-266D-4A23-B40B-F1BCBA01FBB6}">
  <dimension ref="A1:BJ37"/>
  <sheetViews>
    <sheetView workbookViewId="0">
      <pane ySplit="1" topLeftCell="A2" activePane="bottomLeft" state="frozen"/>
      <selection pane="bottomLeft" activeCell="U33" sqref="U33"/>
    </sheetView>
  </sheetViews>
  <sheetFormatPr baseColWidth="10" defaultRowHeight="15" x14ac:dyDescent="0.25"/>
  <cols>
    <col min="1" max="1" width="24.140625" bestFit="1" customWidth="1"/>
    <col min="2" max="2" width="10.5703125" customWidth="1"/>
    <col min="3" max="3" width="19" bestFit="1" customWidth="1"/>
    <col min="4" max="4" width="12.5703125" bestFit="1" customWidth="1"/>
    <col min="7" max="8" width="11.42578125" style="5"/>
    <col min="10" max="11" width="11.42578125" style="5"/>
    <col min="13" max="14" width="11.42578125" style="5"/>
    <col min="16" max="17" width="11.42578125" style="5"/>
  </cols>
  <sheetData>
    <row r="1" spans="1:62" s="72" customFormat="1" x14ac:dyDescent="0.25">
      <c r="A1" s="69"/>
      <c r="B1" s="70"/>
      <c r="C1" s="70"/>
      <c r="D1" s="72" t="s">
        <v>155</v>
      </c>
      <c r="E1" s="72" t="s">
        <v>12</v>
      </c>
      <c r="F1" s="72" t="s">
        <v>13</v>
      </c>
      <c r="G1" s="73" t="s">
        <v>27</v>
      </c>
      <c r="H1" s="73" t="s">
        <v>26</v>
      </c>
      <c r="I1" s="72" t="s">
        <v>15</v>
      </c>
      <c r="J1" s="73" t="s">
        <v>28</v>
      </c>
      <c r="K1" s="73" t="s">
        <v>29</v>
      </c>
      <c r="L1" s="72" t="s">
        <v>14</v>
      </c>
      <c r="M1" s="73" t="s">
        <v>30</v>
      </c>
      <c r="N1" s="73" t="s">
        <v>31</v>
      </c>
      <c r="O1" s="72" t="s">
        <v>16</v>
      </c>
      <c r="P1" s="73" t="s">
        <v>32</v>
      </c>
      <c r="Q1" s="73" t="s">
        <v>33</v>
      </c>
      <c r="R1" s="72" t="s">
        <v>17</v>
      </c>
    </row>
    <row r="2" spans="1:62" x14ac:dyDescent="0.25">
      <c r="A2" s="1"/>
      <c r="C2" s="3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</row>
    <row r="3" spans="1:62" x14ac:dyDescent="0.25">
      <c r="A3" s="11" t="s">
        <v>138</v>
      </c>
      <c r="B3" s="11"/>
      <c r="C3" s="11"/>
      <c r="D3" s="11"/>
      <c r="E3" s="11"/>
      <c r="F3" s="11"/>
      <c r="G3" s="31"/>
      <c r="H3" s="31"/>
      <c r="I3" s="11"/>
      <c r="J3" s="31"/>
      <c r="K3" s="31"/>
      <c r="L3" s="11"/>
      <c r="M3" s="31"/>
      <c r="N3" s="31"/>
      <c r="O3" s="11"/>
      <c r="P3" s="31"/>
      <c r="Q3" s="31"/>
      <c r="R3" s="11"/>
    </row>
    <row r="4" spans="1:62" s="22" customFormat="1" x14ac:dyDescent="0.25">
      <c r="G4" s="25"/>
      <c r="H4" s="25"/>
      <c r="J4" s="25"/>
      <c r="K4" s="25"/>
      <c r="M4" s="25"/>
      <c r="N4" s="25"/>
      <c r="P4" s="25"/>
      <c r="Q4" s="25"/>
    </row>
    <row r="5" spans="1:62" ht="15" customHeight="1" x14ac:dyDescent="0.25">
      <c r="A5" s="9" t="s">
        <v>184</v>
      </c>
      <c r="B5" s="7" t="s">
        <v>135</v>
      </c>
      <c r="C5" s="42" t="s">
        <v>49</v>
      </c>
      <c r="D5" s="54">
        <f>$U$37*'EMISSIONS DE CO2'!E$3/1000</f>
        <v>14960.712045600001</v>
      </c>
      <c r="E5" s="54">
        <f>$U$37*'EMISSIONS DE CO2'!F$3/1000</f>
        <v>13425.163536600001</v>
      </c>
      <c r="F5" s="54">
        <f>$U$37*'EMISSIONS DE CO2'!G$3/1000</f>
        <v>5298.4327266</v>
      </c>
      <c r="G5" s="54">
        <f>$U$37*'EMISSIONS DE CO2'!H$3/1000</f>
        <v>5435.2754765999998</v>
      </c>
      <c r="H5" s="54">
        <f>$U$37*'EMISSIONS DE CO2'!I$3/1000</f>
        <v>5159.1008789999996</v>
      </c>
      <c r="I5" s="54">
        <f>$U$37*'EMISSIONS DE CO2'!J$3/1000</f>
        <v>12208.340518200002</v>
      </c>
      <c r="J5" s="54">
        <f>$U$37*'EMISSIONS DE CO2'!K$3/1000</f>
        <v>12661.212236400002</v>
      </c>
      <c r="K5" s="54">
        <f>$U$37*'EMISSIONS DE CO2'!L$3/1000</f>
        <v>12008.7171954</v>
      </c>
      <c r="L5" s="54">
        <f>$U$37*'EMISSIONS DE CO2'!M$3/1000</f>
        <v>6909.0713703000001</v>
      </c>
      <c r="M5" s="54">
        <f>$U$37*'EMISSIONS DE CO2'!N$3/1000</f>
        <v>7714.5548016000002</v>
      </c>
      <c r="N5" s="54">
        <f>$U$37*'EMISSIONS DE CO2'!O$3/1000</f>
        <v>6304.9562723999998</v>
      </c>
      <c r="O5" s="54">
        <f>$U$37*'EMISSIONS DE CO2'!P$3/1000</f>
        <v>12147.609516600001</v>
      </c>
      <c r="P5" s="54">
        <f>$U$37*'EMISSIONS DE CO2'!Q$3/1000</f>
        <v>12290.2623726</v>
      </c>
      <c r="Q5" s="54">
        <f>$U$37*'EMISSIONS DE CO2'!R$3/1000</f>
        <v>12004.948221600001</v>
      </c>
      <c r="R5" s="54">
        <f>$U$37*'EMISSIONS DE CO2'!S$3/1000</f>
        <v>2186.2938834000001</v>
      </c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</row>
    <row r="6" spans="1:62" x14ac:dyDescent="0.25">
      <c r="A6" s="1"/>
      <c r="B6" s="37">
        <f>U37</f>
        <v>2910</v>
      </c>
      <c r="D6" s="16"/>
      <c r="E6" s="16"/>
      <c r="F6" s="16"/>
      <c r="G6" s="60"/>
      <c r="H6" s="60"/>
      <c r="I6" s="16"/>
      <c r="J6" s="60"/>
      <c r="K6" s="60"/>
      <c r="L6" s="16"/>
      <c r="M6" s="60"/>
      <c r="N6" s="60"/>
      <c r="O6" s="16"/>
      <c r="P6" s="60"/>
      <c r="Q6" s="60"/>
      <c r="R6" s="16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</row>
    <row r="7" spans="1:62" x14ac:dyDescent="0.25">
      <c r="C7" t="s">
        <v>199</v>
      </c>
      <c r="D7" s="37">
        <f>$U$37*'EMISSIONS DE CO2'!E7/1000</f>
        <v>12884.692728600001</v>
      </c>
      <c r="E7" s="37">
        <f>$U$37*'EMISSIONS DE CO2'!F7/1000</f>
        <v>11349.144219600001</v>
      </c>
      <c r="F7" s="37">
        <f>$U$37*'EMISSIONS DE CO2'!G7/1000</f>
        <v>3222.4134095999998</v>
      </c>
      <c r="G7" s="37">
        <f>$U$37*'EMISSIONS DE CO2'!H7/1000</f>
        <v>3359.2561596</v>
      </c>
      <c r="H7" s="37">
        <f>$U$37*'EMISSIONS DE CO2'!I7/1000</f>
        <v>3083.0815619999998</v>
      </c>
      <c r="I7" s="37">
        <f>$U$37*'EMISSIONS DE CO2'!J7/1000</f>
        <v>10132.321201200002</v>
      </c>
      <c r="J7" s="37">
        <f>$U$37*'EMISSIONS DE CO2'!K7/1000</f>
        <v>10585.1929194</v>
      </c>
      <c r="K7" s="37">
        <f>$U$37*'EMISSIONS DE CO2'!L7/1000</f>
        <v>9932.6978784000021</v>
      </c>
      <c r="L7" s="37"/>
      <c r="M7" s="37"/>
      <c r="N7" s="37"/>
      <c r="O7" s="37">
        <f>$U$37*'EMISSIONS DE CO2'!P7/1000</f>
        <v>11355.626244600002</v>
      </c>
      <c r="P7" s="37">
        <f>$U$37*'EMISSIONS DE CO2'!Q7/1000</f>
        <v>11355.626244600002</v>
      </c>
      <c r="Q7" s="37">
        <f>$U$37*'EMISSIONS DE CO2'!R7/1000</f>
        <v>11355.626244600002</v>
      </c>
      <c r="R7" s="37"/>
      <c r="T7">
        <v>1</v>
      </c>
      <c r="U7" s="6">
        <v>10</v>
      </c>
    </row>
    <row r="8" spans="1:62" x14ac:dyDescent="0.25">
      <c r="C8" t="s">
        <v>3</v>
      </c>
      <c r="D8" s="37">
        <f>$U$37*'EMISSIONS DE CO2'!E22/1000</f>
        <v>2076.0193169999998</v>
      </c>
      <c r="E8" s="37">
        <f>$U$37*'EMISSIONS DE CO2'!F22/1000</f>
        <v>2076.0193169999998</v>
      </c>
      <c r="F8" s="37">
        <f>$U$37*'EMISSIONS DE CO2'!G22/1000</f>
        <v>2076.0193169999998</v>
      </c>
      <c r="G8" s="37">
        <f>$U$37*'EMISSIONS DE CO2'!H22/1000</f>
        <v>2076.0193169999998</v>
      </c>
      <c r="H8" s="37">
        <f>$U$37*'EMISSIONS DE CO2'!I22/1000</f>
        <v>2076.0193169999998</v>
      </c>
      <c r="I8" s="37">
        <f>$U$37*'EMISSIONS DE CO2'!J22/1000</f>
        <v>2076.0193169999998</v>
      </c>
      <c r="J8" s="37">
        <f>$U$37*'EMISSIONS DE CO2'!K22/1000</f>
        <v>2076.0193169999998</v>
      </c>
      <c r="K8" s="37">
        <f>$U$37*'EMISSIONS DE CO2'!L22/1000</f>
        <v>2076.0193169999998</v>
      </c>
      <c r="L8" s="37">
        <f>$U$37*'EMISSIONS DE CO2'!M22/1000</f>
        <v>2076.0193169999998</v>
      </c>
      <c r="M8" s="37">
        <f>$U$37*'EMISSIONS DE CO2'!N22/1000</f>
        <v>2076.0193169999998</v>
      </c>
      <c r="N8" s="37">
        <f>$U$37*'EMISSIONS DE CO2'!O22/1000</f>
        <v>2076.0193169999998</v>
      </c>
      <c r="O8" s="37">
        <f>$U$37*'EMISSIONS DE CO2'!P22/1000</f>
        <v>791.98327199999994</v>
      </c>
      <c r="P8" s="37">
        <f>$U$37*'EMISSIONS DE CO2'!Q22/1000</f>
        <v>934.63612799999987</v>
      </c>
      <c r="Q8" s="37">
        <f>$U$37*'EMISSIONS DE CO2'!R22/1000</f>
        <v>649.32197700000017</v>
      </c>
      <c r="R8" s="37">
        <f>$U$37*'EMISSIONS DE CO2'!S22/1000</f>
        <v>791.98327199999994</v>
      </c>
      <c r="T8">
        <v>2</v>
      </c>
      <c r="U8" s="37">
        <f>U7+6</f>
        <v>16</v>
      </c>
    </row>
    <row r="9" spans="1:62" x14ac:dyDescent="0.25">
      <c r="C9" t="s">
        <v>7</v>
      </c>
      <c r="D9" s="37"/>
      <c r="E9" s="37"/>
      <c r="F9" s="37"/>
      <c r="G9" s="37"/>
      <c r="H9" s="37"/>
      <c r="I9" s="37"/>
      <c r="J9" s="37"/>
      <c r="K9" s="37"/>
      <c r="L9" s="37">
        <f>$U$37*'EMISSIONS DE CO2'!M36/1000</f>
        <v>4833.0520532999999</v>
      </c>
      <c r="M9" s="37">
        <f>$U$37*'EMISSIONS DE CO2'!N36/1000</f>
        <v>5638.5354845999991</v>
      </c>
      <c r="N9" s="37">
        <f>$U$37*'EMISSIONS DE CO2'!O36/1000</f>
        <v>4228.9369554000004</v>
      </c>
      <c r="O9" s="37"/>
      <c r="P9" s="37"/>
      <c r="Q9" s="37"/>
      <c r="R9" s="37">
        <f>$U$37*'EMISSIONS DE CO2'!S36/1000</f>
        <v>1394.3106114</v>
      </c>
      <c r="T9">
        <v>3</v>
      </c>
      <c r="U9" s="37">
        <f t="shared" ref="U9:U36" si="0">U8+6</f>
        <v>22</v>
      </c>
    </row>
    <row r="10" spans="1:62" x14ac:dyDescent="0.25">
      <c r="D10" s="16"/>
      <c r="E10" s="16"/>
      <c r="F10" s="16"/>
      <c r="G10" s="60"/>
      <c r="H10" s="60"/>
      <c r="I10" s="16"/>
      <c r="J10" s="60"/>
      <c r="K10" s="60"/>
      <c r="L10" s="16"/>
      <c r="M10" s="60"/>
      <c r="N10" s="60"/>
      <c r="O10" s="16"/>
      <c r="P10" s="60"/>
      <c r="Q10" s="60"/>
      <c r="R10" s="16"/>
      <c r="T10">
        <v>4</v>
      </c>
      <c r="U10" s="37">
        <f t="shared" si="0"/>
        <v>28</v>
      </c>
    </row>
    <row r="11" spans="1:62" x14ac:dyDescent="0.25">
      <c r="D11" s="16"/>
      <c r="E11" s="16"/>
      <c r="F11" s="16"/>
      <c r="G11" s="60"/>
      <c r="H11" s="60"/>
      <c r="I11" s="16"/>
      <c r="J11" s="60"/>
      <c r="K11" s="60"/>
      <c r="L11" s="16"/>
      <c r="M11" s="60"/>
      <c r="N11" s="60"/>
      <c r="O11" s="16"/>
      <c r="P11" s="60"/>
      <c r="Q11" s="60"/>
      <c r="R11" s="16"/>
      <c r="T11">
        <v>5</v>
      </c>
      <c r="U11" s="37">
        <f t="shared" si="0"/>
        <v>34</v>
      </c>
    </row>
    <row r="12" spans="1:62" x14ac:dyDescent="0.25">
      <c r="D12" s="16"/>
      <c r="E12" s="16"/>
      <c r="F12" s="16"/>
      <c r="G12" s="60"/>
      <c r="H12" s="60"/>
      <c r="I12" s="16"/>
      <c r="J12" s="60"/>
      <c r="K12" s="60"/>
      <c r="L12" s="16"/>
      <c r="M12" s="60"/>
      <c r="N12" s="60"/>
      <c r="O12" s="16"/>
      <c r="P12" s="60"/>
      <c r="Q12" s="60"/>
      <c r="R12" s="16"/>
      <c r="T12">
        <v>6</v>
      </c>
      <c r="U12" s="37">
        <f t="shared" si="0"/>
        <v>40</v>
      </c>
    </row>
    <row r="13" spans="1:62" x14ac:dyDescent="0.25">
      <c r="D13" s="16"/>
      <c r="E13" s="16"/>
      <c r="F13" s="16"/>
      <c r="G13" s="60"/>
      <c r="H13" s="60"/>
      <c r="I13" s="16"/>
      <c r="J13" s="60"/>
      <c r="K13" s="60"/>
      <c r="L13" s="16"/>
      <c r="M13" s="60"/>
      <c r="N13" s="60"/>
      <c r="O13" s="16"/>
      <c r="P13" s="60"/>
      <c r="Q13" s="60"/>
      <c r="R13" s="16"/>
      <c r="T13">
        <v>7</v>
      </c>
      <c r="U13" s="37">
        <f t="shared" si="0"/>
        <v>46</v>
      </c>
    </row>
    <row r="14" spans="1:62" x14ac:dyDescent="0.25">
      <c r="D14" s="16"/>
      <c r="E14" s="16"/>
      <c r="F14" s="16"/>
      <c r="G14" s="60"/>
      <c r="H14" s="60"/>
      <c r="I14" s="16"/>
      <c r="J14" s="60"/>
      <c r="K14" s="60"/>
      <c r="L14" s="16"/>
      <c r="M14" s="60"/>
      <c r="N14" s="60"/>
      <c r="O14" s="16"/>
      <c r="P14" s="60"/>
      <c r="Q14" s="60"/>
      <c r="R14" s="16"/>
      <c r="T14">
        <v>8</v>
      </c>
      <c r="U14" s="37">
        <f t="shared" si="0"/>
        <v>52</v>
      </c>
    </row>
    <row r="15" spans="1:62" x14ac:dyDescent="0.25">
      <c r="D15" s="16"/>
      <c r="E15" s="16"/>
      <c r="F15" s="16"/>
      <c r="G15" s="60"/>
      <c r="H15" s="60"/>
      <c r="I15" s="16"/>
      <c r="J15" s="60"/>
      <c r="K15" s="60"/>
      <c r="L15" s="16"/>
      <c r="M15" s="60"/>
      <c r="N15" s="60"/>
      <c r="O15" s="16"/>
      <c r="P15" s="60"/>
      <c r="Q15" s="60"/>
      <c r="R15" s="16"/>
      <c r="T15">
        <v>9</v>
      </c>
      <c r="U15" s="37">
        <f t="shared" si="0"/>
        <v>58</v>
      </c>
    </row>
    <row r="16" spans="1:62" x14ac:dyDescent="0.25">
      <c r="D16" s="16"/>
      <c r="E16" s="16"/>
      <c r="F16" s="16"/>
      <c r="G16" s="60"/>
      <c r="H16" s="60"/>
      <c r="I16" s="16"/>
      <c r="J16" s="60"/>
      <c r="K16" s="60"/>
      <c r="L16" s="16"/>
      <c r="M16" s="60"/>
      <c r="N16" s="60"/>
      <c r="O16" s="16"/>
      <c r="P16" s="60"/>
      <c r="Q16" s="60"/>
      <c r="R16" s="16"/>
      <c r="T16">
        <v>10</v>
      </c>
      <c r="U16" s="37">
        <f t="shared" si="0"/>
        <v>64</v>
      </c>
    </row>
    <row r="17" spans="4:21" x14ac:dyDescent="0.25">
      <c r="D17" s="16"/>
      <c r="E17" s="16"/>
      <c r="F17" s="16"/>
      <c r="G17" s="60"/>
      <c r="H17" s="60"/>
      <c r="I17" s="16"/>
      <c r="J17" s="60"/>
      <c r="K17" s="60"/>
      <c r="L17" s="16"/>
      <c r="M17" s="60"/>
      <c r="N17" s="60"/>
      <c r="O17" s="16"/>
      <c r="P17" s="60"/>
      <c r="Q17" s="60"/>
      <c r="R17" s="16"/>
      <c r="T17">
        <v>11</v>
      </c>
      <c r="U17" s="43">
        <f t="shared" si="0"/>
        <v>70</v>
      </c>
    </row>
    <row r="18" spans="4:21" x14ac:dyDescent="0.25">
      <c r="D18" s="16"/>
      <c r="E18" s="16"/>
      <c r="F18" s="16"/>
      <c r="G18" s="60"/>
      <c r="H18" s="60"/>
      <c r="I18" s="16"/>
      <c r="J18" s="60"/>
      <c r="K18" s="60"/>
      <c r="L18" s="16"/>
      <c r="M18" s="60"/>
      <c r="N18" s="60"/>
      <c r="O18" s="16"/>
      <c r="P18" s="60"/>
      <c r="Q18" s="60"/>
      <c r="R18" s="16"/>
      <c r="T18">
        <v>12</v>
      </c>
      <c r="U18" s="37">
        <f t="shared" si="0"/>
        <v>76</v>
      </c>
    </row>
    <row r="19" spans="4:21" x14ac:dyDescent="0.25">
      <c r="D19" s="16"/>
      <c r="E19" s="16"/>
      <c r="F19" s="16"/>
      <c r="G19" s="60"/>
      <c r="H19" s="60"/>
      <c r="I19" s="16"/>
      <c r="J19" s="60"/>
      <c r="K19" s="60"/>
      <c r="L19" s="16"/>
      <c r="M19" s="60"/>
      <c r="N19" s="60"/>
      <c r="O19" s="16"/>
      <c r="P19" s="60"/>
      <c r="Q19" s="60"/>
      <c r="R19" s="16"/>
      <c r="T19">
        <v>13</v>
      </c>
      <c r="U19" s="37">
        <f t="shared" si="0"/>
        <v>82</v>
      </c>
    </row>
    <row r="20" spans="4:21" x14ac:dyDescent="0.25">
      <c r="D20" s="16"/>
      <c r="E20" s="16"/>
      <c r="F20" s="16"/>
      <c r="G20" s="60"/>
      <c r="H20" s="60"/>
      <c r="I20" s="16"/>
      <c r="J20" s="60"/>
      <c r="K20" s="60"/>
      <c r="L20" s="16"/>
      <c r="M20" s="60"/>
      <c r="N20" s="60"/>
      <c r="O20" s="16"/>
      <c r="P20" s="60"/>
      <c r="Q20" s="60"/>
      <c r="R20" s="16"/>
      <c r="T20">
        <v>14</v>
      </c>
      <c r="U20" s="37">
        <f t="shared" si="0"/>
        <v>88</v>
      </c>
    </row>
    <row r="21" spans="4:21" x14ac:dyDescent="0.25">
      <c r="D21" s="16"/>
      <c r="E21" s="16"/>
      <c r="F21" s="16"/>
      <c r="G21" s="60"/>
      <c r="H21" s="60"/>
      <c r="I21" s="16"/>
      <c r="J21" s="60"/>
      <c r="K21" s="60"/>
      <c r="L21" s="16"/>
      <c r="M21" s="60"/>
      <c r="N21" s="60"/>
      <c r="O21" s="16"/>
      <c r="P21" s="60"/>
      <c r="Q21" s="60"/>
      <c r="R21" s="16"/>
      <c r="T21">
        <v>15</v>
      </c>
      <c r="U21" s="37">
        <f t="shared" si="0"/>
        <v>94</v>
      </c>
    </row>
    <row r="22" spans="4:21" x14ac:dyDescent="0.25">
      <c r="D22" s="16"/>
      <c r="E22" s="16"/>
      <c r="F22" s="16"/>
      <c r="G22" s="60"/>
      <c r="H22" s="60"/>
      <c r="I22" s="16"/>
      <c r="J22" s="60"/>
      <c r="K22" s="60"/>
      <c r="L22" s="16"/>
      <c r="M22" s="60"/>
      <c r="N22" s="60"/>
      <c r="O22" s="16"/>
      <c r="P22" s="60"/>
      <c r="Q22" s="60"/>
      <c r="R22" s="16"/>
      <c r="T22">
        <v>16</v>
      </c>
      <c r="U22" s="37">
        <f t="shared" si="0"/>
        <v>100</v>
      </c>
    </row>
    <row r="23" spans="4:21" x14ac:dyDescent="0.25">
      <c r="D23" s="16"/>
      <c r="E23" s="16"/>
      <c r="F23" s="16"/>
      <c r="G23" s="60"/>
      <c r="H23" s="60"/>
      <c r="I23" s="16"/>
      <c r="J23" s="60"/>
      <c r="K23" s="60"/>
      <c r="L23" s="16"/>
      <c r="M23" s="60"/>
      <c r="N23" s="60"/>
      <c r="O23" s="16"/>
      <c r="P23" s="60"/>
      <c r="Q23" s="60"/>
      <c r="R23" s="16"/>
      <c r="T23">
        <v>17</v>
      </c>
      <c r="U23" s="37">
        <f t="shared" si="0"/>
        <v>106</v>
      </c>
    </row>
    <row r="24" spans="4:21" x14ac:dyDescent="0.25">
      <c r="D24" s="16"/>
      <c r="E24" s="16"/>
      <c r="F24" s="16"/>
      <c r="G24" s="60"/>
      <c r="H24" s="60"/>
      <c r="I24" s="16"/>
      <c r="J24" s="60"/>
      <c r="K24" s="60"/>
      <c r="L24" s="16"/>
      <c r="M24" s="60"/>
      <c r="N24" s="60"/>
      <c r="O24" s="16"/>
      <c r="P24" s="60"/>
      <c r="Q24" s="60"/>
      <c r="R24" s="16"/>
      <c r="T24">
        <v>18</v>
      </c>
      <c r="U24" s="37">
        <f t="shared" si="0"/>
        <v>112</v>
      </c>
    </row>
    <row r="25" spans="4:21" x14ac:dyDescent="0.25">
      <c r="D25" s="16"/>
      <c r="E25" s="16"/>
      <c r="F25" s="16"/>
      <c r="G25" s="60"/>
      <c r="H25" s="60"/>
      <c r="I25" s="16"/>
      <c r="J25" s="60"/>
      <c r="K25" s="60"/>
      <c r="L25" s="16"/>
      <c r="M25" s="60"/>
      <c r="N25" s="60"/>
      <c r="O25" s="16"/>
      <c r="P25" s="60"/>
      <c r="Q25" s="60"/>
      <c r="R25" s="16"/>
      <c r="T25">
        <v>19</v>
      </c>
      <c r="U25" s="37">
        <f t="shared" si="0"/>
        <v>118</v>
      </c>
    </row>
    <row r="26" spans="4:21" x14ac:dyDescent="0.25">
      <c r="D26" s="16"/>
      <c r="E26" s="16"/>
      <c r="F26" s="16"/>
      <c r="G26" s="60"/>
      <c r="H26" s="60"/>
      <c r="I26" s="16"/>
      <c r="J26" s="60"/>
      <c r="K26" s="60"/>
      <c r="L26" s="16"/>
      <c r="M26" s="60"/>
      <c r="N26" s="60"/>
      <c r="O26" s="16"/>
      <c r="P26" s="60"/>
      <c r="Q26" s="60"/>
      <c r="R26" s="16"/>
      <c r="T26">
        <v>20</v>
      </c>
      <c r="U26" s="37">
        <f t="shared" si="0"/>
        <v>124</v>
      </c>
    </row>
    <row r="27" spans="4:21" x14ac:dyDescent="0.25">
      <c r="D27" s="16"/>
      <c r="E27" s="16"/>
      <c r="F27" s="16"/>
      <c r="G27" s="60"/>
      <c r="H27" s="60"/>
      <c r="I27" s="16"/>
      <c r="J27" s="60"/>
      <c r="K27" s="60"/>
      <c r="L27" s="16"/>
      <c r="M27" s="60"/>
      <c r="N27" s="60"/>
      <c r="O27" s="16"/>
      <c r="P27" s="60"/>
      <c r="Q27" s="60"/>
      <c r="R27" s="16"/>
      <c r="T27">
        <v>21</v>
      </c>
      <c r="U27" s="37">
        <f t="shared" si="0"/>
        <v>130</v>
      </c>
    </row>
    <row r="28" spans="4:21" x14ac:dyDescent="0.25">
      <c r="D28" s="16"/>
      <c r="E28" s="16"/>
      <c r="F28" s="16"/>
      <c r="G28" s="60"/>
      <c r="H28" s="60"/>
      <c r="I28" s="16"/>
      <c r="J28" s="60"/>
      <c r="K28" s="60"/>
      <c r="L28" s="16"/>
      <c r="M28" s="60"/>
      <c r="N28" s="60"/>
      <c r="O28" s="16"/>
      <c r="P28" s="60"/>
      <c r="Q28" s="60"/>
      <c r="R28" s="16"/>
      <c r="T28">
        <v>22</v>
      </c>
      <c r="U28" s="37">
        <f t="shared" si="0"/>
        <v>136</v>
      </c>
    </row>
    <row r="29" spans="4:21" x14ac:dyDescent="0.25">
      <c r="D29" s="16"/>
      <c r="E29" s="16"/>
      <c r="F29" s="16"/>
      <c r="G29" s="60"/>
      <c r="H29" s="60"/>
      <c r="I29" s="16"/>
      <c r="J29" s="60"/>
      <c r="K29" s="60"/>
      <c r="L29" s="16"/>
      <c r="M29" s="60"/>
      <c r="N29" s="60"/>
      <c r="O29" s="16"/>
      <c r="P29" s="60"/>
      <c r="Q29" s="60"/>
      <c r="R29" s="16"/>
      <c r="T29">
        <v>23</v>
      </c>
      <c r="U29" s="37">
        <f t="shared" si="0"/>
        <v>142</v>
      </c>
    </row>
    <row r="30" spans="4:21" x14ac:dyDescent="0.25">
      <c r="D30" s="16"/>
      <c r="E30" s="16"/>
      <c r="F30" s="16"/>
      <c r="G30" s="60"/>
      <c r="H30" s="60"/>
      <c r="I30" s="16"/>
      <c r="J30" s="60"/>
      <c r="K30" s="60"/>
      <c r="L30" s="16"/>
      <c r="M30" s="60"/>
      <c r="N30" s="60"/>
      <c r="O30" s="16"/>
      <c r="P30" s="60"/>
      <c r="Q30" s="60"/>
      <c r="R30" s="16"/>
      <c r="T30">
        <v>24</v>
      </c>
      <c r="U30" s="37">
        <f t="shared" si="0"/>
        <v>148</v>
      </c>
    </row>
    <row r="31" spans="4:21" x14ac:dyDescent="0.25">
      <c r="D31" s="16"/>
      <c r="E31" s="16"/>
      <c r="F31" s="16"/>
      <c r="G31" s="60"/>
      <c r="H31" s="60"/>
      <c r="I31" s="16"/>
      <c r="J31" s="60"/>
      <c r="K31" s="60"/>
      <c r="L31" s="16"/>
      <c r="M31" s="60"/>
      <c r="N31" s="60"/>
      <c r="O31" s="16"/>
      <c r="P31" s="60"/>
      <c r="Q31" s="60"/>
      <c r="R31" s="16"/>
      <c r="T31">
        <v>25</v>
      </c>
      <c r="U31" s="37">
        <f t="shared" si="0"/>
        <v>154</v>
      </c>
    </row>
    <row r="32" spans="4:21" x14ac:dyDescent="0.25">
      <c r="D32" s="16"/>
      <c r="E32" s="16"/>
      <c r="F32" s="16"/>
      <c r="G32" s="60"/>
      <c r="H32" s="60"/>
      <c r="I32" s="16"/>
      <c r="J32" s="60"/>
      <c r="K32" s="60"/>
      <c r="L32" s="16"/>
      <c r="M32" s="60"/>
      <c r="N32" s="60"/>
      <c r="O32" s="16"/>
      <c r="P32" s="60"/>
      <c r="Q32" s="60"/>
      <c r="R32" s="16"/>
      <c r="T32">
        <v>26</v>
      </c>
      <c r="U32" s="37">
        <f t="shared" si="0"/>
        <v>160</v>
      </c>
    </row>
    <row r="33" spans="4:21" x14ac:dyDescent="0.25">
      <c r="D33" s="16"/>
      <c r="E33" s="16"/>
      <c r="F33" s="16"/>
      <c r="G33" s="60"/>
      <c r="H33" s="60"/>
      <c r="I33" s="16"/>
      <c r="J33" s="60"/>
      <c r="K33" s="60"/>
      <c r="L33" s="16"/>
      <c r="M33" s="60"/>
      <c r="N33" s="60"/>
      <c r="O33" s="16"/>
      <c r="P33" s="60"/>
      <c r="Q33" s="60"/>
      <c r="R33" s="16"/>
      <c r="T33">
        <v>27</v>
      </c>
      <c r="U33" s="37">
        <f t="shared" si="0"/>
        <v>166</v>
      </c>
    </row>
    <row r="34" spans="4:21" x14ac:dyDescent="0.25">
      <c r="D34" s="16"/>
      <c r="E34" s="16"/>
      <c r="F34" s="16"/>
      <c r="G34" s="60"/>
      <c r="H34" s="60"/>
      <c r="I34" s="16"/>
      <c r="J34" s="60"/>
      <c r="K34" s="60"/>
      <c r="L34" s="16"/>
      <c r="M34" s="60"/>
      <c r="N34" s="60"/>
      <c r="O34" s="16"/>
      <c r="P34" s="60"/>
      <c r="Q34" s="60"/>
      <c r="R34" s="16"/>
      <c r="T34">
        <v>28</v>
      </c>
      <c r="U34" s="37">
        <f t="shared" si="0"/>
        <v>172</v>
      </c>
    </row>
    <row r="35" spans="4:21" x14ac:dyDescent="0.25">
      <c r="D35" s="16"/>
      <c r="E35" s="16"/>
      <c r="F35" s="16"/>
      <c r="G35" s="60"/>
      <c r="H35" s="60"/>
      <c r="I35" s="16"/>
      <c r="J35" s="60"/>
      <c r="K35" s="60"/>
      <c r="L35" s="16"/>
      <c r="M35" s="60"/>
      <c r="N35" s="60"/>
      <c r="O35" s="16"/>
      <c r="P35" s="60"/>
      <c r="Q35" s="60"/>
      <c r="R35" s="16"/>
      <c r="T35">
        <v>29</v>
      </c>
      <c r="U35" s="37">
        <f t="shared" si="0"/>
        <v>178</v>
      </c>
    </row>
    <row r="36" spans="4:21" x14ac:dyDescent="0.25">
      <c r="D36" s="16"/>
      <c r="E36" s="16"/>
      <c r="F36" s="16"/>
      <c r="G36" s="60"/>
      <c r="H36" s="60"/>
      <c r="I36" s="16"/>
      <c r="J36" s="60"/>
      <c r="K36" s="60"/>
      <c r="L36" s="16"/>
      <c r="M36" s="60"/>
      <c r="N36" s="60"/>
      <c r="O36" s="16"/>
      <c r="P36" s="60"/>
      <c r="Q36" s="60"/>
      <c r="R36" s="16"/>
      <c r="T36">
        <v>30</v>
      </c>
      <c r="U36" s="37">
        <f t="shared" si="0"/>
        <v>184</v>
      </c>
    </row>
    <row r="37" spans="4:21" x14ac:dyDescent="0.25">
      <c r="T37" t="s">
        <v>49</v>
      </c>
      <c r="U37" s="37">
        <f>SUM(U7:U36)</f>
        <v>2910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A548E-29FA-4171-86D0-FA1D5F69F6FD}">
  <dimension ref="A1:U52"/>
  <sheetViews>
    <sheetView zoomScaleNormal="100" workbookViewId="0">
      <pane ySplit="1" topLeftCell="A2" activePane="bottomLeft" state="frozen"/>
      <selection pane="bottomLeft" activeCell="C17" sqref="C17"/>
    </sheetView>
  </sheetViews>
  <sheetFormatPr baseColWidth="10" defaultRowHeight="15" x14ac:dyDescent="0.25"/>
  <cols>
    <col min="1" max="1" width="32.140625" bestFit="1" customWidth="1"/>
    <col min="2" max="2" width="15.140625" customWidth="1"/>
    <col min="3" max="3" width="29.140625" bestFit="1" customWidth="1"/>
    <col min="4" max="4" width="7.5703125" style="41" customWidth="1"/>
    <col min="8" max="9" width="11.42578125" style="5"/>
    <col min="11" max="12" width="11.42578125" style="5"/>
    <col min="14" max="15" width="11.42578125" style="5"/>
    <col min="17" max="18" width="11.42578125" style="5"/>
  </cols>
  <sheetData>
    <row r="1" spans="1:19" s="72" customFormat="1" x14ac:dyDescent="0.25">
      <c r="A1" s="69"/>
      <c r="B1" s="70"/>
      <c r="C1" s="70"/>
      <c r="D1" s="71"/>
      <c r="E1" s="72" t="s">
        <v>155</v>
      </c>
      <c r="F1" s="72" t="s">
        <v>12</v>
      </c>
      <c r="G1" s="72" t="s">
        <v>13</v>
      </c>
      <c r="H1" s="73" t="s">
        <v>27</v>
      </c>
      <c r="I1" s="73" t="s">
        <v>26</v>
      </c>
      <c r="J1" s="72" t="s">
        <v>15</v>
      </c>
      <c r="K1" s="73" t="s">
        <v>28</v>
      </c>
      <c r="L1" s="73" t="s">
        <v>29</v>
      </c>
      <c r="M1" s="72" t="s">
        <v>14</v>
      </c>
      <c r="N1" s="73" t="s">
        <v>30</v>
      </c>
      <c r="O1" s="73" t="s">
        <v>31</v>
      </c>
      <c r="P1" s="72" t="s">
        <v>16</v>
      </c>
      <c r="Q1" s="73" t="s">
        <v>32</v>
      </c>
      <c r="R1" s="73" t="s">
        <v>33</v>
      </c>
      <c r="S1" s="72" t="s">
        <v>17</v>
      </c>
    </row>
    <row r="3" spans="1:19" x14ac:dyDescent="0.25">
      <c r="A3" s="11" t="s">
        <v>203</v>
      </c>
      <c r="B3" s="11"/>
      <c r="C3" s="11"/>
      <c r="D3" s="30"/>
      <c r="E3" s="11"/>
      <c r="F3" s="11"/>
      <c r="G3" s="11"/>
      <c r="H3" s="31"/>
      <c r="I3" s="31"/>
      <c r="J3" s="11"/>
      <c r="K3" s="31"/>
      <c r="L3" s="31"/>
      <c r="M3" s="11"/>
      <c r="N3" s="31"/>
      <c r="O3" s="31"/>
      <c r="P3" s="11"/>
      <c r="Q3" s="31"/>
      <c r="R3" s="31"/>
      <c r="S3" s="11"/>
    </row>
    <row r="4" spans="1:19" x14ac:dyDescent="0.25">
      <c r="A4" t="s">
        <v>184</v>
      </c>
      <c r="C4" t="s">
        <v>141</v>
      </c>
      <c r="D4" s="41" t="s">
        <v>110</v>
      </c>
      <c r="E4" s="37">
        <f>E11+E19+E26</f>
        <v>65438.275300000008</v>
      </c>
      <c r="F4" s="37">
        <f>F11+F19+F26</f>
        <v>73571.288800000009</v>
      </c>
      <c r="G4" s="37">
        <f>G11+G19+G26</f>
        <v>62147.527000000002</v>
      </c>
      <c r="H4" s="37">
        <f>H11+H19+H26</f>
        <v>61690.561199999996</v>
      </c>
      <c r="I4" s="37">
        <f>I11+I19+I26</f>
        <v>62872.8704</v>
      </c>
      <c r="J4" s="37">
        <f>J11+J19+J26</f>
        <v>86883.234000000011</v>
      </c>
      <c r="K4" s="37">
        <f>K11+K19+K26</f>
        <v>86548.841100000005</v>
      </c>
      <c r="L4" s="37">
        <f>L11+L19+L26</f>
        <v>87995.595000000001</v>
      </c>
      <c r="M4" s="37">
        <f>M11+M19+M26</f>
        <v>98145.577600000004</v>
      </c>
      <c r="N4" s="37">
        <f>N11+N19+N26</f>
        <v>104802.55780000001</v>
      </c>
      <c r="O4" s="37">
        <f>O11+O19+O26</f>
        <v>96199.620999999999</v>
      </c>
      <c r="P4" s="37">
        <f>P11+P19+P26</f>
        <v>70009.742299999998</v>
      </c>
      <c r="Q4" s="37">
        <f>Q11+Q19+Q26</f>
        <v>70985.2255</v>
      </c>
      <c r="R4" s="37">
        <f>R11+R19+R26</f>
        <v>69034.173299999995</v>
      </c>
      <c r="S4" s="37">
        <f>S11+S19+S26</f>
        <v>103365.594</v>
      </c>
    </row>
    <row r="5" spans="1:19" x14ac:dyDescent="0.25">
      <c r="B5" t="s">
        <v>182</v>
      </c>
      <c r="D5" s="41" t="s">
        <v>122</v>
      </c>
      <c r="E5" s="37"/>
      <c r="F5" s="37">
        <f>($E4-F4)/$E4*100</f>
        <v>-12.428526672982166</v>
      </c>
      <c r="G5" s="37">
        <f t="shared" ref="G5:S5" si="0">($E4-G4)/$E4*100</f>
        <v>5.0287821384559113</v>
      </c>
      <c r="H5" s="37">
        <f t="shared" si="0"/>
        <v>5.7270979145136662</v>
      </c>
      <c r="I5" s="37">
        <f t="shared" si="0"/>
        <v>3.9203430839810172</v>
      </c>
      <c r="J5" s="37">
        <f t="shared" si="0"/>
        <v>-32.771277362806657</v>
      </c>
      <c r="K5" s="37">
        <f t="shared" si="0"/>
        <v>-32.260272299688793</v>
      </c>
      <c r="L5" s="37">
        <f t="shared" si="0"/>
        <v>-34.47114031747715</v>
      </c>
      <c r="M5" s="37">
        <f t="shared" si="0"/>
        <v>-49.981913719538376</v>
      </c>
      <c r="N5" s="37">
        <f t="shared" si="0"/>
        <v>-60.154828836083333</v>
      </c>
      <c r="O5" s="37">
        <f t="shared" si="0"/>
        <v>-47.008185284492036</v>
      </c>
      <c r="P5" s="37">
        <f t="shared" si="0"/>
        <v>-6.9859221977385904</v>
      </c>
      <c r="Q5" s="37">
        <f t="shared" si="0"/>
        <v>-8.4766142973208698</v>
      </c>
      <c r="R5" s="37">
        <f t="shared" si="0"/>
        <v>-5.4950989822312533</v>
      </c>
      <c r="S5" s="37">
        <f t="shared" si="0"/>
        <v>-57.958921634354233</v>
      </c>
    </row>
    <row r="6" spans="1:19" x14ac:dyDescent="0.25">
      <c r="D6" s="41" t="s">
        <v>110</v>
      </c>
      <c r="E6" s="37"/>
      <c r="F6" s="37">
        <f>$E4-F4</f>
        <v>-8133.0135000000009</v>
      </c>
      <c r="G6" s="37">
        <f t="shared" ref="G6:S6" si="1">$E4-G4</f>
        <v>3290.7483000000066</v>
      </c>
      <c r="H6" s="37">
        <f t="shared" si="1"/>
        <v>3747.714100000012</v>
      </c>
      <c r="I6" s="37">
        <f t="shared" si="1"/>
        <v>2565.4049000000086</v>
      </c>
      <c r="J6" s="37">
        <f t="shared" si="1"/>
        <v>-21444.958700000003</v>
      </c>
      <c r="K6" s="37">
        <f t="shared" si="1"/>
        <v>-21110.565799999997</v>
      </c>
      <c r="L6" s="37">
        <f t="shared" si="1"/>
        <v>-22557.319699999993</v>
      </c>
      <c r="M6" s="37">
        <f t="shared" si="1"/>
        <v>-32707.302299999996</v>
      </c>
      <c r="N6" s="37">
        <f t="shared" si="1"/>
        <v>-39364.282500000001</v>
      </c>
      <c r="O6" s="37">
        <f t="shared" si="1"/>
        <v>-30761.345699999991</v>
      </c>
      <c r="P6" s="37">
        <f t="shared" si="1"/>
        <v>-4571.4669999999896</v>
      </c>
      <c r="Q6" s="37">
        <f t="shared" si="1"/>
        <v>-5546.950199999992</v>
      </c>
      <c r="R6" s="37">
        <f t="shared" si="1"/>
        <v>-3595.8979999999865</v>
      </c>
      <c r="S6" s="37">
        <f t="shared" si="1"/>
        <v>-37927.318699999989</v>
      </c>
    </row>
    <row r="7" spans="1:19" x14ac:dyDescent="0.25">
      <c r="C7" t="s">
        <v>142</v>
      </c>
      <c r="D7" s="41" t="s">
        <v>110</v>
      </c>
      <c r="E7" s="37">
        <f>E11+E19+E35</f>
        <v>83948.534009708848</v>
      </c>
      <c r="F7" s="37">
        <f t="shared" ref="F7:S7" si="2">F11+F19+F35</f>
        <v>91160.902819843526</v>
      </c>
      <c r="G7" s="37">
        <f t="shared" si="2"/>
        <v>74864.724731891823</v>
      </c>
      <c r="H7" s="37">
        <f t="shared" si="2"/>
        <v>74489.803589156421</v>
      </c>
      <c r="I7" s="37">
        <f t="shared" si="2"/>
        <v>75506.531125492998</v>
      </c>
      <c r="J7" s="37">
        <f t="shared" si="2"/>
        <v>103743.29656391106</v>
      </c>
      <c r="K7" s="37">
        <f t="shared" si="2"/>
        <v>103680.42484354644</v>
      </c>
      <c r="L7" s="37">
        <f t="shared" si="2"/>
        <v>104735.97254514942</v>
      </c>
      <c r="M7" s="37">
        <f t="shared" si="2"/>
        <v>129914.66526690527</v>
      </c>
      <c r="N7" s="37">
        <f t="shared" si="2"/>
        <v>140068.85281367076</v>
      </c>
      <c r="O7" s="37">
        <f t="shared" si="2"/>
        <v>125345.79219641</v>
      </c>
      <c r="P7" s="37">
        <f t="shared" si="2"/>
        <v>80932.5111103167</v>
      </c>
      <c r="Q7" s="37">
        <f t="shared" si="2"/>
        <v>82649.094148470918</v>
      </c>
      <c r="R7" s="37">
        <f t="shared" si="2"/>
        <v>79215.798430477793</v>
      </c>
      <c r="S7" s="37">
        <f t="shared" si="2"/>
        <v>113533.79593227092</v>
      </c>
    </row>
    <row r="8" spans="1:19" x14ac:dyDescent="0.25">
      <c r="B8" t="s">
        <v>204</v>
      </c>
      <c r="D8" s="41" t="s">
        <v>122</v>
      </c>
      <c r="E8" s="37"/>
      <c r="F8" s="37">
        <f>($E7-F7)/$E7*100</f>
        <v>-8.5914172239154887</v>
      </c>
      <c r="G8" s="37">
        <f t="shared" ref="G8:S8" si="3">($E7-G7)/$E7*100</f>
        <v>10.820688395542989</v>
      </c>
      <c r="H8" s="37">
        <f t="shared" si="3"/>
        <v>11.267296721892132</v>
      </c>
      <c r="I8" s="37">
        <f t="shared" si="3"/>
        <v>10.056164748796581</v>
      </c>
      <c r="J8" s="37">
        <f t="shared" si="3"/>
        <v>-23.579640535370043</v>
      </c>
      <c r="K8" s="37">
        <f t="shared" si="3"/>
        <v>-23.504747362896833</v>
      </c>
      <c r="L8" s="37">
        <f t="shared" si="3"/>
        <v>-24.762122150979373</v>
      </c>
      <c r="M8" s="37">
        <f t="shared" si="3"/>
        <v>-54.755132772039026</v>
      </c>
      <c r="N8" s="37">
        <f t="shared" si="3"/>
        <v>-66.850862216928604</v>
      </c>
      <c r="O8" s="37">
        <f t="shared" si="3"/>
        <v>-49.312663615916698</v>
      </c>
      <c r="P8" s="37">
        <f t="shared" si="3"/>
        <v>3.5927046671754121</v>
      </c>
      <c r="Q8" s="37">
        <f t="shared" si="3"/>
        <v>1.5479005995359569</v>
      </c>
      <c r="R8" s="37">
        <f t="shared" si="3"/>
        <v>5.6376631647715296</v>
      </c>
      <c r="S8" s="37">
        <f t="shared" si="3"/>
        <v>-35.242142428765305</v>
      </c>
    </row>
    <row r="9" spans="1:19" x14ac:dyDescent="0.25">
      <c r="D9" s="41" t="s">
        <v>110</v>
      </c>
      <c r="E9" s="37"/>
      <c r="F9" s="37">
        <f>$E7-F7</f>
        <v>-7212.3688101346779</v>
      </c>
      <c r="G9" s="37">
        <f t="shared" ref="G9:S9" si="4">$E7-G7</f>
        <v>9083.8092778170248</v>
      </c>
      <c r="H9" s="37">
        <f t="shared" si="4"/>
        <v>9458.7304205524269</v>
      </c>
      <c r="I9" s="37">
        <f t="shared" si="4"/>
        <v>8442.0028842158499</v>
      </c>
      <c r="J9" s="37">
        <f t="shared" si="4"/>
        <v>-19794.762554202214</v>
      </c>
      <c r="K9" s="37">
        <f t="shared" si="4"/>
        <v>-19731.890833837591</v>
      </c>
      <c r="L9" s="37">
        <f t="shared" si="4"/>
        <v>-20787.438535440568</v>
      </c>
      <c r="M9" s="37">
        <f t="shared" si="4"/>
        <v>-45966.131257196423</v>
      </c>
      <c r="N9" s="37">
        <f t="shared" si="4"/>
        <v>-56120.318803961913</v>
      </c>
      <c r="O9" s="37">
        <f t="shared" si="4"/>
        <v>-41397.258186701147</v>
      </c>
      <c r="P9" s="37">
        <f t="shared" si="4"/>
        <v>3016.0228993921482</v>
      </c>
      <c r="Q9" s="37">
        <f t="shared" si="4"/>
        <v>1299.43986123793</v>
      </c>
      <c r="R9" s="37">
        <f t="shared" si="4"/>
        <v>4732.7355792310555</v>
      </c>
      <c r="S9" s="37">
        <f t="shared" si="4"/>
        <v>-29585.261922562073</v>
      </c>
    </row>
    <row r="11" spans="1:19" x14ac:dyDescent="0.25">
      <c r="A11" s="7" t="s">
        <v>136</v>
      </c>
      <c r="B11" s="7"/>
      <c r="C11" s="7"/>
      <c r="D11" s="27" t="s">
        <v>110</v>
      </c>
      <c r="E11" s="54">
        <f>'COÛTS D''INVEST'!E3</f>
        <v>0</v>
      </c>
      <c r="F11" s="54">
        <f>'COÛTS D''INVEST'!F3</f>
        <v>8850.1520000000019</v>
      </c>
      <c r="G11" s="54">
        <f>'COÛTS D''INVEST'!G3</f>
        <v>22391.355199999998</v>
      </c>
      <c r="H11" s="63">
        <f>'COÛTS D''INVEST'!H3</f>
        <v>21514.0144</v>
      </c>
      <c r="I11" s="63">
        <f>'COÛTS D''INVEST'!I3</f>
        <v>23544.720000000001</v>
      </c>
      <c r="J11" s="54">
        <f>'COÛTS D''INVEST'!J3</f>
        <v>25900.124800000001</v>
      </c>
      <c r="K11" s="63">
        <f>'COÛTS D''INVEST'!K3</f>
        <v>24174.529600000002</v>
      </c>
      <c r="L11" s="63">
        <f>'COÛTS D''INVEST'!L3</f>
        <v>27625.72</v>
      </c>
      <c r="M11" s="54">
        <f>'COÛTS D''INVEST'!M3</f>
        <v>20722.152000000002</v>
      </c>
      <c r="N11" s="63">
        <f>'COÛTS D''INVEST'!N3</f>
        <v>19534.952000000001</v>
      </c>
      <c r="O11" s="63">
        <f>'COÛTS D''INVEST'!O3</f>
        <v>21909.352000000003</v>
      </c>
      <c r="P11" s="54">
        <f>'COÛTS D''INVEST'!P3</f>
        <v>15023.592000000002</v>
      </c>
      <c r="Q11" s="63">
        <f>'COÛTS D''INVEST'!Q3</f>
        <v>14548.712000000001</v>
      </c>
      <c r="R11" s="63">
        <f>'COÛTS D''INVEST'!R3</f>
        <v>15498.472000000002</v>
      </c>
      <c r="S11" s="54">
        <v>59916</v>
      </c>
    </row>
    <row r="12" spans="1:19" x14ac:dyDescent="0.25">
      <c r="C12" t="s">
        <v>48</v>
      </c>
      <c r="E12" s="37">
        <f>'COÛTS D''INVEST'!E12</f>
        <v>0</v>
      </c>
      <c r="F12" s="37">
        <f>'COÛTS D''INVEST'!F12</f>
        <v>4285</v>
      </c>
      <c r="G12" s="37">
        <f>'COÛTS D''INVEST'!G12</f>
        <v>15691</v>
      </c>
      <c r="H12" s="61">
        <f>'COÛTS D''INVEST'!H12</f>
        <v>14952</v>
      </c>
      <c r="I12" s="61">
        <f>'COÛTS D''INVEST'!I12</f>
        <v>16662.5</v>
      </c>
      <c r="J12" s="37">
        <f>'COÛTS D''INVEST'!J12</f>
        <v>4285</v>
      </c>
      <c r="K12" s="61">
        <f>'COÛTS D''INVEST'!K12</f>
        <v>4285</v>
      </c>
      <c r="L12" s="61">
        <f>'COÛTS D''INVEST'!L12</f>
        <v>4285</v>
      </c>
      <c r="M12" s="37">
        <f>'COÛTS D''INVEST'!M12</f>
        <v>4285</v>
      </c>
      <c r="N12" s="61">
        <f>'COÛTS D''INVEST'!N12</f>
        <v>4285</v>
      </c>
      <c r="O12" s="61">
        <f>'COÛTS D''INVEST'!O12</f>
        <v>4285</v>
      </c>
      <c r="P12" s="37">
        <f>'COÛTS D''INVEST'!P12</f>
        <v>4285</v>
      </c>
      <c r="Q12" s="61">
        <f>'COÛTS D''INVEST'!Q12</f>
        <v>4285</v>
      </c>
      <c r="R12" s="61">
        <f>'COÛTS D''INVEST'!R12</f>
        <v>4285</v>
      </c>
      <c r="S12" s="37">
        <f>'COÛTS D''INVEST'!S12</f>
        <v>15691</v>
      </c>
    </row>
    <row r="13" spans="1:19" x14ac:dyDescent="0.25">
      <c r="C13" t="s">
        <v>65</v>
      </c>
      <c r="E13" s="37">
        <f>'COÛTS D''INVEST'!E13</f>
        <v>0</v>
      </c>
      <c r="F13" s="37"/>
      <c r="G13" s="37"/>
      <c r="H13" s="61"/>
      <c r="I13" s="61"/>
      <c r="J13" s="37">
        <f>'COÛTS D''INVEST'!J13</f>
        <v>14361.5</v>
      </c>
      <c r="K13" s="61">
        <f>'COÛTS D''INVEST'!K13</f>
        <v>12908</v>
      </c>
      <c r="L13" s="61">
        <f>'COÛTS D''INVEST'!L13</f>
        <v>15815</v>
      </c>
      <c r="M13" s="37"/>
      <c r="N13" s="61"/>
      <c r="O13" s="61"/>
      <c r="P13" s="37"/>
      <c r="Q13" s="61"/>
      <c r="R13" s="61"/>
      <c r="S13" s="37">
        <f>'COÛTS D''INVEST'!S13</f>
        <v>14361.5</v>
      </c>
    </row>
    <row r="14" spans="1:19" x14ac:dyDescent="0.25">
      <c r="C14" t="s">
        <v>88</v>
      </c>
      <c r="E14" s="37">
        <f>'COÛTS D''INVEST'!E14</f>
        <v>0</v>
      </c>
      <c r="F14" s="37"/>
      <c r="G14" s="37"/>
      <c r="H14" s="61"/>
      <c r="I14" s="61"/>
      <c r="J14" s="37"/>
      <c r="K14" s="61"/>
      <c r="L14" s="61"/>
      <c r="M14" s="37">
        <f>'COÛTS D''INVEST'!M14</f>
        <v>10000</v>
      </c>
      <c r="N14" s="61">
        <f>'COÛTS D''INVEST'!N14</f>
        <v>9000</v>
      </c>
      <c r="O14" s="61">
        <f>'COÛTS D''INVEST'!O14</f>
        <v>11000</v>
      </c>
      <c r="P14" s="37"/>
      <c r="Q14" s="61"/>
      <c r="R14" s="61"/>
      <c r="S14" s="37">
        <f>'COÛTS D''INVEST'!S14</f>
        <v>10000</v>
      </c>
    </row>
    <row r="15" spans="1:19" x14ac:dyDescent="0.25">
      <c r="C15" t="s">
        <v>96</v>
      </c>
      <c r="E15" s="37">
        <f>'COÛTS D''INVEST'!E15</f>
        <v>0</v>
      </c>
      <c r="F15" s="37">
        <f>'COÛTS D''INVEST'!F15</f>
        <v>2500</v>
      </c>
      <c r="G15" s="37">
        <f>'COÛTS D''INVEST'!G15</f>
        <v>2500</v>
      </c>
      <c r="H15" s="61">
        <f>'COÛTS D''INVEST'!H15</f>
        <v>2500</v>
      </c>
      <c r="I15" s="61">
        <f>'COÛTS D''INVEST'!I15</f>
        <v>2500</v>
      </c>
      <c r="J15" s="37">
        <f>'COÛTS D''INVEST'!J15</f>
        <v>2500</v>
      </c>
      <c r="K15" s="61">
        <f>'COÛTS D''INVEST'!K15</f>
        <v>2500</v>
      </c>
      <c r="L15" s="61">
        <f>'COÛTS D''INVEST'!L15</f>
        <v>2500</v>
      </c>
      <c r="M15" s="37">
        <f>'COÛTS D''INVEST'!M15</f>
        <v>2500</v>
      </c>
      <c r="N15" s="61">
        <f>'COÛTS D''INVEST'!N15</f>
        <v>2500</v>
      </c>
      <c r="O15" s="61">
        <f>'COÛTS D''INVEST'!O15</f>
        <v>2500</v>
      </c>
      <c r="P15" s="37">
        <f>'COÛTS D''INVEST'!P15</f>
        <v>2500</v>
      </c>
      <c r="Q15" s="61">
        <f>'COÛTS D''INVEST'!Q15</f>
        <v>2500</v>
      </c>
      <c r="R15" s="61">
        <f>'COÛTS D''INVEST'!R15</f>
        <v>2500</v>
      </c>
      <c r="S15" s="37">
        <f>'COÛTS D''INVEST'!S15</f>
        <v>6000</v>
      </c>
    </row>
    <row r="16" spans="1:19" x14ac:dyDescent="0.25">
      <c r="C16" t="s">
        <v>9</v>
      </c>
      <c r="E16" s="37">
        <f>'COÛTS D''INVEST'!E16</f>
        <v>0</v>
      </c>
      <c r="F16" s="37"/>
      <c r="G16" s="37"/>
      <c r="H16" s="61"/>
      <c r="I16" s="61"/>
      <c r="J16" s="37"/>
      <c r="K16" s="61"/>
      <c r="L16" s="61"/>
      <c r="M16" s="37"/>
      <c r="N16" s="61"/>
      <c r="O16" s="61"/>
      <c r="P16" s="37">
        <f>'COÛTS D''INVEST'!P16</f>
        <v>5200</v>
      </c>
      <c r="Q16" s="61">
        <f>'COÛTS D''INVEST'!Q16</f>
        <v>4800</v>
      </c>
      <c r="R16" s="61">
        <f>'COÛTS D''INVEST'!R16</f>
        <v>5600</v>
      </c>
      <c r="S16" s="37">
        <f>'COÛTS D''INVEST'!S16</f>
        <v>5200</v>
      </c>
    </row>
    <row r="17" spans="1:19" x14ac:dyDescent="0.25">
      <c r="C17" t="s">
        <v>125</v>
      </c>
      <c r="E17" s="37">
        <f>'COÛTS D''INVEST'!E17</f>
        <v>0</v>
      </c>
      <c r="F17" s="37">
        <f>'COÛTS D''INVEST'!F17</f>
        <v>1564.1999999999998</v>
      </c>
      <c r="G17" s="37">
        <f>'COÛTS D''INVEST'!G17</f>
        <v>2932.92</v>
      </c>
      <c r="H17" s="61">
        <f>'COÛTS D''INVEST'!H17</f>
        <v>2844.24</v>
      </c>
      <c r="I17" s="61">
        <f>'COÛTS D''INVEST'!I17</f>
        <v>3049.5</v>
      </c>
      <c r="J17" s="37">
        <f>'COÛTS D''INVEST'!J17</f>
        <v>3287.58</v>
      </c>
      <c r="K17" s="61">
        <f>'COÛTS D''INVEST'!K17</f>
        <v>3113.16</v>
      </c>
      <c r="L17" s="61">
        <f>'COÛTS D''INVEST'!L17</f>
        <v>3462</v>
      </c>
      <c r="M17" s="37">
        <f>'COÛTS D''INVEST'!M17</f>
        <v>2764.2</v>
      </c>
      <c r="N17" s="61">
        <f>'COÛTS D''INVEST'!N17</f>
        <v>2644.2</v>
      </c>
      <c r="O17" s="61">
        <f>'COÛTS D''INVEST'!O17</f>
        <v>2884.2</v>
      </c>
      <c r="P17" s="37">
        <f>'COÛTS D''INVEST'!P17</f>
        <v>2188.1999999999998</v>
      </c>
      <c r="Q17" s="61">
        <f>'COÛTS D''INVEST'!Q17</f>
        <v>2140.1999999999998</v>
      </c>
      <c r="R17" s="61">
        <f>'COÛTS D''INVEST'!R17</f>
        <v>2236.1999999999998</v>
      </c>
      <c r="S17" s="37">
        <f>'COÛTS D''INVEST'!S17</f>
        <v>6900.3</v>
      </c>
    </row>
    <row r="18" spans="1:19" x14ac:dyDescent="0.25">
      <c r="E18" s="37"/>
      <c r="F18" s="37"/>
      <c r="G18" s="37"/>
      <c r="H18" s="61"/>
      <c r="I18" s="61"/>
      <c r="J18" s="37"/>
      <c r="K18" s="61"/>
      <c r="L18" s="61"/>
      <c r="M18" s="37"/>
      <c r="N18" s="61"/>
      <c r="O18" s="61"/>
      <c r="P18" s="37"/>
      <c r="Q18" s="61"/>
      <c r="R18" s="61"/>
      <c r="S18" s="37"/>
    </row>
    <row r="19" spans="1:19" x14ac:dyDescent="0.25">
      <c r="A19" s="7" t="s">
        <v>143</v>
      </c>
      <c r="B19" s="7" t="s">
        <v>88</v>
      </c>
      <c r="C19" s="7"/>
      <c r="D19" s="27" t="s">
        <v>110</v>
      </c>
      <c r="E19" s="54">
        <f>'COÛTS DE MAINT-REMPL'!F3</f>
        <v>4750</v>
      </c>
      <c r="F19" s="54">
        <f>'COÛTS DE MAINT-REMPL'!G3</f>
        <v>8750</v>
      </c>
      <c r="G19" s="54">
        <f>'COÛTS DE MAINT-REMPL'!H3</f>
        <v>8750</v>
      </c>
      <c r="H19" s="63">
        <f>'COÛTS DE MAINT-REMPL'!I3</f>
        <v>8750</v>
      </c>
      <c r="I19" s="63">
        <f>'COÛTS DE MAINT-REMPL'!J3</f>
        <v>8750</v>
      </c>
      <c r="J19" s="54">
        <f>'COÛTS DE MAINT-REMPL'!K3</f>
        <v>8750</v>
      </c>
      <c r="K19" s="63">
        <f>'COÛTS DE MAINT-REMPL'!L3</f>
        <v>8750</v>
      </c>
      <c r="L19" s="63">
        <f>'COÛTS DE MAINT-REMPL'!M3</f>
        <v>8750</v>
      </c>
      <c r="M19" s="54">
        <f>'COÛTS DE MAINT-REMPL'!N3</f>
        <v>15250</v>
      </c>
      <c r="N19" s="63">
        <f>'COÛTS DE MAINT-REMPL'!O3</f>
        <v>16250</v>
      </c>
      <c r="O19" s="63">
        <f>'COÛTS DE MAINT-REMPL'!P3</f>
        <v>17250</v>
      </c>
      <c r="P19" s="54">
        <f>'COÛTS DE MAINT-REMPL'!Q3</f>
        <v>12050</v>
      </c>
      <c r="Q19" s="63">
        <f>'COÛTS DE MAINT-REMPL'!R3</f>
        <v>12050</v>
      </c>
      <c r="R19" s="63">
        <f>'COÛTS DE MAINT-REMPL'!S3</f>
        <v>12050</v>
      </c>
      <c r="S19" s="54">
        <f>'COÛTS DE MAINT-REMPL'!T3</f>
        <v>23550</v>
      </c>
    </row>
    <row r="20" spans="1:19" s="22" customFormat="1" x14ac:dyDescent="0.25">
      <c r="B20" t="s">
        <v>204</v>
      </c>
      <c r="D20" s="26"/>
      <c r="E20" s="46"/>
      <c r="F20" s="46">
        <f>F19-$E19</f>
        <v>4000</v>
      </c>
      <c r="G20" s="46">
        <f t="shared" ref="G20:S20" si="5">G19-$E19</f>
        <v>4000</v>
      </c>
      <c r="H20" s="46">
        <f t="shared" si="5"/>
        <v>4000</v>
      </c>
      <c r="I20" s="46">
        <f t="shared" si="5"/>
        <v>4000</v>
      </c>
      <c r="J20" s="46">
        <f t="shared" si="5"/>
        <v>4000</v>
      </c>
      <c r="K20" s="46">
        <f t="shared" si="5"/>
        <v>4000</v>
      </c>
      <c r="L20" s="46">
        <f t="shared" si="5"/>
        <v>4000</v>
      </c>
      <c r="M20" s="46">
        <f t="shared" si="5"/>
        <v>10500</v>
      </c>
      <c r="N20" s="46">
        <f t="shared" si="5"/>
        <v>11500</v>
      </c>
      <c r="O20" s="46">
        <f t="shared" si="5"/>
        <v>12500</v>
      </c>
      <c r="P20" s="46">
        <f t="shared" si="5"/>
        <v>7300</v>
      </c>
      <c r="Q20" s="46">
        <f t="shared" si="5"/>
        <v>7300</v>
      </c>
      <c r="R20" s="46">
        <f t="shared" si="5"/>
        <v>7300</v>
      </c>
      <c r="S20" s="46">
        <f t="shared" si="5"/>
        <v>18800</v>
      </c>
    </row>
    <row r="21" spans="1:19" s="22" customFormat="1" x14ac:dyDescent="0.25">
      <c r="B21" s="22" t="s">
        <v>209</v>
      </c>
      <c r="D21" s="26"/>
      <c r="E21" s="46">
        <f>E19/E$4*100</f>
        <v>7.2587487647309672</v>
      </c>
      <c r="F21" s="46">
        <f t="shared" ref="F21:S21" si="6">F19/F$4*100</f>
        <v>11.893226478316087</v>
      </c>
      <c r="G21" s="46">
        <f t="shared" si="6"/>
        <v>14.079401743531966</v>
      </c>
      <c r="H21" s="46">
        <f t="shared" si="6"/>
        <v>14.183693307040301</v>
      </c>
      <c r="I21" s="46">
        <f t="shared" si="6"/>
        <v>13.916972367146768</v>
      </c>
      <c r="J21" s="46">
        <f t="shared" si="6"/>
        <v>10.07098791925724</v>
      </c>
      <c r="K21" s="46">
        <f t="shared" si="6"/>
        <v>10.10989851370754</v>
      </c>
      <c r="L21" s="46">
        <f t="shared" si="6"/>
        <v>9.9436795671419684</v>
      </c>
      <c r="M21" s="46">
        <f t="shared" si="6"/>
        <v>15.538142800639038</v>
      </c>
      <c r="N21" s="46">
        <f t="shared" si="6"/>
        <v>15.505346759771543</v>
      </c>
      <c r="O21" s="46">
        <f t="shared" si="6"/>
        <v>17.931463576140285</v>
      </c>
      <c r="P21" s="46">
        <f t="shared" si="6"/>
        <v>17.211890237167747</v>
      </c>
      <c r="Q21" s="46">
        <f t="shared" si="6"/>
        <v>16.9753634155885</v>
      </c>
      <c r="R21" s="46">
        <f t="shared" si="6"/>
        <v>17.455123200555516</v>
      </c>
      <c r="S21" s="46">
        <f t="shared" si="6"/>
        <v>22.783209662588501</v>
      </c>
    </row>
    <row r="22" spans="1:19" s="22" customFormat="1" x14ac:dyDescent="0.25">
      <c r="B22" s="22" t="s">
        <v>210</v>
      </c>
      <c r="D22" s="26"/>
      <c r="E22" s="46">
        <f>E19/E$7*100</f>
        <v>5.6582286469119891</v>
      </c>
      <c r="F22" s="46">
        <f t="shared" ref="F22:S22" si="7">F19/F$7*100</f>
        <v>9.5984130579445477</v>
      </c>
      <c r="G22" s="46">
        <f t="shared" si="7"/>
        <v>11.687747509038211</v>
      </c>
      <c r="H22" s="46">
        <f t="shared" si="7"/>
        <v>11.746574132830375</v>
      </c>
      <c r="I22" s="46">
        <f t="shared" si="7"/>
        <v>11.588401519144572</v>
      </c>
      <c r="J22" s="46">
        <f t="shared" si="7"/>
        <v>8.4342798906622001</v>
      </c>
      <c r="K22" s="46">
        <f t="shared" si="7"/>
        <v>8.4393944307266615</v>
      </c>
      <c r="L22" s="46">
        <f t="shared" si="7"/>
        <v>8.3543407173004134</v>
      </c>
      <c r="M22" s="46">
        <f t="shared" si="7"/>
        <v>11.738474612292148</v>
      </c>
      <c r="N22" s="46">
        <f t="shared" si="7"/>
        <v>11.601437202899683</v>
      </c>
      <c r="O22" s="46">
        <f t="shared" si="7"/>
        <v>13.761929856384963</v>
      </c>
      <c r="P22" s="46">
        <f t="shared" si="7"/>
        <v>14.888948624830142</v>
      </c>
      <c r="Q22" s="46">
        <f t="shared" si="7"/>
        <v>14.579712124071643</v>
      </c>
      <c r="R22" s="46">
        <f t="shared" si="7"/>
        <v>15.211612126305143</v>
      </c>
      <c r="S22" s="46">
        <f t="shared" si="7"/>
        <v>20.742722293940435</v>
      </c>
    </row>
    <row r="23" spans="1:19" x14ac:dyDescent="0.25">
      <c r="A23" t="s">
        <v>184</v>
      </c>
      <c r="C23" t="s">
        <v>144</v>
      </c>
      <c r="E23" s="37">
        <f>'COÛTS DE MAINT-REMPL'!F7</f>
        <v>1500</v>
      </c>
      <c r="F23" s="37">
        <f>'COÛTS DE MAINT-REMPL'!G7</f>
        <v>3000</v>
      </c>
      <c r="G23" s="37">
        <f>'COÛTS DE MAINT-REMPL'!H7</f>
        <v>3000</v>
      </c>
      <c r="H23" s="61">
        <f>'COÛTS DE MAINT-REMPL'!I7</f>
        <v>3000</v>
      </c>
      <c r="I23" s="61">
        <f>'COÛTS DE MAINT-REMPL'!J7</f>
        <v>3000</v>
      </c>
      <c r="J23" s="37">
        <f>'COÛTS DE MAINT-REMPL'!K7</f>
        <v>3000</v>
      </c>
      <c r="K23" s="61">
        <f>'COÛTS DE MAINT-REMPL'!L7</f>
        <v>3000</v>
      </c>
      <c r="L23" s="61">
        <f>'COÛTS DE MAINT-REMPL'!M7</f>
        <v>3000</v>
      </c>
      <c r="M23" s="37">
        <f>'COÛTS DE MAINT-REMPL'!N7</f>
        <v>3750</v>
      </c>
      <c r="N23" s="61">
        <f>'COÛTS DE MAINT-REMPL'!O7</f>
        <v>3750</v>
      </c>
      <c r="O23" s="61">
        <f>'COÛTS DE MAINT-REMPL'!P7</f>
        <v>3750</v>
      </c>
      <c r="P23" s="37">
        <f>'COÛTS DE MAINT-REMPL'!Q7</f>
        <v>4500</v>
      </c>
      <c r="Q23" s="61">
        <f>'COÛTS DE MAINT-REMPL'!R7</f>
        <v>4500</v>
      </c>
      <c r="R23" s="61">
        <f>'COÛTS DE MAINT-REMPL'!S7</f>
        <v>4500</v>
      </c>
      <c r="S23" s="37">
        <f>'COÛTS DE MAINT-REMPL'!T7</f>
        <v>5750</v>
      </c>
    </row>
    <row r="24" spans="1:19" x14ac:dyDescent="0.25">
      <c r="C24" t="s">
        <v>147</v>
      </c>
      <c r="E24" s="37">
        <f>'COÛTS DE MAINT-REMPL'!F17</f>
        <v>3250</v>
      </c>
      <c r="F24" s="37">
        <f>'COÛTS DE MAINT-REMPL'!G17</f>
        <v>5750</v>
      </c>
      <c r="G24" s="37">
        <f>'COÛTS DE MAINT-REMPL'!H17</f>
        <v>5750</v>
      </c>
      <c r="H24" s="61">
        <f>'COÛTS DE MAINT-REMPL'!I17</f>
        <v>5750</v>
      </c>
      <c r="I24" s="61">
        <f>'COÛTS DE MAINT-REMPL'!J17</f>
        <v>5750</v>
      </c>
      <c r="J24" s="37">
        <f>'COÛTS DE MAINT-REMPL'!K17</f>
        <v>5750</v>
      </c>
      <c r="K24" s="61">
        <f>'COÛTS DE MAINT-REMPL'!L17</f>
        <v>5750</v>
      </c>
      <c r="L24" s="61">
        <f>'COÛTS DE MAINT-REMPL'!M17</f>
        <v>5750</v>
      </c>
      <c r="M24" s="37">
        <f>'COÛTS DE MAINT-REMPL'!N17</f>
        <v>11500</v>
      </c>
      <c r="N24" s="61">
        <f>'COÛTS DE MAINT-REMPL'!O17</f>
        <v>12500</v>
      </c>
      <c r="O24" s="61">
        <f>'COÛTS DE MAINT-REMPL'!P17</f>
        <v>13500</v>
      </c>
      <c r="P24" s="37">
        <f>'COÛTS DE MAINT-REMPL'!Q17</f>
        <v>7550</v>
      </c>
      <c r="Q24" s="61">
        <f>'COÛTS DE MAINT-REMPL'!R17</f>
        <v>7550</v>
      </c>
      <c r="R24" s="61">
        <f>'COÛTS DE MAINT-REMPL'!S17</f>
        <v>7550</v>
      </c>
      <c r="S24" s="37">
        <f>'COÛTS DE MAINT-REMPL'!T17</f>
        <v>17800</v>
      </c>
    </row>
    <row r="25" spans="1:19" x14ac:dyDescent="0.25">
      <c r="E25" s="37"/>
      <c r="F25" s="37"/>
      <c r="G25" s="37"/>
      <c r="H25" s="61"/>
      <c r="I25" s="61"/>
      <c r="J25" s="37"/>
      <c r="K25" s="61"/>
      <c r="L25" s="61"/>
      <c r="M25" s="37"/>
      <c r="N25" s="61"/>
      <c r="O25" s="61"/>
      <c r="P25" s="37"/>
      <c r="Q25" s="61"/>
      <c r="R25" s="61"/>
      <c r="S25" s="37"/>
    </row>
    <row r="26" spans="1:19" s="22" customFormat="1" x14ac:dyDescent="0.25">
      <c r="A26" s="7" t="s">
        <v>137</v>
      </c>
      <c r="B26" s="7" t="s">
        <v>141</v>
      </c>
      <c r="C26" s="7"/>
      <c r="D26" s="27" t="s">
        <v>110</v>
      </c>
      <c r="E26" s="54">
        <f>'COÛTS DE FCT'!E4</f>
        <v>60688.275300000008</v>
      </c>
      <c r="F26" s="54">
        <f>'COÛTS DE FCT'!F4</f>
        <v>55971.136800000007</v>
      </c>
      <c r="G26" s="54">
        <f>'COÛTS DE FCT'!G4</f>
        <v>31006.1718</v>
      </c>
      <c r="H26" s="63">
        <f>'COÛTS DE FCT'!H4</f>
        <v>31426.5468</v>
      </c>
      <c r="I26" s="63">
        <f>'COÛTS DE FCT'!I4</f>
        <v>30578.150399999999</v>
      </c>
      <c r="J26" s="54">
        <f>'COÛTS DE FCT'!J4</f>
        <v>52233.109200000006</v>
      </c>
      <c r="K26" s="63">
        <f>'COÛTS DE FCT'!K4</f>
        <v>53624.311500000003</v>
      </c>
      <c r="L26" s="63">
        <f>'COÛTS DE FCT'!L4</f>
        <v>51619.875</v>
      </c>
      <c r="M26" s="54">
        <f>'COÛTS DE FCT'!M4</f>
        <v>62173.425600000002</v>
      </c>
      <c r="N26" s="63">
        <f>'COÛTS DE FCT'!N4</f>
        <v>69017.605800000005</v>
      </c>
      <c r="O26" s="63">
        <f>'COÛTS DE FCT'!O4</f>
        <v>57040.269</v>
      </c>
      <c r="P26" s="54">
        <f>'COÛTS DE FCT'!P4</f>
        <v>42936.150299999994</v>
      </c>
      <c r="Q26" s="63">
        <f>'COÛTS DE FCT'!Q4</f>
        <v>44386.513500000001</v>
      </c>
      <c r="R26" s="63">
        <f>'COÛTS DE FCT'!R4</f>
        <v>41485.701300000001</v>
      </c>
      <c r="S26" s="54">
        <f>'COÛTS DE FCT'!S4</f>
        <v>19899.594000000001</v>
      </c>
    </row>
    <row r="27" spans="1:19" x14ac:dyDescent="0.25">
      <c r="B27" t="s">
        <v>182</v>
      </c>
      <c r="D27" s="41" t="s">
        <v>122</v>
      </c>
      <c r="E27" s="37"/>
      <c r="F27" s="37">
        <f>($E26-F26)/$E26*100</f>
        <v>7.7727344807243188</v>
      </c>
      <c r="G27" s="37">
        <f t="shared" ref="G27" si="8">($E26-G26)/$E26*100</f>
        <v>48.909123472816837</v>
      </c>
      <c r="H27" s="37">
        <f t="shared" ref="H27" si="9">($E26-H26)/$E26*100</f>
        <v>48.216444371422106</v>
      </c>
      <c r="I27" s="37">
        <f t="shared" ref="I27" si="10">($E26-I26)/$E26*100</f>
        <v>49.614402042497993</v>
      </c>
      <c r="J27" s="37">
        <f t="shared" ref="J27" si="11">($E26-J26)/$E26*100</f>
        <v>13.932124546633807</v>
      </c>
      <c r="K27" s="37">
        <f t="shared" ref="K27" si="12">($E26-K26)/$E26*100</f>
        <v>11.639750454401204</v>
      </c>
      <c r="L27" s="37">
        <f t="shared" ref="L27" si="13">($E26-L26)/$E26*100</f>
        <v>14.942590237030522</v>
      </c>
      <c r="M27" s="37">
        <f t="shared" ref="M27" si="14">($E26-M26)/$E26*100</f>
        <v>-2.447178293761783</v>
      </c>
      <c r="N27" s="37">
        <f t="shared" ref="N27" si="15">($E26-N26)/$E26*100</f>
        <v>-13.724777082271103</v>
      </c>
      <c r="O27" s="37">
        <f t="shared" ref="O27" si="16">($E26-O26)/$E26*100</f>
        <v>6.0110561421738211</v>
      </c>
      <c r="P27" s="37">
        <f t="shared" ref="P27" si="17">($E26-P26)/$E26*100</f>
        <v>29.251325585125027</v>
      </c>
      <c r="Q27" s="37">
        <f t="shared" ref="Q27" si="18">($E26-Q26)/$E26*100</f>
        <v>26.861468248052201</v>
      </c>
      <c r="R27" s="37">
        <f t="shared" ref="R27" si="19">($E26-R26)/$E26*100</f>
        <v>31.641324300412283</v>
      </c>
      <c r="S27" s="37">
        <f t="shared" ref="S27" si="20">($E26-S26)/$E26*100</f>
        <v>67.210150722474069</v>
      </c>
    </row>
    <row r="28" spans="1:19" x14ac:dyDescent="0.25">
      <c r="B28" t="s">
        <v>211</v>
      </c>
      <c r="E28" s="37"/>
      <c r="F28" s="37">
        <f>$E26-F26</f>
        <v>4717.1385000000009</v>
      </c>
      <c r="G28" s="37">
        <f t="shared" ref="G28:S28" si="21">$E26-G26</f>
        <v>29682.103500000008</v>
      </c>
      <c r="H28" s="37">
        <f t="shared" si="21"/>
        <v>29261.728500000008</v>
      </c>
      <c r="I28" s="37">
        <f t="shared" si="21"/>
        <v>30110.12490000001</v>
      </c>
      <c r="J28" s="37">
        <f t="shared" si="21"/>
        <v>8455.1661000000022</v>
      </c>
      <c r="K28" s="37">
        <f t="shared" si="21"/>
        <v>7063.963800000005</v>
      </c>
      <c r="L28" s="37">
        <f t="shared" si="21"/>
        <v>9068.4003000000084</v>
      </c>
      <c r="M28" s="37">
        <f t="shared" si="21"/>
        <v>-1485.1502999999939</v>
      </c>
      <c r="N28" s="37">
        <f t="shared" si="21"/>
        <v>-8329.3304999999964</v>
      </c>
      <c r="O28" s="37">
        <f t="shared" si="21"/>
        <v>3648.0063000000082</v>
      </c>
      <c r="P28" s="37">
        <f t="shared" si="21"/>
        <v>17752.125000000015</v>
      </c>
      <c r="Q28" s="37">
        <f t="shared" si="21"/>
        <v>16301.761800000007</v>
      </c>
      <c r="R28" s="37">
        <f t="shared" si="21"/>
        <v>19202.574000000008</v>
      </c>
      <c r="S28" s="37">
        <f t="shared" si="21"/>
        <v>40788.681300000011</v>
      </c>
    </row>
    <row r="29" spans="1:19" x14ac:dyDescent="0.25">
      <c r="B29" t="s">
        <v>212</v>
      </c>
      <c r="E29" s="37"/>
      <c r="F29" s="37">
        <f>F28/30</f>
        <v>157.23795000000004</v>
      </c>
      <c r="G29" s="37">
        <f t="shared" ref="G29" si="22">G28/30</f>
        <v>989.40345000000025</v>
      </c>
      <c r="H29" s="37">
        <f t="shared" ref="H29" si="23">H28/30</f>
        <v>975.39095000000032</v>
      </c>
      <c r="I29" s="37">
        <f t="shared" ref="I29" si="24">I28/30</f>
        <v>1003.6708300000004</v>
      </c>
      <c r="J29" s="37">
        <f t="shared" ref="J29" si="25">J28/30</f>
        <v>281.8388700000001</v>
      </c>
      <c r="K29" s="37">
        <f t="shared" ref="K29" si="26">K28/30</f>
        <v>235.46546000000018</v>
      </c>
      <c r="L29" s="37">
        <f t="shared" ref="L29" si="27">L28/30</f>
        <v>302.28001000000029</v>
      </c>
      <c r="M29" s="37">
        <f t="shared" ref="M29" si="28">M28/30</f>
        <v>-49.505009999999793</v>
      </c>
      <c r="N29" s="37">
        <f t="shared" ref="N29" si="29">N28/30</f>
        <v>-277.64434999999986</v>
      </c>
      <c r="O29" s="37">
        <f t="shared" ref="O29" si="30">O28/30</f>
        <v>121.60021000000027</v>
      </c>
      <c r="P29" s="37">
        <f t="shared" ref="P29" si="31">P28/30</f>
        <v>591.73750000000052</v>
      </c>
      <c r="Q29" s="37">
        <f t="shared" ref="Q29" si="32">Q28/30</f>
        <v>543.39206000000024</v>
      </c>
      <c r="R29" s="37">
        <f t="shared" ref="R29" si="33">R28/30</f>
        <v>640.08580000000029</v>
      </c>
      <c r="S29" s="37">
        <f t="shared" ref="S29" si="34">S28/30</f>
        <v>1359.6227100000003</v>
      </c>
    </row>
    <row r="30" spans="1:19" s="22" customFormat="1" x14ac:dyDescent="0.25">
      <c r="A30" t="s">
        <v>184</v>
      </c>
      <c r="C30" s="22" t="s">
        <v>107</v>
      </c>
      <c r="D30" s="26"/>
      <c r="E30" s="46">
        <f>'COÛTS DE FCT'!E12</f>
        <v>39581.217900000003</v>
      </c>
      <c r="F30" s="46">
        <f>'COÛTS DE FCT'!F12</f>
        <v>34864.079400000002</v>
      </c>
      <c r="G30" s="46">
        <f>'COÛTS DE FCT'!G12</f>
        <v>9899.1143999999986</v>
      </c>
      <c r="H30" s="46">
        <f>'COÛTS DE FCT'!H12</f>
        <v>10319.489399999999</v>
      </c>
      <c r="I30" s="46">
        <f>'COÛTS DE FCT'!I12</f>
        <v>9471.0929999999989</v>
      </c>
      <c r="J30" s="46">
        <f>'COÛTS DE FCT'!J12</f>
        <v>31126.051800000008</v>
      </c>
      <c r="K30" s="46">
        <f>'COÛTS DE FCT'!K12</f>
        <v>32517.254100000002</v>
      </c>
      <c r="L30" s="46">
        <f>'COÛTS DE FCT'!L12</f>
        <v>30512.817600000002</v>
      </c>
      <c r="M30" s="46"/>
      <c r="N30" s="46"/>
      <c r="O30" s="46"/>
      <c r="P30" s="46">
        <f>'COÛTS DE FCT'!P12</f>
        <v>34883.991900000001</v>
      </c>
      <c r="Q30" s="46">
        <f>'COÛTS DE FCT'!Q12</f>
        <v>34883.991900000001</v>
      </c>
      <c r="R30" s="46">
        <f>'COÛTS DE FCT'!R12</f>
        <v>34883.991900000001</v>
      </c>
      <c r="S30" s="46"/>
    </row>
    <row r="31" spans="1:19" s="22" customFormat="1" x14ac:dyDescent="0.25">
      <c r="C31" s="22" t="s">
        <v>133</v>
      </c>
      <c r="D31" s="26"/>
      <c r="E31" s="46">
        <f>'COÛTS DE FCT'!E17</f>
        <v>21107.057400000002</v>
      </c>
      <c r="F31" s="46">
        <f>'COÛTS DE FCT'!F17</f>
        <v>21107.057400000002</v>
      </c>
      <c r="G31" s="46">
        <f>'COÛTS DE FCT'!G17</f>
        <v>21107.057400000002</v>
      </c>
      <c r="H31" s="46">
        <f>'COÛTS DE FCT'!H17</f>
        <v>21107.057400000002</v>
      </c>
      <c r="I31" s="46">
        <f>'COÛTS DE FCT'!I17</f>
        <v>21107.057400000002</v>
      </c>
      <c r="J31" s="46">
        <f>'COÛTS DE FCT'!J17</f>
        <v>21107.057400000002</v>
      </c>
      <c r="K31" s="46">
        <f>'COÛTS DE FCT'!K17</f>
        <v>21107.057400000002</v>
      </c>
      <c r="L31" s="46">
        <f>'COÛTS DE FCT'!L17</f>
        <v>21107.057400000002</v>
      </c>
      <c r="M31" s="46">
        <f>'COÛTS DE FCT'!M17</f>
        <v>21107.057400000002</v>
      </c>
      <c r="N31" s="46">
        <f>'COÛTS DE FCT'!N17</f>
        <v>21107.057400000002</v>
      </c>
      <c r="O31" s="46">
        <f>'COÛTS DE FCT'!O17</f>
        <v>21107.057400000002</v>
      </c>
      <c r="P31" s="46">
        <f>'COÛTS DE FCT'!P17</f>
        <v>21107.057400000002</v>
      </c>
      <c r="Q31" s="46">
        <f>'COÛTS DE FCT'!Q17</f>
        <v>21107.057400000002</v>
      </c>
      <c r="R31" s="46">
        <f>'COÛTS DE FCT'!R17</f>
        <v>21107.057400000002</v>
      </c>
      <c r="S31" s="46">
        <f>'COÛTS DE FCT'!S17</f>
        <v>21107.057400000002</v>
      </c>
    </row>
    <row r="32" spans="1:19" s="22" customFormat="1" x14ac:dyDescent="0.25">
      <c r="C32" s="22" t="s">
        <v>200</v>
      </c>
      <c r="D32" s="26"/>
      <c r="E32" s="46"/>
      <c r="F32" s="46"/>
      <c r="G32" s="46"/>
      <c r="H32" s="46"/>
      <c r="I32" s="46"/>
      <c r="J32" s="46"/>
      <c r="K32" s="46"/>
      <c r="L32" s="46"/>
      <c r="M32" s="46">
        <f>'COÛTS DE FCT'!M22</f>
        <v>41066.368199999997</v>
      </c>
      <c r="N32" s="46">
        <f>'COÛTS DE FCT'!N22</f>
        <v>47910.5484</v>
      </c>
      <c r="O32" s="46">
        <f>'COÛTS DE FCT'!O22</f>
        <v>35933.211600000002</v>
      </c>
      <c r="P32" s="46"/>
      <c r="Q32" s="46"/>
      <c r="R32" s="46"/>
      <c r="S32" s="46">
        <f>'COÛTS DE FCT'!S22</f>
        <v>11847.435600000001</v>
      </c>
    </row>
    <row r="33" spans="1:19" s="22" customFormat="1" x14ac:dyDescent="0.25">
      <c r="C33" s="22" t="s">
        <v>9</v>
      </c>
      <c r="D33" s="2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>
        <f>'COÛTS DE FCT'!P27</f>
        <v>-13054.899000000001</v>
      </c>
      <c r="Q33" s="46">
        <f>'COÛTS DE FCT'!Q27</f>
        <v>-11604.535800000001</v>
      </c>
      <c r="R33" s="46">
        <f>'COÛTS DE FCT'!R27</f>
        <v>-14505.348</v>
      </c>
      <c r="S33" s="46">
        <f>'COÛTS DE FCT'!S27</f>
        <v>-13054.899000000001</v>
      </c>
    </row>
    <row r="34" spans="1:19" x14ac:dyDescent="0.25">
      <c r="C34" t="s">
        <v>177</v>
      </c>
      <c r="D34" s="41" t="s">
        <v>179</v>
      </c>
      <c r="E34" s="37">
        <f>'COÛTS DE FCT'!E6</f>
        <v>2022.9425100000003</v>
      </c>
      <c r="F34" s="37">
        <f>'COÛTS DE FCT'!F6</f>
        <v>1865.7045600000004</v>
      </c>
      <c r="G34" s="37">
        <f>'COÛTS DE FCT'!G6</f>
        <v>1033.5390600000001</v>
      </c>
      <c r="H34" s="61">
        <f>'COÛTS DE FCT'!H6</f>
        <v>1047.5515600000001</v>
      </c>
      <c r="I34" s="61">
        <f>'COÛTS DE FCT'!I6</f>
        <v>1019.2716799999999</v>
      </c>
      <c r="J34" s="37">
        <f>'COÛTS DE FCT'!J6</f>
        <v>1741.1036400000003</v>
      </c>
      <c r="K34" s="61">
        <f>'COÛTS DE FCT'!K6</f>
        <v>1787.4770500000002</v>
      </c>
      <c r="L34" s="61">
        <f>'COÛTS DE FCT'!L6</f>
        <v>1720.6624999999999</v>
      </c>
      <c r="M34" s="37">
        <f>'COÛTS DE FCT'!M6</f>
        <v>2072.4475200000002</v>
      </c>
      <c r="N34" s="61">
        <f>'COÛTS DE FCT'!N6</f>
        <v>2300.5868600000003</v>
      </c>
      <c r="O34" s="61">
        <f>'COÛTS DE FCT'!O6</f>
        <v>1901.3423</v>
      </c>
      <c r="P34" s="37">
        <f>'COÛTS DE FCT'!P6</f>
        <v>1431.2050099999999</v>
      </c>
      <c r="Q34" s="61">
        <f>'COÛTS DE FCT'!Q6</f>
        <v>1479.55045</v>
      </c>
      <c r="R34" s="61">
        <f>'COÛTS DE FCT'!R6</f>
        <v>1382.85671</v>
      </c>
      <c r="S34" s="37">
        <f>'COÛTS DE FCT'!S6</f>
        <v>663.31979999999999</v>
      </c>
    </row>
    <row r="35" spans="1:19" s="22" customFormat="1" x14ac:dyDescent="0.25">
      <c r="A35" s="7"/>
      <c r="B35" s="7" t="s">
        <v>142</v>
      </c>
      <c r="C35" s="7"/>
      <c r="D35" s="27" t="s">
        <v>110</v>
      </c>
      <c r="E35" s="54">
        <f>'COÛTS DE FCT'!E5</f>
        <v>79198.534009708848</v>
      </c>
      <c r="F35" s="54">
        <f>'COÛTS DE FCT'!F5</f>
        <v>73560.750819843524</v>
      </c>
      <c r="G35" s="54">
        <f>'COÛTS DE FCT'!G5</f>
        <v>43723.369531891833</v>
      </c>
      <c r="H35" s="63">
        <f>'COÛTS DE FCT'!H5</f>
        <v>44225.789189156429</v>
      </c>
      <c r="I35" s="63">
        <f>'COÛTS DE FCT'!I5</f>
        <v>43211.81112549299</v>
      </c>
      <c r="J35" s="54">
        <f>'COÛTS DE FCT'!J5</f>
        <v>69093.171763911057</v>
      </c>
      <c r="K35" s="63">
        <f>'COÛTS DE FCT'!K5</f>
        <v>70755.895243546431</v>
      </c>
      <c r="L35" s="63">
        <f>'COÛTS DE FCT'!L5</f>
        <v>68360.252545149415</v>
      </c>
      <c r="M35" s="54">
        <f>'COÛTS DE FCT'!M5</f>
        <v>93942.513266905269</v>
      </c>
      <c r="N35" s="63">
        <f>'COÛTS DE FCT'!N5</f>
        <v>104283.90081367076</v>
      </c>
      <c r="O35" s="63">
        <f>'COÛTS DE FCT'!O5</f>
        <v>86186.440196409996</v>
      </c>
      <c r="P35" s="54">
        <f>'COÛTS DE FCT'!P5</f>
        <v>53858.919110316696</v>
      </c>
      <c r="Q35" s="63">
        <f>'COÛTS DE FCT'!Q5</f>
        <v>56050.382148470919</v>
      </c>
      <c r="R35" s="63">
        <f>'COÛTS DE FCT'!R5</f>
        <v>51667.326430477784</v>
      </c>
      <c r="S35" s="54">
        <f>'COÛTS DE FCT'!S5</f>
        <v>30067.795932270921</v>
      </c>
    </row>
    <row r="36" spans="1:19" x14ac:dyDescent="0.25">
      <c r="B36" t="s">
        <v>182</v>
      </c>
      <c r="D36" s="41" t="s">
        <v>122</v>
      </c>
      <c r="E36" s="37"/>
      <c r="F36" s="37">
        <f>($E35-F35)/$E35*100</f>
        <v>7.1185448826290081</v>
      </c>
      <c r="G36" s="37">
        <f t="shared" ref="G36" si="35">($E35-G35)/$E35*100</f>
        <v>44.792703452652496</v>
      </c>
      <c r="H36" s="37">
        <f t="shared" ref="H36" si="36">($E35-H35)/$E35*100</f>
        <v>44.158323456170486</v>
      </c>
      <c r="I36" s="37">
        <f t="shared" ref="I36" si="37">($E35-I35)/$E35*100</f>
        <v>45.438622487386311</v>
      </c>
      <c r="J36" s="37">
        <f t="shared" ref="J36" si="38">($E35-J35)/$E35*100</f>
        <v>12.759531943557171</v>
      </c>
      <c r="K36" s="37">
        <f t="shared" ref="K36" si="39">($E35-K35)/$E35*100</f>
        <v>10.660094750147074</v>
      </c>
      <c r="L36" s="37">
        <f t="shared" ref="L36" si="40">($E35-L35)/$E35*100</f>
        <v>13.684952127056773</v>
      </c>
      <c r="M36" s="37">
        <f t="shared" ref="M36" si="41">($E35-M35)/$E35*100</f>
        <v>-18.616480016396483</v>
      </c>
      <c r="N36" s="37">
        <f t="shared" ref="N36" si="42">($E35-N35)/$E35*100</f>
        <v>-31.674029219892784</v>
      </c>
      <c r="O36" s="37">
        <f t="shared" ref="O36" si="43">($E35-O35)/$E35*100</f>
        <v>-8.8232771907678345</v>
      </c>
      <c r="P36" s="37">
        <f t="shared" ref="P36" si="44">($E35-P35)/$E35*100</f>
        <v>31.995055484594957</v>
      </c>
      <c r="Q36" s="37">
        <f t="shared" ref="Q36" si="45">($E35-Q35)/$E35*100</f>
        <v>29.228005481010833</v>
      </c>
      <c r="R36" s="37">
        <f t="shared" ref="R36" si="46">($E35-R35)/$E35*100</f>
        <v>34.762269180204832</v>
      </c>
      <c r="S36" s="37">
        <f t="shared" ref="S36" si="47">($E35-S35)/$E35*100</f>
        <v>62.034908463602434</v>
      </c>
    </row>
    <row r="37" spans="1:19" x14ac:dyDescent="0.25">
      <c r="B37" t="s">
        <v>211</v>
      </c>
      <c r="E37" s="37"/>
      <c r="F37" s="37">
        <f>$E35-F35</f>
        <v>5637.7831898653239</v>
      </c>
      <c r="G37" s="37">
        <f t="shared" ref="G37:S37" si="48">$E35-G35</f>
        <v>35475.164477817016</v>
      </c>
      <c r="H37" s="37">
        <f t="shared" si="48"/>
        <v>34972.74482055242</v>
      </c>
      <c r="I37" s="37">
        <f t="shared" si="48"/>
        <v>35986.722884215858</v>
      </c>
      <c r="J37" s="37">
        <f t="shared" si="48"/>
        <v>10105.362245797791</v>
      </c>
      <c r="K37" s="37">
        <f t="shared" si="48"/>
        <v>8442.6387661624176</v>
      </c>
      <c r="L37" s="37">
        <f t="shared" si="48"/>
        <v>10838.281464559434</v>
      </c>
      <c r="M37" s="37">
        <f t="shared" si="48"/>
        <v>-14743.979257196421</v>
      </c>
      <c r="N37" s="37">
        <f t="shared" si="48"/>
        <v>-25085.366803961908</v>
      </c>
      <c r="O37" s="37">
        <f t="shared" si="48"/>
        <v>-6987.9061867011478</v>
      </c>
      <c r="P37" s="37">
        <f t="shared" si="48"/>
        <v>25339.614899392152</v>
      </c>
      <c r="Q37" s="37">
        <f t="shared" si="48"/>
        <v>23148.15186123793</v>
      </c>
      <c r="R37" s="37">
        <f t="shared" si="48"/>
        <v>27531.207579231064</v>
      </c>
      <c r="S37" s="37">
        <f t="shared" si="48"/>
        <v>49130.738077437927</v>
      </c>
    </row>
    <row r="38" spans="1:19" x14ac:dyDescent="0.25">
      <c r="B38" t="s">
        <v>212</v>
      </c>
      <c r="E38" s="37"/>
      <c r="F38" s="37">
        <f>F37/30</f>
        <v>187.92610632884413</v>
      </c>
      <c r="G38" s="37">
        <f t="shared" ref="G38" si="49">G37/30</f>
        <v>1182.5054825939005</v>
      </c>
      <c r="H38" s="37">
        <f t="shared" ref="H38" si="50">H37/30</f>
        <v>1165.7581606850806</v>
      </c>
      <c r="I38" s="37">
        <f t="shared" ref="I38" si="51">I37/30</f>
        <v>1199.5574294738619</v>
      </c>
      <c r="J38" s="37">
        <f t="shared" ref="J38" si="52">J37/30</f>
        <v>336.84540819325969</v>
      </c>
      <c r="K38" s="37">
        <f t="shared" ref="K38" si="53">K37/30</f>
        <v>281.42129220541392</v>
      </c>
      <c r="L38" s="37">
        <f t="shared" ref="L38" si="54">L37/30</f>
        <v>361.27604881864778</v>
      </c>
      <c r="M38" s="37">
        <f t="shared" ref="M38" si="55">M37/30</f>
        <v>-491.46597523988072</v>
      </c>
      <c r="N38" s="37">
        <f t="shared" ref="N38" si="56">N37/30</f>
        <v>-836.17889346539698</v>
      </c>
      <c r="O38" s="37">
        <f t="shared" ref="O38" si="57">O37/30</f>
        <v>-232.93020622337158</v>
      </c>
      <c r="P38" s="37">
        <f t="shared" ref="P38" si="58">P37/30</f>
        <v>844.65382997973836</v>
      </c>
      <c r="Q38" s="37">
        <f t="shared" ref="Q38" si="59">Q37/30</f>
        <v>771.60506204126432</v>
      </c>
      <c r="R38" s="37">
        <f t="shared" ref="R38" si="60">R37/30</f>
        <v>917.70691930770215</v>
      </c>
      <c r="S38" s="37">
        <f t="shared" ref="S38" si="61">S37/30</f>
        <v>1637.6912692479309</v>
      </c>
    </row>
    <row r="39" spans="1:19" s="22" customFormat="1" x14ac:dyDescent="0.25">
      <c r="C39" s="22" t="s">
        <v>107</v>
      </c>
      <c r="D39" s="26"/>
      <c r="E39" s="46">
        <f>'COÛTS DE FCT'!E13</f>
        <v>47306.290648666974</v>
      </c>
      <c r="F39" s="46">
        <f>'COÛTS DE FCT'!F13</f>
        <v>41668.507458801636</v>
      </c>
      <c r="G39" s="46">
        <f>'COÛTS DE FCT'!G13</f>
        <v>11831.12617084995</v>
      </c>
      <c r="H39" s="46">
        <f>'COÛTS DE FCT'!H13</f>
        <v>12333.545828114549</v>
      </c>
      <c r="I39" s="46">
        <f>'COÛTS DE FCT'!I13</f>
        <v>11319.567764451109</v>
      </c>
      <c r="J39" s="46">
        <f>'COÛTS DE FCT'!J13</f>
        <v>37200.928402869184</v>
      </c>
      <c r="K39" s="46">
        <f>'COÛTS DE FCT'!K13</f>
        <v>38863.651882504557</v>
      </c>
      <c r="L39" s="46">
        <f>'COÛTS DE FCT'!L13</f>
        <v>36468.009184107526</v>
      </c>
      <c r="M39" s="46"/>
      <c r="N39" s="46"/>
      <c r="O39" s="46"/>
      <c r="P39" s="46">
        <f>'COÛTS DE FCT'!P13</f>
        <v>41692.306284672064</v>
      </c>
      <c r="Q39" s="46">
        <f>'COÛTS DE FCT'!Q13</f>
        <v>41692.306284672064</v>
      </c>
      <c r="R39" s="46">
        <f>'COÛTS DE FCT'!R13</f>
        <v>41692.306284672064</v>
      </c>
      <c r="S39" s="46"/>
    </row>
    <row r="40" spans="1:19" s="22" customFormat="1" x14ac:dyDescent="0.25">
      <c r="C40" s="22" t="s">
        <v>133</v>
      </c>
      <c r="D40" s="26"/>
      <c r="E40" s="46">
        <f>'COÛTS DE FCT'!E18</f>
        <v>31892.243361041881</v>
      </c>
      <c r="F40" s="46">
        <f>'COÛTS DE FCT'!F18</f>
        <v>31892.243361041881</v>
      </c>
      <c r="G40" s="46">
        <f>'COÛTS DE FCT'!G18</f>
        <v>31892.243361041881</v>
      </c>
      <c r="H40" s="46">
        <f>'COÛTS DE FCT'!H18</f>
        <v>31892.243361041881</v>
      </c>
      <c r="I40" s="46">
        <f>'COÛTS DE FCT'!I18</f>
        <v>31892.243361041881</v>
      </c>
      <c r="J40" s="46">
        <f>'COÛTS DE FCT'!J18</f>
        <v>31892.243361041881</v>
      </c>
      <c r="K40" s="46">
        <f>'COÛTS DE FCT'!K18</f>
        <v>31892.243361041881</v>
      </c>
      <c r="L40" s="46">
        <f>'COÛTS DE FCT'!L18</f>
        <v>31892.243361041881</v>
      </c>
      <c r="M40" s="46">
        <f>'COÛTS DE FCT'!M18</f>
        <v>31892.243361041881</v>
      </c>
      <c r="N40" s="46">
        <f>'COÛTS DE FCT'!N18</f>
        <v>31892.243361041881</v>
      </c>
      <c r="O40" s="46">
        <f>'COÛTS DE FCT'!O18</f>
        <v>31892.243361041881</v>
      </c>
      <c r="P40" s="46">
        <f>'COÛTS DE FCT'!P18</f>
        <v>31892.243361041881</v>
      </c>
      <c r="Q40" s="46">
        <f>'COÛTS DE FCT'!Q18</f>
        <v>31892.243361041881</v>
      </c>
      <c r="R40" s="46">
        <f>'COÛTS DE FCT'!R18</f>
        <v>31892.243361041881</v>
      </c>
      <c r="S40" s="46">
        <f>'COÛTS DE FCT'!S18</f>
        <v>31892.243361041881</v>
      </c>
    </row>
    <row r="41" spans="1:19" s="22" customFormat="1" x14ac:dyDescent="0.25">
      <c r="C41" s="22" t="s">
        <v>200</v>
      </c>
      <c r="D41" s="26"/>
      <c r="E41" s="46"/>
      <c r="F41" s="46"/>
      <c r="G41" s="46"/>
      <c r="H41" s="46"/>
      <c r="I41" s="46"/>
      <c r="J41" s="46"/>
      <c r="K41" s="46"/>
      <c r="L41" s="46"/>
      <c r="M41" s="46">
        <f>'COÛTS DE FCT'!M23</f>
        <v>62050.269905863395</v>
      </c>
      <c r="N41" s="46">
        <f>'COÛTS DE FCT'!N23</f>
        <v>72391.657452628875</v>
      </c>
      <c r="O41" s="46">
        <f>'COÛTS DE FCT'!O23</f>
        <v>54294.196835368115</v>
      </c>
      <c r="P41" s="46"/>
      <c r="Q41" s="46"/>
      <c r="R41" s="46"/>
      <c r="S41" s="46">
        <f>'COÛTS DE FCT'!S23</f>
        <v>17901.183106626282</v>
      </c>
    </row>
    <row r="42" spans="1:19" s="22" customFormat="1" x14ac:dyDescent="0.25">
      <c r="C42" s="22" t="s">
        <v>9</v>
      </c>
      <c r="D42" s="2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>
        <f>'COÛTS DE FCT'!P28</f>
        <v>-19725.630535397242</v>
      </c>
      <c r="Q42" s="46">
        <f>'COÛTS DE FCT'!Q28</f>
        <v>-17534.167497243023</v>
      </c>
      <c r="R42" s="46">
        <f>'COÛTS DE FCT'!R28</f>
        <v>-21917.223215236154</v>
      </c>
      <c r="S42" s="46">
        <f>'COÛTS DE FCT'!S28</f>
        <v>-19725.630535397242</v>
      </c>
    </row>
    <row r="43" spans="1:19" x14ac:dyDescent="0.25">
      <c r="C43" t="s">
        <v>178</v>
      </c>
      <c r="D43" s="41" t="s">
        <v>179</v>
      </c>
      <c r="E43" s="37">
        <f>'COÛTS DE FCT'!E8</f>
        <v>2639.9511336569617</v>
      </c>
      <c r="F43" s="37">
        <f>'COÛTS DE FCT'!F8</f>
        <v>2452.0250273281176</v>
      </c>
      <c r="G43" s="37">
        <f>'COÛTS DE FCT'!G8</f>
        <v>1457.4456510630612</v>
      </c>
      <c r="H43" s="61">
        <f>'COÛTS DE FCT'!H8</f>
        <v>1474.1929729718809</v>
      </c>
      <c r="I43" s="61">
        <f>'COÛTS DE FCT'!I8</f>
        <v>1440.3937041830998</v>
      </c>
      <c r="J43" s="37">
        <f>'COÛTS DE FCT'!J8</f>
        <v>2303.1057254637021</v>
      </c>
      <c r="K43" s="61">
        <f>'COÛTS DE FCT'!K8</f>
        <v>2358.5298414515478</v>
      </c>
      <c r="L43" s="61">
        <f>'COÛTS DE FCT'!L8</f>
        <v>2278.675084838314</v>
      </c>
      <c r="M43" s="37">
        <f>'COÛTS DE FCT'!M8</f>
        <v>3131.4171088968424</v>
      </c>
      <c r="N43" s="61">
        <f>'COÛTS DE FCT'!N8</f>
        <v>3476.1300271223586</v>
      </c>
      <c r="O43" s="61">
        <f>'COÛTS DE FCT'!O8</f>
        <v>2872.8813398803331</v>
      </c>
      <c r="P43" s="37">
        <f>'COÛTS DE FCT'!P8</f>
        <v>1795.2973036772232</v>
      </c>
      <c r="Q43" s="61">
        <f>'COÛTS DE FCT'!Q8</f>
        <v>1868.3460716156974</v>
      </c>
      <c r="R43" s="61">
        <f>'COÛTS DE FCT'!R8</f>
        <v>1722.2442143492594</v>
      </c>
      <c r="S43" s="37">
        <f>'COÛTS DE FCT'!S8</f>
        <v>1002.2598644090307</v>
      </c>
    </row>
    <row r="44" spans="1:19" x14ac:dyDescent="0.25">
      <c r="E44" s="37"/>
      <c r="F44" s="37"/>
      <c r="G44" s="37"/>
      <c r="H44" s="61"/>
      <c r="I44" s="61"/>
      <c r="J44" s="37"/>
      <c r="K44" s="61"/>
      <c r="L44" s="61"/>
      <c r="M44" s="37"/>
      <c r="N44" s="61"/>
      <c r="O44" s="61"/>
      <c r="P44" s="37"/>
      <c r="Q44" s="61"/>
      <c r="R44" s="61"/>
      <c r="S44" s="37"/>
    </row>
    <row r="45" spans="1:19" x14ac:dyDescent="0.25">
      <c r="A45" s="7" t="s">
        <v>139</v>
      </c>
      <c r="B45" s="7" t="s">
        <v>140</v>
      </c>
      <c r="C45" s="7"/>
      <c r="D45" s="27" t="s">
        <v>110</v>
      </c>
      <c r="E45" s="54">
        <f>'COÛTS DE TAXE CO2'!D5</f>
        <v>14960.712045600001</v>
      </c>
      <c r="F45" s="54">
        <f>'COÛTS DE TAXE CO2'!E5</f>
        <v>13425.163536600001</v>
      </c>
      <c r="G45" s="54">
        <f>'COÛTS DE TAXE CO2'!F5</f>
        <v>5298.4327266</v>
      </c>
      <c r="H45" s="63">
        <f>'COÛTS DE TAXE CO2'!G5</f>
        <v>5435.2754765999998</v>
      </c>
      <c r="I45" s="63">
        <f>'COÛTS DE TAXE CO2'!H5</f>
        <v>5159.1008789999996</v>
      </c>
      <c r="J45" s="54">
        <f>'COÛTS DE TAXE CO2'!I5</f>
        <v>12208.340518200002</v>
      </c>
      <c r="K45" s="63">
        <f>'COÛTS DE TAXE CO2'!J5</f>
        <v>12661.212236400002</v>
      </c>
      <c r="L45" s="63">
        <f>'COÛTS DE TAXE CO2'!K5</f>
        <v>12008.7171954</v>
      </c>
      <c r="M45" s="54">
        <f>'COÛTS DE TAXE CO2'!L5</f>
        <v>6909.0713703000001</v>
      </c>
      <c r="N45" s="63">
        <f>'COÛTS DE TAXE CO2'!M5</f>
        <v>7714.5548016000002</v>
      </c>
      <c r="O45" s="63">
        <f>'COÛTS DE TAXE CO2'!N5</f>
        <v>6304.9562723999998</v>
      </c>
      <c r="P45" s="54">
        <f>'COÛTS DE TAXE CO2'!O5</f>
        <v>12147.609516600001</v>
      </c>
      <c r="Q45" s="63">
        <f>'COÛTS DE TAXE CO2'!P5</f>
        <v>12290.2623726</v>
      </c>
      <c r="R45" s="63">
        <f>'COÛTS DE TAXE CO2'!Q5</f>
        <v>12004.948221600001</v>
      </c>
      <c r="S45" s="54">
        <f>'COÛTS DE TAXE CO2'!R5</f>
        <v>2186.2938834000001</v>
      </c>
    </row>
    <row r="46" spans="1:19" x14ac:dyDescent="0.25">
      <c r="B46" t="s">
        <v>182</v>
      </c>
      <c r="D46" s="41" t="s">
        <v>122</v>
      </c>
      <c r="E46" s="37"/>
      <c r="F46" s="37">
        <f>($E45-F45)/$E45*100</f>
        <v>10.263873165392623</v>
      </c>
      <c r="G46" s="37">
        <f t="shared" ref="G46" si="62">($E45-G45)/$E45*100</f>
        <v>64.584354605245622</v>
      </c>
      <c r="H46" s="37">
        <f t="shared" ref="H46" si="63">($E45-H45)/$E45*100</f>
        <v>63.669673876260902</v>
      </c>
      <c r="I46" s="37">
        <f t="shared" ref="I46" si="64">($E45-I45)/$E45*100</f>
        <v>65.515672895279678</v>
      </c>
      <c r="J46" s="37">
        <f t="shared" ref="J46" si="65">($E45-J45)/$E45*100</f>
        <v>18.397329746143207</v>
      </c>
      <c r="K46" s="37">
        <f t="shared" ref="K46" si="66">($E45-K45)/$E45*100</f>
        <v>15.370256456986549</v>
      </c>
      <c r="L46" s="37">
        <f t="shared" ref="L46" si="67">($E45-L45)/$E45*100</f>
        <v>19.731646737149738</v>
      </c>
      <c r="M46" s="37">
        <f t="shared" ref="M46" si="68">($E45-M45)/$E45*100</f>
        <v>53.818565926265634</v>
      </c>
      <c r="N46" s="37">
        <f t="shared" ref="N46" si="69">($E45-N45)/$E45*100</f>
        <v>48.434574650683963</v>
      </c>
      <c r="O46" s="37">
        <f t="shared" ref="O46" si="70">($E45-O45)/$E45*100</f>
        <v>57.856576256647429</v>
      </c>
      <c r="P46" s="37">
        <f t="shared" ref="P46" si="71">($E45-P45)/$E45*100</f>
        <v>18.803266317978114</v>
      </c>
      <c r="Q46" s="37">
        <f t="shared" ref="Q46" si="72">($E45-Q45)/$E45*100</f>
        <v>17.849749830492794</v>
      </c>
      <c r="R46" s="37">
        <f t="shared" ref="R46" si="73">($E45-R45)/$E45*100</f>
        <v>19.756839213206433</v>
      </c>
      <c r="S46" s="37">
        <f t="shared" ref="S46" si="74">($E45-S45)/$E45*100</f>
        <v>85.386431630150938</v>
      </c>
    </row>
    <row r="47" spans="1:19" x14ac:dyDescent="0.25">
      <c r="B47" t="s">
        <v>211</v>
      </c>
      <c r="E47" s="37"/>
      <c r="F47" s="37">
        <f>$E45-F45</f>
        <v>1535.5485090000002</v>
      </c>
      <c r="G47" s="37">
        <f t="shared" ref="G47:S47" si="75">$E45-G45</f>
        <v>9662.2793190000011</v>
      </c>
      <c r="H47" s="37">
        <f t="shared" si="75"/>
        <v>9525.4365690000013</v>
      </c>
      <c r="I47" s="37">
        <f t="shared" si="75"/>
        <v>9801.6111666000015</v>
      </c>
      <c r="J47" s="37">
        <f t="shared" si="75"/>
        <v>2752.3715273999987</v>
      </c>
      <c r="K47" s="37">
        <f t="shared" si="75"/>
        <v>2299.4998091999987</v>
      </c>
      <c r="L47" s="37">
        <f t="shared" si="75"/>
        <v>2951.9948502000007</v>
      </c>
      <c r="M47" s="37">
        <f t="shared" si="75"/>
        <v>8051.640675300001</v>
      </c>
      <c r="N47" s="37">
        <f t="shared" si="75"/>
        <v>7246.1572440000009</v>
      </c>
      <c r="O47" s="37">
        <f t="shared" si="75"/>
        <v>8655.7557732000023</v>
      </c>
      <c r="P47" s="37">
        <f t="shared" si="75"/>
        <v>2813.1025289999998</v>
      </c>
      <c r="Q47" s="37">
        <f t="shared" si="75"/>
        <v>2670.449673000001</v>
      </c>
      <c r="R47" s="37">
        <f t="shared" si="75"/>
        <v>2955.7638239999997</v>
      </c>
      <c r="S47" s="37">
        <f t="shared" si="75"/>
        <v>12774.418162200001</v>
      </c>
    </row>
    <row r="48" spans="1:19" x14ac:dyDescent="0.25">
      <c r="B48" t="s">
        <v>212</v>
      </c>
      <c r="E48" s="37"/>
      <c r="F48" s="37">
        <f>F47/30</f>
        <v>51.184950300000004</v>
      </c>
      <c r="G48" s="37">
        <f t="shared" ref="G48:S48" si="76">G47/30</f>
        <v>322.07597730000003</v>
      </c>
      <c r="H48" s="37">
        <f t="shared" si="76"/>
        <v>317.51455230000005</v>
      </c>
      <c r="I48" s="37">
        <f t="shared" si="76"/>
        <v>326.72037222000006</v>
      </c>
      <c r="J48" s="37">
        <f t="shared" si="76"/>
        <v>91.745717579999962</v>
      </c>
      <c r="K48" s="37">
        <f t="shared" si="76"/>
        <v>76.649993639999963</v>
      </c>
      <c r="L48" s="37">
        <f t="shared" si="76"/>
        <v>98.399828340000028</v>
      </c>
      <c r="M48" s="37">
        <f t="shared" si="76"/>
        <v>268.38802251000004</v>
      </c>
      <c r="N48" s="37">
        <f t="shared" si="76"/>
        <v>241.53857480000002</v>
      </c>
      <c r="O48" s="37">
        <f t="shared" si="76"/>
        <v>288.52519244000007</v>
      </c>
      <c r="P48" s="37">
        <f t="shared" si="76"/>
        <v>93.770084299999994</v>
      </c>
      <c r="Q48" s="37">
        <f t="shared" si="76"/>
        <v>89.014989100000037</v>
      </c>
      <c r="R48" s="37">
        <f t="shared" si="76"/>
        <v>98.525460799999991</v>
      </c>
      <c r="S48" s="37">
        <f t="shared" si="76"/>
        <v>425.81393874000003</v>
      </c>
    </row>
    <row r="49" spans="1:21" x14ac:dyDescent="0.25">
      <c r="A49" t="s">
        <v>184</v>
      </c>
      <c r="B49" s="44"/>
      <c r="C49" t="s">
        <v>107</v>
      </c>
      <c r="D49" s="37"/>
      <c r="E49" s="37">
        <f>'COÛTS DE TAXE CO2'!D7</f>
        <v>12884.692728600001</v>
      </c>
      <c r="F49" s="37">
        <f>'COÛTS DE TAXE CO2'!E7</f>
        <v>11349.144219600001</v>
      </c>
      <c r="G49" s="37">
        <f>'COÛTS DE TAXE CO2'!F7</f>
        <v>3222.4134095999998</v>
      </c>
      <c r="H49" s="37">
        <f>'COÛTS DE TAXE CO2'!G7</f>
        <v>3359.2561596</v>
      </c>
      <c r="I49" s="37">
        <f>'COÛTS DE TAXE CO2'!H7</f>
        <v>3083.0815619999998</v>
      </c>
      <c r="J49" s="37">
        <f>'COÛTS DE TAXE CO2'!I7</f>
        <v>10132.321201200002</v>
      </c>
      <c r="K49" s="37">
        <f>'COÛTS DE TAXE CO2'!J7</f>
        <v>10585.1929194</v>
      </c>
      <c r="L49" s="37">
        <f>'COÛTS DE TAXE CO2'!K7</f>
        <v>9932.6978784000021</v>
      </c>
      <c r="M49" s="37"/>
      <c r="N49" s="37"/>
      <c r="O49" s="37"/>
      <c r="P49" s="37">
        <f>'COÛTS DE TAXE CO2'!O7</f>
        <v>11355.626244600002</v>
      </c>
      <c r="Q49" s="37">
        <f>'COÛTS DE TAXE CO2'!P7</f>
        <v>11355.626244600002</v>
      </c>
      <c r="R49" s="37">
        <f>'COÛTS DE TAXE CO2'!Q7</f>
        <v>11355.626244600002</v>
      </c>
      <c r="S49" s="37"/>
    </row>
    <row r="50" spans="1:21" x14ac:dyDescent="0.25">
      <c r="C50" s="22" t="s">
        <v>133</v>
      </c>
      <c r="D50" s="37"/>
      <c r="E50" s="37">
        <f>'COÛTS DE TAXE CO2'!D8</f>
        <v>2076.0193169999998</v>
      </c>
      <c r="F50" s="37">
        <f>'COÛTS DE TAXE CO2'!E8</f>
        <v>2076.0193169999998</v>
      </c>
      <c r="G50" s="37">
        <f>'COÛTS DE TAXE CO2'!F8</f>
        <v>2076.0193169999998</v>
      </c>
      <c r="H50" s="37">
        <f>'COÛTS DE TAXE CO2'!G8</f>
        <v>2076.0193169999998</v>
      </c>
      <c r="I50" s="37">
        <f>'COÛTS DE TAXE CO2'!H8</f>
        <v>2076.0193169999998</v>
      </c>
      <c r="J50" s="37">
        <f>'COÛTS DE TAXE CO2'!I8</f>
        <v>2076.0193169999998</v>
      </c>
      <c r="K50" s="37">
        <f>'COÛTS DE TAXE CO2'!J8</f>
        <v>2076.0193169999998</v>
      </c>
      <c r="L50" s="37">
        <f>'COÛTS DE TAXE CO2'!K8</f>
        <v>2076.0193169999998</v>
      </c>
      <c r="M50" s="37">
        <f>'COÛTS DE TAXE CO2'!L8</f>
        <v>2076.0193169999998</v>
      </c>
      <c r="N50" s="37">
        <f>'COÛTS DE TAXE CO2'!M8</f>
        <v>2076.0193169999998</v>
      </c>
      <c r="O50" s="37">
        <f>'COÛTS DE TAXE CO2'!N8</f>
        <v>2076.0193169999998</v>
      </c>
      <c r="P50" s="37">
        <f>'COÛTS DE TAXE CO2'!O8</f>
        <v>791.98327199999994</v>
      </c>
      <c r="Q50" s="37">
        <f>'COÛTS DE TAXE CO2'!P8</f>
        <v>934.63612799999987</v>
      </c>
      <c r="R50" s="37">
        <f>'COÛTS DE TAXE CO2'!Q8</f>
        <v>649.32197700000017</v>
      </c>
      <c r="S50" s="37">
        <f>'COÛTS DE TAXE CO2'!R8</f>
        <v>791.98327199999994</v>
      </c>
      <c r="U50" s="6"/>
    </row>
    <row r="51" spans="1:21" x14ac:dyDescent="0.25">
      <c r="C51" s="22" t="s">
        <v>200</v>
      </c>
      <c r="D51" s="37"/>
      <c r="E51" s="37"/>
      <c r="F51" s="37"/>
      <c r="G51" s="37"/>
      <c r="H51" s="37"/>
      <c r="I51" s="37"/>
      <c r="J51" s="37"/>
      <c r="K51" s="37"/>
      <c r="L51" s="37"/>
      <c r="M51" s="37">
        <f>'COÛTS DE TAXE CO2'!L9</f>
        <v>4833.0520532999999</v>
      </c>
      <c r="N51" s="37">
        <f>'COÛTS DE TAXE CO2'!M9</f>
        <v>5638.5354845999991</v>
      </c>
      <c r="O51" s="37">
        <f>'COÛTS DE TAXE CO2'!N9</f>
        <v>4228.9369554000004</v>
      </c>
      <c r="P51" s="37"/>
      <c r="Q51" s="37"/>
      <c r="R51" s="37"/>
      <c r="S51" s="37">
        <f>'COÛTS DE TAXE CO2'!R9</f>
        <v>1394.3106114</v>
      </c>
      <c r="U51" s="37"/>
    </row>
    <row r="52" spans="1:21" x14ac:dyDescent="0.25">
      <c r="U52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CONSO D'ENERGIE</vt:lpstr>
      <vt:lpstr>EMISSIONS DE CO2</vt:lpstr>
      <vt:lpstr>CONFORT</vt:lpstr>
      <vt:lpstr>MÉTRÉ</vt:lpstr>
      <vt:lpstr>COÛTS D'INVEST</vt:lpstr>
      <vt:lpstr>COÛTS DE MAINT-REMPL</vt:lpstr>
      <vt:lpstr>COÛTS DE FCT</vt:lpstr>
      <vt:lpstr>COÛTS DE TAXE CO2</vt:lpstr>
      <vt:lpstr>RÉCAP DES COÛTS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Fanny</dc:creator>
  <cp:lastModifiedBy>Fanny</cp:lastModifiedBy>
  <dcterms:created xsi:type="dcterms:W3CDTF">2021-12-20T00:40:10Z</dcterms:created>
  <dcterms:modified xsi:type="dcterms:W3CDTF">2022-01-06T23:27:57Z</dcterms:modified>
</cp:coreProperties>
</file>