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https://d.docs.live.net/db98ede0570f97fc/Documents/2e_master/TFE/Cas d'étude/"/>
    </mc:Choice>
  </mc:AlternateContent>
  <xr:revisionPtr revIDLastSave="2963" documentId="8_{F59EF023-4B83-4350-9313-0B9A811D0063}" xr6:coauthVersionLast="47" xr6:coauthVersionMax="47" xr10:uidLastSave="{21CB04F0-E14F-4A0C-ABA4-E0EFE073910E}"/>
  <bookViews>
    <workbookView xWindow="28680" yWindow="-120" windowWidth="29040" windowHeight="15720" xr2:uid="{25E0DDA3-ECDD-4D08-90FA-0D4D1BFCFF7C}"/>
  </bookViews>
  <sheets>
    <sheet name="Interface utilisateur" sheetId="2" r:id="rId1"/>
    <sheet name="Calculs (ELU)" sheetId="1" r:id="rId2"/>
    <sheet name="Calculs (ELS)" sheetId="3" r:id="rId3"/>
  </sheets>
  <definedNames>
    <definedName name="solver_adj" localSheetId="2" hidden="1">'Calculs (ELS)'!$N$26</definedName>
    <definedName name="solver_adj" localSheetId="1" hidden="1">'Calculs (ELU)'!$N$26</definedName>
    <definedName name="solver_cvg" localSheetId="2" hidden="1">0.0001</definedName>
    <definedName name="solver_cvg" localSheetId="1" hidden="1">0.0001</definedName>
    <definedName name="solver_drv" localSheetId="2" hidden="1">1</definedName>
    <definedName name="solver_drv" localSheetId="1" hidden="1">1</definedName>
    <definedName name="solver_eng" localSheetId="2" hidden="1">1</definedName>
    <definedName name="solver_eng" localSheetId="1" hidden="1">1</definedName>
    <definedName name="solver_est" localSheetId="2" hidden="1">1</definedName>
    <definedName name="solver_est" localSheetId="1" hidden="1">1</definedName>
    <definedName name="solver_itr" localSheetId="2" hidden="1">2147483647</definedName>
    <definedName name="solver_itr" localSheetId="1" hidden="1">2147483647</definedName>
    <definedName name="solver_mip" localSheetId="2" hidden="1">2147483647</definedName>
    <definedName name="solver_mip" localSheetId="1" hidden="1">2147483647</definedName>
    <definedName name="solver_mni" localSheetId="2" hidden="1">30</definedName>
    <definedName name="solver_mni" localSheetId="1" hidden="1">30</definedName>
    <definedName name="solver_mrt" localSheetId="2" hidden="1">0.075</definedName>
    <definedName name="solver_mrt" localSheetId="1" hidden="1">0.075</definedName>
    <definedName name="solver_msl" localSheetId="2" hidden="1">2</definedName>
    <definedName name="solver_msl" localSheetId="1" hidden="1">2</definedName>
    <definedName name="solver_neg" localSheetId="2" hidden="1">1</definedName>
    <definedName name="solver_neg" localSheetId="1" hidden="1">1</definedName>
    <definedName name="solver_nod" localSheetId="2" hidden="1">2147483647</definedName>
    <definedName name="solver_nod" localSheetId="1" hidden="1">2147483647</definedName>
    <definedName name="solver_num" localSheetId="2" hidden="1">0</definedName>
    <definedName name="solver_num" localSheetId="1" hidden="1">0</definedName>
    <definedName name="solver_nwt" localSheetId="2" hidden="1">1</definedName>
    <definedName name="solver_nwt" localSheetId="1" hidden="1">1</definedName>
    <definedName name="solver_opt" localSheetId="2" hidden="1">'Calculs (ELS)'!$N$24</definedName>
    <definedName name="solver_opt" localSheetId="1" hidden="1">'Calculs (ELU)'!$N$24</definedName>
    <definedName name="solver_pre" localSheetId="2" hidden="1">0.000001</definedName>
    <definedName name="solver_pre" localSheetId="1" hidden="1">0.000001</definedName>
    <definedName name="solver_rbv" localSheetId="2" hidden="1">1</definedName>
    <definedName name="solver_rbv" localSheetId="1" hidden="1">1</definedName>
    <definedName name="solver_rlx" localSheetId="2" hidden="1">2</definedName>
    <definedName name="solver_rlx" localSheetId="1" hidden="1">2</definedName>
    <definedName name="solver_rsd" localSheetId="2" hidden="1">0</definedName>
    <definedName name="solver_rsd" localSheetId="1" hidden="1">0</definedName>
    <definedName name="solver_scl" localSheetId="2" hidden="1">1</definedName>
    <definedName name="solver_scl" localSheetId="1" hidden="1">1</definedName>
    <definedName name="solver_sho" localSheetId="2" hidden="1">2</definedName>
    <definedName name="solver_sho" localSheetId="1" hidden="1">2</definedName>
    <definedName name="solver_ssz" localSheetId="2" hidden="1">100</definedName>
    <definedName name="solver_ssz" localSheetId="1" hidden="1">100</definedName>
    <definedName name="solver_tim" localSheetId="2" hidden="1">2147483647</definedName>
    <definedName name="solver_tim" localSheetId="1" hidden="1">2147483647</definedName>
    <definedName name="solver_tol" localSheetId="2" hidden="1">0.01</definedName>
    <definedName name="solver_tol" localSheetId="1" hidden="1">0.01</definedName>
    <definedName name="solver_typ" localSheetId="2" hidden="1">3</definedName>
    <definedName name="solver_typ" localSheetId="1" hidden="1">3</definedName>
    <definedName name="solver_val" localSheetId="2" hidden="1">0</definedName>
    <definedName name="solver_val" localSheetId="1" hidden="1">0</definedName>
    <definedName name="solver_ver" localSheetId="2" hidden="1">3</definedName>
    <definedName name="solver_ver" localSheetId="1" hidden="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6" i="2" l="1"/>
  <c r="G45" i="2"/>
  <c r="G44" i="2"/>
  <c r="F79" i="2"/>
  <c r="B14" i="1"/>
  <c r="I60" i="2"/>
  <c r="I61" i="2"/>
  <c r="J59" i="2"/>
  <c r="G54" i="2"/>
  <c r="G88" i="2"/>
  <c r="F76" i="2"/>
  <c r="AC7" i="1"/>
  <c r="O31" i="2"/>
  <c r="O30" i="2"/>
  <c r="O29" i="2"/>
  <c r="O28" i="2"/>
  <c r="H23" i="1"/>
  <c r="H24" i="1"/>
  <c r="K28" i="2"/>
  <c r="G22" i="3" s="1"/>
  <c r="J28" i="2"/>
  <c r="F22" i="1" s="1"/>
  <c r="H28" i="2"/>
  <c r="J25" i="3"/>
  <c r="B25" i="3"/>
  <c r="J24" i="3"/>
  <c r="I24" i="3"/>
  <c r="H24" i="3"/>
  <c r="G24" i="3"/>
  <c r="F24" i="3"/>
  <c r="B24" i="3"/>
  <c r="J23" i="3"/>
  <c r="I23" i="3"/>
  <c r="H23" i="3"/>
  <c r="G23" i="3"/>
  <c r="B23" i="3"/>
  <c r="J22" i="3"/>
  <c r="B22" i="3"/>
  <c r="D22" i="3" s="1"/>
  <c r="C23" i="3" s="1"/>
  <c r="B20" i="3"/>
  <c r="B19" i="3"/>
  <c r="F17" i="3"/>
  <c r="B17" i="3"/>
  <c r="F16" i="3"/>
  <c r="B15" i="3"/>
  <c r="B10" i="3"/>
  <c r="B9" i="3"/>
  <c r="B7" i="3"/>
  <c r="N6" i="3" s="1"/>
  <c r="F4" i="3"/>
  <c r="B4" i="3"/>
  <c r="F3" i="3"/>
  <c r="B3" i="3"/>
  <c r="J23" i="1"/>
  <c r="J24" i="1"/>
  <c r="J25" i="1"/>
  <c r="I23" i="1"/>
  <c r="I24" i="1"/>
  <c r="G24" i="1"/>
  <c r="F24" i="1"/>
  <c r="B24" i="1"/>
  <c r="B25" i="1"/>
  <c r="B23" i="1"/>
  <c r="B22" i="1"/>
  <c r="B20" i="1"/>
  <c r="B19" i="1"/>
  <c r="G15" i="2"/>
  <c r="Q28" i="3"/>
  <c r="Q27" i="3"/>
  <c r="T20" i="3" s="1"/>
  <c r="Q26" i="3"/>
  <c r="Q25" i="3"/>
  <c r="Z5" i="3" s="1"/>
  <c r="G80" i="2" s="1"/>
  <c r="Q24" i="3"/>
  <c r="Z6" i="3" s="1"/>
  <c r="G81" i="2" s="1"/>
  <c r="Q27" i="1"/>
  <c r="I73" i="2"/>
  <c r="I72" i="2"/>
  <c r="I71" i="2"/>
  <c r="F86" i="2"/>
  <c r="F85" i="2"/>
  <c r="F80" i="2"/>
  <c r="F81" i="2"/>
  <c r="F78" i="2"/>
  <c r="F67" i="2"/>
  <c r="F66" i="2"/>
  <c r="F62" i="2"/>
  <c r="F61" i="2"/>
  <c r="F60" i="2"/>
  <c r="F59" i="2"/>
  <c r="L38" i="2"/>
  <c r="L37" i="2"/>
  <c r="L36" i="2"/>
  <c r="I36" i="2"/>
  <c r="I35" i="2"/>
  <c r="O16" i="2"/>
  <c r="L17" i="2"/>
  <c r="L16" i="2"/>
  <c r="L15" i="2"/>
  <c r="L14" i="2"/>
  <c r="F68" i="2"/>
  <c r="F73" i="2"/>
  <c r="F74" i="2"/>
  <c r="F75" i="2"/>
  <c r="F72" i="2"/>
  <c r="C44" i="3"/>
  <c r="C43" i="3"/>
  <c r="T30" i="3"/>
  <c r="N5" i="3"/>
  <c r="Q4" i="3"/>
  <c r="N5" i="1"/>
  <c r="F55" i="2"/>
  <c r="I54" i="2"/>
  <c r="F54" i="2"/>
  <c r="Q25" i="1"/>
  <c r="Q26" i="1"/>
  <c r="Q28" i="1"/>
  <c r="Q24" i="1"/>
  <c r="I41" i="2" a="1"/>
  <c r="I41" i="2" s="1"/>
  <c r="I37" i="2"/>
  <c r="Q4" i="1"/>
  <c r="O21" i="2"/>
  <c r="O17" i="2"/>
  <c r="J22" i="1"/>
  <c r="M31" i="2"/>
  <c r="I25" i="3" s="1"/>
  <c r="M28" i="2"/>
  <c r="I22" i="1" s="1"/>
  <c r="L31" i="2"/>
  <c r="H25" i="1" s="1"/>
  <c r="L28" i="2"/>
  <c r="H22" i="3" s="1"/>
  <c r="K31" i="2"/>
  <c r="G25" i="1" s="1"/>
  <c r="J31" i="2"/>
  <c r="F25" i="3" s="1"/>
  <c r="J29" i="2"/>
  <c r="F23" i="3" s="1"/>
  <c r="I22" i="3" l="1"/>
  <c r="I25" i="1"/>
  <c r="AC7" i="3"/>
  <c r="AC8" i="3" s="1"/>
  <c r="AC9" i="3" s="1"/>
  <c r="G25" i="3"/>
  <c r="H22" i="1"/>
  <c r="H25" i="3"/>
  <c r="F22" i="3"/>
  <c r="F25" i="1"/>
  <c r="B14" i="3"/>
  <c r="D23" i="3"/>
  <c r="C24" i="3" s="1"/>
  <c r="D24" i="3" s="1"/>
  <c r="C25" i="3" s="1"/>
  <c r="D25" i="3" s="1"/>
  <c r="B11" i="3"/>
  <c r="N2" i="1"/>
  <c r="N2" i="3"/>
  <c r="T27" i="3" s="1"/>
  <c r="T23" i="3"/>
  <c r="Z20" i="3"/>
  <c r="N17" i="3"/>
  <c r="N16" i="3"/>
  <c r="Y19" i="3"/>
  <c r="N15" i="3"/>
  <c r="N18" i="3"/>
  <c r="N20" i="3"/>
  <c r="N14" i="3"/>
  <c r="Q31" i="3"/>
  <c r="W38" i="3"/>
  <c r="V35" i="3"/>
  <c r="F17" i="1"/>
  <c r="F16" i="1"/>
  <c r="N17" i="1"/>
  <c r="F3" i="1"/>
  <c r="F4" i="1"/>
  <c r="G47" i="2"/>
  <c r="F15" i="3" s="1"/>
  <c r="F9" i="3"/>
  <c r="F8" i="3"/>
  <c r="F7" i="3"/>
  <c r="F6" i="3"/>
  <c r="F5" i="3"/>
  <c r="B17" i="1"/>
  <c r="B15" i="1"/>
  <c r="B10" i="1"/>
  <c r="B9" i="1"/>
  <c r="B11" i="1" s="1"/>
  <c r="B12" i="1" s="1"/>
  <c r="B7" i="1"/>
  <c r="B3" i="1"/>
  <c r="G17" i="2"/>
  <c r="B6" i="3" s="1"/>
  <c r="G16" i="2"/>
  <c r="B5" i="3" s="1"/>
  <c r="P14" i="2" l="1"/>
  <c r="F11" i="3"/>
  <c r="F14" i="3"/>
  <c r="F10" i="3"/>
  <c r="F12" i="3"/>
  <c r="F13" i="3" s="1"/>
  <c r="Z16" i="3" s="1"/>
  <c r="B12" i="3"/>
  <c r="N9" i="3"/>
  <c r="N10" i="3" s="1"/>
  <c r="N3" i="3"/>
  <c r="F15" i="1"/>
  <c r="B4" i="1"/>
  <c r="N4" i="1" s="1"/>
  <c r="F9" i="1"/>
  <c r="B5" i="1"/>
  <c r="N4" i="3"/>
  <c r="B6" i="1"/>
  <c r="N7" i="1" s="1"/>
  <c r="N7" i="3"/>
  <c r="Z20" i="1"/>
  <c r="N20" i="1"/>
  <c r="Y19" i="1"/>
  <c r="Q31" i="1"/>
  <c r="W38" i="1"/>
  <c r="Z6" i="1"/>
  <c r="Z5" i="1"/>
  <c r="V35" i="1"/>
  <c r="N18" i="1"/>
  <c r="N3" i="1"/>
  <c r="Q2" i="1" s="1"/>
  <c r="N16" i="1"/>
  <c r="N15" i="1"/>
  <c r="N14" i="1"/>
  <c r="C44" i="1"/>
  <c r="C43" i="1"/>
  <c r="AC8" i="1"/>
  <c r="AC9" i="1" s="1"/>
  <c r="T30" i="1"/>
  <c r="T20" i="1"/>
  <c r="T23" i="1" s="1"/>
  <c r="N6" i="1"/>
  <c r="D22" i="1"/>
  <c r="G59" i="2" l="1"/>
  <c r="Q2" i="3"/>
  <c r="M14" i="2"/>
  <c r="Q3" i="1"/>
  <c r="C23" i="1"/>
  <c r="I28" i="2"/>
  <c r="Q14" i="3"/>
  <c r="N11" i="3"/>
  <c r="N8" i="3"/>
  <c r="AC2" i="3"/>
  <c r="Q6" i="3"/>
  <c r="Q18" i="3"/>
  <c r="Q11" i="3"/>
  <c r="W29" i="3"/>
  <c r="W13" i="3"/>
  <c r="AC11" i="3"/>
  <c r="T3" i="3"/>
  <c r="T4" i="3" s="1"/>
  <c r="J54" i="2"/>
  <c r="F23" i="1"/>
  <c r="G22" i="1"/>
  <c r="G23" i="1"/>
  <c r="F5" i="1"/>
  <c r="F8" i="1"/>
  <c r="F7" i="1"/>
  <c r="F6" i="1"/>
  <c r="N8" i="1"/>
  <c r="T27" i="1"/>
  <c r="T31" i="1" s="1"/>
  <c r="N9" i="1"/>
  <c r="N10" i="1" s="1"/>
  <c r="J60" i="2" l="1"/>
  <c r="Q3" i="3"/>
  <c r="J61" i="2" s="1"/>
  <c r="D23" i="1"/>
  <c r="H29" i="2"/>
  <c r="P16" i="2"/>
  <c r="M15" i="2"/>
  <c r="Q9" i="3"/>
  <c r="Q10" i="3" s="1"/>
  <c r="G66" i="2" s="1"/>
  <c r="T28" i="3"/>
  <c r="G60" i="2"/>
  <c r="N12" i="3"/>
  <c r="G62" i="2" s="1"/>
  <c r="G61" i="2"/>
  <c r="T31" i="3"/>
  <c r="T5" i="3"/>
  <c r="AC11" i="1"/>
  <c r="Q5" i="3"/>
  <c r="Q7" i="3" s="1"/>
  <c r="Y20" i="3"/>
  <c r="AC3" i="3"/>
  <c r="J66" i="2" s="1"/>
  <c r="AC4" i="3"/>
  <c r="J67" i="2" s="1"/>
  <c r="Z11" i="3"/>
  <c r="Z19" i="3" s="1"/>
  <c r="W8" i="3"/>
  <c r="Q12" i="3"/>
  <c r="Q13" i="3"/>
  <c r="Q15" i="3" s="1"/>
  <c r="T8" i="3"/>
  <c r="Q9" i="1"/>
  <c r="P17" i="2"/>
  <c r="P15" i="2" s="1"/>
  <c r="Q18" i="1"/>
  <c r="F12" i="1"/>
  <c r="F14" i="1"/>
  <c r="Q6" i="1" s="1"/>
  <c r="F10" i="1"/>
  <c r="F11" i="1"/>
  <c r="AC2" i="1" s="1"/>
  <c r="W29" i="1"/>
  <c r="W13" i="1"/>
  <c r="Q14" i="1"/>
  <c r="T3" i="1"/>
  <c r="T4" i="1" s="1"/>
  <c r="T5" i="1" s="1"/>
  <c r="Q11" i="1"/>
  <c r="Q13" i="1" s="1"/>
  <c r="T28" i="1"/>
  <c r="N11" i="1"/>
  <c r="Q10" i="1" l="1"/>
  <c r="J35" i="2" s="1"/>
  <c r="C24" i="1"/>
  <c r="I29" i="2"/>
  <c r="AC12" i="3"/>
  <c r="AC13" i="3" s="1"/>
  <c r="G86" i="2" s="1"/>
  <c r="B13" i="3"/>
  <c r="B16" i="3" s="1"/>
  <c r="N12" i="1"/>
  <c r="M17" i="2" s="1"/>
  <c r="M16" i="2"/>
  <c r="T9" i="3"/>
  <c r="T10" i="3" s="1"/>
  <c r="T7" i="3"/>
  <c r="Q19" i="3"/>
  <c r="Q16" i="3" s="1"/>
  <c r="Q17" i="3" s="1"/>
  <c r="Q20" i="3" s="1"/>
  <c r="Q21" i="3" s="1"/>
  <c r="Q15" i="1"/>
  <c r="Z11" i="1"/>
  <c r="Z19" i="1" s="1"/>
  <c r="F13" i="1"/>
  <c r="Q5" i="1" s="1"/>
  <c r="Q7" i="1" s="1"/>
  <c r="G50" i="2" s="1"/>
  <c r="AC3" i="1"/>
  <c r="M40" i="2" s="1"/>
  <c r="AC4" i="1"/>
  <c r="M41" i="2" s="1"/>
  <c r="W8" i="1"/>
  <c r="Q12" i="1"/>
  <c r="T8" i="1"/>
  <c r="AC12" i="1"/>
  <c r="B13" i="1" l="1"/>
  <c r="B16" i="1" s="1"/>
  <c r="Z2" i="1" s="1"/>
  <c r="D24" i="1"/>
  <c r="H30" i="2"/>
  <c r="W10" i="3"/>
  <c r="W22" i="3" s="1"/>
  <c r="G85" i="2"/>
  <c r="Q22" i="3"/>
  <c r="G67" i="2"/>
  <c r="W12" i="3"/>
  <c r="AC6" i="3"/>
  <c r="W7" i="3"/>
  <c r="W9" i="3" s="1"/>
  <c r="W15" i="3"/>
  <c r="W24" i="3" s="1"/>
  <c r="W30" i="3"/>
  <c r="W32" i="3" s="1"/>
  <c r="V37" i="3" s="1"/>
  <c r="T12" i="3"/>
  <c r="T13" i="3" s="1"/>
  <c r="T11" i="3"/>
  <c r="AC13" i="1"/>
  <c r="J55" i="2" s="1"/>
  <c r="Z16" i="1"/>
  <c r="Y20" i="1" s="1"/>
  <c r="Q19" i="1"/>
  <c r="Q16" i="1" s="1"/>
  <c r="T9" i="1"/>
  <c r="T10" i="1" s="1"/>
  <c r="T7" i="1"/>
  <c r="W30" i="1" l="1"/>
  <c r="W32" i="1" s="1"/>
  <c r="V37" i="1" s="1"/>
  <c r="Q17" i="1"/>
  <c r="G68" i="2"/>
  <c r="G69" i="2"/>
  <c r="W3" i="1"/>
  <c r="C25" i="1"/>
  <c r="I30" i="2"/>
  <c r="W11" i="3"/>
  <c r="W3" i="3"/>
  <c r="W35" i="3" s="1"/>
  <c r="Z2" i="3"/>
  <c r="Z4" i="3" s="1"/>
  <c r="Q32" i="3" s="1"/>
  <c r="W16" i="3"/>
  <c r="T15" i="3"/>
  <c r="T14" i="3"/>
  <c r="W23" i="3"/>
  <c r="W25" i="3" s="1"/>
  <c r="W14" i="3"/>
  <c r="Q20" i="1"/>
  <c r="Q21" i="1" s="1"/>
  <c r="W10" i="1"/>
  <c r="AC6" i="1"/>
  <c r="G55" i="2" s="1"/>
  <c r="W7" i="1"/>
  <c r="W9" i="1" s="1"/>
  <c r="W12" i="1"/>
  <c r="W15" i="1"/>
  <c r="T11" i="1"/>
  <c r="T12" i="1"/>
  <c r="T13" i="1" s="1"/>
  <c r="D25" i="1" l="1"/>
  <c r="I31" i="2" s="1"/>
  <c r="H31" i="2"/>
  <c r="Q22" i="1"/>
  <c r="J36" i="2"/>
  <c r="W21" i="3"/>
  <c r="W18" i="3"/>
  <c r="W31" i="3"/>
  <c r="W37" i="3" s="1"/>
  <c r="W36" i="3"/>
  <c r="T16" i="3"/>
  <c r="T17" i="3"/>
  <c r="T21" i="3"/>
  <c r="Z3" i="3"/>
  <c r="W35" i="1"/>
  <c r="W16" i="1"/>
  <c r="W24" i="1"/>
  <c r="W14" i="1"/>
  <c r="W21" i="1" s="1"/>
  <c r="W23" i="1"/>
  <c r="W11" i="1"/>
  <c r="W22" i="1"/>
  <c r="T15" i="1"/>
  <c r="T21" i="1" s="1"/>
  <c r="T14" i="1"/>
  <c r="T32" i="1" l="1"/>
  <c r="J37" i="2"/>
  <c r="J38" i="2"/>
  <c r="Z7" i="3"/>
  <c r="Z8" i="3" s="1"/>
  <c r="G78" i="2"/>
  <c r="G79" i="2"/>
  <c r="T33" i="3"/>
  <c r="T18" i="3"/>
  <c r="T19" i="3" s="1"/>
  <c r="T22" i="3"/>
  <c r="T24" i="3" s="1"/>
  <c r="T32" i="3"/>
  <c r="J72" i="2" s="1"/>
  <c r="W26" i="3"/>
  <c r="V36" i="3" s="1"/>
  <c r="V38" i="3"/>
  <c r="W25" i="1"/>
  <c r="W18" i="1"/>
  <c r="W26" i="1" s="1"/>
  <c r="V36" i="1" s="1"/>
  <c r="Z4" i="1"/>
  <c r="Q32" i="1" s="1"/>
  <c r="Z3" i="1"/>
  <c r="T17" i="1"/>
  <c r="T16" i="1"/>
  <c r="T22" i="1" s="1"/>
  <c r="T26" i="3" l="1"/>
  <c r="T34" i="3" s="1"/>
  <c r="T35" i="3" s="1"/>
  <c r="J73" i="2" s="1"/>
  <c r="T25" i="3"/>
  <c r="T29" i="3" s="1"/>
  <c r="J71" i="2" s="1"/>
  <c r="W31" i="1"/>
  <c r="W37" i="1" s="1"/>
  <c r="W36" i="1"/>
  <c r="Z7" i="1"/>
  <c r="Z8" i="1" s="1"/>
  <c r="V38" i="1"/>
  <c r="M37" i="2"/>
  <c r="T24" i="1"/>
  <c r="T26" i="1" s="1"/>
  <c r="T34" i="1" s="1"/>
  <c r="T33" i="1"/>
  <c r="T18" i="1"/>
  <c r="T19" i="1" s="1"/>
  <c r="T35" i="1" l="1"/>
  <c r="M38" i="2" s="1"/>
  <c r="T25" i="1"/>
  <c r="T29" i="1" s="1"/>
  <c r="M3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Vrancx</author>
  </authors>
  <commentList>
    <comment ref="G14" authorId="0" shapeId="0" xr:uid="{B7F3FD81-17BD-4E93-B203-AA92EEDAAFA4}">
      <text>
        <r>
          <rPr>
            <sz val="9"/>
            <color indexed="81"/>
            <rFont val="Tahoma"/>
            <family val="2"/>
          </rPr>
          <t>Catégorie 1 (RK1) :
La hauteur maximum de soutènement ne dépasse pas 2 m
L’excavation ne descend pas sous le niveau de la nappe au repos
La distance par rapport aux ouvrages avoisinants et la limite de propriété est supérieure à 5 m
La surface de sol est horizontale
Catégorie 2 (RK2) :
Maisons unifamiliales et autres projets présentant une ampleur et/ou des sollicitations limitées ainsi qu’un niveau de risque restreint
Projets de moyenne et grande importance et/ou présentant des sollicitations élevées ainsi qu’un niveau de risque moyen
Catégorie 3 (RK3) :
Risques anormaux ou des conditions de terrain ou de chargement inusuelles
Exigences particulièrement strictes concernant les déplacements autorisés
de très grandes profondeurs d’excavation (&gt;15 m)
une très grande profondeur sous le niveau de la nappe phréatique (&gt;10m)
[Collin 2022]</t>
        </r>
      </text>
    </comment>
    <comment ref="G18" authorId="0" shapeId="0" xr:uid="{35C2CDA3-EA10-4619-A184-39B92EB69C1D}">
      <text>
        <r>
          <rPr>
            <sz val="9"/>
            <color indexed="81"/>
            <rFont val="Tahoma"/>
            <family val="2"/>
          </rPr>
          <t>Est-ce que les éprouvettes sur lesques les essais de résistances reprises ci-dessous ont été faites sur site ou en laboratoire?</t>
        </r>
      </text>
    </comment>
    <comment ref="G20" authorId="0" shapeId="0" xr:uid="{D270FC4F-C593-4AD7-A6EB-D65D2B8F1ED8}">
      <text>
        <r>
          <rPr>
            <sz val="9"/>
            <color indexed="81"/>
            <rFont val="Tahoma"/>
            <family val="2"/>
          </rPr>
          <t>Distance entre deux profilés de renforcement</t>
        </r>
      </text>
    </comment>
    <comment ref="G21" authorId="0" shapeId="0" xr:uid="{C23D6836-F082-48D5-BB7D-8D79FC6BDCF9}">
      <text>
        <r>
          <rPr>
            <sz val="9"/>
            <color indexed="81"/>
            <rFont val="Tahoma"/>
            <family val="2"/>
          </rPr>
          <t>Largeur du mur de soutènement</t>
        </r>
      </text>
    </comment>
    <comment ref="P21" authorId="0" shapeId="0" xr:uid="{41B1D5CA-9D66-4A97-9529-DF91DD3E695B}">
      <text>
        <r>
          <rPr>
            <sz val="9"/>
            <color indexed="81"/>
            <rFont val="Tahoma"/>
            <family val="2"/>
          </rPr>
          <t>Moment que le profilé doit pouvoir reprendre seul</t>
        </r>
      </text>
    </comment>
    <comment ref="G22" authorId="0" shapeId="0" xr:uid="{25613A34-FE1E-4CCA-9415-21CBB8FD2824}">
      <text>
        <r>
          <rPr>
            <sz val="9"/>
            <color indexed="81"/>
            <rFont val="Tahoma"/>
            <family val="2"/>
          </rPr>
          <t>Hauteur de la parois</t>
        </r>
      </text>
    </comment>
    <comment ref="G23" authorId="0" shapeId="0" xr:uid="{78631981-AE4A-4EB3-97F0-FC4C610337A5}">
      <text>
        <r>
          <rPr>
            <sz val="9"/>
            <color indexed="81"/>
            <rFont val="Tahoma"/>
            <family val="2"/>
          </rPr>
          <t>Profondeur de la fouille</t>
        </r>
      </text>
    </comment>
    <comment ref="G25" authorId="0" shapeId="0" xr:uid="{60714D4C-B1BD-4348-A338-D570EDFA7687}">
      <text>
        <r>
          <rPr>
            <sz val="9"/>
            <color indexed="81"/>
            <rFont val="Tahoma"/>
            <family val="2"/>
          </rPr>
          <t>Profondeur de la nappe</t>
        </r>
      </text>
    </comment>
    <comment ref="G27" authorId="0" shapeId="0" xr:uid="{78C98512-D523-4F99-BBD5-E21CE01E584D}">
      <text>
        <r>
          <rPr>
            <sz val="9"/>
            <color indexed="81"/>
            <rFont val="Tahoma"/>
            <family val="2"/>
          </rPr>
          <t xml:space="preserve">Épaisseur des couches </t>
        </r>
      </text>
    </comment>
    <comment ref="P27" authorId="0" shapeId="0" xr:uid="{66163838-EBEA-4E6B-A2F2-A5FF1E95ECE6}">
      <text>
        <r>
          <rPr>
            <sz val="9"/>
            <color indexed="81"/>
            <rFont val="Tahoma"/>
            <family val="2"/>
          </rPr>
          <t>Résistance du mélange de soil mix</t>
        </r>
      </text>
    </comment>
    <comment ref="G35" authorId="0" shapeId="0" xr:uid="{A23CF01A-11EE-4D34-9376-C5653AE5C4ED}">
      <text>
        <r>
          <rPr>
            <sz val="9"/>
            <color indexed="81"/>
            <rFont val="Tahoma"/>
            <family val="2"/>
          </rPr>
          <t>Profilé choisi sur base du MEd (étape 1)
Propriétés voir catalogue</t>
        </r>
      </text>
    </comment>
    <comment ref="M41" authorId="0" shapeId="0" xr:uid="{69D1B70B-327E-46B3-8DA9-5427681A4165}">
      <text>
        <r>
          <rPr>
            <sz val="9"/>
            <color indexed="81"/>
            <rFont val="Tahoma"/>
            <family val="2"/>
          </rPr>
          <t>Y a-t-il une interaction entre le moment et le cisaillement ?</t>
        </r>
      </text>
    </comment>
    <comment ref="J44" authorId="0" shapeId="0" xr:uid="{CB3F3ABB-FBE2-432B-B261-A1957B80D05D}">
      <text>
        <r>
          <rPr>
            <sz val="9"/>
            <color indexed="81"/>
            <rFont val="Tahoma"/>
            <family val="2"/>
          </rPr>
          <t>Contrainte moyenne des pressions d'eau et de terres</t>
        </r>
      </text>
    </comment>
    <comment ref="J45" authorId="0" shapeId="0" xr:uid="{763E91C4-1945-49BF-87E5-9024E126D7FE}">
      <text>
        <r>
          <rPr>
            <sz val="9"/>
            <color indexed="81"/>
            <rFont val="Tahoma"/>
            <family val="2"/>
          </rPr>
          <t>Longueur de transfert minimum
Distance entre le Mmax et le bas de la parois (M=0)</t>
        </r>
      </text>
    </comment>
    <comment ref="G50" authorId="0" shapeId="0" xr:uid="{6A4A5881-7230-4BF6-AC0B-F71477125506}">
      <text>
        <r>
          <rPr>
            <sz val="9"/>
            <color indexed="81"/>
            <rFont val="Tahoma"/>
            <family val="2"/>
          </rPr>
          <t>Est-ce que le profilé choisi est suffisamment résistant ?</t>
        </r>
      </text>
    </comment>
    <comment ref="G54" authorId="0" shapeId="0" xr:uid="{1DC0B81A-8109-483C-BAE6-9597DAC3B9B9}">
      <text>
        <r>
          <rPr>
            <sz val="9"/>
            <color indexed="81"/>
            <rFont val="Tahoma"/>
            <family val="2"/>
          </rPr>
          <t>Profondeur à laquelle Mcr est atteint</t>
        </r>
      </text>
    </comment>
    <comment ref="J54" authorId="0" shapeId="0" xr:uid="{9F055E7E-4635-434A-BE6A-33DA95BED1EF}">
      <text>
        <r>
          <rPr>
            <sz val="9"/>
            <color indexed="81"/>
            <rFont val="Tahoma"/>
            <family val="2"/>
          </rPr>
          <t>Hauteur totale du mur</t>
        </r>
      </text>
    </comment>
    <comment ref="J55" authorId="0" shapeId="0" xr:uid="{32012B63-FE7A-4FAB-8DBA-9A890986DA44}">
      <text>
        <r>
          <rPr>
            <sz val="9"/>
            <color indexed="81"/>
            <rFont val="Tahoma"/>
            <family val="2"/>
          </rPr>
          <t xml:space="preserve">Est-ce que le mur est suffisamment long pour que l'ensemble pour transfert la force NEd entre le profilé et le soil mix ? </t>
        </r>
      </text>
    </comment>
    <comment ref="J67" authorId="0" shapeId="0" xr:uid="{07AFA141-D657-4D03-8CBA-949AB7005F9A}">
      <text>
        <r>
          <rPr>
            <sz val="9"/>
            <color indexed="81"/>
            <rFont val="Tahoma"/>
            <family val="2"/>
          </rPr>
          <t>Y a-t-il une interaction entre le moment et le cisaillement ?</t>
        </r>
      </text>
    </comment>
    <comment ref="G75" authorId="0" shapeId="0" xr:uid="{C87F4C06-9BAD-4B57-8600-08FEB1F41F4C}">
      <text>
        <r>
          <rPr>
            <sz val="9"/>
            <color indexed="81"/>
            <rFont val="Tahoma"/>
            <family val="2"/>
          </rPr>
          <t>Contrainte moyenne des pressions d'eau et de terres</t>
        </r>
      </text>
    </comment>
    <comment ref="G76" authorId="0" shapeId="0" xr:uid="{A921BF81-C94D-4D99-9F59-AA277D8ED56F}">
      <text>
        <r>
          <rPr>
            <sz val="9"/>
            <color indexed="81"/>
            <rFont val="Tahoma"/>
            <family val="2"/>
          </rPr>
          <t>Longueur de transfert minimum
Distance entre le Mmax et le bas de la parois (M=0)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<sst xmlns="http://schemas.openxmlformats.org/spreadsheetml/2006/main" count="443" uniqueCount="189">
  <si>
    <t>Données</t>
  </si>
  <si>
    <t xml:space="preserve">Classe de risque </t>
  </si>
  <si>
    <t>RK1</t>
  </si>
  <si>
    <t>RK2</t>
  </si>
  <si>
    <t>RK3</t>
  </si>
  <si>
    <t>Nombre de couches</t>
  </si>
  <si>
    <t>Couche</t>
  </si>
  <si>
    <t>qc</t>
  </si>
  <si>
    <t>Cache</t>
  </si>
  <si>
    <t>OUI</t>
  </si>
  <si>
    <t>NON</t>
  </si>
  <si>
    <t>Durée vie [ans]</t>
  </si>
  <si>
    <t>Durée cure [jours]</t>
  </si>
  <si>
    <t>Test in-situ ?</t>
  </si>
  <si>
    <t>Durée travaux [ans]</t>
  </si>
  <si>
    <t>z nap [m]</t>
  </si>
  <si>
    <t>h [m]</t>
  </si>
  <si>
    <t>hmin [m]</t>
  </si>
  <si>
    <t>hmax [m]</t>
  </si>
  <si>
    <t>γ' [kN/m³]</t>
  </si>
  <si>
    <t>γ sat [kN/m³]</t>
  </si>
  <si>
    <t>φ' [°]</t>
  </si>
  <si>
    <t>fsm,k [MPa]</t>
  </si>
  <si>
    <t>hsm [m]</t>
  </si>
  <si>
    <t>H [m]</t>
  </si>
  <si>
    <t>fsm,m [MPa]</t>
  </si>
  <si>
    <t>fsm,d [MPa]</t>
  </si>
  <si>
    <t>fsm,tk [MPa]</t>
  </si>
  <si>
    <t>fsm,tm [MPa]</t>
  </si>
  <si>
    <t>fsm,td [MPa]</t>
  </si>
  <si>
    <t>τsm,d [MPa]</t>
  </si>
  <si>
    <t>Esm [MPa]</t>
  </si>
  <si>
    <t>EIsm/m' [kNm²/m']</t>
  </si>
  <si>
    <t>Profilé</t>
  </si>
  <si>
    <t>h [mm]</t>
  </si>
  <si>
    <t>b [mm]</t>
  </si>
  <si>
    <t>tw [mm]</t>
  </si>
  <si>
    <t>tf [mm]</t>
  </si>
  <si>
    <t>r [mm]</t>
  </si>
  <si>
    <t>A [mm²]</t>
  </si>
  <si>
    <t>Iy [mm4]</t>
  </si>
  <si>
    <t>Wél [mm³]</t>
  </si>
  <si>
    <t>Wpl [mm³]</t>
  </si>
  <si>
    <t>Classe flexion</t>
  </si>
  <si>
    <t>Classe compression</t>
  </si>
  <si>
    <t>MEd [kNm/m]</t>
  </si>
  <si>
    <t>MRd,él [kNm/m]</t>
  </si>
  <si>
    <t>MRd,pl [kNm/m]</t>
  </si>
  <si>
    <t>OK ?</t>
  </si>
  <si>
    <t>Ea [MPa]</t>
  </si>
  <si>
    <t>Le [m]</t>
  </si>
  <si>
    <t>bc1 [m]</t>
  </si>
  <si>
    <t>a [m]</t>
  </si>
  <si>
    <t>n</t>
  </si>
  <si>
    <t>EI-1 [kNm²/a]</t>
  </si>
  <si>
    <t>Ism/a [m4]</t>
  </si>
  <si>
    <t>c2 [m]</t>
  </si>
  <si>
    <t>d [m]</t>
  </si>
  <si>
    <t>Af [m²]</t>
  </si>
  <si>
    <t>ρ</t>
  </si>
  <si>
    <t>ξe</t>
  </si>
  <si>
    <t>xe [m]</t>
  </si>
  <si>
    <t>c1 [m]</t>
  </si>
  <si>
    <t>hw [m]</t>
  </si>
  <si>
    <t>c1b [m]</t>
  </si>
  <si>
    <t>I2 [m4]</t>
  </si>
  <si>
    <t>EI-2 [kNm²/a]</t>
  </si>
  <si>
    <t>EI-eff/m' [kNm²/m'']</t>
  </si>
  <si>
    <t>σ hor,rep [kN/m²]</t>
  </si>
  <si>
    <t>Ls [m]</t>
  </si>
  <si>
    <t>MEd [kNm/m']</t>
  </si>
  <si>
    <t>φ [mm]</t>
  </si>
  <si>
    <t>fbd [MPa]</t>
  </si>
  <si>
    <t>Effet arc ?</t>
  </si>
  <si>
    <t>hbg [m]</t>
  </si>
  <si>
    <t>σ hor [kPa]</t>
  </si>
  <si>
    <t>σ'arch,base [MPa]</t>
  </si>
  <si>
    <t>σ'arch,mid,max [MPa]</t>
  </si>
  <si>
    <t>dbg [m]</t>
  </si>
  <si>
    <t>zbg1 [m]</t>
  </si>
  <si>
    <t>zbg2 [m]</t>
  </si>
  <si>
    <t>dbg,mid1 [m]</t>
  </si>
  <si>
    <t>Itération ?</t>
  </si>
  <si>
    <t>σRd,base [N/mm²]</t>
  </si>
  <si>
    <t>σRd,mid [N/mm²]</t>
  </si>
  <si>
    <t>Mid ?</t>
  </si>
  <si>
    <t>Base ?</t>
  </si>
  <si>
    <t>τEd [N/mm²]</t>
  </si>
  <si>
    <t>τRd [N/mm²]</t>
  </si>
  <si>
    <t>σ'arch,mid,m [MPa]</t>
  </si>
  <si>
    <t>Cisaillement ?</t>
  </si>
  <si>
    <t>Point A</t>
  </si>
  <si>
    <t>fyd [MPa]</t>
  </si>
  <si>
    <t>A [m²]</t>
  </si>
  <si>
    <t>bc2 [m]</t>
  </si>
  <si>
    <t>A-M [kNm]</t>
  </si>
  <si>
    <t>A-Npl,Rd [kN]</t>
  </si>
  <si>
    <t>Point B</t>
  </si>
  <si>
    <t>Fsm1 [kN]</t>
  </si>
  <si>
    <t>Fa [kN]</t>
  </si>
  <si>
    <t>NA semelle</t>
  </si>
  <si>
    <t>Fsm2 [kN]</t>
  </si>
  <si>
    <t>Faw [kN]</t>
  </si>
  <si>
    <t>NA âme</t>
  </si>
  <si>
    <t>NA profilé</t>
  </si>
  <si>
    <t>xf [m]</t>
  </si>
  <si>
    <t>B-Mpl,Rd [kNm]</t>
  </si>
  <si>
    <t>xw [m]</t>
  </si>
  <si>
    <t>B-N [kN]</t>
  </si>
  <si>
    <t>Point C</t>
  </si>
  <si>
    <t>C-N [kN]</t>
  </si>
  <si>
    <t>C-M [kNm]</t>
  </si>
  <si>
    <t>Point D</t>
  </si>
  <si>
    <t>D-Mmax [kNm]</t>
  </si>
  <si>
    <t>D-N [kN]</t>
  </si>
  <si>
    <t>D-M [kNm]</t>
  </si>
  <si>
    <t>M [kNm]</t>
  </si>
  <si>
    <t>N [kN]</t>
  </si>
  <si>
    <t>Av [mm²]</t>
  </si>
  <si>
    <t>Vpl,Rd [kN/a]</t>
  </si>
  <si>
    <t>Mcr [kNm]</t>
  </si>
  <si>
    <t>Hcr [m]</t>
  </si>
  <si>
    <t>Hprof [m]</t>
  </si>
  <si>
    <t>Hmur [m]</t>
  </si>
  <si>
    <t>Oa [m]</t>
  </si>
  <si>
    <t>Lmin [m]</t>
  </si>
  <si>
    <t>Hfouille [m]</t>
  </si>
  <si>
    <t xml:space="preserve">Phase de construction la plus critique </t>
  </si>
  <si>
    <t>ELU</t>
  </si>
  <si>
    <t>γ_γ' [-]</t>
  </si>
  <si>
    <t>γ_φ' [-]</t>
  </si>
  <si>
    <t>γ_c' [-]</t>
  </si>
  <si>
    <t>αsm [-]</t>
  </si>
  <si>
    <t>γsm [-]</t>
  </si>
  <si>
    <t>kf [-]</t>
  </si>
  <si>
    <t>β [-]</t>
  </si>
  <si>
    <t>η1 [-]</t>
  </si>
  <si>
    <t>η2 [-]</t>
  </si>
  <si>
    <t>α [-]</t>
  </si>
  <si>
    <t>υ' [-]</t>
  </si>
  <si>
    <t>k2 [-]</t>
  </si>
  <si>
    <t>N'base [N/mm]</t>
  </si>
  <si>
    <t>Vmid [N/mm]</t>
  </si>
  <si>
    <t>N'mid [N/mm]</t>
  </si>
  <si>
    <t>φ'd [°]</t>
  </si>
  <si>
    <t>c'd [kPa]</t>
  </si>
  <si>
    <t>Hd [m]</t>
  </si>
  <si>
    <t>cor [mm]</t>
  </si>
  <si>
    <t>Ψ [-]</t>
  </si>
  <si>
    <t>%EA [-]</t>
  </si>
  <si>
    <t>NEd [kN/m']</t>
  </si>
  <si>
    <t>NEd,sm [kN/m']</t>
  </si>
  <si>
    <t>NEd,a [kN/b]</t>
  </si>
  <si>
    <t>VEd,a [kN/b]</t>
  </si>
  <si>
    <t>MEd,a [kNm/b]</t>
  </si>
  <si>
    <t>σ'sm,d [N/mm²]</t>
  </si>
  <si>
    <t>Interaction ?</t>
  </si>
  <si>
    <t>Vérification</t>
  </si>
  <si>
    <t>Valeur issue du code</t>
  </si>
  <si>
    <t>Donnée</t>
  </si>
  <si>
    <t>H fouille [m]</t>
  </si>
  <si>
    <t>Input</t>
  </si>
  <si>
    <t>Output / input code</t>
  </si>
  <si>
    <t>Output code</t>
  </si>
  <si>
    <t>Vérifications</t>
  </si>
  <si>
    <t>Cisaillement</t>
  </si>
  <si>
    <t>M-V</t>
  </si>
  <si>
    <t>Lg transfert</t>
  </si>
  <si>
    <t>Suffisant ?</t>
  </si>
  <si>
    <t>Données à entrer</t>
  </si>
  <si>
    <t>Code couleur :</t>
  </si>
  <si>
    <t>Données issues du code de calculs</t>
  </si>
  <si>
    <t>Effet d'arc</t>
  </si>
  <si>
    <t>ELS</t>
  </si>
  <si>
    <t>Résistances</t>
  </si>
  <si>
    <t>fmax [mm]</t>
  </si>
  <si>
    <t>Ism [m4/m']</t>
  </si>
  <si>
    <t>A [m²/m']</t>
  </si>
  <si>
    <t>hdéb [m]</t>
  </si>
  <si>
    <t>hfin [m]</t>
  </si>
  <si>
    <t>k [N/m²/m]</t>
  </si>
  <si>
    <t>c' [MPa]</t>
  </si>
  <si>
    <t>qc [MPa]</t>
  </si>
  <si>
    <t>I-eff [m4/m']</t>
  </si>
  <si>
    <t>VEd [kN/m']</t>
  </si>
  <si>
    <t>VEd,a [kN/a]</t>
  </si>
  <si>
    <t>MEd,a [kNm/a]</t>
  </si>
  <si>
    <t>NEd,a [kN/a]</t>
  </si>
  <si>
    <t>IPE 300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</si>
</sst>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 x14ac:knownFonts="1">
    <font>
      <sz val="11"/>
      <color theme="1"/>
      <name val="Calibri"/>
      <family val="2"/>
      <scheme val="minor"/>
    </font>
    <font>
      <sz val="8"/>
      <name val="Calibri"/>
      <family val="2"/>
      <scheme val="minor"/>
    </font>
    <font>
      <sz val="11"/>
      <color theme="1"/>
      <name val="Calibri"/>
      <family val="2"/>
    </font>
    <font>
      <sz val="11"/>
      <color theme="1"/>
      <name val="Calibri"/>
      <family val="2"/>
      <scheme val="minor"/>
    </font>
    <font>
      <b/>
      <sz val="11"/>
      <color theme="1"/>
      <name val="Calibri"/>
      <family val="2"/>
      <scheme val="minor"/>
    </font>
    <font>
      <sz val="9"/>
      <color indexed="81"/>
      <name val="Tahoma"/>
      <family val="2"/>
    </font>
    <font>
      <sz val="11"/>
      <color theme="0" tint="-0.499984740745262"/>
      <name val="Calibri"/>
      <family val="2"/>
      <scheme val="minor"/>
    </font>
  </fonts>
  <fills count="6">
    <fill>
      <patternFill patternType="none"/>
    </fill>
    <fill>
      <patternFill patternType="gray125"/>
    </fill>
    <fill>
      <patternFill patternType="solid">
        <fgColor rgb="FFCCECFF"/>
        <bgColor indexed="64"/>
      </patternFill>
    </fill>
    <fill>
      <patternFill patternType="solid">
        <fgColor rgb="FFCCFFCC"/>
        <bgColor indexed="64"/>
      </patternFill>
    </fill>
    <fill>
      <patternFill patternType="solid">
        <fgColor rgb="FFFFFFCC"/>
        <bgColor indexed="64"/>
      </patternFill>
    </fill>
    <fill>
      <patternFill patternType="solid">
        <fgColor theme="0"/>
        <bgColor indexed="64"/>
      </patternFill>
    </fill>
  </fills>
  <borders count="1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9" fontId="3" fillId="0" borderId="0" applyFont="0" applyFill="0" applyBorder="0" applyAlignment="0" applyProtection="0"/>
  </cellStyleXfs>
  <cellXfs count="61">
    <xf numFmtId="0" fontId="0" fillId="0" borderId="0" xfId="0"/>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2" fillId="0" borderId="5" xfId="0" applyFont="1" applyBorder="1"/>
    <xf numFmtId="0" fontId="0" fillId="0" borderId="6" xfId="0" applyBorder="1"/>
    <xf numFmtId="0" fontId="0" fillId="0" borderId="8" xfId="0" applyBorder="1"/>
    <xf numFmtId="0" fontId="2" fillId="0" borderId="4" xfId="0" applyFont="1" applyBorder="1"/>
    <xf numFmtId="0" fontId="2" fillId="0" borderId="6" xfId="0" applyFont="1" applyBorder="1"/>
    <xf numFmtId="0" fontId="2" fillId="0" borderId="1" xfId="0" applyFont="1" applyBorder="1"/>
    <xf numFmtId="0" fontId="0" fillId="0" borderId="9" xfId="0" applyBorder="1"/>
    <xf numFmtId="0" fontId="0" fillId="0" borderId="10" xfId="0" applyBorder="1"/>
    <xf numFmtId="164" fontId="0" fillId="0" borderId="0" xfId="1" applyNumberFormat="1" applyFont="1"/>
    <xf numFmtId="164" fontId="0" fillId="0" borderId="3" xfId="1" applyNumberFormat="1" applyFont="1" applyBorder="1"/>
    <xf numFmtId="0" fontId="0" fillId="2" borderId="2" xfId="0" applyFill="1" applyBorder="1"/>
    <xf numFmtId="0" fontId="0" fillId="2" borderId="0" xfId="0" applyFill="1"/>
    <xf numFmtId="0" fontId="0" fillId="2" borderId="7" xfId="0" applyFill="1" applyBorder="1"/>
    <xf numFmtId="0" fontId="0" fillId="2" borderId="3" xfId="0" applyFill="1" applyBorder="1"/>
    <xf numFmtId="0" fontId="0" fillId="2" borderId="5" xfId="0" applyFill="1" applyBorder="1"/>
    <xf numFmtId="0" fontId="0" fillId="2" borderId="8" xfId="0" applyFill="1" applyBorder="1"/>
    <xf numFmtId="0" fontId="0" fillId="3" borderId="8" xfId="0" applyFill="1" applyBorder="1"/>
    <xf numFmtId="0" fontId="0" fillId="3" borderId="3" xfId="0" applyFill="1" applyBorder="1"/>
    <xf numFmtId="0" fontId="0" fillId="3" borderId="5" xfId="0" applyFill="1" applyBorder="1"/>
    <xf numFmtId="0" fontId="0" fillId="4" borderId="5" xfId="0" applyFill="1" applyBorder="1"/>
    <xf numFmtId="0" fontId="0" fillId="4" borderId="3" xfId="0" applyFill="1" applyBorder="1"/>
    <xf numFmtId="0" fontId="0" fillId="4" borderId="8" xfId="0" applyFill="1" applyBorder="1"/>
    <xf numFmtId="0" fontId="0" fillId="4" borderId="0" xfId="0" applyFill="1"/>
    <xf numFmtId="0" fontId="0" fillId="3" borderId="0" xfId="0" applyFill="1"/>
    <xf numFmtId="0" fontId="2" fillId="0" borderId="0" xfId="0" applyFont="1"/>
    <xf numFmtId="0" fontId="0" fillId="5" borderId="0" xfId="0" applyFill="1"/>
    <xf numFmtId="0" fontId="0" fillId="5" borderId="3" xfId="0" applyFill="1" applyBorder="1"/>
    <xf numFmtId="0" fontId="0" fillId="5" borderId="10" xfId="0" applyFill="1" applyBorder="1"/>
    <xf numFmtId="0" fontId="0" fillId="5" borderId="5" xfId="0" applyFill="1" applyBorder="1"/>
    <xf numFmtId="0" fontId="0" fillId="5" borderId="8" xfId="0" applyFill="1" applyBorder="1"/>
    <xf numFmtId="0" fontId="0" fillId="5" borderId="2" xfId="0" applyFill="1" applyBorder="1"/>
    <xf numFmtId="0" fontId="0" fillId="5" borderId="12" xfId="0" applyFill="1" applyBorder="1"/>
    <xf numFmtId="0" fontId="0" fillId="5" borderId="13" xfId="0" applyFill="1" applyBorder="1"/>
    <xf numFmtId="0" fontId="0" fillId="5" borderId="14" xfId="0" applyFill="1" applyBorder="1"/>
    <xf numFmtId="0" fontId="0" fillId="5" borderId="11" xfId="0" applyFill="1" applyBorder="1"/>
    <xf numFmtId="0" fontId="2" fillId="5" borderId="2" xfId="0" applyFont="1" applyFill="1" applyBorder="1"/>
    <xf numFmtId="0" fontId="2" fillId="5" borderId="3" xfId="0" applyFont="1" applyFill="1" applyBorder="1"/>
    <xf numFmtId="0" fontId="0" fillId="4" borderId="10" xfId="0" applyFill="1" applyBorder="1"/>
    <xf numFmtId="0" fontId="0" fillId="2" borderId="10" xfId="0" applyFill="1" applyBorder="1"/>
    <xf numFmtId="0" fontId="4" fillId="5" borderId="0" xfId="0" applyFont="1" applyFill="1"/>
    <xf numFmtId="0" fontId="6" fillId="0" borderId="0" xfId="0" applyFont="1"/>
    <xf numFmtId="0" fontId="6" fillId="0" borderId="1" xfId="0" applyFont="1" applyBorder="1"/>
    <xf numFmtId="0" fontId="6" fillId="0" borderId="3" xfId="0" applyFont="1" applyBorder="1"/>
    <xf numFmtId="0" fontId="6" fillId="0" borderId="4" xfId="0" applyFont="1" applyBorder="1"/>
    <xf numFmtId="0" fontId="6" fillId="0" borderId="5" xfId="0" applyFont="1" applyBorder="1"/>
    <xf numFmtId="0" fontId="6" fillId="0" borderId="6" xfId="0" applyFont="1" applyBorder="1"/>
    <xf numFmtId="0" fontId="6" fillId="0" borderId="8" xfId="0" applyFont="1" applyBorder="1"/>
    <xf numFmtId="0" fontId="6" fillId="3" borderId="5" xfId="0" applyFont="1" applyFill="1" applyBorder="1"/>
    <xf numFmtId="0" fontId="6" fillId="3" borderId="3" xfId="0" applyFont="1" applyFill="1" applyBorder="1"/>
    <xf numFmtId="164" fontId="6" fillId="0" borderId="3" xfId="1" applyNumberFormat="1" applyFont="1" applyBorder="1"/>
    <xf numFmtId="0" fontId="6" fillId="3" borderId="8" xfId="0" applyFont="1" applyFill="1" applyBorder="1"/>
    <xf numFmtId="0" fontId="6" fillId="4" borderId="5" xfId="0" applyFont="1" applyFill="1" applyBorder="1"/>
    <xf numFmtId="0" fontId="0" fillId="5" borderId="7" xfId="0" applyFill="1" applyBorder="1"/>
    <xf numFmtId="11" fontId="0" fillId="5" borderId="0" xfId="0" applyNumberFormat="1" applyFill="1"/>
    <xf numFmtId="11" fontId="0" fillId="5" borderId="7" xfId="0" applyNumberFormat="1" applyFill="1" applyBorder="1"/>
  </cellXfs>
  <cellStyles count="2">
    <cellStyle name="Normal" xfId="0" builtinId="0"/>
    <cellStyle name="Pourcentage" xfId="1" builtinId="5"/>
  </cellStyles>
  <dxfs count="0"/>
  <tableStyles count="0" defaultTableStyle="TableStyleMedium2" defaultPivotStyle="PivotStyleLight16"/>
  <colors>
    <mruColors>
      <color rgb="FFFFCC99"/>
      <color rgb="FFCCCCFF"/>
      <color rgb="FFFFCCCC"/>
      <color rgb="FFCCFFCC"/>
      <color rgb="FFFFFF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BE"/>
              <a:t>Diagramme</a:t>
            </a:r>
            <a:r>
              <a:rPr lang="nl-BE" baseline="0"/>
              <a:t> d'interaction M-N</a:t>
            </a:r>
            <a:endParaRPr lang="nl-B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BE"/>
        </a:p>
      </c:txPr>
    </c:title>
    <c:autoTitleDeleted val="0"/>
    <c:plotArea>
      <c:layout/>
      <c:scatterChart>
        <c:scatterStyle val="lineMarker"/>
        <c:varyColors val="0"/>
        <c:ser>
          <c:idx val="0"/>
          <c:order val="0"/>
          <c:tx>
            <c:v>ELU</c:v>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'Calculs (ELU)'!$V$35:$V$38</c:f>
              <c:numCache>
                <c:formatCode>General</c:formatCode>
                <c:ptCount val="4"/>
                <c:pt idx="0">
                  <c:v>0</c:v>
                </c:pt>
                <c:pt idx="1">
                  <c:v>150.06683148533367</c:v>
                </c:pt>
                <c:pt idx="2">
                  <c:v>150.69186906499999</c:v>
                </c:pt>
                <c:pt idx="3">
                  <c:v>150.06683148533367</c:v>
                </c:pt>
              </c:numCache>
            </c:numRef>
          </c:xVal>
          <c:yVal>
            <c:numRef>
              <c:f>'Calculs (ELU)'!$W$35:$W$38</c:f>
              <c:numCache>
                <c:formatCode>General</c:formatCode>
                <c:ptCount val="4"/>
                <c:pt idx="0">
                  <c:v>1398.1000000000001</c:v>
                </c:pt>
                <c:pt idx="1">
                  <c:v>133.79999999999987</c:v>
                </c:pt>
                <c:pt idx="2">
                  <c:v>66.899999999999935</c:v>
                </c:pt>
                <c:pt idx="3">
                  <c:v>0</c:v>
                </c:pt>
              </c:numCache>
            </c:numRef>
          </c:yVal>
          <c:smooth val="0"/>
          <c:extLst>
            <c:ext xmlns:c16="http://schemas.microsoft.com/office/drawing/2014/chart" uri="{C3380CC4-5D6E-409C-BE32-E72D297353CC}">
              <c16:uniqueId val="{00000000-FC27-4403-AA9A-24E0CD20A29A}"/>
            </c:ext>
          </c:extLst>
        </c:ser>
        <c:ser>
          <c:idx val="3"/>
          <c:order val="2"/>
          <c:tx>
            <c:v>Charges</c:v>
          </c:tx>
          <c:spPr>
            <a:ln w="19050" cap="rnd">
              <a:solidFill>
                <a:schemeClr val="accent4"/>
              </a:solidFill>
              <a:round/>
            </a:ln>
            <a:effectLst/>
          </c:spPr>
          <c:marker>
            <c:symbol val="circle"/>
            <c:size val="5"/>
            <c:spPr>
              <a:solidFill>
                <a:schemeClr val="accent4"/>
              </a:solidFill>
              <a:ln w="9525">
                <a:solidFill>
                  <a:schemeClr val="accent4"/>
                </a:solidFill>
              </a:ln>
              <a:effectLst/>
            </c:spPr>
          </c:marker>
          <c:xVal>
            <c:numRef>
              <c:f>'Calculs (ELU)'!$Q$31</c:f>
              <c:numCache>
                <c:formatCode>General</c:formatCode>
                <c:ptCount val="1"/>
                <c:pt idx="0">
                  <c:v>67.66</c:v>
                </c:pt>
              </c:numCache>
            </c:numRef>
          </c:xVal>
          <c:yVal>
            <c:numRef>
              <c:f>'Calculs (ELU)'!$Q$32</c:f>
              <c:numCache>
                <c:formatCode>General</c:formatCode>
                <c:ptCount val="1"/>
                <c:pt idx="0">
                  <c:v>50</c:v>
                </c:pt>
              </c:numCache>
            </c:numRef>
          </c:yVal>
          <c:smooth val="0"/>
          <c:extLst>
            <c:ext xmlns:c16="http://schemas.microsoft.com/office/drawing/2014/chart" uri="{C3380CC4-5D6E-409C-BE32-E72D297353CC}">
              <c16:uniqueId val="{00000002-FC27-4403-AA9A-24E0CD20A29A}"/>
            </c:ext>
          </c:extLst>
        </c:ser>
        <c:dLbls>
          <c:showLegendKey val="0"/>
          <c:showVal val="0"/>
          <c:showCatName val="0"/>
          <c:showSerName val="0"/>
          <c:showPercent val="0"/>
          <c:showBubbleSize val="0"/>
        </c:dLbls>
        <c:axId val="654149600"/>
        <c:axId val="654149960"/>
        <c:extLst>
          <c:ext xmlns:c15="http://schemas.microsoft.com/office/drawing/2012/chart" uri="{02D57815-91ED-43cb-92C2-25804820EDAC}">
            <c15:filteredScatterSeries>
              <c15:ser>
                <c:idx val="2"/>
                <c:order val="1"/>
                <c:tx>
                  <c:v>ELS</c:v>
                </c:tx>
                <c:spPr>
                  <a:ln w="19050" cap="rnd">
                    <a:solidFill>
                      <a:schemeClr val="accent3"/>
                    </a:solidFill>
                    <a:round/>
                  </a:ln>
                  <a:effectLst/>
                </c:spPr>
                <c:marker>
                  <c:symbol val="circle"/>
                  <c:size val="5"/>
                  <c:spPr>
                    <a:solidFill>
                      <a:schemeClr val="accent3"/>
                    </a:solidFill>
                    <a:ln w="9525">
                      <a:solidFill>
                        <a:schemeClr val="accent3"/>
                      </a:solidFill>
                    </a:ln>
                    <a:effectLst/>
                  </c:spPr>
                </c:marker>
                <c:xVal>
                  <c:numRef>
                    <c:extLst>
                      <c:ext uri="{02D57815-91ED-43cb-92C2-25804820EDAC}">
                        <c15:formulaRef>
                          <c15:sqref>'Calculs (ELU)'!$Y$19:$Y$20</c15:sqref>
                        </c15:formulaRef>
                      </c:ext>
                    </c:extLst>
                    <c:numCache>
                      <c:formatCode>General</c:formatCode>
                      <c:ptCount val="2"/>
                      <c:pt idx="0">
                        <c:v>0</c:v>
                      </c:pt>
                      <c:pt idx="1">
                        <c:v>0</c:v>
                      </c:pt>
                    </c:numCache>
                  </c:numRef>
                </c:xVal>
                <c:yVal>
                  <c:numRef>
                    <c:extLst>
                      <c:ext uri="{02D57815-91ED-43cb-92C2-25804820EDAC}">
                        <c15:formulaRef>
                          <c15:sqref>'Calculs (ELU)'!$Z$19:$Z$20</c15:sqref>
                        </c15:formulaRef>
                      </c:ext>
                    </c:extLst>
                    <c:numCache>
                      <c:formatCode>General</c:formatCode>
                      <c:ptCount val="2"/>
                      <c:pt idx="0">
                        <c:v>0</c:v>
                      </c:pt>
                      <c:pt idx="1">
                        <c:v>0</c:v>
                      </c:pt>
                    </c:numCache>
                  </c:numRef>
                </c:yVal>
                <c:smooth val="0"/>
                <c:extLst>
                  <c:ext xmlns:c16="http://schemas.microsoft.com/office/drawing/2014/chart" uri="{C3380CC4-5D6E-409C-BE32-E72D297353CC}">
                    <c16:uniqueId val="{00000001-FC27-4403-AA9A-24E0CD20A29A}"/>
                  </c:ext>
                </c:extLst>
              </c15:ser>
            </c15:filteredScatterSeries>
          </c:ext>
        </c:extLst>
      </c:scatterChart>
      <c:valAx>
        <c:axId val="65414960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nl-BE"/>
                  <a:t>M</a:t>
                </a:r>
                <a:r>
                  <a:rPr lang="nl-BE" baseline="0"/>
                  <a:t> [kNm]</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B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654149960"/>
        <c:crosses val="autoZero"/>
        <c:crossBetween val="midCat"/>
      </c:valAx>
      <c:valAx>
        <c:axId val="6541499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nl-BE"/>
                  <a:t>N [kN]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B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654149600"/>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B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BE"/>
              <a:t>Diagramme</a:t>
            </a:r>
            <a:r>
              <a:rPr lang="nl-BE" baseline="0"/>
              <a:t> d'interaction M-N</a:t>
            </a:r>
            <a:endParaRPr lang="nl-B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BE"/>
        </a:p>
      </c:txPr>
    </c:title>
    <c:autoTitleDeleted val="0"/>
    <c:plotArea>
      <c:layout/>
      <c:scatterChart>
        <c:scatterStyle val="lineMarker"/>
        <c:varyColors val="0"/>
        <c:ser>
          <c:idx val="2"/>
          <c:order val="1"/>
          <c:tx>
            <c:v>ELS</c:v>
          </c:tx>
          <c:spPr>
            <a:ln w="19050" cap="rnd">
              <a:solidFill>
                <a:schemeClr val="accent3"/>
              </a:solidFill>
              <a:round/>
            </a:ln>
            <a:effectLst/>
          </c:spPr>
          <c:marker>
            <c:symbol val="circle"/>
            <c:size val="5"/>
            <c:spPr>
              <a:solidFill>
                <a:schemeClr val="accent3"/>
              </a:solidFill>
              <a:ln w="9525">
                <a:solidFill>
                  <a:schemeClr val="accent3"/>
                </a:solidFill>
              </a:ln>
              <a:effectLst/>
            </c:spPr>
          </c:marker>
          <c:xVal>
            <c:numRef>
              <c:f>'Calculs (ELS)'!$Y$19:$Y$20</c:f>
              <c:numCache>
                <c:formatCode>General</c:formatCode>
                <c:ptCount val="2"/>
                <c:pt idx="0">
                  <c:v>0</c:v>
                </c:pt>
                <c:pt idx="1">
                  <c:v>110.02291599372374</c:v>
                </c:pt>
              </c:numCache>
            </c:numRef>
          </c:xVal>
          <c:yVal>
            <c:numRef>
              <c:f>'Calculs (ELS)'!$Z$19:$Z$20</c:f>
              <c:numCache>
                <c:formatCode>General</c:formatCode>
                <c:ptCount val="2"/>
                <c:pt idx="0">
                  <c:v>1052.3347000000001</c:v>
                </c:pt>
                <c:pt idx="1">
                  <c:v>0</c:v>
                </c:pt>
              </c:numCache>
            </c:numRef>
          </c:yVal>
          <c:smooth val="0"/>
          <c:extLst>
            <c:ext xmlns:c16="http://schemas.microsoft.com/office/drawing/2014/chart" uri="{C3380CC4-5D6E-409C-BE32-E72D297353CC}">
              <c16:uniqueId val="{00000001-C819-4DAB-A522-DE260D97547A}"/>
            </c:ext>
          </c:extLst>
        </c:ser>
        <c:ser>
          <c:idx val="3"/>
          <c:order val="2"/>
          <c:tx>
            <c:v>Charges</c:v>
          </c:tx>
          <c:spPr>
            <a:ln w="19050" cap="rnd">
              <a:solidFill>
                <a:schemeClr val="accent4"/>
              </a:solidFill>
              <a:round/>
            </a:ln>
            <a:effectLst/>
          </c:spPr>
          <c:marker>
            <c:symbol val="circle"/>
            <c:size val="5"/>
            <c:spPr>
              <a:solidFill>
                <a:schemeClr val="accent4"/>
              </a:solidFill>
              <a:ln w="9525">
                <a:solidFill>
                  <a:schemeClr val="accent4"/>
                </a:solidFill>
              </a:ln>
              <a:effectLst/>
            </c:spPr>
          </c:marker>
          <c:xVal>
            <c:numRef>
              <c:f>'Calculs (ELS)'!$Q$31</c:f>
              <c:numCache>
                <c:formatCode>General</c:formatCode>
                <c:ptCount val="1"/>
                <c:pt idx="0">
                  <c:v>72.699000000000012</c:v>
                </c:pt>
              </c:numCache>
            </c:numRef>
          </c:xVal>
          <c:yVal>
            <c:numRef>
              <c:f>'Calculs (ELS)'!$Q$32</c:f>
              <c:numCache>
                <c:formatCode>General</c:formatCode>
                <c:ptCount val="1"/>
                <c:pt idx="0">
                  <c:v>53.208525436967982</c:v>
                </c:pt>
              </c:numCache>
            </c:numRef>
          </c:yVal>
          <c:smooth val="0"/>
          <c:extLst>
            <c:ext xmlns:c16="http://schemas.microsoft.com/office/drawing/2014/chart" uri="{C3380CC4-5D6E-409C-BE32-E72D297353CC}">
              <c16:uniqueId val="{00000002-C819-4DAB-A522-DE260D97547A}"/>
            </c:ext>
          </c:extLst>
        </c:ser>
        <c:dLbls>
          <c:showLegendKey val="0"/>
          <c:showVal val="0"/>
          <c:showCatName val="0"/>
          <c:showSerName val="0"/>
          <c:showPercent val="0"/>
          <c:showBubbleSize val="0"/>
        </c:dLbls>
        <c:axId val="654149600"/>
        <c:axId val="654149960"/>
        <c:extLst>
          <c:ext xmlns:c15="http://schemas.microsoft.com/office/drawing/2012/chart" uri="{02D57815-91ED-43cb-92C2-25804820EDAC}">
            <c15:filteredScatterSeries>
              <c15:ser>
                <c:idx val="0"/>
                <c:order val="0"/>
                <c:tx>
                  <c:v>ELU</c:v>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extLst>
                      <c:ext uri="{02D57815-91ED-43cb-92C2-25804820EDAC}">
                        <c15:formulaRef>
                          <c15:sqref>'Calculs (ELU)'!$V$35:$V$38</c15:sqref>
                        </c15:formulaRef>
                      </c:ext>
                    </c:extLst>
                    <c:numCache>
                      <c:formatCode>General</c:formatCode>
                      <c:ptCount val="4"/>
                      <c:pt idx="0">
                        <c:v>0</c:v>
                      </c:pt>
                      <c:pt idx="1">
                        <c:v>150.06683148533367</c:v>
                      </c:pt>
                      <c:pt idx="2">
                        <c:v>150.69186906499999</c:v>
                      </c:pt>
                      <c:pt idx="3">
                        <c:v>150.06683148533367</c:v>
                      </c:pt>
                    </c:numCache>
                  </c:numRef>
                </c:xVal>
                <c:yVal>
                  <c:numRef>
                    <c:extLst>
                      <c:ext uri="{02D57815-91ED-43cb-92C2-25804820EDAC}">
                        <c15:formulaRef>
                          <c15:sqref>'Calculs (ELU)'!$W$35:$W$38</c15:sqref>
                        </c15:formulaRef>
                      </c:ext>
                    </c:extLst>
                    <c:numCache>
                      <c:formatCode>General</c:formatCode>
                      <c:ptCount val="4"/>
                      <c:pt idx="0">
                        <c:v>1398.1000000000001</c:v>
                      </c:pt>
                      <c:pt idx="1">
                        <c:v>133.79999999999987</c:v>
                      </c:pt>
                      <c:pt idx="2">
                        <c:v>66.899999999999935</c:v>
                      </c:pt>
                      <c:pt idx="3">
                        <c:v>0</c:v>
                      </c:pt>
                    </c:numCache>
                  </c:numRef>
                </c:yVal>
                <c:smooth val="0"/>
                <c:extLst>
                  <c:ext xmlns:c16="http://schemas.microsoft.com/office/drawing/2014/chart" uri="{C3380CC4-5D6E-409C-BE32-E72D297353CC}">
                    <c16:uniqueId val="{00000000-C819-4DAB-A522-DE260D97547A}"/>
                  </c:ext>
                </c:extLst>
              </c15:ser>
            </c15:filteredScatterSeries>
          </c:ext>
        </c:extLst>
      </c:scatterChart>
      <c:valAx>
        <c:axId val="65414960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nl-BE"/>
                  <a:t>M</a:t>
                </a:r>
                <a:r>
                  <a:rPr lang="nl-BE" baseline="0"/>
                  <a:t> [kNm]</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B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654149960"/>
        <c:crosses val="autoZero"/>
        <c:crossBetween val="midCat"/>
      </c:valAx>
      <c:valAx>
        <c:axId val="6541499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nl-BE"/>
                  <a:t>N [kN]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BE"/>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654149600"/>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B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0</xdr:colOff>
      <xdr:row>12</xdr:row>
      <xdr:rowOff>0</xdr:rowOff>
    </xdr:from>
    <xdr:to>
      <xdr:col>20</xdr:col>
      <xdr:colOff>0</xdr:colOff>
      <xdr:row>32</xdr:row>
      <xdr:rowOff>26670</xdr:rowOff>
    </xdr:to>
    <xdr:sp macro="" textlink="">
      <xdr:nvSpPr>
        <xdr:cNvPr id="6" name="Rectangle 5">
          <a:extLst>
            <a:ext uri="{FF2B5EF4-FFF2-40B4-BE49-F238E27FC236}">
              <a16:creationId xmlns:a16="http://schemas.microsoft.com/office/drawing/2014/main" id="{C445310A-1F6D-2CF4-8129-2EA3131D1BA3}"/>
            </a:ext>
          </a:extLst>
        </xdr:cNvPr>
        <xdr:cNvSpPr/>
      </xdr:nvSpPr>
      <xdr:spPr>
        <a:xfrm>
          <a:off x="1760220" y="2331720"/>
          <a:ext cx="12755880" cy="3684270"/>
        </a:xfrm>
        <a:prstGeom prst="rect">
          <a:avLst/>
        </a:prstGeom>
        <a:noFill/>
        <a:ln w="19050">
          <a:solidFill>
            <a:srgbClr val="FFCCC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BE" sz="1100"/>
        </a:p>
      </xdr:txBody>
    </xdr:sp>
    <xdr:clientData/>
  </xdr:twoCellAnchor>
  <xdr:twoCellAnchor>
    <xdr:from>
      <xdr:col>13</xdr:col>
      <xdr:colOff>209550</xdr:colOff>
      <xdr:row>34</xdr:row>
      <xdr:rowOff>110490</xdr:rowOff>
    </xdr:from>
    <xdr:to>
      <xdr:col>19</xdr:col>
      <xdr:colOff>0</xdr:colOff>
      <xdr:row>49</xdr:row>
      <xdr:rowOff>110490</xdr:rowOff>
    </xdr:to>
    <xdr:graphicFrame macro="">
      <xdr:nvGraphicFramePr>
        <xdr:cNvPr id="7" name="Graphique 2">
          <a:extLst>
            <a:ext uri="{FF2B5EF4-FFF2-40B4-BE49-F238E27FC236}">
              <a16:creationId xmlns:a16="http://schemas.microsoft.com/office/drawing/2014/main" id="{11AFBB7E-30B9-F8ED-F366-3C0C7F2DCA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32</xdr:row>
      <xdr:rowOff>177165</xdr:rowOff>
    </xdr:from>
    <xdr:to>
      <xdr:col>20</xdr:col>
      <xdr:colOff>0</xdr:colOff>
      <xdr:row>51</xdr:row>
      <xdr:rowOff>0</xdr:rowOff>
    </xdr:to>
    <xdr:sp macro="" textlink="">
      <xdr:nvSpPr>
        <xdr:cNvPr id="8" name="Rectangle 7">
          <a:extLst>
            <a:ext uri="{FF2B5EF4-FFF2-40B4-BE49-F238E27FC236}">
              <a16:creationId xmlns:a16="http://schemas.microsoft.com/office/drawing/2014/main" id="{B65AC399-0C43-42BD-A9CB-E4E8DEE00634}"/>
            </a:ext>
          </a:extLst>
        </xdr:cNvPr>
        <xdr:cNvSpPr/>
      </xdr:nvSpPr>
      <xdr:spPr>
        <a:xfrm>
          <a:off x="1158240" y="6166485"/>
          <a:ext cx="12755880" cy="3297555"/>
        </a:xfrm>
        <a:prstGeom prst="rect">
          <a:avLst/>
        </a:prstGeom>
        <a:noFill/>
        <a:ln w="19050">
          <a:solidFill>
            <a:srgbClr val="FFCCC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BE" sz="1100"/>
        </a:p>
      </xdr:txBody>
    </xdr:sp>
    <xdr:clientData/>
  </xdr:twoCellAnchor>
  <xdr:twoCellAnchor>
    <xdr:from>
      <xdr:col>4</xdr:col>
      <xdr:colOff>0</xdr:colOff>
      <xdr:row>52</xdr:row>
      <xdr:rowOff>0</xdr:rowOff>
    </xdr:from>
    <xdr:to>
      <xdr:col>20</xdr:col>
      <xdr:colOff>0</xdr:colOff>
      <xdr:row>56</xdr:row>
      <xdr:rowOff>0</xdr:rowOff>
    </xdr:to>
    <xdr:sp macro="" textlink="">
      <xdr:nvSpPr>
        <xdr:cNvPr id="9" name="Rectangle 8">
          <a:extLst>
            <a:ext uri="{FF2B5EF4-FFF2-40B4-BE49-F238E27FC236}">
              <a16:creationId xmlns:a16="http://schemas.microsoft.com/office/drawing/2014/main" id="{2747E4A3-AA75-4BA4-BF2D-53E32C08546E}"/>
            </a:ext>
          </a:extLst>
        </xdr:cNvPr>
        <xdr:cNvSpPr/>
      </xdr:nvSpPr>
      <xdr:spPr>
        <a:xfrm>
          <a:off x="1158240" y="9646920"/>
          <a:ext cx="12755880" cy="731520"/>
        </a:xfrm>
        <a:prstGeom prst="rect">
          <a:avLst/>
        </a:prstGeom>
        <a:noFill/>
        <a:ln w="19050">
          <a:solidFill>
            <a:srgbClr val="FFCCC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BE" sz="1100"/>
        </a:p>
      </xdr:txBody>
    </xdr:sp>
    <xdr:clientData/>
  </xdr:twoCellAnchor>
  <xdr:twoCellAnchor>
    <xdr:from>
      <xdr:col>0</xdr:col>
      <xdr:colOff>0</xdr:colOff>
      <xdr:row>1</xdr:row>
      <xdr:rowOff>152400</xdr:rowOff>
    </xdr:from>
    <xdr:to>
      <xdr:col>20</xdr:col>
      <xdr:colOff>0</xdr:colOff>
      <xdr:row>5</xdr:row>
      <xdr:rowOff>0</xdr:rowOff>
    </xdr:to>
    <xdr:sp macro="" textlink="">
      <xdr:nvSpPr>
        <xdr:cNvPr id="10" name="ZoneTexte 9">
          <a:extLst>
            <a:ext uri="{FF2B5EF4-FFF2-40B4-BE49-F238E27FC236}">
              <a16:creationId xmlns:a16="http://schemas.microsoft.com/office/drawing/2014/main" id="{C32A542D-75D4-A33E-0B7D-7E7B43E9D2E3}"/>
            </a:ext>
          </a:extLst>
        </xdr:cNvPr>
        <xdr:cNvSpPr txBox="1"/>
      </xdr:nvSpPr>
      <xdr:spPr>
        <a:xfrm>
          <a:off x="0" y="523875"/>
          <a:ext cx="14487525" cy="523875"/>
        </a:xfrm>
        <a:prstGeom prst="rect">
          <a:avLst/>
        </a:prstGeom>
        <a:solidFill>
          <a:schemeClr val="lt1"/>
        </a:solidFill>
        <a:ln w="19050" cmpd="sng">
          <a:solidFill>
            <a:srgbClr val="FFCC99"/>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BE" sz="1100"/>
            <a:t>Le but</a:t>
          </a:r>
          <a:r>
            <a:rPr lang="nl-BE" sz="1100" baseline="0"/>
            <a:t> de cette feuille de calculs Excel est d'assiter le dimensionnement d'une paroi de soutènement sur base des normes belges de dimensionnement de ce type d'ouvrage telles que décrites dans l'ouvrage </a:t>
          </a:r>
          <a:r>
            <a:rPr lang="nl-BE" sz="1100" i="1" baseline="0"/>
            <a:t>Handbook - Soil mix walls </a:t>
          </a:r>
          <a:r>
            <a:rPr lang="nl-BE" sz="1100" baseline="0"/>
            <a:t>de N. Denies et N. Huybrecht. Un logiciel de calcul de efforts dans une paroi de soutènement est nécessaire en parallèle de cette feuille de calculs car elle se base sur ceux-ci afin de vérifier la résistance de la paroi.</a:t>
          </a:r>
          <a:endParaRPr lang="nl-BE" sz="1100"/>
        </a:p>
      </xdr:txBody>
    </xdr:sp>
    <xdr:clientData/>
  </xdr:twoCellAnchor>
  <xdr:twoCellAnchor>
    <xdr:from>
      <xdr:col>2</xdr:col>
      <xdr:colOff>0</xdr:colOff>
      <xdr:row>11</xdr:row>
      <xdr:rowOff>173355</xdr:rowOff>
    </xdr:from>
    <xdr:to>
      <xdr:col>3</xdr:col>
      <xdr:colOff>0</xdr:colOff>
      <xdr:row>19</xdr:row>
      <xdr:rowOff>0</xdr:rowOff>
    </xdr:to>
    <xdr:sp macro="" textlink="">
      <xdr:nvSpPr>
        <xdr:cNvPr id="11" name="ZoneTexte 10">
          <a:extLst>
            <a:ext uri="{FF2B5EF4-FFF2-40B4-BE49-F238E27FC236}">
              <a16:creationId xmlns:a16="http://schemas.microsoft.com/office/drawing/2014/main" id="{ACCBD058-F159-D7F9-0EC5-14A181422403}"/>
            </a:ext>
          </a:extLst>
        </xdr:cNvPr>
        <xdr:cNvSpPr txBox="1"/>
      </xdr:nvSpPr>
      <xdr:spPr>
        <a:xfrm>
          <a:off x="600075" y="2306955"/>
          <a:ext cx="1000125" cy="1274445"/>
        </a:xfrm>
        <a:prstGeom prst="rect">
          <a:avLst/>
        </a:prstGeom>
        <a:solidFill>
          <a:schemeClr val="lt1"/>
        </a:solidFill>
        <a:ln w="19050" cmpd="sng">
          <a:solidFill>
            <a:srgbClr val="FFCCCC"/>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BE" sz="1100"/>
            <a:t>Étape 1 : Estimation du</a:t>
          </a:r>
          <a:r>
            <a:rPr lang="nl-BE" sz="1100" baseline="0"/>
            <a:t> moment afin de permettre le choix du profilé</a:t>
          </a:r>
          <a:endParaRPr lang="nl-BE" sz="1100"/>
        </a:p>
      </xdr:txBody>
    </xdr:sp>
    <xdr:clientData/>
  </xdr:twoCellAnchor>
  <xdr:twoCellAnchor>
    <xdr:from>
      <xdr:col>2</xdr:col>
      <xdr:colOff>9525</xdr:colOff>
      <xdr:row>33</xdr:row>
      <xdr:rowOff>0</xdr:rowOff>
    </xdr:from>
    <xdr:to>
      <xdr:col>3</xdr:col>
      <xdr:colOff>0</xdr:colOff>
      <xdr:row>40</xdr:row>
      <xdr:rowOff>0</xdr:rowOff>
    </xdr:to>
    <xdr:sp macro="" textlink="">
      <xdr:nvSpPr>
        <xdr:cNvPr id="12" name="ZoneTexte 11">
          <a:extLst>
            <a:ext uri="{FF2B5EF4-FFF2-40B4-BE49-F238E27FC236}">
              <a16:creationId xmlns:a16="http://schemas.microsoft.com/office/drawing/2014/main" id="{E2E6AB82-4655-43F3-A689-F88477C6B5C0}"/>
            </a:ext>
          </a:extLst>
        </xdr:cNvPr>
        <xdr:cNvSpPr txBox="1"/>
      </xdr:nvSpPr>
      <xdr:spPr>
        <a:xfrm>
          <a:off x="9525" y="6172200"/>
          <a:ext cx="988695" cy="1280160"/>
        </a:xfrm>
        <a:prstGeom prst="rect">
          <a:avLst/>
        </a:prstGeom>
        <a:solidFill>
          <a:schemeClr val="lt1"/>
        </a:solidFill>
        <a:ln w="19050" cmpd="sng">
          <a:solidFill>
            <a:srgbClr val="FFCCCC"/>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BE" sz="1100"/>
            <a:t>Étape 2 : Vérifications des efforts dans la paroi</a:t>
          </a:r>
        </a:p>
      </xdr:txBody>
    </xdr:sp>
    <xdr:clientData/>
  </xdr:twoCellAnchor>
  <xdr:twoCellAnchor>
    <xdr:from>
      <xdr:col>2</xdr:col>
      <xdr:colOff>1</xdr:colOff>
      <xdr:row>52</xdr:row>
      <xdr:rowOff>301</xdr:rowOff>
    </xdr:from>
    <xdr:to>
      <xdr:col>3</xdr:col>
      <xdr:colOff>1</xdr:colOff>
      <xdr:row>56</xdr:row>
      <xdr:rowOff>0</xdr:rowOff>
    </xdr:to>
    <xdr:sp macro="" textlink="">
      <xdr:nvSpPr>
        <xdr:cNvPr id="13" name="ZoneTexte 12">
          <a:extLst>
            <a:ext uri="{FF2B5EF4-FFF2-40B4-BE49-F238E27FC236}">
              <a16:creationId xmlns:a16="http://schemas.microsoft.com/office/drawing/2014/main" id="{53E4780C-68FE-4529-ACD1-A88067469490}"/>
            </a:ext>
          </a:extLst>
        </xdr:cNvPr>
        <xdr:cNvSpPr txBox="1"/>
      </xdr:nvSpPr>
      <xdr:spPr>
        <a:xfrm>
          <a:off x="1" y="9372901"/>
          <a:ext cx="1000125" cy="723599"/>
        </a:xfrm>
        <a:prstGeom prst="rect">
          <a:avLst/>
        </a:prstGeom>
        <a:solidFill>
          <a:schemeClr val="lt1"/>
        </a:solidFill>
        <a:ln w="19050" cmpd="sng">
          <a:solidFill>
            <a:srgbClr val="FFCCCC"/>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BE" sz="1100"/>
            <a:t>Étape 3 : Vérification de la hauteur</a:t>
          </a:r>
          <a:r>
            <a:rPr lang="nl-BE" sz="1100" baseline="0"/>
            <a:t> </a:t>
          </a:r>
          <a:endParaRPr lang="nl-BE" sz="1100"/>
        </a:p>
      </xdr:txBody>
    </xdr:sp>
    <xdr:clientData/>
  </xdr:twoCellAnchor>
  <xdr:twoCellAnchor>
    <xdr:from>
      <xdr:col>7</xdr:col>
      <xdr:colOff>0</xdr:colOff>
      <xdr:row>0</xdr:row>
      <xdr:rowOff>106679</xdr:rowOff>
    </xdr:from>
    <xdr:to>
      <xdr:col>15</xdr:col>
      <xdr:colOff>725805</xdr:colOff>
      <xdr:row>1</xdr:row>
      <xdr:rowOff>66675</xdr:rowOff>
    </xdr:to>
    <xdr:sp macro="" textlink="">
      <xdr:nvSpPr>
        <xdr:cNvPr id="14" name="ZoneTexte 13">
          <a:extLst>
            <a:ext uri="{FF2B5EF4-FFF2-40B4-BE49-F238E27FC236}">
              <a16:creationId xmlns:a16="http://schemas.microsoft.com/office/drawing/2014/main" id="{819077C1-2160-4E7D-949B-9CF361B6A859}"/>
            </a:ext>
          </a:extLst>
        </xdr:cNvPr>
        <xdr:cNvSpPr txBox="1"/>
      </xdr:nvSpPr>
      <xdr:spPr>
        <a:xfrm>
          <a:off x="3962400" y="106679"/>
          <a:ext cx="7050405" cy="331471"/>
        </a:xfrm>
        <a:prstGeom prst="rect">
          <a:avLst/>
        </a:prstGeom>
        <a:solidFill>
          <a:schemeClr val="lt1"/>
        </a:solidFill>
        <a:ln w="19050" cmpd="sng">
          <a:solidFill>
            <a:srgbClr val="FFCC99"/>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nl-BE" sz="1400" b="1" u="sng"/>
            <a:t>Dimensionnement d'une paroi de soutènement</a:t>
          </a:r>
          <a:r>
            <a:rPr lang="nl-BE" sz="1400" b="1" u="sng" baseline="0"/>
            <a:t> réalisée avec la méthode du soil mixing</a:t>
          </a:r>
          <a:endParaRPr lang="nl-BE" sz="1400" b="1" u="sng"/>
        </a:p>
      </xdr:txBody>
    </xdr:sp>
    <xdr:clientData/>
  </xdr:twoCellAnchor>
  <xdr:twoCellAnchor>
    <xdr:from>
      <xdr:col>0</xdr:col>
      <xdr:colOff>0</xdr:colOff>
      <xdr:row>6</xdr:row>
      <xdr:rowOff>2925</xdr:rowOff>
    </xdr:from>
    <xdr:to>
      <xdr:col>20</xdr:col>
      <xdr:colOff>0</xdr:colOff>
      <xdr:row>9</xdr:row>
      <xdr:rowOff>0</xdr:rowOff>
    </xdr:to>
    <xdr:sp macro="" textlink="">
      <xdr:nvSpPr>
        <xdr:cNvPr id="18" name="ZoneTexte 17">
          <a:extLst>
            <a:ext uri="{FF2B5EF4-FFF2-40B4-BE49-F238E27FC236}">
              <a16:creationId xmlns:a16="http://schemas.microsoft.com/office/drawing/2014/main" id="{C69B8BBC-190B-40D2-A690-864EBC564F87}"/>
            </a:ext>
          </a:extLst>
        </xdr:cNvPr>
        <xdr:cNvSpPr txBox="1"/>
      </xdr:nvSpPr>
      <xdr:spPr>
        <a:xfrm>
          <a:off x="0" y="1231650"/>
          <a:ext cx="14487525" cy="540000"/>
        </a:xfrm>
        <a:prstGeom prst="rect">
          <a:avLst/>
        </a:prstGeom>
        <a:solidFill>
          <a:schemeClr val="lt1"/>
        </a:solidFill>
        <a:ln w="19050" cmpd="sng">
          <a:solidFill>
            <a:srgbClr val="FFCC99"/>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BE" sz="1100"/>
            <a:t>Le dimensionnement</a:t>
          </a:r>
          <a:r>
            <a:rPr lang="nl-BE" sz="1100" baseline="0"/>
            <a:t> est divisé en une vérification aux ELU pour la phase de construction la plus dimensionnante puis la vérification aux ELS des autres phases. Les deux types de vérifications sont divisés en 3 étapes chacune ci-dessous. Un code couleur indique les valeurs à entrer manuellement dans la case ou celles utiles pour le code de calculs des efforts.</a:t>
          </a:r>
          <a:endParaRPr lang="nl-BE" sz="1100"/>
        </a:p>
      </xdr:txBody>
    </xdr:sp>
    <xdr:clientData/>
  </xdr:twoCellAnchor>
  <xdr:twoCellAnchor>
    <xdr:from>
      <xdr:col>4</xdr:col>
      <xdr:colOff>0</xdr:colOff>
      <xdr:row>57</xdr:row>
      <xdr:rowOff>0</xdr:rowOff>
    </xdr:from>
    <xdr:to>
      <xdr:col>20</xdr:col>
      <xdr:colOff>0</xdr:colOff>
      <xdr:row>63</xdr:row>
      <xdr:rowOff>0</xdr:rowOff>
    </xdr:to>
    <xdr:sp macro="" textlink="">
      <xdr:nvSpPr>
        <xdr:cNvPr id="2" name="Rectangle 1">
          <a:extLst>
            <a:ext uri="{FF2B5EF4-FFF2-40B4-BE49-F238E27FC236}">
              <a16:creationId xmlns:a16="http://schemas.microsoft.com/office/drawing/2014/main" id="{EE8E3AEC-D023-4487-BCCE-43AB93ECA93C}"/>
            </a:ext>
          </a:extLst>
        </xdr:cNvPr>
        <xdr:cNvSpPr/>
      </xdr:nvSpPr>
      <xdr:spPr>
        <a:xfrm>
          <a:off x="1162050" y="10277475"/>
          <a:ext cx="12725400" cy="723900"/>
        </a:xfrm>
        <a:prstGeom prst="rect">
          <a:avLst/>
        </a:prstGeom>
        <a:noFill/>
        <a:ln w="19050">
          <a:solidFill>
            <a:srgbClr val="CCCC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BE" sz="1100"/>
        </a:p>
      </xdr:txBody>
    </xdr:sp>
    <xdr:clientData/>
  </xdr:twoCellAnchor>
  <xdr:twoCellAnchor>
    <xdr:from>
      <xdr:col>2</xdr:col>
      <xdr:colOff>0</xdr:colOff>
      <xdr:row>57</xdr:row>
      <xdr:rowOff>0</xdr:rowOff>
    </xdr:from>
    <xdr:to>
      <xdr:col>3</xdr:col>
      <xdr:colOff>0</xdr:colOff>
      <xdr:row>63</xdr:row>
      <xdr:rowOff>0</xdr:rowOff>
    </xdr:to>
    <xdr:sp macro="" textlink="">
      <xdr:nvSpPr>
        <xdr:cNvPr id="3" name="ZoneTexte 2">
          <a:extLst>
            <a:ext uri="{FF2B5EF4-FFF2-40B4-BE49-F238E27FC236}">
              <a16:creationId xmlns:a16="http://schemas.microsoft.com/office/drawing/2014/main" id="{407034CC-D6EB-445F-8C56-F9973EA1963A}"/>
            </a:ext>
          </a:extLst>
        </xdr:cNvPr>
        <xdr:cNvSpPr txBox="1"/>
      </xdr:nvSpPr>
      <xdr:spPr>
        <a:xfrm>
          <a:off x="0" y="10277475"/>
          <a:ext cx="1000125" cy="723900"/>
        </a:xfrm>
        <a:prstGeom prst="rect">
          <a:avLst/>
        </a:prstGeom>
        <a:solidFill>
          <a:schemeClr val="lt1"/>
        </a:solidFill>
        <a:ln w="19050" cmpd="sng">
          <a:solidFill>
            <a:srgbClr val="CCCC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BE" sz="1100"/>
            <a:t>Étape 4 : Résistances et rigidité</a:t>
          </a:r>
        </a:p>
      </xdr:txBody>
    </xdr:sp>
    <xdr:clientData/>
  </xdr:twoCellAnchor>
  <xdr:twoCellAnchor>
    <xdr:from>
      <xdr:col>11</xdr:col>
      <xdr:colOff>19050</xdr:colOff>
      <xdr:row>64</xdr:row>
      <xdr:rowOff>169545</xdr:rowOff>
    </xdr:from>
    <xdr:to>
      <xdr:col>16</xdr:col>
      <xdr:colOff>605790</xdr:colOff>
      <xdr:row>80</xdr:row>
      <xdr:rowOff>169545</xdr:rowOff>
    </xdr:to>
    <xdr:graphicFrame macro="">
      <xdr:nvGraphicFramePr>
        <xdr:cNvPr id="4" name="Graphique 2">
          <a:extLst>
            <a:ext uri="{FF2B5EF4-FFF2-40B4-BE49-F238E27FC236}">
              <a16:creationId xmlns:a16="http://schemas.microsoft.com/office/drawing/2014/main" id="{665A00A3-BFB3-490A-811D-AE054F9AEF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63</xdr:row>
      <xdr:rowOff>179069</xdr:rowOff>
    </xdr:from>
    <xdr:to>
      <xdr:col>20</xdr:col>
      <xdr:colOff>0</xdr:colOff>
      <xdr:row>82</xdr:row>
      <xdr:rowOff>0</xdr:rowOff>
    </xdr:to>
    <xdr:sp macro="" textlink="">
      <xdr:nvSpPr>
        <xdr:cNvPr id="5" name="Rectangle 4">
          <a:extLst>
            <a:ext uri="{FF2B5EF4-FFF2-40B4-BE49-F238E27FC236}">
              <a16:creationId xmlns:a16="http://schemas.microsoft.com/office/drawing/2014/main" id="{69237462-77E5-47B7-BA54-ECC2C2AEAC92}"/>
            </a:ext>
          </a:extLst>
        </xdr:cNvPr>
        <xdr:cNvSpPr/>
      </xdr:nvSpPr>
      <xdr:spPr>
        <a:xfrm>
          <a:off x="1162050" y="11180444"/>
          <a:ext cx="12725400" cy="3078481"/>
        </a:xfrm>
        <a:prstGeom prst="rect">
          <a:avLst/>
        </a:prstGeom>
        <a:noFill/>
        <a:ln w="19050">
          <a:solidFill>
            <a:srgbClr val="CCCC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BE" sz="1100"/>
        </a:p>
      </xdr:txBody>
    </xdr:sp>
    <xdr:clientData/>
  </xdr:twoCellAnchor>
  <xdr:twoCellAnchor>
    <xdr:from>
      <xdr:col>2</xdr:col>
      <xdr:colOff>0</xdr:colOff>
      <xdr:row>64</xdr:row>
      <xdr:rowOff>0</xdr:rowOff>
    </xdr:from>
    <xdr:to>
      <xdr:col>3</xdr:col>
      <xdr:colOff>0</xdr:colOff>
      <xdr:row>69</xdr:row>
      <xdr:rowOff>0</xdr:rowOff>
    </xdr:to>
    <xdr:sp macro="" textlink="">
      <xdr:nvSpPr>
        <xdr:cNvPr id="15" name="ZoneTexte 14">
          <a:extLst>
            <a:ext uri="{FF2B5EF4-FFF2-40B4-BE49-F238E27FC236}">
              <a16:creationId xmlns:a16="http://schemas.microsoft.com/office/drawing/2014/main" id="{979A2195-ABD1-4D93-9C51-8EA874BDEC24}"/>
            </a:ext>
          </a:extLst>
        </xdr:cNvPr>
        <xdr:cNvSpPr txBox="1"/>
      </xdr:nvSpPr>
      <xdr:spPr>
        <a:xfrm>
          <a:off x="0" y="11182350"/>
          <a:ext cx="1000125" cy="723900"/>
        </a:xfrm>
        <a:prstGeom prst="rect">
          <a:avLst/>
        </a:prstGeom>
        <a:solidFill>
          <a:schemeClr val="lt1"/>
        </a:solidFill>
        <a:ln w="19050" cmpd="sng">
          <a:solidFill>
            <a:srgbClr val="CCCC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BE" sz="1100"/>
            <a:t>Étape 5 : Vérifications</a:t>
          </a:r>
          <a:r>
            <a:rPr lang="nl-BE" sz="1100" baseline="0"/>
            <a:t> résistances</a:t>
          </a:r>
          <a:endParaRPr lang="nl-BE" sz="1100"/>
        </a:p>
      </xdr:txBody>
    </xdr:sp>
    <xdr:clientData/>
  </xdr:twoCellAnchor>
  <xdr:twoCellAnchor>
    <xdr:from>
      <xdr:col>3</xdr:col>
      <xdr:colOff>137160</xdr:colOff>
      <xdr:row>83</xdr:row>
      <xdr:rowOff>3809</xdr:rowOff>
    </xdr:from>
    <xdr:to>
      <xdr:col>19</xdr:col>
      <xdr:colOff>228600</xdr:colOff>
      <xdr:row>89</xdr:row>
      <xdr:rowOff>7620</xdr:rowOff>
    </xdr:to>
    <xdr:sp macro="" textlink="">
      <xdr:nvSpPr>
        <xdr:cNvPr id="19" name="Rectangle 18">
          <a:extLst>
            <a:ext uri="{FF2B5EF4-FFF2-40B4-BE49-F238E27FC236}">
              <a16:creationId xmlns:a16="http://schemas.microsoft.com/office/drawing/2014/main" id="{5387E7E7-B7EE-48AC-B73A-C3C14333FF18}"/>
            </a:ext>
          </a:extLst>
        </xdr:cNvPr>
        <xdr:cNvSpPr/>
      </xdr:nvSpPr>
      <xdr:spPr>
        <a:xfrm>
          <a:off x="1737360" y="15320009"/>
          <a:ext cx="11963400" cy="1101091"/>
        </a:xfrm>
        <a:prstGeom prst="rect">
          <a:avLst/>
        </a:prstGeom>
        <a:noFill/>
        <a:ln w="19050">
          <a:solidFill>
            <a:srgbClr val="CCCC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BE" sz="1100"/>
        </a:p>
      </xdr:txBody>
    </xdr:sp>
    <xdr:clientData/>
  </xdr:twoCellAnchor>
  <xdr:twoCellAnchor>
    <xdr:from>
      <xdr:col>2</xdr:col>
      <xdr:colOff>1</xdr:colOff>
      <xdr:row>83</xdr:row>
      <xdr:rowOff>300</xdr:rowOff>
    </xdr:from>
    <xdr:to>
      <xdr:col>3</xdr:col>
      <xdr:colOff>1</xdr:colOff>
      <xdr:row>88</xdr:row>
      <xdr:rowOff>180974</xdr:rowOff>
    </xdr:to>
    <xdr:sp macro="" textlink="">
      <xdr:nvSpPr>
        <xdr:cNvPr id="20" name="ZoneTexte 19">
          <a:extLst>
            <a:ext uri="{FF2B5EF4-FFF2-40B4-BE49-F238E27FC236}">
              <a16:creationId xmlns:a16="http://schemas.microsoft.com/office/drawing/2014/main" id="{26FDCAA1-0565-4920-BABA-C62BE234AB0B}"/>
            </a:ext>
          </a:extLst>
        </xdr:cNvPr>
        <xdr:cNvSpPr txBox="1"/>
      </xdr:nvSpPr>
      <xdr:spPr>
        <a:xfrm>
          <a:off x="1" y="14983125"/>
          <a:ext cx="1000125" cy="1085549"/>
        </a:xfrm>
        <a:prstGeom prst="rect">
          <a:avLst/>
        </a:prstGeom>
        <a:solidFill>
          <a:schemeClr val="lt1"/>
        </a:solidFill>
        <a:ln w="19050" cmpd="sng">
          <a:solidFill>
            <a:srgbClr val="CCCC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BE" sz="1100"/>
            <a:t>Étape 6 et 7 : Vérification  hauteur et déformation</a:t>
          </a:r>
          <a:r>
            <a:rPr lang="nl-BE" sz="1100" baseline="0"/>
            <a:t> </a:t>
          </a:r>
          <a:endParaRPr lang="nl-BE" sz="1100"/>
        </a:p>
      </xdr:txBody>
    </xdr:sp>
    <xdr:clientData/>
  </xdr:twoCellAnchor>
  <xdr:twoCellAnchor>
    <xdr:from>
      <xdr:col>4</xdr:col>
      <xdr:colOff>0</xdr:colOff>
      <xdr:row>52</xdr:row>
      <xdr:rowOff>301</xdr:rowOff>
    </xdr:from>
    <xdr:to>
      <xdr:col>20</xdr:col>
      <xdr:colOff>0</xdr:colOff>
      <xdr:row>56</xdr:row>
      <xdr:rowOff>301</xdr:rowOff>
    </xdr:to>
    <xdr:sp macro="" textlink="">
      <xdr:nvSpPr>
        <xdr:cNvPr id="21" name="Rectangle 20">
          <a:extLst>
            <a:ext uri="{FF2B5EF4-FFF2-40B4-BE49-F238E27FC236}">
              <a16:creationId xmlns:a16="http://schemas.microsoft.com/office/drawing/2014/main" id="{01D073D4-F85D-4A56-92AA-2E9CDEC71B29}"/>
            </a:ext>
          </a:extLst>
        </xdr:cNvPr>
        <xdr:cNvSpPr/>
      </xdr:nvSpPr>
      <xdr:spPr>
        <a:xfrm>
          <a:off x="1162050" y="9372901"/>
          <a:ext cx="12725400" cy="723900"/>
        </a:xfrm>
        <a:prstGeom prst="rect">
          <a:avLst/>
        </a:prstGeom>
        <a:noFill/>
        <a:ln w="19050">
          <a:solidFill>
            <a:srgbClr val="FFCCC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BE" sz="1100"/>
        </a:p>
      </xdr:txBody>
    </xdr:sp>
    <xdr:clientData/>
  </xdr:twoCellAnchor>
  <xdr:twoCellAnchor>
    <xdr:from>
      <xdr:col>2</xdr:col>
      <xdr:colOff>1</xdr:colOff>
      <xdr:row>52</xdr:row>
      <xdr:rowOff>602</xdr:rowOff>
    </xdr:from>
    <xdr:to>
      <xdr:col>3</xdr:col>
      <xdr:colOff>1</xdr:colOff>
      <xdr:row>56</xdr:row>
      <xdr:rowOff>301</xdr:rowOff>
    </xdr:to>
    <xdr:sp macro="" textlink="">
      <xdr:nvSpPr>
        <xdr:cNvPr id="22" name="ZoneTexte 21">
          <a:extLst>
            <a:ext uri="{FF2B5EF4-FFF2-40B4-BE49-F238E27FC236}">
              <a16:creationId xmlns:a16="http://schemas.microsoft.com/office/drawing/2014/main" id="{7D444806-03D3-4583-904D-79CF5D803C07}"/>
            </a:ext>
          </a:extLst>
        </xdr:cNvPr>
        <xdr:cNvSpPr txBox="1"/>
      </xdr:nvSpPr>
      <xdr:spPr>
        <a:xfrm>
          <a:off x="1" y="9373202"/>
          <a:ext cx="1000125" cy="723599"/>
        </a:xfrm>
        <a:prstGeom prst="rect">
          <a:avLst/>
        </a:prstGeom>
        <a:solidFill>
          <a:schemeClr val="lt1"/>
        </a:solidFill>
        <a:ln w="19050" cmpd="sng">
          <a:solidFill>
            <a:srgbClr val="FFCCCC"/>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BE" sz="1100"/>
            <a:t>Étape 3 : Vérification de la hauteur</a:t>
          </a:r>
          <a:r>
            <a:rPr lang="nl-BE" sz="1100" baseline="0"/>
            <a:t> </a:t>
          </a:r>
          <a:endParaRPr lang="nl-BE" sz="1100"/>
        </a:p>
      </xdr:txBody>
    </xdr:sp>
    <xdr:clientData/>
  </xdr:twoCellAnchor>
  <xdr:twoCellAnchor>
    <xdr:from>
      <xdr:col>0</xdr:col>
      <xdr:colOff>0</xdr:colOff>
      <xdr:row>11</xdr:row>
      <xdr:rowOff>179069</xdr:rowOff>
    </xdr:from>
    <xdr:to>
      <xdr:col>1</xdr:col>
      <xdr:colOff>0</xdr:colOff>
      <xdr:row>55</xdr:row>
      <xdr:rowOff>179069</xdr:rowOff>
    </xdr:to>
    <xdr:sp macro="" textlink="">
      <xdr:nvSpPr>
        <xdr:cNvPr id="23" name="ZoneTexte 22">
          <a:extLst>
            <a:ext uri="{FF2B5EF4-FFF2-40B4-BE49-F238E27FC236}">
              <a16:creationId xmlns:a16="http://schemas.microsoft.com/office/drawing/2014/main" id="{755AD70A-4318-011D-4566-E19B6BEEF861}"/>
            </a:ext>
          </a:extLst>
        </xdr:cNvPr>
        <xdr:cNvSpPr txBox="1"/>
      </xdr:nvSpPr>
      <xdr:spPr>
        <a:xfrm>
          <a:off x="0" y="2312669"/>
          <a:ext cx="466725" cy="7781925"/>
        </a:xfrm>
        <a:prstGeom prst="rect">
          <a:avLst/>
        </a:prstGeom>
        <a:solidFill>
          <a:srgbClr val="FFCC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rtlCol="0" anchor="ctr"/>
        <a:lstStyle/>
        <a:p>
          <a:pPr algn="ctr"/>
          <a:r>
            <a:rPr lang="nl-BE" sz="2800">
              <a:solidFill>
                <a:schemeClr val="bg1"/>
              </a:solidFill>
            </a:rPr>
            <a:t>ELU</a:t>
          </a:r>
        </a:p>
      </xdr:txBody>
    </xdr:sp>
    <xdr:clientData/>
  </xdr:twoCellAnchor>
  <xdr:twoCellAnchor>
    <xdr:from>
      <xdr:col>0</xdr:col>
      <xdr:colOff>0</xdr:colOff>
      <xdr:row>57</xdr:row>
      <xdr:rowOff>0</xdr:rowOff>
    </xdr:from>
    <xdr:to>
      <xdr:col>1</xdr:col>
      <xdr:colOff>0</xdr:colOff>
      <xdr:row>89</xdr:row>
      <xdr:rowOff>0</xdr:rowOff>
    </xdr:to>
    <xdr:sp macro="" textlink="">
      <xdr:nvSpPr>
        <xdr:cNvPr id="24" name="ZoneTexte 23">
          <a:extLst>
            <a:ext uri="{FF2B5EF4-FFF2-40B4-BE49-F238E27FC236}">
              <a16:creationId xmlns:a16="http://schemas.microsoft.com/office/drawing/2014/main" id="{9F47E2F4-F4FC-8168-794F-700767152484}"/>
            </a:ext>
          </a:extLst>
        </xdr:cNvPr>
        <xdr:cNvSpPr txBox="1"/>
      </xdr:nvSpPr>
      <xdr:spPr>
        <a:xfrm>
          <a:off x="0" y="10277475"/>
          <a:ext cx="466725" cy="5791200"/>
        </a:xfrm>
        <a:prstGeom prst="rect">
          <a:avLst/>
        </a:prstGeom>
        <a:solidFill>
          <a:srgbClr val="CCCC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rtlCol="0" anchor="ctr"/>
        <a:lstStyle/>
        <a:p>
          <a:pPr algn="ctr"/>
          <a:r>
            <a:rPr lang="nl-BE" sz="2800">
              <a:solidFill>
                <a:schemeClr val="bg1"/>
              </a:solidFill>
            </a:rPr>
            <a:t>ELS</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29</xdr:row>
      <xdr:rowOff>1905</xdr:rowOff>
    </xdr:from>
    <xdr:to>
      <xdr:col>8</xdr:col>
      <xdr:colOff>436855</xdr:colOff>
      <xdr:row>60</xdr:row>
      <xdr:rowOff>152898</xdr:rowOff>
    </xdr:to>
    <xdr:pic>
      <xdr:nvPicPr>
        <xdr:cNvPr id="2" name="Image 1">
          <a:extLst>
            <a:ext uri="{FF2B5EF4-FFF2-40B4-BE49-F238E27FC236}">
              <a16:creationId xmlns:a16="http://schemas.microsoft.com/office/drawing/2014/main" id="{16A35FE5-7E93-D5E9-2862-A9381150EC41}"/>
            </a:ext>
          </a:extLst>
        </xdr:cNvPr>
        <xdr:cNvPicPr>
          <a:picLocks noChangeAspect="1"/>
        </xdr:cNvPicPr>
      </xdr:nvPicPr>
      <xdr:blipFill>
        <a:blip xmlns:r="http://schemas.openxmlformats.org/officeDocument/2006/relationships" r:embed="rId1"/>
        <a:stretch>
          <a:fillRect/>
        </a:stretch>
      </xdr:blipFill>
      <xdr:spPr>
        <a:xfrm>
          <a:off x="0" y="5305425"/>
          <a:ext cx="7039585" cy="582027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29</xdr:row>
      <xdr:rowOff>1905</xdr:rowOff>
    </xdr:from>
    <xdr:to>
      <xdr:col>8</xdr:col>
      <xdr:colOff>440665</xdr:colOff>
      <xdr:row>60</xdr:row>
      <xdr:rowOff>152898</xdr:rowOff>
    </xdr:to>
    <xdr:pic>
      <xdr:nvPicPr>
        <xdr:cNvPr id="2" name="Image 1">
          <a:extLst>
            <a:ext uri="{FF2B5EF4-FFF2-40B4-BE49-F238E27FC236}">
              <a16:creationId xmlns:a16="http://schemas.microsoft.com/office/drawing/2014/main" id="{DBEA332C-E70D-4DDB-BEC1-CA3814A30D1F}"/>
            </a:ext>
          </a:extLst>
        </xdr:cNvPr>
        <xdr:cNvPicPr>
          <a:picLocks noChangeAspect="1"/>
        </xdr:cNvPicPr>
      </xdr:nvPicPr>
      <xdr:blipFill>
        <a:blip xmlns:r="http://schemas.openxmlformats.org/officeDocument/2006/relationships" r:embed="rId1"/>
        <a:stretch>
          <a:fillRect/>
        </a:stretch>
      </xdr:blipFill>
      <xdr:spPr>
        <a:xfrm>
          <a:off x="0" y="5250180"/>
          <a:ext cx="7018630" cy="5761218"/>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8C341-B6BC-4B8D-B2F8-5593B05E0D8E}">
  <dimension ref="F1:P88"/>
  <sheetViews>
    <sheetView tabSelected="1" topLeftCell="A9" workbookViewId="0">
      <selection activeCell="C45" sqref="C45"/>
    </sheetView>
  </sheetViews>
  <sheetFormatPr baseColWidth="10" defaultRowHeight="14.4" x14ac:dyDescent="0.3"/>
  <cols>
    <col min="1" max="1" width="6.77734375" style="31" customWidth="1"/>
    <col min="2" max="2" width="2" style="31" customWidth="1"/>
    <col min="3" max="3" width="14.5546875" style="31" customWidth="1"/>
    <col min="4" max="5" width="2.33203125" style="31" customWidth="1"/>
    <col min="6" max="6" width="18.21875" style="31" bestFit="1" customWidth="1"/>
    <col min="7" max="19" width="11.5546875" style="31"/>
    <col min="20" max="20" width="3.6640625" style="31" customWidth="1"/>
    <col min="21" max="16384" width="11.5546875" style="31"/>
  </cols>
  <sheetData>
    <row r="1" spans="6:16" ht="29.4" customHeight="1" x14ac:dyDescent="0.3"/>
    <row r="5" spans="6:16" ht="10.199999999999999" customHeight="1" x14ac:dyDescent="0.3"/>
    <row r="11" spans="6:16" x14ac:dyDescent="0.3">
      <c r="H11" s="45" t="s">
        <v>170</v>
      </c>
      <c r="J11" s="17"/>
      <c r="K11" s="31" t="s">
        <v>169</v>
      </c>
      <c r="M11" s="28"/>
      <c r="N11" s="31" t="s">
        <v>171</v>
      </c>
    </row>
    <row r="13" spans="6:16" x14ac:dyDescent="0.3">
      <c r="F13" s="31" t="s">
        <v>0</v>
      </c>
      <c r="L13" s="31" t="s">
        <v>174</v>
      </c>
      <c r="O13" s="31" t="s">
        <v>162</v>
      </c>
    </row>
    <row r="14" spans="6:16" x14ac:dyDescent="0.3">
      <c r="F14" s="37" t="s">
        <v>1</v>
      </c>
      <c r="G14" s="19" t="s">
        <v>3</v>
      </c>
      <c r="L14" s="37" t="str">
        <f>'Calculs (ELU)'!M3</f>
        <v>fsm,m [MPa]</v>
      </c>
      <c r="M14" s="32">
        <f>'Calculs (ELU)'!N3</f>
        <v>3.1857142857142859</v>
      </c>
      <c r="O14" s="37" t="s">
        <v>177</v>
      </c>
      <c r="P14" s="37">
        <f>'Calculs (ELU)'!B10*'Calculs (ELU)'!B9</f>
        <v>0.66</v>
      </c>
    </row>
    <row r="15" spans="6:16" x14ac:dyDescent="0.3">
      <c r="F15" s="38" t="s">
        <v>14</v>
      </c>
      <c r="G15" s="20">
        <f>3/12</f>
        <v>0.25</v>
      </c>
      <c r="L15" s="38" t="str">
        <f>'Calculs (ELU)'!M8</f>
        <v>fsm,d [MPa]</v>
      </c>
      <c r="M15" s="34">
        <f>'Calculs (ELU)'!N8</f>
        <v>1.3515151515151513</v>
      </c>
      <c r="O15" s="38" t="s">
        <v>176</v>
      </c>
      <c r="P15" s="38">
        <f>P17/P16*10^(-3)</f>
        <v>1.3864583333333335E-2</v>
      </c>
    </row>
    <row r="16" spans="6:16" x14ac:dyDescent="0.3">
      <c r="F16" s="38" t="s">
        <v>11</v>
      </c>
      <c r="G16" s="20">
        <f>50</f>
        <v>50</v>
      </c>
      <c r="L16" s="38" t="str">
        <f>'Calculs (ELU)'!M11</f>
        <v>fsm,td [MPa]</v>
      </c>
      <c r="M16" s="34">
        <f>'Calculs (ELU)'!N11</f>
        <v>0.21723939895995878</v>
      </c>
      <c r="O16" s="38" t="str">
        <f>'Calculs (ELU)'!P2</f>
        <v>Esm [MPa]</v>
      </c>
      <c r="P16" s="38">
        <f>'Calculs (ELU)'!Q2</f>
        <v>678.99323805868175</v>
      </c>
    </row>
    <row r="17" spans="6:16" x14ac:dyDescent="0.3">
      <c r="F17" s="38" t="s">
        <v>12</v>
      </c>
      <c r="G17" s="20">
        <f>28</f>
        <v>28</v>
      </c>
      <c r="L17" s="39" t="str">
        <f>'Calculs (ELU)'!M12</f>
        <v>τsm,d [MPa]</v>
      </c>
      <c r="M17" s="35">
        <f>'Calculs (ELU)'!N12</f>
        <v>0.21723939895995878</v>
      </c>
      <c r="O17" s="39" t="str">
        <f>'Calculs (ELU)'!P3</f>
        <v>EIsm/m' [kNm²/m']</v>
      </c>
      <c r="P17" s="39">
        <f>'Calculs (ELU)'!Q3</f>
        <v>9413.9583318344321</v>
      </c>
    </row>
    <row r="18" spans="6:16" x14ac:dyDescent="0.3">
      <c r="F18" s="38" t="s">
        <v>13</v>
      </c>
      <c r="G18" s="20" t="s">
        <v>10</v>
      </c>
    </row>
    <row r="19" spans="6:16" x14ac:dyDescent="0.3">
      <c r="F19" s="36"/>
      <c r="G19" s="2"/>
    </row>
    <row r="20" spans="6:16" x14ac:dyDescent="0.3">
      <c r="F20" s="37" t="s">
        <v>52</v>
      </c>
      <c r="G20" s="19">
        <v>1.2</v>
      </c>
      <c r="O20" s="31" t="s">
        <v>163</v>
      </c>
    </row>
    <row r="21" spans="6:16" x14ac:dyDescent="0.3">
      <c r="F21" s="38" t="s">
        <v>23</v>
      </c>
      <c r="G21" s="20">
        <v>0.55000000000000004</v>
      </c>
      <c r="O21" s="40" t="str">
        <f>'Calculs (ELU)'!P4</f>
        <v>MEd [kNm/m]</v>
      </c>
      <c r="P21" s="43">
        <v>61.46</v>
      </c>
    </row>
    <row r="22" spans="6:16" x14ac:dyDescent="0.3">
      <c r="F22" s="38" t="s">
        <v>24</v>
      </c>
      <c r="G22" s="20">
        <v>9</v>
      </c>
    </row>
    <row r="23" spans="6:16" x14ac:dyDescent="0.3">
      <c r="F23" s="39" t="s">
        <v>160</v>
      </c>
      <c r="G23" s="21">
        <v>4</v>
      </c>
    </row>
    <row r="25" spans="6:16" x14ac:dyDescent="0.3">
      <c r="F25" s="37" t="s">
        <v>15</v>
      </c>
      <c r="G25" s="16">
        <v>2</v>
      </c>
      <c r="H25" s="36"/>
      <c r="I25" s="36"/>
      <c r="J25" s="36"/>
      <c r="K25" s="36"/>
      <c r="L25" s="36"/>
      <c r="M25" s="36"/>
      <c r="N25" s="36"/>
      <c r="O25" s="36"/>
      <c r="P25" s="32"/>
    </row>
    <row r="26" spans="6:16" x14ac:dyDescent="0.3">
      <c r="F26" s="39" t="s">
        <v>5</v>
      </c>
      <c r="G26" s="17">
        <v>4</v>
      </c>
      <c r="P26" s="34"/>
    </row>
    <row r="27" spans="6:16" x14ac:dyDescent="0.3">
      <c r="F27" s="37" t="s">
        <v>6</v>
      </c>
      <c r="G27" s="36" t="s">
        <v>16</v>
      </c>
      <c r="H27" s="36" t="s">
        <v>178</v>
      </c>
      <c r="I27" s="36" t="s">
        <v>179</v>
      </c>
      <c r="J27" s="41" t="s">
        <v>19</v>
      </c>
      <c r="K27" s="36" t="s">
        <v>20</v>
      </c>
      <c r="L27" s="41" t="s">
        <v>21</v>
      </c>
      <c r="M27" s="41" t="s">
        <v>181</v>
      </c>
      <c r="N27" s="41" t="s">
        <v>182</v>
      </c>
      <c r="O27" s="41" t="s">
        <v>180</v>
      </c>
      <c r="P27" s="42" t="s">
        <v>22</v>
      </c>
    </row>
    <row r="28" spans="6:16" x14ac:dyDescent="0.3">
      <c r="F28" s="38">
        <v>1</v>
      </c>
      <c r="G28" s="17">
        <v>0.6</v>
      </c>
      <c r="H28" s="31">
        <f>'Calculs (ELU)'!C22</f>
        <v>0</v>
      </c>
      <c r="I28" s="31">
        <f>'Calculs (ELU)'!D22</f>
        <v>0.6</v>
      </c>
      <c r="J28" s="17">
        <f>16</f>
        <v>16</v>
      </c>
      <c r="K28" s="17">
        <f>17</f>
        <v>17</v>
      </c>
      <c r="L28" s="17">
        <f>30</f>
        <v>30</v>
      </c>
      <c r="M28" s="17">
        <f>0</f>
        <v>0</v>
      </c>
      <c r="N28" s="17">
        <v>3</v>
      </c>
      <c r="O28" s="59">
        <f>2*N28*10^6</f>
        <v>6000000</v>
      </c>
      <c r="P28" s="20">
        <v>4</v>
      </c>
    </row>
    <row r="29" spans="6:16" x14ac:dyDescent="0.3">
      <c r="F29" s="38">
        <v>2</v>
      </c>
      <c r="G29" s="17">
        <v>2.4</v>
      </c>
      <c r="H29" s="31">
        <f>'Calculs (ELU)'!C23</f>
        <v>0.6</v>
      </c>
      <c r="I29" s="31">
        <f>'Calculs (ELU)'!D23</f>
        <v>3</v>
      </c>
      <c r="J29" s="17">
        <f>17</f>
        <v>17</v>
      </c>
      <c r="K29" s="17">
        <v>18</v>
      </c>
      <c r="L29" s="17">
        <v>35</v>
      </c>
      <c r="M29" s="17">
        <v>0.06</v>
      </c>
      <c r="N29" s="17">
        <v>2</v>
      </c>
      <c r="O29" s="59">
        <f>2*N29*10^6</f>
        <v>4000000</v>
      </c>
      <c r="P29" s="20">
        <v>2.72</v>
      </c>
    </row>
    <row r="30" spans="6:16" x14ac:dyDescent="0.3">
      <c r="F30" s="38">
        <v>3</v>
      </c>
      <c r="G30" s="17">
        <v>5</v>
      </c>
      <c r="H30" s="31">
        <f>'Calculs (ELU)'!C24</f>
        <v>3</v>
      </c>
      <c r="I30" s="31">
        <f>'Calculs (ELU)'!D24</f>
        <v>8</v>
      </c>
      <c r="J30" s="17">
        <v>17</v>
      </c>
      <c r="K30" s="17">
        <v>18</v>
      </c>
      <c r="L30" s="17">
        <v>34.5</v>
      </c>
      <c r="M30" s="17">
        <v>5.6000000000000001E-2</v>
      </c>
      <c r="N30" s="17">
        <v>2</v>
      </c>
      <c r="O30" s="59">
        <f>2*N30*10^6</f>
        <v>4000000</v>
      </c>
      <c r="P30" s="20">
        <v>2.23</v>
      </c>
    </row>
    <row r="31" spans="6:16" x14ac:dyDescent="0.3">
      <c r="F31" s="39">
        <v>4</v>
      </c>
      <c r="G31" s="18">
        <v>1</v>
      </c>
      <c r="H31" s="58">
        <f>'Calculs (ELU)'!C25</f>
        <v>8</v>
      </c>
      <c r="I31" s="58">
        <f>'Calculs (ELU)'!D25</f>
        <v>9</v>
      </c>
      <c r="J31" s="18">
        <f>18</f>
        <v>18</v>
      </c>
      <c r="K31" s="18">
        <f>20</f>
        <v>20</v>
      </c>
      <c r="L31" s="18">
        <f>32</f>
        <v>32</v>
      </c>
      <c r="M31" s="18">
        <f>0</f>
        <v>0</v>
      </c>
      <c r="N31" s="18">
        <v>10</v>
      </c>
      <c r="O31" s="60">
        <f>2*N31*10^6</f>
        <v>20000000</v>
      </c>
      <c r="P31" s="21">
        <v>6</v>
      </c>
    </row>
    <row r="34" spans="6:13" x14ac:dyDescent="0.3">
      <c r="F34" s="31" t="s">
        <v>161</v>
      </c>
      <c r="I34" s="31" t="s">
        <v>162</v>
      </c>
      <c r="L34" s="31" t="s">
        <v>164</v>
      </c>
    </row>
    <row r="35" spans="6:13" x14ac:dyDescent="0.3">
      <c r="F35" s="40" t="s">
        <v>33</v>
      </c>
      <c r="G35" s="44" t="s">
        <v>188</v>
      </c>
      <c r="I35" s="37" t="str">
        <f>'Calculs (ELU)'!P10</f>
        <v>EI-1 [kNm²/a]</v>
      </c>
      <c r="J35" s="37">
        <f>'Calculs (ELU)'!Q10</f>
        <v>28787.613323229136</v>
      </c>
      <c r="L35" s="31" t="s">
        <v>172</v>
      </c>
    </row>
    <row r="36" spans="6:13" x14ac:dyDescent="0.3">
      <c r="F36" s="38" t="s">
        <v>92</v>
      </c>
      <c r="G36" s="20">
        <v>235</v>
      </c>
      <c r="I36" s="38" t="str">
        <f>'Calculs (ELU)'!P21</f>
        <v>EI-2 [kNm²/a]</v>
      </c>
      <c r="J36" s="38">
        <f>'Calculs (ELU)'!Q21</f>
        <v>36245.743382993918</v>
      </c>
      <c r="L36" s="37" t="str">
        <f>'Calculs (ELU)'!S29</f>
        <v>Mid ?</v>
      </c>
      <c r="M36" s="32" t="b">
        <f>'Calculs (ELU)'!T29</f>
        <v>1</v>
      </c>
    </row>
    <row r="37" spans="6:13" x14ac:dyDescent="0.3">
      <c r="F37" s="38" t="s">
        <v>34</v>
      </c>
      <c r="G37" s="20">
        <v>300</v>
      </c>
      <c r="I37" s="38" t="str">
        <f>'Calculs (ELU)'!P22</f>
        <v>EI-eff/m' [kNm²/m'']</v>
      </c>
      <c r="J37" s="38">
        <f>'Calculs (ELU)'!Q22</f>
        <v>27097.231960926274</v>
      </c>
      <c r="L37" s="38" t="str">
        <f>'Calculs (ELU)'!S32</f>
        <v>Base ?</v>
      </c>
      <c r="M37" s="34" t="b">
        <f>'Calculs (ELU)'!T32</f>
        <v>1</v>
      </c>
    </row>
    <row r="38" spans="6:13" x14ac:dyDescent="0.3">
      <c r="F38" s="38" t="s">
        <v>35</v>
      </c>
      <c r="G38" s="20">
        <v>150</v>
      </c>
      <c r="I38" s="39" t="s">
        <v>183</v>
      </c>
      <c r="J38" s="39">
        <f>'Calculs (ELU)'!Q22/'Calculs (ELU)'!Q2*10^(-3)</f>
        <v>3.9907955546656576E-2</v>
      </c>
      <c r="L38" s="39" t="str">
        <f>'Calculs (ELU)'!S35</f>
        <v>Cisaillement ?</v>
      </c>
      <c r="M38" s="35" t="b">
        <f>'Calculs (ELU)'!T35</f>
        <v>1</v>
      </c>
    </row>
    <row r="39" spans="6:13" x14ac:dyDescent="0.3">
      <c r="F39" s="38" t="s">
        <v>36</v>
      </c>
      <c r="G39" s="20">
        <v>7.1</v>
      </c>
    </row>
    <row r="40" spans="6:13" x14ac:dyDescent="0.3">
      <c r="F40" s="38" t="s">
        <v>37</v>
      </c>
      <c r="G40" s="20">
        <v>10.7</v>
      </c>
      <c r="I40" s="31" t="s">
        <v>163</v>
      </c>
      <c r="L40" s="37" t="s">
        <v>165</v>
      </c>
      <c r="M40" s="32" t="b">
        <f>'Calculs (ELU)'!AC3</f>
        <v>1</v>
      </c>
    </row>
    <row r="41" spans="6:13" x14ac:dyDescent="0.3">
      <c r="F41" s="38" t="s">
        <v>38</v>
      </c>
      <c r="G41" s="20">
        <v>15</v>
      </c>
      <c r="I41" s="37" t="str" cm="1">
        <f t="array" ref="I41:I45">'Calculs (ELU)'!P24:P28</f>
        <v>MEd [kNm/m']</v>
      </c>
      <c r="J41" s="26">
        <v>67.66</v>
      </c>
      <c r="L41" s="39" t="s">
        <v>166</v>
      </c>
      <c r="M41" s="35" t="b">
        <f>'Calculs (ELU)'!AC4</f>
        <v>0</v>
      </c>
    </row>
    <row r="42" spans="6:13" x14ac:dyDescent="0.3">
      <c r="F42" s="38" t="s">
        <v>39</v>
      </c>
      <c r="G42" s="20">
        <v>5380</v>
      </c>
      <c r="I42" s="38" t="str">
        <v>VEd [kN/m']</v>
      </c>
      <c r="J42" s="25">
        <v>51.78</v>
      </c>
    </row>
    <row r="43" spans="6:13" x14ac:dyDescent="0.3">
      <c r="F43" s="38" t="s">
        <v>118</v>
      </c>
      <c r="G43" s="20">
        <v>2570</v>
      </c>
      <c r="I43" s="38" t="str">
        <v>NEd [kN/m']</v>
      </c>
      <c r="J43" s="25">
        <v>50</v>
      </c>
    </row>
    <row r="44" spans="6:13" x14ac:dyDescent="0.3">
      <c r="F44" s="38" t="s">
        <v>40</v>
      </c>
      <c r="G44" s="20">
        <f>8356*10^4</f>
        <v>83560000</v>
      </c>
      <c r="I44" s="38" t="str">
        <v>σ hor,rep [kN/m²]</v>
      </c>
      <c r="J44" s="25">
        <v>47.5</v>
      </c>
    </row>
    <row r="45" spans="6:13" x14ac:dyDescent="0.3">
      <c r="F45" s="38" t="s">
        <v>41</v>
      </c>
      <c r="G45" s="20">
        <f>557*10^3</f>
        <v>557000</v>
      </c>
      <c r="I45" s="39" t="str">
        <v>Ls [m]</v>
      </c>
      <c r="J45" s="27">
        <v>1.5</v>
      </c>
    </row>
    <row r="46" spans="6:13" x14ac:dyDescent="0.3">
      <c r="F46" s="38" t="s">
        <v>42</v>
      </c>
      <c r="G46" s="20">
        <f>628*10^3</f>
        <v>628000</v>
      </c>
    </row>
    <row r="47" spans="6:13" x14ac:dyDescent="0.3">
      <c r="F47" s="38" t="s">
        <v>49</v>
      </c>
      <c r="G47" s="20">
        <f>210000</f>
        <v>210000</v>
      </c>
    </row>
    <row r="48" spans="6:13" x14ac:dyDescent="0.3">
      <c r="F48" s="38" t="s">
        <v>43</v>
      </c>
      <c r="G48" s="20">
        <v>1</v>
      </c>
    </row>
    <row r="49" spans="6:10" x14ac:dyDescent="0.3">
      <c r="F49" s="39" t="s">
        <v>44</v>
      </c>
      <c r="G49" s="21">
        <v>2</v>
      </c>
    </row>
    <row r="50" spans="6:10" x14ac:dyDescent="0.3">
      <c r="F50" s="40" t="s">
        <v>168</v>
      </c>
      <c r="G50" s="33" t="b">
        <f>'Calculs (ELU)'!Q7</f>
        <v>1</v>
      </c>
    </row>
    <row r="53" spans="6:10" x14ac:dyDescent="0.3">
      <c r="F53" s="31" t="s">
        <v>161</v>
      </c>
      <c r="I53" s="31" t="s">
        <v>157</v>
      </c>
    </row>
    <row r="54" spans="6:10" x14ac:dyDescent="0.3">
      <c r="F54" s="37" t="str">
        <f>'Calculs (ELU)'!AB7</f>
        <v>Hcr [m]</v>
      </c>
      <c r="G54" s="26">
        <f>9-0.85</f>
        <v>8.15</v>
      </c>
      <c r="I54" s="37" t="str">
        <f>'Calculs (ELU)'!AB9</f>
        <v>Hmur [m]</v>
      </c>
      <c r="J54" s="32">
        <f>'Calculs (ELU)'!AC9</f>
        <v>8.85</v>
      </c>
    </row>
    <row r="55" spans="6:10" x14ac:dyDescent="0.3">
      <c r="F55" s="39" t="str">
        <f>'Calculs (ELU)'!AB6</f>
        <v>Mcr [kNm]</v>
      </c>
      <c r="G55" s="35">
        <f>'Calculs (ELU)'!AC6</f>
        <v>1.9714475455616256</v>
      </c>
      <c r="I55" s="39" t="s">
        <v>167</v>
      </c>
      <c r="J55" s="35" t="b">
        <f>'Calculs (ELU)'!AC13</f>
        <v>1</v>
      </c>
    </row>
    <row r="58" spans="6:10" x14ac:dyDescent="0.3">
      <c r="F58" s="31" t="s">
        <v>174</v>
      </c>
      <c r="I58" s="31" t="s">
        <v>162</v>
      </c>
    </row>
    <row r="59" spans="6:10" x14ac:dyDescent="0.3">
      <c r="F59" s="37" t="str">
        <f>'Calculs (ELS)'!M3</f>
        <v>fsm,m [MPa]</v>
      </c>
      <c r="G59" s="37">
        <f>'Calculs (ELS)'!N3</f>
        <v>3.1857142857142859</v>
      </c>
      <c r="I59" s="37" t="s">
        <v>177</v>
      </c>
      <c r="J59" s="37">
        <f>'Calculs (ELS)'!B10*'Calculs (ELS)'!B9</f>
        <v>0.66</v>
      </c>
    </row>
    <row r="60" spans="6:10" x14ac:dyDescent="0.3">
      <c r="F60" s="38" t="str">
        <f>'Calculs (ELS)'!M8</f>
        <v>fsm,d [MPa]</v>
      </c>
      <c r="G60" s="38">
        <f>'Calculs (ELS)'!N8</f>
        <v>1.1487878787878787</v>
      </c>
      <c r="I60" s="38" t="str">
        <f>'Calculs (ELS)'!P2</f>
        <v>Esm [MPa]</v>
      </c>
      <c r="J60" s="38">
        <f>'Calculs (ELS)'!Q2</f>
        <v>339.49661902934088</v>
      </c>
    </row>
    <row r="61" spans="6:10" x14ac:dyDescent="0.3">
      <c r="F61" s="38" t="str">
        <f>'Calculs (ELS)'!M11</f>
        <v>fsm,td [MPa]</v>
      </c>
      <c r="G61" s="38">
        <f>'Calculs (ELS)'!N11</f>
        <v>0.18465348911596496</v>
      </c>
      <c r="I61" s="39" t="str">
        <f>'Calculs (ELS)'!P3</f>
        <v>EIsm/m' [kNm²/m']</v>
      </c>
      <c r="J61" s="39">
        <f>'Calculs (ELS)'!Q3</f>
        <v>4706.9791659172161</v>
      </c>
    </row>
    <row r="62" spans="6:10" x14ac:dyDescent="0.3">
      <c r="F62" s="39" t="str">
        <f>'Calculs (ELS)'!M12</f>
        <v>τsm,d [MPa]</v>
      </c>
      <c r="G62" s="39">
        <f>'Calculs (ELS)'!N12</f>
        <v>0.18465348911596496</v>
      </c>
    </row>
    <row r="65" spans="6:10" x14ac:dyDescent="0.3">
      <c r="F65" s="31" t="s">
        <v>162</v>
      </c>
      <c r="I65" s="31" t="s">
        <v>164</v>
      </c>
    </row>
    <row r="66" spans="6:10" x14ac:dyDescent="0.3">
      <c r="F66" s="37" t="str">
        <f>'Calculs (ELS)'!P10</f>
        <v>EI-1 [kNm²/a]</v>
      </c>
      <c r="G66" s="32">
        <f>'Calculs (ELS)'!Q10</f>
        <v>20313.389963494461</v>
      </c>
      <c r="I66" s="37" t="s">
        <v>165</v>
      </c>
      <c r="J66" s="32" t="b">
        <f>'Calculs (ELS)'!AC3</f>
        <v>1</v>
      </c>
    </row>
    <row r="67" spans="6:10" x14ac:dyDescent="0.3">
      <c r="F67" s="38" t="str">
        <f>'Calculs (ELS)'!P21</f>
        <v>EI-2 [kNm²/a]</v>
      </c>
      <c r="G67" s="34">
        <f>'Calculs (ELS)'!Q21</f>
        <v>31140.629790761272</v>
      </c>
      <c r="I67" s="39" t="s">
        <v>166</v>
      </c>
      <c r="J67" s="35" t="b">
        <f>'Calculs (ELS)'!AC4</f>
        <v>0</v>
      </c>
    </row>
    <row r="68" spans="6:10" x14ac:dyDescent="0.3">
      <c r="F68" s="38" t="str">
        <f>'Calculs (ELS)'!P22</f>
        <v>EI-eff/m' [kNm²/m'']</v>
      </c>
      <c r="G68" s="38">
        <f>'Calculs (ELS)'!Q22</f>
        <v>21439.174897606554</v>
      </c>
    </row>
    <row r="69" spans="6:10" x14ac:dyDescent="0.3">
      <c r="F69" s="39" t="s">
        <v>183</v>
      </c>
      <c r="G69" s="39">
        <f>'Calculs (ELS)'!Q22/'Calculs (ELS)'!Q2*10^(-3)</f>
        <v>6.3149892210719427E-2</v>
      </c>
    </row>
    <row r="70" spans="6:10" x14ac:dyDescent="0.3">
      <c r="I70" s="31" t="s">
        <v>172</v>
      </c>
    </row>
    <row r="71" spans="6:10" x14ac:dyDescent="0.3">
      <c r="F71" s="31" t="s">
        <v>163</v>
      </c>
      <c r="I71" s="37" t="str">
        <f>'Calculs (ELS)'!S29</f>
        <v>Mid ?</v>
      </c>
      <c r="J71" s="37" t="b">
        <f>'Calculs (ELS)'!T29</f>
        <v>1</v>
      </c>
    </row>
    <row r="72" spans="6:10" x14ac:dyDescent="0.3">
      <c r="F72" s="37" t="str">
        <f>'Calculs (ELS)'!P24</f>
        <v>MEd [kNm/m']</v>
      </c>
      <c r="G72" s="26">
        <v>66.09</v>
      </c>
      <c r="I72" s="38" t="str">
        <f>'Calculs (ELS)'!S32</f>
        <v>Base ?</v>
      </c>
      <c r="J72" s="38" t="b">
        <f>'Calculs (ELS)'!T32</f>
        <v>1</v>
      </c>
    </row>
    <row r="73" spans="6:10" x14ac:dyDescent="0.3">
      <c r="F73" s="38" t="str">
        <f>'Calculs (ELS)'!P25</f>
        <v>VEd [kN/m']</v>
      </c>
      <c r="G73" s="25">
        <v>51.04</v>
      </c>
      <c r="I73" s="39" t="str">
        <f>'Calculs (ELS)'!S35</f>
        <v>Cisaillement ?</v>
      </c>
      <c r="J73" s="39" t="b">
        <f>'Calculs (ELS)'!T35</f>
        <v>1</v>
      </c>
    </row>
    <row r="74" spans="6:10" x14ac:dyDescent="0.3">
      <c r="F74" s="38" t="str">
        <f>'Calculs (ELS)'!P26</f>
        <v>NEd [kN/m']</v>
      </c>
      <c r="G74" s="25">
        <v>50</v>
      </c>
    </row>
    <row r="75" spans="6:10" x14ac:dyDescent="0.3">
      <c r="F75" s="38" t="str">
        <f>'Calculs (ELS)'!P27</f>
        <v>σ hor,rep [kN/m²]</v>
      </c>
      <c r="G75" s="25">
        <v>47.5</v>
      </c>
    </row>
    <row r="76" spans="6:10" x14ac:dyDescent="0.3">
      <c r="F76" s="39" t="str">
        <f>'Calculs (ELS)'!P28</f>
        <v>Ls [m]</v>
      </c>
      <c r="G76" s="27">
        <v>1.5</v>
      </c>
    </row>
    <row r="78" spans="6:10" x14ac:dyDescent="0.3">
      <c r="F78" s="37" t="str">
        <f>'Calculs (ELS)'!Y3</f>
        <v>NEd,sm [kN/m']</v>
      </c>
      <c r="G78" s="32">
        <f>'Calculs (ELS)'!Z3</f>
        <v>1.6286132391200185</v>
      </c>
    </row>
    <row r="79" spans="6:10" x14ac:dyDescent="0.3">
      <c r="F79" s="38" t="str">
        <f>'Calculs (ELS)'!Y4</f>
        <v>NEd,a [kN/a]</v>
      </c>
      <c r="G79" s="34">
        <f>'Calculs (ELS)'!Z4</f>
        <v>53.208525436967982</v>
      </c>
    </row>
    <row r="80" spans="6:10" x14ac:dyDescent="0.3">
      <c r="F80" s="38" t="str">
        <f>'Calculs (ELS)'!Y5</f>
        <v>VEd,a [kN/a]</v>
      </c>
      <c r="G80" s="34">
        <f>'Calculs (ELS)'!Z5</f>
        <v>56.144000000000005</v>
      </c>
    </row>
    <row r="81" spans="6:7" x14ac:dyDescent="0.3">
      <c r="F81" s="39" t="str">
        <f>'Calculs (ELS)'!Y6</f>
        <v>MEd,a [kNm/a]</v>
      </c>
      <c r="G81" s="35">
        <f>'Calculs (ELS)'!Z6</f>
        <v>72.699000000000012</v>
      </c>
    </row>
    <row r="84" spans="6:7" x14ac:dyDescent="0.3">
      <c r="F84" s="31" t="s">
        <v>157</v>
      </c>
    </row>
    <row r="85" spans="6:7" x14ac:dyDescent="0.3">
      <c r="F85" s="37" t="str">
        <f>'Calculs (ELS)'!AB12</f>
        <v>Lmin [m]</v>
      </c>
      <c r="G85" s="37">
        <f>'Calculs (ELS)'!AC12</f>
        <v>0.36853629222560402</v>
      </c>
    </row>
    <row r="86" spans="6:7" x14ac:dyDescent="0.3">
      <c r="F86" s="39" t="str">
        <f>'Calculs (ELS)'!AB13</f>
        <v>OK ?</v>
      </c>
      <c r="G86" s="39" t="b">
        <f>'Calculs (ELS)'!AC13</f>
        <v>1</v>
      </c>
    </row>
    <row r="88" spans="6:7" x14ac:dyDescent="0.3">
      <c r="F88" s="40" t="s">
        <v>175</v>
      </c>
      <c r="G88" s="40">
        <f>G23/100*10^3</f>
        <v>40</v>
      </c>
    </row>
  </sheetData>
  <pageMargins left="0.7" right="0.7" top="0.75" bottom="0.75" header="0.3" footer="0.3"/>
  <drawing r:id="rId1"/>
  <legacyDrawing r:id="rId2"/>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953BA343-8BD7-44D1-B0F2-CFE0E0F15E92}">
          <x14:formula1>
            <xm:f>'Calculs (ELU)'!$A$43:$A$45</xm:f>
          </x14:formula1>
          <xm:sqref>G14</xm:sqref>
        </x14:dataValidation>
        <x14:dataValidation type="list" allowBlank="1" showInputMessage="1" showErrorMessage="1" xr:uid="{D3B5A4B6-C6D1-4229-9EFF-7F2B1B17FA1E}">
          <x14:formula1>
            <xm:f>'Calculs (ELU)'!$B$43:$B$44</xm:f>
          </x14:formula1>
          <xm:sqref>G18</xm:sqref>
        </x14:dataValidation>
        <x14:dataValidation type="list" allowBlank="1" showInputMessage="1" showErrorMessage="1" xr:uid="{46D5FE49-81BF-44CC-ADFA-81063078BEC8}">
          <x14:formula1>
            <xm:f>'Calculs (ELU)'!$C$43:$C$44</xm:f>
          </x14:formula1>
          <xm:sqref>G19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1DAE2-CA20-4A88-B37B-59F1D09822A1}">
  <dimension ref="A1:AC45"/>
  <sheetViews>
    <sheetView topLeftCell="L1" workbookViewId="0">
      <selection activeCell="Y31" sqref="Y31"/>
    </sheetView>
  </sheetViews>
  <sheetFormatPr baseColWidth="10" defaultRowHeight="14.4" x14ac:dyDescent="0.3"/>
  <cols>
    <col min="1" max="1" width="15.33203125" customWidth="1"/>
    <col min="14" max="14" width="12.6640625" bestFit="1" customWidth="1"/>
    <col min="17" max="17" width="12" bestFit="1" customWidth="1"/>
    <col min="25" max="26" width="12" style="46" bestFit="1" customWidth="1"/>
  </cols>
  <sheetData>
    <row r="1" spans="1:29" x14ac:dyDescent="0.3">
      <c r="M1" t="s">
        <v>128</v>
      </c>
      <c r="N1" t="s">
        <v>127</v>
      </c>
    </row>
    <row r="2" spans="1:29" x14ac:dyDescent="0.3">
      <c r="A2" t="s">
        <v>0</v>
      </c>
      <c r="M2" s="1" t="s">
        <v>22</v>
      </c>
      <c r="N2" s="3">
        <f>MIN(J22:J24)</f>
        <v>2.23</v>
      </c>
      <c r="P2" s="1" t="s">
        <v>31</v>
      </c>
      <c r="Q2" s="3">
        <f>268.72*N3^(0.8)/(1+N17)</f>
        <v>678.99323805868175</v>
      </c>
      <c r="S2" s="11" t="s">
        <v>136</v>
      </c>
      <c r="T2" s="3">
        <v>1</v>
      </c>
      <c r="V2" s="1" t="s">
        <v>91</v>
      </c>
      <c r="W2" s="3"/>
      <c r="Y2" s="47" t="s">
        <v>149</v>
      </c>
      <c r="Z2" s="55">
        <f>Q2*(B16*10^6-F10)/(Q2*(B16*10^6-F10)+F15*F10)</f>
        <v>5.326720821520356E-2</v>
      </c>
      <c r="AB2" s="1" t="s">
        <v>119</v>
      </c>
      <c r="AC2" s="3">
        <f>F11*F4/(SQRT(3))*10^(-3)</f>
        <v>348.69069507707451</v>
      </c>
    </row>
    <row r="3" spans="1:29" x14ac:dyDescent="0.3">
      <c r="A3" s="1" t="s">
        <v>1</v>
      </c>
      <c r="B3" s="16" t="str">
        <f>'Interface utilisateur'!G14</f>
        <v>RK2</v>
      </c>
      <c r="C3" s="3"/>
      <c r="E3" s="1" t="s">
        <v>33</v>
      </c>
      <c r="F3" s="19" t="str">
        <f>'Interface utilisateur'!G35</f>
        <v>IPE 300</v>
      </c>
      <c r="M3" s="4" t="s">
        <v>25</v>
      </c>
      <c r="N3" s="5">
        <f>N2/0.7</f>
        <v>3.1857142857142859</v>
      </c>
      <c r="P3" s="4" t="s">
        <v>32</v>
      </c>
      <c r="Q3" s="5">
        <f>1/12*B10^3*Q2*10^3</f>
        <v>9413.9583318344321</v>
      </c>
      <c r="S3" s="9" t="s">
        <v>71</v>
      </c>
      <c r="T3" s="5">
        <f>SQRT((4*F6*F8)/PI())</f>
        <v>45.20563537104568</v>
      </c>
      <c r="V3" s="4" t="s">
        <v>96</v>
      </c>
      <c r="W3" s="5">
        <f>(F10*F4+B16*10^6*N8)*10^(-3)</f>
        <v>1398.1000000000001</v>
      </c>
      <c r="Y3" s="49" t="s">
        <v>151</v>
      </c>
      <c r="Z3" s="50">
        <f>Z2*Q26</f>
        <v>2.6633604107601778</v>
      </c>
      <c r="AB3" s="4" t="s">
        <v>48</v>
      </c>
      <c r="AC3" s="24" t="b">
        <f>AND(AC2&gt;IF(M1="ELU",Q25,Z5))</f>
        <v>1</v>
      </c>
    </row>
    <row r="4" spans="1:29" x14ac:dyDescent="0.3">
      <c r="A4" s="4" t="s">
        <v>14</v>
      </c>
      <c r="B4" s="17">
        <f>'Interface utilisateur'!G15</f>
        <v>0.25</v>
      </c>
      <c r="C4" s="5"/>
      <c r="E4" s="4" t="s">
        <v>92</v>
      </c>
      <c r="F4" s="20">
        <f>'Interface utilisateur'!G36</f>
        <v>235</v>
      </c>
      <c r="H4" s="17"/>
      <c r="I4" t="s">
        <v>159</v>
      </c>
      <c r="M4" s="9" t="s">
        <v>132</v>
      </c>
      <c r="N4" s="5">
        <f>IF(M1="ELU",IF(B4&gt;2,0.85,1),IF(B5&gt;2,0.85,1))</f>
        <v>1</v>
      </c>
      <c r="P4" s="4" t="s">
        <v>45</v>
      </c>
      <c r="Q4" s="25">
        <f>'Interface utilisateur'!P21</f>
        <v>61.46</v>
      </c>
      <c r="S4" s="9" t="s">
        <v>137</v>
      </c>
      <c r="T4" s="5">
        <f>IF((132-T3)/100&gt;1,1,(132-T3)/100)</f>
        <v>0.86794364628954324</v>
      </c>
      <c r="V4" s="7" t="s">
        <v>95</v>
      </c>
      <c r="W4" s="8">
        <v>0</v>
      </c>
      <c r="Y4" s="49" t="s">
        <v>152</v>
      </c>
      <c r="Z4" s="50">
        <f>(1-Z2)*Q26*1.1</f>
        <v>52.070303548163807</v>
      </c>
      <c r="AB4" s="7" t="s">
        <v>156</v>
      </c>
      <c r="AC4" s="22" t="b">
        <f>AND(IF(M1="ELU",Q25,Z5)&gt;0.5*AC2)</f>
        <v>0</v>
      </c>
    </row>
    <row r="5" spans="1:29" x14ac:dyDescent="0.3">
      <c r="A5" s="4" t="s">
        <v>11</v>
      </c>
      <c r="B5" s="17">
        <f>'Interface utilisateur'!G16</f>
        <v>50</v>
      </c>
      <c r="C5" s="5"/>
      <c r="E5" s="4" t="s">
        <v>34</v>
      </c>
      <c r="F5" s="20">
        <f>'Interface utilisateur'!G37-2*N18</f>
        <v>300</v>
      </c>
      <c r="H5" s="28"/>
      <c r="I5" t="s">
        <v>158</v>
      </c>
      <c r="M5" s="9" t="s">
        <v>133</v>
      </c>
      <c r="N5" s="5">
        <f>1.5</f>
        <v>1.5</v>
      </c>
      <c r="P5" s="4" t="s">
        <v>46</v>
      </c>
      <c r="Q5" s="5">
        <f>F13*$F$4*10^(-6)</f>
        <v>130.89499999999998</v>
      </c>
      <c r="S5" s="10" t="s">
        <v>72</v>
      </c>
      <c r="T5" s="8">
        <f>IF(M1="ELU",MIN(T2*T4*0.24*N2^(0.5),0.1*N8,0.3),0.1*N8)</f>
        <v>0.13515151515151513</v>
      </c>
      <c r="Y5" s="49" t="s">
        <v>153</v>
      </c>
      <c r="Z5" s="50">
        <f>Q25*1.1</f>
        <v>56.958000000000006</v>
      </c>
    </row>
    <row r="6" spans="1:29" x14ac:dyDescent="0.3">
      <c r="A6" s="4" t="s">
        <v>12</v>
      </c>
      <c r="B6" s="17">
        <f>'Interface utilisateur'!G17</f>
        <v>28</v>
      </c>
      <c r="C6" s="5"/>
      <c r="E6" s="4" t="s">
        <v>35</v>
      </c>
      <c r="F6" s="20">
        <f>'Interface utilisateur'!G38-2*N18</f>
        <v>150</v>
      </c>
      <c r="H6" s="29"/>
      <c r="I6" t="s">
        <v>157</v>
      </c>
      <c r="M6" s="9" t="s">
        <v>134</v>
      </c>
      <c r="N6" s="5">
        <f>IF(B7="OUI",1,1.1)</f>
        <v>1.1000000000000001</v>
      </c>
      <c r="P6" s="4" t="s">
        <v>47</v>
      </c>
      <c r="Q6" s="5">
        <f>F14*$F$4*10^(-6)</f>
        <v>147.57999999999998</v>
      </c>
      <c r="V6" s="1" t="s">
        <v>97</v>
      </c>
      <c r="W6" s="3"/>
      <c r="Y6" s="51" t="s">
        <v>154</v>
      </c>
      <c r="Z6" s="52">
        <f>Q24*1.1</f>
        <v>74.426000000000002</v>
      </c>
      <c r="AB6" s="1" t="s">
        <v>120</v>
      </c>
      <c r="AC6" s="3">
        <f>1/6*B13*(B10*10^(3))^2*N11*10^(-3)</f>
        <v>1.9714475455616256</v>
      </c>
    </row>
    <row r="7" spans="1:29" x14ac:dyDescent="0.3">
      <c r="A7" s="7" t="s">
        <v>13</v>
      </c>
      <c r="B7" s="18" t="str">
        <f>'Interface utilisateur'!G18</f>
        <v>NON</v>
      </c>
      <c r="C7" s="8"/>
      <c r="E7" s="4" t="s">
        <v>36</v>
      </c>
      <c r="F7" s="20">
        <f>'Interface utilisateur'!G39-2*N18</f>
        <v>7.1</v>
      </c>
      <c r="M7" s="9" t="s">
        <v>135</v>
      </c>
      <c r="N7" s="5">
        <f>IF(B6&lt;7,0.3,IF(B6&lt;14,0.65,IF(B6&lt;28,0.8,1)))</f>
        <v>1</v>
      </c>
      <c r="P7" s="7" t="s">
        <v>48</v>
      </c>
      <c r="Q7" s="22" t="b">
        <f>OR(Q5&gt;Q4,Q6&gt;Q4)</f>
        <v>1</v>
      </c>
      <c r="S7" s="1" t="s">
        <v>73</v>
      </c>
      <c r="T7" s="23" t="b">
        <f>AND(B9&lt;3*T8)</f>
        <v>1</v>
      </c>
      <c r="V7" s="4" t="s">
        <v>98</v>
      </c>
      <c r="W7" s="5">
        <f>B13*(B10*10^3-F5)/2*N8</f>
        <v>30.409090909090899</v>
      </c>
      <c r="Y7" s="47" t="s">
        <v>155</v>
      </c>
      <c r="Z7" s="48">
        <f>Z3*10^3/(B10*10^6)</f>
        <v>4.842473474109414E-3</v>
      </c>
      <c r="AB7" s="4" t="s">
        <v>121</v>
      </c>
      <c r="AC7" s="25">
        <f>'Interface utilisateur'!G54</f>
        <v>8.15</v>
      </c>
    </row>
    <row r="8" spans="1:29" x14ac:dyDescent="0.3">
      <c r="E8" s="4" t="s">
        <v>37</v>
      </c>
      <c r="F8" s="20">
        <f>'Interface utilisateur'!G40-2*N18</f>
        <v>10.7</v>
      </c>
      <c r="M8" s="9" t="s">
        <v>26</v>
      </c>
      <c r="N8" s="5">
        <f>N4*N2*N7/(N5*N6)</f>
        <v>1.3515151515151513</v>
      </c>
      <c r="S8" s="4" t="s">
        <v>74</v>
      </c>
      <c r="T8" s="5">
        <f>F5*10^(-3)-F8*10^(-3)+Q11</f>
        <v>0.4143</v>
      </c>
      <c r="V8" s="4" t="s">
        <v>99</v>
      </c>
      <c r="W8" s="5">
        <f>F10*F4*10^(-3)</f>
        <v>1264.3</v>
      </c>
      <c r="Y8" s="51" t="s">
        <v>48</v>
      </c>
      <c r="Z8" s="56" t="b">
        <f>AND(Z7&lt;N8)</f>
        <v>1</v>
      </c>
      <c r="AB8" s="4" t="s">
        <v>122</v>
      </c>
      <c r="AC8" s="5">
        <f>AC7+0.5</f>
        <v>8.65</v>
      </c>
    </row>
    <row r="9" spans="1:29" x14ac:dyDescent="0.3">
      <c r="A9" s="1" t="s">
        <v>52</v>
      </c>
      <c r="B9" s="19">
        <f>'Interface utilisateur'!G20</f>
        <v>1.2</v>
      </c>
      <c r="E9" s="4" t="s">
        <v>38</v>
      </c>
      <c r="F9" s="20">
        <f>'Interface utilisateur'!G41</f>
        <v>15</v>
      </c>
      <c r="M9" s="9" t="s">
        <v>27</v>
      </c>
      <c r="N9" s="5">
        <f>0.7*0.3*N2^(2/3)</f>
        <v>0.358445008283932</v>
      </c>
      <c r="P9" s="1" t="s">
        <v>53</v>
      </c>
      <c r="Q9" s="3">
        <f>F15/Q2</f>
        <v>309.28143054916671</v>
      </c>
      <c r="S9" s="1" t="s">
        <v>79</v>
      </c>
      <c r="T9" s="3">
        <f>MIN(0.2*B9+0.4*T8,0.6*B9)</f>
        <v>0.40571999999999997</v>
      </c>
      <c r="V9" s="4" t="s">
        <v>104</v>
      </c>
      <c r="W9" s="24" t="b">
        <f>AND($W$8&gt;$W$7)</f>
        <v>1</v>
      </c>
      <c r="AB9" s="7" t="s">
        <v>123</v>
      </c>
      <c r="AC9" s="8">
        <f>AC8+0.2</f>
        <v>8.85</v>
      </c>
    </row>
    <row r="10" spans="1:29" x14ac:dyDescent="0.3">
      <c r="A10" s="4" t="s">
        <v>23</v>
      </c>
      <c r="B10" s="20">
        <f>'Interface utilisateur'!G21</f>
        <v>0.55000000000000004</v>
      </c>
      <c r="E10" s="4" t="s">
        <v>39</v>
      </c>
      <c r="F10" s="20">
        <f>IF(M1="ELU",'Interface utilisateur'!G42,2*F6*F8+(F5-2*F8)*F7)</f>
        <v>5380</v>
      </c>
      <c r="M10" s="9" t="s">
        <v>28</v>
      </c>
      <c r="N10" s="5">
        <f>N9/0.7</f>
        <v>0.51206429754847427</v>
      </c>
      <c r="P10" s="4" t="s">
        <v>54</v>
      </c>
      <c r="Q10" s="5">
        <f>Q2*((Q9-1)*F12+B14*10^(12))*10^(-9)</f>
        <v>28787.613323229136</v>
      </c>
      <c r="S10" s="9" t="s">
        <v>138</v>
      </c>
      <c r="T10" s="5">
        <f>ATAN(4*T9/B9)*180/PI()</f>
        <v>53.519807934580527</v>
      </c>
      <c r="V10" s="4" t="s">
        <v>105</v>
      </c>
      <c r="W10" s="5">
        <f>IF((2*Q12*F6*10^(-3)+2*F8*10^(-3)*F6*10^(-3)+(F5-2*F8)*10^(-3)*F7*10^(-3))/(N8*B13+2*F6*10^(-3)*F4)*F4&gt;Q12+F8*10^(-3),IF((2*Q12*F6*10^(-3)+2*F8*10^(-3)*F6*10^(-3)+(F5-2*F8)*10^(-3)*F7*10^(-3))/(N8*B13+2*F6*10^(-3)*F4)*F4&lt;B10-Q11,(2*Q12*F6*10^(-3)+2*F8*10^(-3)*F6*10^(-3)+(F5-2*F8)*10^(-3)*F7*10^(-3))/(N8*B13+2*F6*10^(-3)*F4)*F4,0),0)</f>
        <v>0.14180421280018915</v>
      </c>
      <c r="Y10" s="47" t="s">
        <v>91</v>
      </c>
      <c r="Z10" s="48"/>
    </row>
    <row r="11" spans="1:29" x14ac:dyDescent="0.3">
      <c r="A11" s="4" t="s">
        <v>50</v>
      </c>
      <c r="B11" s="5">
        <f>B9</f>
        <v>1.2</v>
      </c>
      <c r="E11" s="4" t="s">
        <v>118</v>
      </c>
      <c r="F11" s="20">
        <f>IF(M1="ELU",'Interface utilisateur'!G43,2*F6*F8)</f>
        <v>2570</v>
      </c>
      <c r="M11" s="9" t="s">
        <v>29</v>
      </c>
      <c r="N11" s="5">
        <f>N4*N9*N7/(N5*N6)</f>
        <v>0.21723939895995878</v>
      </c>
      <c r="P11" s="4" t="s">
        <v>56</v>
      </c>
      <c r="Q11" s="5">
        <f>(B10-F5*10^(-3))/2</f>
        <v>0.12500000000000003</v>
      </c>
      <c r="S11" s="9" t="s">
        <v>78</v>
      </c>
      <c r="T11" s="5">
        <f>F6*SIN(T10*PI()/180)*10^(-3)</f>
        <v>0.12060936764218576</v>
      </c>
      <c r="V11" s="7" t="s">
        <v>106</v>
      </c>
      <c r="W11" s="8">
        <f>(B13*((W10*10^3)^2)/2*N8+F6*F8*(B10-W10-Q12-F8*10^(-3)/2)*F4+(F5-2*F8)*F7*F4*(B10/2-W10))*10^(-3)</f>
        <v>169.15767749536039</v>
      </c>
      <c r="Y11" s="49" t="s">
        <v>96</v>
      </c>
      <c r="Z11" s="50">
        <f>(F10*F4)*10^(-3)</f>
        <v>1264.3</v>
      </c>
      <c r="AB11" s="47" t="s">
        <v>124</v>
      </c>
      <c r="AC11" s="48">
        <f>(4*F6+2*(F5-2*F8)+4*F8-2*F7)*10^(-3)</f>
        <v>1.1858</v>
      </c>
    </row>
    <row r="12" spans="1:29" x14ac:dyDescent="0.3">
      <c r="A12" s="4" t="s">
        <v>51</v>
      </c>
      <c r="B12" s="5">
        <f>B11/4</f>
        <v>0.3</v>
      </c>
      <c r="E12" s="4" t="s">
        <v>40</v>
      </c>
      <c r="F12" s="20">
        <f>IF($M$1="ELU",'Interface utilisateur'!G44,(F6*F5^3)/12-((F6-F7)*(F5-2*F8)^3)/12)</f>
        <v>83560000</v>
      </c>
      <c r="M12" s="10" t="s">
        <v>30</v>
      </c>
      <c r="N12" s="8">
        <f>N11</f>
        <v>0.21723939895995878</v>
      </c>
      <c r="P12" s="4" t="s">
        <v>62</v>
      </c>
      <c r="Q12" s="5">
        <f>Q11</f>
        <v>0.12500000000000003</v>
      </c>
      <c r="S12" s="9" t="s">
        <v>81</v>
      </c>
      <c r="T12" s="5">
        <f>F6*TAN(T10*PI()/180)*10^(-3)</f>
        <v>0.20286000000000001</v>
      </c>
      <c r="V12" s="4" t="s">
        <v>101</v>
      </c>
      <c r="W12" s="5">
        <f>B13*(B10*10^3-F5+2*F8)/2*N8</f>
        <v>33.012109090909078</v>
      </c>
      <c r="Y12" s="51" t="s">
        <v>95</v>
      </c>
      <c r="Z12" s="52">
        <v>0</v>
      </c>
      <c r="AB12" s="49" t="s">
        <v>125</v>
      </c>
      <c r="AC12" s="50">
        <f>Q26/(AC11*T5)*10^(-3)</f>
        <v>0.31198781999550745</v>
      </c>
    </row>
    <row r="13" spans="1:29" x14ac:dyDescent="0.3">
      <c r="A13" s="4" t="s">
        <v>94</v>
      </c>
      <c r="B13" s="5">
        <f>MIN(B11/4,B9,(F6*Q28*T5)/(Q12*N8)*10^(-3))</f>
        <v>0.17999999999999997</v>
      </c>
      <c r="E13" s="4" t="s">
        <v>41</v>
      </c>
      <c r="F13" s="20">
        <f>IF($M$1="ELU",'Interface utilisateur'!G45,F12/(F5/2))</f>
        <v>557000</v>
      </c>
      <c r="P13" s="4" t="s">
        <v>57</v>
      </c>
      <c r="Q13" s="5">
        <f>B10-Q11-(F8*10^(-3))/2</f>
        <v>0.41965000000000002</v>
      </c>
      <c r="S13" s="4" t="s">
        <v>80</v>
      </c>
      <c r="T13" s="5">
        <f>T8-T12/3</f>
        <v>0.34667999999999999</v>
      </c>
      <c r="V13" s="4" t="s">
        <v>102</v>
      </c>
      <c r="W13" s="5">
        <f>F7*(F5-2*F8)*F4*10^(-3)</f>
        <v>464.84410000000003</v>
      </c>
      <c r="AB13" s="51" t="s">
        <v>48</v>
      </c>
      <c r="AC13" s="56" t="b">
        <f>AND(AC9-B17&gt;AC12)</f>
        <v>1</v>
      </c>
    </row>
    <row r="14" spans="1:29" x14ac:dyDescent="0.3">
      <c r="A14" s="4" t="s">
        <v>55</v>
      </c>
      <c r="B14" s="5">
        <f>B9*B10^3/12</f>
        <v>1.6637500000000003E-2</v>
      </c>
      <c r="E14" s="4" t="s">
        <v>42</v>
      </c>
      <c r="F14" s="20">
        <f>IF($M$1="ELU",'Interface utilisateur'!G46,((F6*F5^2)/4)-((F6-F7)*(F5-2*F8)^2)/4)</f>
        <v>628000</v>
      </c>
      <c r="M14" s="11" t="s">
        <v>129</v>
      </c>
      <c r="N14" s="3">
        <f>IF($M$1="ELU",1,1)</f>
        <v>1</v>
      </c>
      <c r="P14" s="4" t="s">
        <v>58</v>
      </c>
      <c r="Q14" s="5">
        <f>F8*10^(-3)*F6*10^(-3)</f>
        <v>1.6050000000000001E-3</v>
      </c>
      <c r="S14" s="7" t="s">
        <v>82</v>
      </c>
      <c r="T14" s="22" t="b">
        <f>AND(T13&lt;T9)</f>
        <v>1</v>
      </c>
      <c r="V14" s="4" t="s">
        <v>103</v>
      </c>
      <c r="W14" s="24" t="b">
        <f>AND($W$12&lt;$W$13)</f>
        <v>1</v>
      </c>
      <c r="Y14" s="47" t="s">
        <v>97</v>
      </c>
      <c r="Z14" s="48"/>
    </row>
    <row r="15" spans="1:29" x14ac:dyDescent="0.3">
      <c r="A15" s="4" t="s">
        <v>24</v>
      </c>
      <c r="B15" s="20">
        <f>'Interface utilisateur'!G22</f>
        <v>9</v>
      </c>
      <c r="E15" s="4" t="s">
        <v>49</v>
      </c>
      <c r="F15" s="20">
        <f>'Interface utilisateur'!G47</f>
        <v>210000</v>
      </c>
      <c r="M15" s="9" t="s">
        <v>130</v>
      </c>
      <c r="N15" s="5">
        <f>IF($M$1="ELU",1.25,1)</f>
        <v>1.25</v>
      </c>
      <c r="P15" s="4" t="s">
        <v>59</v>
      </c>
      <c r="Q15" s="5">
        <f>Q14/(Q13*B12)</f>
        <v>1.274871917073752E-2</v>
      </c>
      <c r="S15" s="11" t="s">
        <v>138</v>
      </c>
      <c r="T15" s="3">
        <f>ATAN(4*T13/B9)*180/PI()</f>
        <v>49.12868210360157</v>
      </c>
      <c r="V15" s="4" t="s">
        <v>107</v>
      </c>
      <c r="W15" s="5">
        <f>IF(F7*B10*F4/(N8*B13+2*F7*10^(-3)*F4)*10^(-3)&gt;Q12+F8*10^(-3),F7*B10*F4/(N8*B13+2*F7*10^(-3)*F4)*10^(-3),0)</f>
        <v>0.25631427265571444</v>
      </c>
      <c r="Y15" s="49" t="s">
        <v>108</v>
      </c>
      <c r="Z15" s="50">
        <v>0</v>
      </c>
    </row>
    <row r="16" spans="1:29" x14ac:dyDescent="0.3">
      <c r="A16" s="4" t="s">
        <v>93</v>
      </c>
      <c r="B16" s="5">
        <f>B13*B10</f>
        <v>9.8999999999999991E-2</v>
      </c>
      <c r="E16" s="4" t="s">
        <v>43</v>
      </c>
      <c r="F16" s="20">
        <f>'Interface utilisateur'!G48</f>
        <v>1</v>
      </c>
      <c r="M16" s="9" t="s">
        <v>131</v>
      </c>
      <c r="N16" s="5">
        <f>IF($M$1="ELU",1.25,1)</f>
        <v>1.25</v>
      </c>
      <c r="P16" s="4" t="s">
        <v>60</v>
      </c>
      <c r="Q16" s="5">
        <f>-((2*Q9-1)*Q15)+SQRT((2*Q9-1)^2*Q15^2-2*((Q9-1)*Q19/Q13-Q9)*Q15)</f>
        <v>0.33847731372080503</v>
      </c>
      <c r="S16" s="9" t="s">
        <v>78</v>
      </c>
      <c r="T16" s="5">
        <f>F6*SIN(T15*PI()/180)*10^(-3)</f>
        <v>0.11342717037420373</v>
      </c>
      <c r="V16" s="7" t="s">
        <v>106</v>
      </c>
      <c r="W16" s="8">
        <f>(B13*((W15*10^3)^2)/2*N8+F6*F8*(F5*10^(-3)-F8*10^(-3))*F4+(((B10/2-W15)*10^3)^2+(F5/2-F8)^2)*F7*10^(-3)*F4)*10^(-3)</f>
        <v>150.06683148533367</v>
      </c>
      <c r="Y16" s="51" t="s">
        <v>106</v>
      </c>
      <c r="Z16" s="52">
        <f>F13*F4*10^(-6)</f>
        <v>130.89499999999998</v>
      </c>
    </row>
    <row r="17" spans="1:26" x14ac:dyDescent="0.3">
      <c r="A17" s="7" t="s">
        <v>126</v>
      </c>
      <c r="B17" s="21">
        <f>'Interface utilisateur'!G23</f>
        <v>4</v>
      </c>
      <c r="E17" s="7" t="s">
        <v>44</v>
      </c>
      <c r="F17" s="21">
        <f>'Interface utilisateur'!G49</f>
        <v>2</v>
      </c>
      <c r="M17" s="9" t="s">
        <v>148</v>
      </c>
      <c r="N17" s="5">
        <f>IF(M1="ELU",0,1)</f>
        <v>0</v>
      </c>
      <c r="P17" s="4" t="s">
        <v>61</v>
      </c>
      <c r="Q17" s="5">
        <f>Q16*Q13</f>
        <v>0.14204200470293585</v>
      </c>
      <c r="S17" s="9" t="s">
        <v>81</v>
      </c>
      <c r="T17" s="5">
        <f>F6*TAN(T15*PI()/180)*10^(-3)</f>
        <v>0.17334000000000008</v>
      </c>
      <c r="V17" s="1" t="s">
        <v>108</v>
      </c>
      <c r="W17" s="3">
        <v>0</v>
      </c>
    </row>
    <row r="18" spans="1:26" x14ac:dyDescent="0.3">
      <c r="M18" s="10" t="s">
        <v>147</v>
      </c>
      <c r="N18" s="8">
        <f>IF(M1="ELU",0,0.6)</f>
        <v>0</v>
      </c>
      <c r="P18" s="4" t="s">
        <v>63</v>
      </c>
      <c r="Q18" s="5">
        <f>(F5-2*F8)*10^(-3)</f>
        <v>0.27860000000000001</v>
      </c>
      <c r="S18" s="4" t="s">
        <v>80</v>
      </c>
      <c r="T18" s="5">
        <f>T8-T17/3</f>
        <v>0.35651999999999995</v>
      </c>
      <c r="V18" s="7" t="s">
        <v>106</v>
      </c>
      <c r="W18" s="8">
        <f>IF(W14=TRUE,W16,W11)</f>
        <v>150.06683148533367</v>
      </c>
      <c r="Y18" s="47" t="s">
        <v>116</v>
      </c>
      <c r="Z18" s="48" t="s">
        <v>117</v>
      </c>
    </row>
    <row r="19" spans="1:26" x14ac:dyDescent="0.3">
      <c r="A19" s="1" t="s">
        <v>15</v>
      </c>
      <c r="B19" s="16">
        <f>'Interface utilisateur'!G25</f>
        <v>2</v>
      </c>
      <c r="C19" s="2"/>
      <c r="D19" s="2"/>
      <c r="E19" s="2"/>
      <c r="F19" s="2"/>
      <c r="G19" s="2"/>
      <c r="H19" s="2"/>
      <c r="I19" s="2"/>
      <c r="J19" s="3"/>
      <c r="P19" s="4" t="s">
        <v>64</v>
      </c>
      <c r="Q19" s="5">
        <f>Q12+(F8/2)*10^(-3)</f>
        <v>0.13035000000000002</v>
      </c>
      <c r="S19" s="7" t="s">
        <v>82</v>
      </c>
      <c r="T19" s="22" t="b">
        <f>AND(T18&lt;T13)</f>
        <v>0</v>
      </c>
      <c r="Y19" s="49">
        <f>IF(M1="ELU",0,Z12)</f>
        <v>0</v>
      </c>
      <c r="Z19" s="50">
        <f>IF(M1="ELU",0,Z11)</f>
        <v>0</v>
      </c>
    </row>
    <row r="20" spans="1:26" x14ac:dyDescent="0.3">
      <c r="A20" s="4" t="s">
        <v>5</v>
      </c>
      <c r="B20" s="17">
        <f>'Interface utilisateur'!G26</f>
        <v>4</v>
      </c>
      <c r="J20" s="5"/>
      <c r="M20" s="12" t="s">
        <v>146</v>
      </c>
      <c r="N20" s="13">
        <f>IF(M1="ELU",B15+MIN(0.3,0.1*B15),B15)</f>
        <v>9.3000000000000007</v>
      </c>
      <c r="P20" s="4" t="s">
        <v>65</v>
      </c>
      <c r="Q20" s="5">
        <f>(B12*Q17^3)/3+(Q9-1)*Q14*(Q17-Q19)^2+Q9*Q14*(Q13-Q17)^2+Q9*F7*10^(-3)*(((Q17-Q12-F8*10^(-3))^3)/3+((Q18-Q17+Q12+F8*10^(-3))^3)/3)</f>
        <v>5.3381596975287389E-2</v>
      </c>
      <c r="S20" s="4" t="s">
        <v>75</v>
      </c>
      <c r="T20" s="5">
        <f>1.35*Q27</f>
        <v>64.125</v>
      </c>
      <c r="V20" s="1" t="s">
        <v>109</v>
      </c>
      <c r="W20" s="3"/>
      <c r="Y20" s="51">
        <f>IF(M1="ELU",0,Z16)</f>
        <v>0</v>
      </c>
      <c r="Z20" s="52">
        <f>IF(M1="ELU",0,Z15)</f>
        <v>0</v>
      </c>
    </row>
    <row r="21" spans="1:26" x14ac:dyDescent="0.3">
      <c r="A21" s="4" t="s">
        <v>6</v>
      </c>
      <c r="B21" t="s">
        <v>16</v>
      </c>
      <c r="C21" t="s">
        <v>17</v>
      </c>
      <c r="D21" t="s">
        <v>18</v>
      </c>
      <c r="E21" t="s">
        <v>7</v>
      </c>
      <c r="F21" s="30" t="s">
        <v>19</v>
      </c>
      <c r="G21" t="s">
        <v>20</v>
      </c>
      <c r="H21" s="30" t="s">
        <v>144</v>
      </c>
      <c r="I21" s="30" t="s">
        <v>145</v>
      </c>
      <c r="J21" s="6" t="s">
        <v>22</v>
      </c>
      <c r="K21" s="30"/>
      <c r="P21" s="4" t="s">
        <v>66</v>
      </c>
      <c r="Q21" s="5">
        <f>$Q$2*Q20*10^3</f>
        <v>36245.743382993918</v>
      </c>
      <c r="S21" s="4" t="s">
        <v>76</v>
      </c>
      <c r="T21" s="5">
        <f>0.5*(T20*(B9*10^(3)-F6-2*Q12*10^(3))/(F6*(SIN(T15*PI()/180))^2))*10^(-3)</f>
        <v>0.2990504308425232</v>
      </c>
      <c r="V21" s="4" t="s">
        <v>100</v>
      </c>
      <c r="W21" s="24" t="b">
        <f>AND(W14=FALSE)</f>
        <v>0</v>
      </c>
    </row>
    <row r="22" spans="1:26" x14ac:dyDescent="0.3">
      <c r="A22" s="4">
        <v>1</v>
      </c>
      <c r="B22" s="17">
        <f>'Interface utilisateur'!G28</f>
        <v>0.6</v>
      </c>
      <c r="C22">
        <v>0</v>
      </c>
      <c r="D22">
        <f>C22+B22</f>
        <v>0.6</v>
      </c>
      <c r="E22" s="17"/>
      <c r="F22" s="17">
        <f>'Interface utilisateur'!J28/$N$14</f>
        <v>16</v>
      </c>
      <c r="G22" s="17">
        <f>'Interface utilisateur'!K28/$N$14</f>
        <v>17</v>
      </c>
      <c r="H22" s="17">
        <f>ATAN(TAN('Interface utilisateur'!L28*PI()/180)/$N$15)*180/PI()</f>
        <v>24.79128089714489</v>
      </c>
      <c r="I22" s="17">
        <f>'Interface utilisateur'!M28/$N$16</f>
        <v>0</v>
      </c>
      <c r="J22" s="20">
        <f>'Interface utilisateur'!P28</f>
        <v>4</v>
      </c>
      <c r="P22" s="7" t="s">
        <v>67</v>
      </c>
      <c r="Q22" s="8">
        <f>(Q10+Q21)/(2*B9)</f>
        <v>27097.231960926274</v>
      </c>
      <c r="S22" s="4" t="s">
        <v>141</v>
      </c>
      <c r="T22" s="5">
        <f>T21*T16*10^3</f>
        <v>33.920444169653912</v>
      </c>
      <c r="V22" s="4" t="s">
        <v>110</v>
      </c>
      <c r="W22" s="5">
        <f>((B10-2*W10)*10^3*B13*10^(3)*N8+2*(F5-2*F8)*F7*F4+4*(B10/2*10^3-W10*10^3-(F5-2*F8))*F6*F4)*10^(-3)</f>
        <v>-19507.5</v>
      </c>
    </row>
    <row r="23" spans="1:26" x14ac:dyDescent="0.3">
      <c r="A23" s="4">
        <v>2</v>
      </c>
      <c r="B23" s="17">
        <f>'Interface utilisateur'!G29</f>
        <v>2.4</v>
      </c>
      <c r="C23">
        <f>D22</f>
        <v>0.6</v>
      </c>
      <c r="D23">
        <f>B23+C23</f>
        <v>3</v>
      </c>
      <c r="E23" s="17"/>
      <c r="F23" s="17">
        <f>'Interface utilisateur'!J29/$N$14</f>
        <v>17</v>
      </c>
      <c r="G23" s="17">
        <f>'Interface utilisateur'!K29/$N$14</f>
        <v>18</v>
      </c>
      <c r="H23" s="17">
        <f>ATAN(TAN('Interface utilisateur'!L29*PI()/180)/$N$15)*180/PI()</f>
        <v>29.25606764096003</v>
      </c>
      <c r="I23" s="17">
        <f>'Interface utilisateur'!M29/$N$16</f>
        <v>4.8000000000000001E-2</v>
      </c>
      <c r="J23" s="20">
        <f>'Interface utilisateur'!P29</f>
        <v>2.72</v>
      </c>
      <c r="S23" s="4" t="s">
        <v>142</v>
      </c>
      <c r="T23" s="5">
        <f>0.25*B9*T20</f>
        <v>19.237500000000001</v>
      </c>
      <c r="V23" s="1" t="s">
        <v>103</v>
      </c>
      <c r="W23" s="23" t="b">
        <f>AND($W$12&lt;$W$13)</f>
        <v>1</v>
      </c>
    </row>
    <row r="24" spans="1:26" x14ac:dyDescent="0.3">
      <c r="A24" s="4">
        <v>3</v>
      </c>
      <c r="B24" s="17">
        <f>'Interface utilisateur'!G30</f>
        <v>5</v>
      </c>
      <c r="C24">
        <f>D23</f>
        <v>3</v>
      </c>
      <c r="D24">
        <f>B24+C24</f>
        <v>8</v>
      </c>
      <c r="E24" s="17"/>
      <c r="F24" s="17">
        <f>'Interface utilisateur'!J30/$N$14</f>
        <v>17</v>
      </c>
      <c r="G24" s="17">
        <f>'Interface utilisateur'!K30/$N$14</f>
        <v>18</v>
      </c>
      <c r="H24" s="17">
        <f>ATAN(TAN('Interface utilisateur'!L30*PI()/180)/$N$15)*180/PI()</f>
        <v>28.803084828544037</v>
      </c>
      <c r="I24" s="17">
        <f>'Interface utilisateur'!M30/$N$16</f>
        <v>4.48E-2</v>
      </c>
      <c r="J24" s="20">
        <f>'Interface utilisateur'!P30</f>
        <v>2.23</v>
      </c>
      <c r="P24" s="1" t="s">
        <v>70</v>
      </c>
      <c r="Q24" s="26">
        <f>'Interface utilisateur'!J41</f>
        <v>67.66</v>
      </c>
      <c r="S24" s="4" t="s">
        <v>143</v>
      </c>
      <c r="T24" s="5">
        <f>SQRT(T22^2-T23^2)</f>
        <v>27.937700807629248</v>
      </c>
      <c r="V24" s="7" t="s">
        <v>110</v>
      </c>
      <c r="W24" s="8">
        <f>((B10-2*W15)*10^(3)*B13*10^(3)*N8+2*(B10-2*W15)*10^(3)*F7*F4)*10^(-3)</f>
        <v>133.79999999999987</v>
      </c>
    </row>
    <row r="25" spans="1:26" x14ac:dyDescent="0.3">
      <c r="A25" s="4">
        <v>4</v>
      </c>
      <c r="B25" s="17">
        <f>'Interface utilisateur'!G31</f>
        <v>1</v>
      </c>
      <c r="C25">
        <f>D24</f>
        <v>8</v>
      </c>
      <c r="D25">
        <f>B25+C25</f>
        <v>9</v>
      </c>
      <c r="E25" s="17"/>
      <c r="F25" s="17">
        <f>'Interface utilisateur'!J31/$N$14</f>
        <v>18</v>
      </c>
      <c r="G25" s="17">
        <f>'Interface utilisateur'!K31/$N$14</f>
        <v>20</v>
      </c>
      <c r="H25" s="17">
        <f>ATAN(TAN('Interface utilisateur'!L31*PI()/180)/$N$15)*180/PI()</f>
        <v>26.560260202904971</v>
      </c>
      <c r="I25" s="17">
        <f>'Interface utilisateur'!M31/$N$16</f>
        <v>0</v>
      </c>
      <c r="J25" s="20">
        <f>'Interface utilisateur'!P31</f>
        <v>6</v>
      </c>
      <c r="P25" s="4" t="s">
        <v>184</v>
      </c>
      <c r="Q25" s="25">
        <f>'Interface utilisateur'!J42</f>
        <v>51.78</v>
      </c>
      <c r="S25" s="4" t="s">
        <v>77</v>
      </c>
      <c r="T25" s="5">
        <f>2*T24/(T17*10^3)</f>
        <v>0.32234568833078614</v>
      </c>
      <c r="V25" s="1" t="s">
        <v>110</v>
      </c>
      <c r="W25" s="3">
        <f>IF(W23=TRUE,W24,W22)</f>
        <v>133.79999999999987</v>
      </c>
    </row>
    <row r="26" spans="1:26" x14ac:dyDescent="0.3">
      <c r="P26" s="4" t="s">
        <v>150</v>
      </c>
      <c r="Q26" s="25">
        <f>'Interface utilisateur'!J43</f>
        <v>50</v>
      </c>
      <c r="S26" s="4" t="s">
        <v>89</v>
      </c>
      <c r="T26" s="5">
        <f>T24/T17*10^(-3)</f>
        <v>0.1611728441653931</v>
      </c>
      <c r="V26" s="7" t="s">
        <v>111</v>
      </c>
      <c r="W26" s="8">
        <f>W18</f>
        <v>150.06683148533367</v>
      </c>
    </row>
    <row r="27" spans="1:26" x14ac:dyDescent="0.3">
      <c r="P27" s="4" t="s">
        <v>68</v>
      </c>
      <c r="Q27" s="25">
        <f>'Interface utilisateur'!J44</f>
        <v>47.5</v>
      </c>
      <c r="S27" s="4" t="s">
        <v>139</v>
      </c>
      <c r="T27" s="5">
        <f>1-N2/250</f>
        <v>0.99107999999999996</v>
      </c>
    </row>
    <row r="28" spans="1:26" x14ac:dyDescent="0.3">
      <c r="P28" s="7" t="s">
        <v>69</v>
      </c>
      <c r="Q28" s="27">
        <f>'Interface utilisateur'!J45</f>
        <v>1.5</v>
      </c>
      <c r="S28" s="4" t="s">
        <v>84</v>
      </c>
      <c r="T28" s="5">
        <f>0.6*T27*N8</f>
        <v>0.80367578181818167</v>
      </c>
      <c r="V28" s="1" t="s">
        <v>112</v>
      </c>
      <c r="W28" s="3"/>
    </row>
    <row r="29" spans="1:26" x14ac:dyDescent="0.3">
      <c r="S29" s="4" t="s">
        <v>85</v>
      </c>
      <c r="T29" s="24" t="b">
        <f>AND(T28&gt;T25)</f>
        <v>1</v>
      </c>
      <c r="V29" s="4" t="s">
        <v>42</v>
      </c>
      <c r="W29" s="5">
        <f>(F7*(F5-2*F8)^2)/4+F6*F8*(F5-F8)</f>
        <v>602098.37899999996</v>
      </c>
    </row>
    <row r="30" spans="1:26" x14ac:dyDescent="0.3">
      <c r="S30" s="4" t="s">
        <v>140</v>
      </c>
      <c r="T30" s="5">
        <f>0.85</f>
        <v>0.85</v>
      </c>
      <c r="V30" s="4" t="s">
        <v>113</v>
      </c>
      <c r="W30" s="5">
        <f>(W29*F4+(B13*10^3)*(B10*10^3)^2/8*N8)*10^(-6)</f>
        <v>150.69186906499999</v>
      </c>
    </row>
    <row r="31" spans="1:26" x14ac:dyDescent="0.3">
      <c r="P31" s="1" t="s">
        <v>70</v>
      </c>
      <c r="Q31" s="3">
        <f>IF(M1="ELU",Q24,Z6)</f>
        <v>67.66</v>
      </c>
      <c r="S31" s="4" t="s">
        <v>83</v>
      </c>
      <c r="T31" s="5">
        <f>T30*T27*N8</f>
        <v>1.1385406909090907</v>
      </c>
      <c r="V31" s="1" t="s">
        <v>114</v>
      </c>
      <c r="W31" s="3">
        <f>0.5*W25</f>
        <v>66.899999999999935</v>
      </c>
    </row>
    <row r="32" spans="1:26" x14ac:dyDescent="0.3">
      <c r="P32" s="7" t="s">
        <v>150</v>
      </c>
      <c r="Q32" s="8">
        <f>IF(M1="ELU",Q26,Z4)</f>
        <v>50</v>
      </c>
      <c r="S32" s="4" t="s">
        <v>86</v>
      </c>
      <c r="T32" s="24" t="b">
        <f>AND(T31&gt;T21)</f>
        <v>1</v>
      </c>
      <c r="V32" s="7" t="s">
        <v>115</v>
      </c>
      <c r="W32" s="8">
        <f>W30</f>
        <v>150.69186906499999</v>
      </c>
    </row>
    <row r="33" spans="1:24" x14ac:dyDescent="0.3">
      <c r="S33" s="4" t="s">
        <v>87</v>
      </c>
      <c r="T33" s="5">
        <f>1.5*T23/(T17)*10^(-3)</f>
        <v>0.16647196261682237</v>
      </c>
    </row>
    <row r="34" spans="1:24" x14ac:dyDescent="0.3">
      <c r="S34" s="4" t="s">
        <v>88</v>
      </c>
      <c r="T34" s="5">
        <f>N12+0.15*T26</f>
        <v>0.24141532558476775</v>
      </c>
      <c r="V34" s="1" t="s">
        <v>116</v>
      </c>
      <c r="W34" s="3" t="s">
        <v>117</v>
      </c>
    </row>
    <row r="35" spans="1:24" x14ac:dyDescent="0.3">
      <c r="S35" s="7" t="s">
        <v>90</v>
      </c>
      <c r="T35" s="22" t="b">
        <f>AND(T34&gt;T33)</f>
        <v>1</v>
      </c>
      <c r="V35" s="4">
        <f>IF(M1="ELU",W4,0)</f>
        <v>0</v>
      </c>
      <c r="W35" s="5">
        <f>IF(M1="ELU",W3,0)</f>
        <v>1398.1000000000001</v>
      </c>
    </row>
    <row r="36" spans="1:24" x14ac:dyDescent="0.3">
      <c r="V36" s="4">
        <f>IF(M1="ELU",W26,0)</f>
        <v>150.06683148533367</v>
      </c>
      <c r="W36" s="5">
        <f>IF(M1="ELU",W25,0)</f>
        <v>133.79999999999987</v>
      </c>
    </row>
    <row r="37" spans="1:24" x14ac:dyDescent="0.3">
      <c r="V37" s="4">
        <f>IF(M1="ELU",W32,0)</f>
        <v>150.69186906499999</v>
      </c>
      <c r="W37" s="5">
        <f>IF(M1="ELU",W31,0)</f>
        <v>66.899999999999935</v>
      </c>
    </row>
    <row r="38" spans="1:24" x14ac:dyDescent="0.3">
      <c r="V38" s="7">
        <f>IF(M1="ELU",W18,0)</f>
        <v>150.06683148533367</v>
      </c>
      <c r="W38" s="8">
        <f>IF(M1="ELU",W17,0)</f>
        <v>0</v>
      </c>
    </row>
    <row r="40" spans="1:24" x14ac:dyDescent="0.3">
      <c r="X40" s="14"/>
    </row>
    <row r="41" spans="1:24" x14ac:dyDescent="0.3">
      <c r="A41" t="s">
        <v>8</v>
      </c>
    </row>
    <row r="43" spans="1:24" x14ac:dyDescent="0.3">
      <c r="A43" t="s">
        <v>2</v>
      </c>
      <c r="B43" t="s">
        <v>9</v>
      </c>
      <c r="C43" t="str">
        <f>"ELU"</f>
        <v>ELU</v>
      </c>
    </row>
    <row r="44" spans="1:24" x14ac:dyDescent="0.3">
      <c r="A44" t="s">
        <v>3</v>
      </c>
      <c r="B44" t="s">
        <v>10</v>
      </c>
      <c r="C44" t="str">
        <f>"ELS"</f>
        <v>ELS</v>
      </c>
    </row>
    <row r="45" spans="1:24" x14ac:dyDescent="0.3">
      <c r="A45" t="s">
        <v>4</v>
      </c>
    </row>
  </sheetData>
  <phoneticPr fontId="1" type="noConversion"/>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CEAFF-C7C1-40F6-9C07-4465EDD74A62}">
  <dimension ref="A1:AC45"/>
  <sheetViews>
    <sheetView topLeftCell="M1" workbookViewId="0">
      <selection activeCell="R21" sqref="R21"/>
    </sheetView>
  </sheetViews>
  <sheetFormatPr baseColWidth="10" defaultRowHeight="14.4" x14ac:dyDescent="0.3"/>
  <cols>
    <col min="1" max="1" width="15.33203125" customWidth="1"/>
    <col min="14" max="14" width="12.6640625" bestFit="1" customWidth="1"/>
    <col min="17" max="17" width="12" bestFit="1" customWidth="1"/>
    <col min="22" max="23" width="11.5546875" style="46"/>
    <col min="25" max="26" width="12" bestFit="1" customWidth="1"/>
  </cols>
  <sheetData>
    <row r="1" spans="1:29" x14ac:dyDescent="0.3">
      <c r="M1" t="s">
        <v>173</v>
      </c>
      <c r="N1" t="s">
        <v>127</v>
      </c>
    </row>
    <row r="2" spans="1:29" x14ac:dyDescent="0.3">
      <c r="A2" t="s">
        <v>0</v>
      </c>
      <c r="M2" s="1" t="s">
        <v>22</v>
      </c>
      <c r="N2" s="3">
        <f>MIN(J22:J24)</f>
        <v>2.23</v>
      </c>
      <c r="P2" s="1" t="s">
        <v>31</v>
      </c>
      <c r="Q2" s="3">
        <f>268.72*N3^(0.8)/(1+N17)</f>
        <v>339.49661902934088</v>
      </c>
      <c r="S2" s="11" t="s">
        <v>136</v>
      </c>
      <c r="T2" s="3">
        <v>1</v>
      </c>
      <c r="V2" s="47" t="s">
        <v>91</v>
      </c>
      <c r="W2" s="48"/>
      <c r="Y2" s="1" t="s">
        <v>149</v>
      </c>
      <c r="Z2" s="15">
        <f>Q2*(B16*10^6-F10)/(Q2*(B16*10^6-F10)+F15*F10)</f>
        <v>3.257226478240037E-2</v>
      </c>
      <c r="AB2" s="1" t="s">
        <v>119</v>
      </c>
      <c r="AC2" s="3">
        <f>F11*F4/(SQRT(3))*10^(-3)</f>
        <v>383.58690004743391</v>
      </c>
    </row>
    <row r="3" spans="1:29" x14ac:dyDescent="0.3">
      <c r="A3" s="1" t="s">
        <v>1</v>
      </c>
      <c r="B3" s="16" t="str">
        <f>'Interface utilisateur'!G14</f>
        <v>RK2</v>
      </c>
      <c r="C3" s="3"/>
      <c r="E3" s="1" t="s">
        <v>33</v>
      </c>
      <c r="F3" s="19" t="str">
        <f>'Interface utilisateur'!G35</f>
        <v>IPE 300</v>
      </c>
      <c r="M3" s="4" t="s">
        <v>25</v>
      </c>
      <c r="N3" s="5">
        <f>N2/0.7</f>
        <v>3.1857142857142859</v>
      </c>
      <c r="P3" s="4" t="s">
        <v>32</v>
      </c>
      <c r="Q3" s="5">
        <f>1/12*B10^3*Q2*10^3</f>
        <v>4706.9791659172161</v>
      </c>
      <c r="S3" s="9" t="s">
        <v>71</v>
      </c>
      <c r="T3" s="5">
        <f>SQRT((4*F6*F8)/PI())</f>
        <v>42.424655808122075</v>
      </c>
      <c r="V3" s="49" t="s">
        <v>96</v>
      </c>
      <c r="W3" s="50">
        <f>(F10*F4+B16*10^6*N8)*10^(-3)</f>
        <v>1164.6159101910828</v>
      </c>
      <c r="Y3" s="4" t="s">
        <v>151</v>
      </c>
      <c r="Z3" s="5">
        <f>Z2*Q26</f>
        <v>1.6286132391200185</v>
      </c>
      <c r="AB3" s="4" t="s">
        <v>48</v>
      </c>
      <c r="AC3" s="24" t="b">
        <f>AND(AC2&gt;IF(M1="ELU",Q25,Z5))</f>
        <v>1</v>
      </c>
    </row>
    <row r="4" spans="1:29" x14ac:dyDescent="0.3">
      <c r="A4" s="4" t="s">
        <v>14</v>
      </c>
      <c r="B4" s="17">
        <f>'Interface utilisateur'!G15</f>
        <v>0.25</v>
      </c>
      <c r="C4" s="5"/>
      <c r="E4" s="4" t="s">
        <v>92</v>
      </c>
      <c r="F4" s="20">
        <f>'Interface utilisateur'!G36</f>
        <v>235</v>
      </c>
      <c r="H4" s="17"/>
      <c r="I4" t="s">
        <v>159</v>
      </c>
      <c r="M4" s="9" t="s">
        <v>132</v>
      </c>
      <c r="N4" s="5">
        <f>IF(M1="ELU",IF(B4&gt;2,0.85,1),IF(B5&gt;2,0.85,1))</f>
        <v>0.85</v>
      </c>
      <c r="P4" s="49" t="s">
        <v>45</v>
      </c>
      <c r="Q4" s="57">
        <f>'Interface utilisateur'!P21</f>
        <v>61.46</v>
      </c>
      <c r="S4" s="9" t="s">
        <v>137</v>
      </c>
      <c r="T4" s="5">
        <f>IF((132-T3)/100&gt;1,1,(132-T3)/100)</f>
        <v>0.89575344191877915</v>
      </c>
      <c r="V4" s="51" t="s">
        <v>95</v>
      </c>
      <c r="W4" s="52">
        <v>0</v>
      </c>
      <c r="Y4" s="4" t="s">
        <v>187</v>
      </c>
      <c r="Z4" s="5">
        <f>(1-Z2)*Q26*1.1</f>
        <v>53.208525436967982</v>
      </c>
      <c r="AB4" s="7" t="s">
        <v>156</v>
      </c>
      <c r="AC4" s="22" t="b">
        <f>AND(IF(M1="ELU",Q25,Z5)&gt;0.5*AC2)</f>
        <v>0</v>
      </c>
    </row>
    <row r="5" spans="1:29" x14ac:dyDescent="0.3">
      <c r="A5" s="4" t="s">
        <v>11</v>
      </c>
      <c r="B5" s="17">
        <f>'Interface utilisateur'!G16</f>
        <v>50</v>
      </c>
      <c r="C5" s="5"/>
      <c r="E5" s="4" t="s">
        <v>34</v>
      </c>
      <c r="F5" s="20">
        <f>'Interface utilisateur'!G37-2*N18</f>
        <v>298.8</v>
      </c>
      <c r="H5" s="28"/>
      <c r="I5" t="s">
        <v>158</v>
      </c>
      <c r="M5" s="9" t="s">
        <v>133</v>
      </c>
      <c r="N5" s="5">
        <f>1.5</f>
        <v>1.5</v>
      </c>
      <c r="P5" s="49" t="s">
        <v>46</v>
      </c>
      <c r="Q5" s="50">
        <f>F13*$F$4*10^(-6)</f>
        <v>110.02291599372374</v>
      </c>
      <c r="S5" s="10" t="s">
        <v>72</v>
      </c>
      <c r="T5" s="8">
        <f>IF(M1="ELU",MIN(T2*T4*0.24*N2^(0.5),0.1*N8,0.3),0.1*N8)</f>
        <v>0.11487878787878787</v>
      </c>
      <c r="Y5" s="4" t="s">
        <v>185</v>
      </c>
      <c r="Z5" s="5">
        <f>Q25*1.1</f>
        <v>56.144000000000005</v>
      </c>
    </row>
    <row r="6" spans="1:29" x14ac:dyDescent="0.3">
      <c r="A6" s="4" t="s">
        <v>12</v>
      </c>
      <c r="B6" s="17">
        <f>'Interface utilisateur'!G17</f>
        <v>28</v>
      </c>
      <c r="C6" s="5"/>
      <c r="E6" s="4" t="s">
        <v>35</v>
      </c>
      <c r="F6" s="20">
        <f>'Interface utilisateur'!G38-2*N18</f>
        <v>148.80000000000001</v>
      </c>
      <c r="H6" s="29"/>
      <c r="I6" t="s">
        <v>157</v>
      </c>
      <c r="M6" s="9" t="s">
        <v>134</v>
      </c>
      <c r="N6" s="5">
        <f>IF(B7="OUI",1,1.1)</f>
        <v>1.1000000000000001</v>
      </c>
      <c r="P6" s="49" t="s">
        <v>47</v>
      </c>
      <c r="Q6" s="50">
        <f>F14*$F$4*10^(-6)</f>
        <v>123.24089466500003</v>
      </c>
      <c r="V6" s="47" t="s">
        <v>97</v>
      </c>
      <c r="W6" s="48"/>
      <c r="Y6" s="7" t="s">
        <v>186</v>
      </c>
      <c r="Z6" s="8">
        <f>Q24*1.1</f>
        <v>72.699000000000012</v>
      </c>
      <c r="AB6" s="47" t="s">
        <v>120</v>
      </c>
      <c r="AC6" s="48">
        <f>1/6*B13*(B10*10^(3))^2*N11*10^(-3)</f>
        <v>1.6543835294760776</v>
      </c>
    </row>
    <row r="7" spans="1:29" x14ac:dyDescent="0.3">
      <c r="A7" s="7" t="s">
        <v>13</v>
      </c>
      <c r="B7" s="18" t="str">
        <f>'Interface utilisateur'!G18</f>
        <v>NON</v>
      </c>
      <c r="C7" s="8"/>
      <c r="E7" s="4" t="s">
        <v>36</v>
      </c>
      <c r="F7" s="20">
        <f>'Interface utilisateur'!G39-2*N18</f>
        <v>5.8999999999999995</v>
      </c>
      <c r="M7" s="9" t="s">
        <v>135</v>
      </c>
      <c r="N7" s="5">
        <f>IF(B6&lt;7,0.3,IF(B6&lt;14,0.65,IF(B6&lt;28,0.8,1)))</f>
        <v>1</v>
      </c>
      <c r="P7" s="51" t="s">
        <v>48</v>
      </c>
      <c r="Q7" s="56" t="b">
        <f>OR(Q5&gt;Q4,Q6&gt;Q4)</f>
        <v>1</v>
      </c>
      <c r="S7" s="1" t="s">
        <v>73</v>
      </c>
      <c r="T7" s="23" t="b">
        <f>AND(B9&lt;3*T8)</f>
        <v>1</v>
      </c>
      <c r="V7" s="49" t="s">
        <v>98</v>
      </c>
      <c r="W7" s="50">
        <f>B13*(B10*10^3-F5)/2*N8</f>
        <v>25.640945454545445</v>
      </c>
      <c r="Y7" s="1" t="s">
        <v>155</v>
      </c>
      <c r="Z7" s="3">
        <f>Z3*10^3/(B10*10^6)</f>
        <v>2.9611149802182156E-3</v>
      </c>
      <c r="AB7" s="49" t="s">
        <v>121</v>
      </c>
      <c r="AC7" s="57">
        <f>'Interface utilisateur'!G54</f>
        <v>8.15</v>
      </c>
    </row>
    <row r="8" spans="1:29" x14ac:dyDescent="0.3">
      <c r="E8" s="4" t="s">
        <v>37</v>
      </c>
      <c r="F8" s="20">
        <f>'Interface utilisateur'!G40-2*N18</f>
        <v>9.5</v>
      </c>
      <c r="M8" s="9" t="s">
        <v>26</v>
      </c>
      <c r="N8" s="5">
        <f>N4*N2*N7/(N5*N6)</f>
        <v>1.1487878787878787</v>
      </c>
      <c r="S8" s="4" t="s">
        <v>74</v>
      </c>
      <c r="T8" s="5">
        <f>F5*10^(-3)-F8*10^(-3)+Q11</f>
        <v>0.41490000000000005</v>
      </c>
      <c r="V8" s="49" t="s">
        <v>99</v>
      </c>
      <c r="W8" s="50">
        <f>F10*F4*10^(-3)</f>
        <v>1052.3347000000001</v>
      </c>
      <c r="Y8" s="7" t="s">
        <v>48</v>
      </c>
      <c r="Z8" s="22" t="b">
        <f>AND(Z7&lt;N8)</f>
        <v>1</v>
      </c>
      <c r="AB8" s="49" t="s">
        <v>122</v>
      </c>
      <c r="AC8" s="50">
        <f>AC7+0.5</f>
        <v>8.65</v>
      </c>
    </row>
    <row r="9" spans="1:29" x14ac:dyDescent="0.3">
      <c r="A9" s="1" t="s">
        <v>52</v>
      </c>
      <c r="B9" s="19">
        <f>'Interface utilisateur'!G20</f>
        <v>1.2</v>
      </c>
      <c r="E9" s="4" t="s">
        <v>38</v>
      </c>
      <c r="F9" s="20">
        <f>'Interface utilisateur'!G41</f>
        <v>15</v>
      </c>
      <c r="M9" s="9" t="s">
        <v>27</v>
      </c>
      <c r="N9" s="5">
        <f>0.7*0.3*N2^(2/3)</f>
        <v>0.358445008283932</v>
      </c>
      <c r="P9" s="1" t="s">
        <v>53</v>
      </c>
      <c r="Q9" s="3">
        <f>F15/Q2</f>
        <v>618.56286109833343</v>
      </c>
      <c r="S9" s="1" t="s">
        <v>79</v>
      </c>
      <c r="T9" s="3">
        <f>MIN(0.2*B9+0.4*T8,0.6*B9)</f>
        <v>0.40595999999999999</v>
      </c>
      <c r="V9" s="49" t="s">
        <v>104</v>
      </c>
      <c r="W9" s="53" t="b">
        <f>AND($W$8&gt;$W$7)</f>
        <v>1</v>
      </c>
      <c r="AB9" s="51" t="s">
        <v>123</v>
      </c>
      <c r="AC9" s="52">
        <f>AC8+0.2</f>
        <v>8.85</v>
      </c>
    </row>
    <row r="10" spans="1:29" x14ac:dyDescent="0.3">
      <c r="A10" s="4" t="s">
        <v>23</v>
      </c>
      <c r="B10" s="20">
        <f>'Interface utilisateur'!G21</f>
        <v>0.55000000000000004</v>
      </c>
      <c r="E10" s="4" t="s">
        <v>39</v>
      </c>
      <c r="F10" s="20">
        <f>IF(M1="ELU",'Interface utilisateur'!G42,2*F6*F8+(F5-2*F8)*F7)</f>
        <v>4478.0200000000004</v>
      </c>
      <c r="M10" s="9" t="s">
        <v>28</v>
      </c>
      <c r="N10" s="5">
        <f>N9/0.7</f>
        <v>0.51206429754847427</v>
      </c>
      <c r="P10" s="4" t="s">
        <v>54</v>
      </c>
      <c r="Q10" s="5">
        <f>Q2*((Q9-1)*F12+B14*10^(12))*10^(-9)</f>
        <v>20313.389963494461</v>
      </c>
      <c r="S10" s="9" t="s">
        <v>138</v>
      </c>
      <c r="T10" s="5">
        <f>ATAN(4*T9/B9)*180/PI()</f>
        <v>53.536004233599627</v>
      </c>
      <c r="V10" s="49" t="s">
        <v>105</v>
      </c>
      <c r="W10" s="50">
        <f>IF((2*Q12*F6*10^(-3)+2*F8*10^(-3)*F6*10^(-3)+(F5-2*F8)*10^(-3)*F7*10^(-3))/(N8*B13+2*F6*10^(-3)*F4)*F4&gt;Q12+F8*10^(-3),IF((2*Q12*F6*10^(-3)+2*F8*10^(-3)*F6*10^(-3)+(F5-2*F8)*10^(-3)*F7*10^(-3))/(N8*B13+2*F6*10^(-3)*F4)*F4&lt;B10-Q11,(2*Q12*F6*10^(-3)+2*F8*10^(-3)*F6*10^(-3)+(F5-2*F8)*10^(-3)*F7*10^(-3))/(N8*B13+2*F6*10^(-3)*F4)*F4,0),0)</f>
        <v>0.14023774726561805</v>
      </c>
      <c r="Y10" s="1" t="s">
        <v>91</v>
      </c>
      <c r="Z10" s="3"/>
    </row>
    <row r="11" spans="1:29" x14ac:dyDescent="0.3">
      <c r="A11" s="4" t="s">
        <v>50</v>
      </c>
      <c r="B11" s="5">
        <f>B9</f>
        <v>1.2</v>
      </c>
      <c r="E11" s="4" t="s">
        <v>118</v>
      </c>
      <c r="F11" s="20">
        <f>IF(M1="ELU",'Interface utilisateur'!G43,2*F6*F8)</f>
        <v>2827.2000000000003</v>
      </c>
      <c r="M11" s="9" t="s">
        <v>29</v>
      </c>
      <c r="N11" s="5">
        <f>N4*N9*N7/(N5*N6)</f>
        <v>0.18465348911596496</v>
      </c>
      <c r="P11" s="4" t="s">
        <v>56</v>
      </c>
      <c r="Q11" s="5">
        <f>(B10-F5*10^(-3))/2</f>
        <v>0.12560000000000002</v>
      </c>
      <c r="S11" s="9" t="s">
        <v>78</v>
      </c>
      <c r="T11" s="5">
        <f>F6*SIN(T10*PI()/180)*10^(-3)</f>
        <v>0.11966949602088611</v>
      </c>
      <c r="V11" s="51" t="s">
        <v>106</v>
      </c>
      <c r="W11" s="52">
        <f>(B13*((W10*10^3)^2)/2*N8+F6*F8*(B10-W10-Q12-F8*10^(-3)/2)*F4+(F5-2*F8)*F7*F4*(B10/2-W10))*10^(-3)</f>
        <v>147.10711265729893</v>
      </c>
      <c r="Y11" s="4" t="s">
        <v>96</v>
      </c>
      <c r="Z11" s="5">
        <f>(F10*F4)*10^(-3)</f>
        <v>1052.3347000000001</v>
      </c>
      <c r="AB11" s="1" t="s">
        <v>124</v>
      </c>
      <c r="AC11" s="3">
        <f>(4*F6+2*(F5-2*F8)+4*F8-2*F7)*10^(-3)</f>
        <v>1.1810000000000003</v>
      </c>
    </row>
    <row r="12" spans="1:29" x14ac:dyDescent="0.3">
      <c r="A12" s="4" t="s">
        <v>51</v>
      </c>
      <c r="B12" s="5">
        <f>B11/4</f>
        <v>0.3</v>
      </c>
      <c r="E12" s="4" t="s">
        <v>40</v>
      </c>
      <c r="F12" s="20">
        <f>IF($M$1="ELU",'Interface utilisateur'!G44,(F6*F5^3)/12-((F6-F7)*(F5-2*F8)^3)/12)</f>
        <v>69946483.614733309</v>
      </c>
      <c r="M12" s="10" t="s">
        <v>30</v>
      </c>
      <c r="N12" s="8">
        <f>N11</f>
        <v>0.18465348911596496</v>
      </c>
      <c r="P12" s="4" t="s">
        <v>62</v>
      </c>
      <c r="Q12" s="5">
        <f>Q11</f>
        <v>0.12560000000000002</v>
      </c>
      <c r="S12" s="9" t="s">
        <v>81</v>
      </c>
      <c r="T12" s="5">
        <f>F6*TAN(T10*PI()/180)*10^(-3)</f>
        <v>0.20135616000000003</v>
      </c>
      <c r="V12" s="49" t="s">
        <v>101</v>
      </c>
      <c r="W12" s="50">
        <f>B13*(B10*10^3-F5+2*F8)/2*N8</f>
        <v>27.580348176027787</v>
      </c>
      <c r="Y12" s="7" t="s">
        <v>95</v>
      </c>
      <c r="Z12" s="8">
        <v>0</v>
      </c>
      <c r="AB12" s="4" t="s">
        <v>125</v>
      </c>
      <c r="AC12" s="5">
        <f>Q26/(AC11*T5)*10^(-3)</f>
        <v>0.36853629222560402</v>
      </c>
    </row>
    <row r="13" spans="1:29" x14ac:dyDescent="0.3">
      <c r="A13" s="4" t="s">
        <v>94</v>
      </c>
      <c r="B13" s="5">
        <f>MIN(B11/4,B9,(F6*Q28*T5)/(Q12*N8)*10^(-3))</f>
        <v>0.17770700636942671</v>
      </c>
      <c r="E13" s="4" t="s">
        <v>41</v>
      </c>
      <c r="F13" s="20">
        <f>IF($M$1="ELU",'Interface utilisateur'!G45,F12/(F5/2))</f>
        <v>468182.62124988827</v>
      </c>
      <c r="P13" s="4" t="s">
        <v>57</v>
      </c>
      <c r="Q13" s="5">
        <f>B10-Q11-(F8*10^(-3))/2</f>
        <v>0.41965000000000002</v>
      </c>
      <c r="S13" s="4" t="s">
        <v>80</v>
      </c>
      <c r="T13" s="5">
        <f>T8-T12/3</f>
        <v>0.34778128000000003</v>
      </c>
      <c r="V13" s="49" t="s">
        <v>102</v>
      </c>
      <c r="W13" s="50">
        <f>F7*(F5-2*F8)*F4*10^(-3)</f>
        <v>387.9427</v>
      </c>
      <c r="AB13" s="7" t="s">
        <v>48</v>
      </c>
      <c r="AC13" s="22" t="b">
        <f>AND(AC9-B17&gt;AC12)</f>
        <v>1</v>
      </c>
    </row>
    <row r="14" spans="1:29" x14ac:dyDescent="0.3">
      <c r="A14" s="4" t="s">
        <v>55</v>
      </c>
      <c r="B14" s="5">
        <f>B9*B10^3/12</f>
        <v>1.6637500000000003E-2</v>
      </c>
      <c r="E14" s="4" t="s">
        <v>42</v>
      </c>
      <c r="F14" s="20">
        <f>IF($M$1="ELU",'Interface utilisateur'!G46,((F6*F5^2)/4)-((F6-F7)*(F5-2*F8)^2)/4)</f>
        <v>524429.33900000015</v>
      </c>
      <c r="M14" s="11" t="s">
        <v>129</v>
      </c>
      <c r="N14" s="3">
        <f>IF($M$1="ELU",1,1)</f>
        <v>1</v>
      </c>
      <c r="P14" s="4" t="s">
        <v>58</v>
      </c>
      <c r="Q14" s="5">
        <f>F8*10^(-3)*F6*10^(-3)</f>
        <v>1.4136000000000001E-3</v>
      </c>
      <c r="S14" s="7" t="s">
        <v>82</v>
      </c>
      <c r="T14" s="22" t="b">
        <f>AND(T13&lt;T9)</f>
        <v>1</v>
      </c>
      <c r="V14" s="49" t="s">
        <v>103</v>
      </c>
      <c r="W14" s="53" t="b">
        <f>AND($W$12&lt;$W$13)</f>
        <v>1</v>
      </c>
      <c r="Y14" s="1" t="s">
        <v>97</v>
      </c>
      <c r="Z14" s="3"/>
    </row>
    <row r="15" spans="1:29" x14ac:dyDescent="0.3">
      <c r="A15" s="4" t="s">
        <v>24</v>
      </c>
      <c r="B15" s="20">
        <f>'Interface utilisateur'!G22</f>
        <v>9</v>
      </c>
      <c r="E15" s="4" t="s">
        <v>49</v>
      </c>
      <c r="F15" s="20">
        <f>'Interface utilisateur'!G47</f>
        <v>210000</v>
      </c>
      <c r="M15" s="9" t="s">
        <v>130</v>
      </c>
      <c r="N15" s="5">
        <f>IF($M$1="ELU",1.25,1)</f>
        <v>1</v>
      </c>
      <c r="P15" s="4" t="s">
        <v>59</v>
      </c>
      <c r="Q15" s="5">
        <f>Q14/(Q13*B12)</f>
        <v>1.1228404622900036E-2</v>
      </c>
      <c r="S15" s="11" t="s">
        <v>138</v>
      </c>
      <c r="T15" s="3">
        <f>ATAN(4*T13/B9)*180/PI()</f>
        <v>49.218579524364067</v>
      </c>
      <c r="V15" s="49" t="s">
        <v>107</v>
      </c>
      <c r="W15" s="50">
        <f>IF(F7*B10*F4/(N8*B13+2*F7*10^(-3)*F4)*10^(-3)&gt;Q12+F8*10^(-3),F7*B10*F4/(N8*B13+2*F7*10^(-3)*F4)*10^(-3),0)</f>
        <v>0.25614282138365713</v>
      </c>
      <c r="Y15" s="4" t="s">
        <v>108</v>
      </c>
      <c r="Z15" s="5">
        <v>0</v>
      </c>
    </row>
    <row r="16" spans="1:29" x14ac:dyDescent="0.3">
      <c r="A16" s="4" t="s">
        <v>93</v>
      </c>
      <c r="B16" s="5">
        <f>B13*B10</f>
        <v>9.7738853503184703E-2</v>
      </c>
      <c r="E16" s="4" t="s">
        <v>43</v>
      </c>
      <c r="F16" s="20">
        <f>'Interface utilisateur'!G48</f>
        <v>1</v>
      </c>
      <c r="M16" s="9" t="s">
        <v>131</v>
      </c>
      <c r="N16" s="5">
        <f>IF($M$1="ELU",1.25,1)</f>
        <v>1</v>
      </c>
      <c r="P16" s="4" t="s">
        <v>60</v>
      </c>
      <c r="Q16" s="5">
        <f>-((2*Q9-1)*Q15)+SQRT((2*Q9-1)^2*Q15^2-2*((Q9-1)*Q19/Q13-Q9)*Q15)</f>
        <v>0.34103245693371775</v>
      </c>
      <c r="S16" s="9" t="s">
        <v>78</v>
      </c>
      <c r="T16" s="5">
        <f>F6*SIN(T15*PI()/180)*10^(-3)</f>
        <v>0.11267238717801195</v>
      </c>
      <c r="V16" s="51" t="s">
        <v>106</v>
      </c>
      <c r="W16" s="52">
        <f>(B13*((W15*10^3)^2)/2*N8+F6*F8*(F5*10^(-3)-F8*10^(-3))*F4+(((B10/2-W15)*10^3)^2+(F5/2-F8)^2)*F7*10^(-3)*F4)*10^(-3)</f>
        <v>130.43090115667886</v>
      </c>
      <c r="Y16" s="7" t="s">
        <v>106</v>
      </c>
      <c r="Z16" s="8">
        <f>F13*F4*10^(-6)</f>
        <v>110.02291599372374</v>
      </c>
    </row>
    <row r="17" spans="1:26" x14ac:dyDescent="0.3">
      <c r="A17" s="7" t="s">
        <v>126</v>
      </c>
      <c r="B17" s="21">
        <f>'Interface utilisateur'!G23</f>
        <v>4</v>
      </c>
      <c r="E17" s="7" t="s">
        <v>44</v>
      </c>
      <c r="F17" s="21">
        <f>'Interface utilisateur'!G49</f>
        <v>2</v>
      </c>
      <c r="M17" s="9" t="s">
        <v>148</v>
      </c>
      <c r="N17" s="5">
        <f>IF(M1="ELU",0,1)</f>
        <v>1</v>
      </c>
      <c r="P17" s="4" t="s">
        <v>61</v>
      </c>
      <c r="Q17" s="5">
        <f>Q16*Q13</f>
        <v>0.14311427055223466</v>
      </c>
      <c r="S17" s="9" t="s">
        <v>81</v>
      </c>
      <c r="T17" s="5">
        <f>F6*TAN(T15*PI()/180)*10^(-3)</f>
        <v>0.17249951488000007</v>
      </c>
      <c r="V17" s="47" t="s">
        <v>108</v>
      </c>
      <c r="W17" s="48">
        <v>0</v>
      </c>
    </row>
    <row r="18" spans="1:26" x14ac:dyDescent="0.3">
      <c r="M18" s="10" t="s">
        <v>147</v>
      </c>
      <c r="N18" s="8">
        <f>IF(M1="ELU",0,0.6)</f>
        <v>0.6</v>
      </c>
      <c r="P18" s="4" t="s">
        <v>63</v>
      </c>
      <c r="Q18" s="5">
        <f>(F5-2*F8)*10^(-3)</f>
        <v>0.27979999999999999</v>
      </c>
      <c r="S18" s="4" t="s">
        <v>80</v>
      </c>
      <c r="T18" s="5">
        <f>T8-T17/3</f>
        <v>0.35740016170666666</v>
      </c>
      <c r="V18" s="51" t="s">
        <v>106</v>
      </c>
      <c r="W18" s="52">
        <f>IF(W14=TRUE,W16,W11)</f>
        <v>130.43090115667886</v>
      </c>
      <c r="Y18" s="1" t="s">
        <v>116</v>
      </c>
      <c r="Z18" s="3" t="s">
        <v>117</v>
      </c>
    </row>
    <row r="19" spans="1:26" x14ac:dyDescent="0.3">
      <c r="A19" s="1" t="s">
        <v>15</v>
      </c>
      <c r="B19" s="16">
        <f>'Interface utilisateur'!G25</f>
        <v>2</v>
      </c>
      <c r="C19" s="2"/>
      <c r="D19" s="2"/>
      <c r="E19" s="2"/>
      <c r="F19" s="2"/>
      <c r="G19" s="2"/>
      <c r="H19" s="2"/>
      <c r="I19" s="2"/>
      <c r="J19" s="3"/>
      <c r="P19" s="4" t="s">
        <v>64</v>
      </c>
      <c r="Q19" s="5">
        <f>Q12+(F8/2)*10^(-3)</f>
        <v>0.13035000000000002</v>
      </c>
      <c r="S19" s="7" t="s">
        <v>82</v>
      </c>
      <c r="T19" s="22" t="b">
        <f>AND(T18&lt;T13)</f>
        <v>0</v>
      </c>
      <c r="Y19" s="4">
        <f>IF(M1="ELU",0,Z12)</f>
        <v>0</v>
      </c>
      <c r="Z19" s="5">
        <f>IF(M1="ELU",0,Z11)</f>
        <v>1052.3347000000001</v>
      </c>
    </row>
    <row r="20" spans="1:26" x14ac:dyDescent="0.3">
      <c r="A20" s="4" t="s">
        <v>5</v>
      </c>
      <c r="B20" s="17">
        <f>'Interface utilisateur'!G26</f>
        <v>4</v>
      </c>
      <c r="J20" s="5"/>
      <c r="M20" s="12" t="s">
        <v>146</v>
      </c>
      <c r="N20" s="13">
        <f>IF(M1="ELU",B15+MIN(0.3,0.1*B15),B15)</f>
        <v>9</v>
      </c>
      <c r="P20" s="4" t="s">
        <v>65</v>
      </c>
      <c r="Q20" s="5">
        <f>(B12*Q17^3)/3+(Q9-1)*Q14*(Q17-Q19)^2+Q9*Q14*(Q13-Q17)^2+Q9*F7*10^(-3)*(((Q17-Q12-F8*10^(-3))^3)/3+((Q18-Q17+Q12+F8*10^(-3))^3)/3)</f>
        <v>9.1725890760844225E-2</v>
      </c>
      <c r="S20" s="4" t="s">
        <v>75</v>
      </c>
      <c r="T20" s="5">
        <f>1.35*Q27</f>
        <v>64.125</v>
      </c>
      <c r="V20" s="47" t="s">
        <v>109</v>
      </c>
      <c r="W20" s="48"/>
      <c r="Y20" s="7">
        <f>IF(M1="ELU",0,Z16)</f>
        <v>110.02291599372374</v>
      </c>
      <c r="Z20" s="8">
        <f>IF(M1="ELU",0,Z15)</f>
        <v>0</v>
      </c>
    </row>
    <row r="21" spans="1:26" x14ac:dyDescent="0.3">
      <c r="A21" s="4" t="s">
        <v>6</v>
      </c>
      <c r="B21" t="s">
        <v>16</v>
      </c>
      <c r="C21" t="s">
        <v>17</v>
      </c>
      <c r="D21" t="s">
        <v>18</v>
      </c>
      <c r="E21" t="s">
        <v>7</v>
      </c>
      <c r="F21" s="30" t="s">
        <v>19</v>
      </c>
      <c r="G21" t="s">
        <v>20</v>
      </c>
      <c r="H21" s="30" t="s">
        <v>144</v>
      </c>
      <c r="I21" s="30" t="s">
        <v>145</v>
      </c>
      <c r="J21" s="6" t="s">
        <v>22</v>
      </c>
      <c r="K21" s="30"/>
      <c r="P21" s="4" t="s">
        <v>66</v>
      </c>
      <c r="Q21" s="5">
        <f>$Q$2*Q20*10^3</f>
        <v>31140.629790761272</v>
      </c>
      <c r="S21" s="4" t="s">
        <v>76</v>
      </c>
      <c r="T21" s="5">
        <f>0.5*(T20*(B9*10^(3)-F6-2*Q12*10^(3))/(F6*(SIN(T15*PI()/180))^2))*10^(-3)</f>
        <v>0.30064591627525183</v>
      </c>
      <c r="V21" s="49" t="s">
        <v>100</v>
      </c>
      <c r="W21" s="53" t="b">
        <f>AND(W14=FALSE)</f>
        <v>0</v>
      </c>
    </row>
    <row r="22" spans="1:26" x14ac:dyDescent="0.3">
      <c r="A22" s="4">
        <v>1</v>
      </c>
      <c r="B22" s="17">
        <f>'Interface utilisateur'!G28</f>
        <v>0.6</v>
      </c>
      <c r="C22">
        <v>0</v>
      </c>
      <c r="D22">
        <f>C22+B22</f>
        <v>0.6</v>
      </c>
      <c r="E22" s="17"/>
      <c r="F22" s="17">
        <f>'Interface utilisateur'!J28/$N$14</f>
        <v>16</v>
      </c>
      <c r="G22" s="17">
        <f>'Interface utilisateur'!K28/$N$14</f>
        <v>17</v>
      </c>
      <c r="H22" s="17">
        <f>'Interface utilisateur'!L28/$N$15</f>
        <v>30</v>
      </c>
      <c r="I22" s="17">
        <f>'Interface utilisateur'!M28/$N$16</f>
        <v>0</v>
      </c>
      <c r="J22" s="20">
        <f>'Interface utilisateur'!P28</f>
        <v>4</v>
      </c>
      <c r="P22" s="7" t="s">
        <v>67</v>
      </c>
      <c r="Q22" s="8">
        <f>(Q10+Q21)/(2*B9)</f>
        <v>21439.174897606554</v>
      </c>
      <c r="S22" s="4" t="s">
        <v>141</v>
      </c>
      <c r="T22" s="5">
        <f>T21*T16*10^3</f>
        <v>33.874493082053341</v>
      </c>
      <c r="V22" s="49" t="s">
        <v>110</v>
      </c>
      <c r="W22" s="50">
        <f>((B10-2*W10)*10^3*B13*10^(3)*N8+2*(F5-2*F8)*F7*F4+4*(B10/2*10^3-W10*10^3-(F5-2*F8))*F6*F4)*10^(-3)</f>
        <v>-19455.811589808924</v>
      </c>
    </row>
    <row r="23" spans="1:26" x14ac:dyDescent="0.3">
      <c r="A23" s="4">
        <v>2</v>
      </c>
      <c r="B23" s="17">
        <f>'Interface utilisateur'!G29</f>
        <v>2.4</v>
      </c>
      <c r="C23">
        <f>D22</f>
        <v>0.6</v>
      </c>
      <c r="D23">
        <f>B23+C23</f>
        <v>3</v>
      </c>
      <c r="E23" s="17"/>
      <c r="F23" s="17">
        <f>'Interface utilisateur'!J29/$N$14</f>
        <v>17</v>
      </c>
      <c r="G23" s="17">
        <f>'Interface utilisateur'!K29/$N$14</f>
        <v>18</v>
      </c>
      <c r="H23" s="17">
        <f>'Interface utilisateur'!L29/$N$15</f>
        <v>35</v>
      </c>
      <c r="I23" s="17">
        <f>'Interface utilisateur'!M29/$N$16</f>
        <v>0.06</v>
      </c>
      <c r="J23" s="20">
        <f>'Interface utilisateur'!P29</f>
        <v>2.72</v>
      </c>
      <c r="S23" s="4" t="s">
        <v>142</v>
      </c>
      <c r="T23" s="5">
        <f>0.25*B9*T20</f>
        <v>19.237500000000001</v>
      </c>
      <c r="V23" s="47" t="s">
        <v>103</v>
      </c>
      <c r="W23" s="54" t="b">
        <f>AND($W$12&lt;$W$13)</f>
        <v>1</v>
      </c>
    </row>
    <row r="24" spans="1:26" x14ac:dyDescent="0.3">
      <c r="A24" s="4">
        <v>3</v>
      </c>
      <c r="B24" s="17">
        <f>'Interface utilisateur'!G30</f>
        <v>5</v>
      </c>
      <c r="C24">
        <f>D23</f>
        <v>3</v>
      </c>
      <c r="D24">
        <f>B24+C24</f>
        <v>8</v>
      </c>
      <c r="E24" s="17"/>
      <c r="F24" s="17">
        <f>'Interface utilisateur'!J30/$N$14</f>
        <v>17</v>
      </c>
      <c r="G24" s="17">
        <f>'Interface utilisateur'!K30/$N$14</f>
        <v>18</v>
      </c>
      <c r="H24" s="17">
        <f>'Interface utilisateur'!L30/$N$15</f>
        <v>34.5</v>
      </c>
      <c r="I24" s="17">
        <f>'Interface utilisateur'!M30/$N$16</f>
        <v>5.6000000000000001E-2</v>
      </c>
      <c r="J24" s="20">
        <f>'Interface utilisateur'!P30</f>
        <v>2.23</v>
      </c>
      <c r="P24" s="1" t="s">
        <v>70</v>
      </c>
      <c r="Q24" s="26">
        <f>'Interface utilisateur'!G72</f>
        <v>66.09</v>
      </c>
      <c r="S24" s="4" t="s">
        <v>143</v>
      </c>
      <c r="T24" s="5">
        <f>SQRT(T22^2-T23^2)</f>
        <v>27.88189153045538</v>
      </c>
      <c r="V24" s="51" t="s">
        <v>110</v>
      </c>
      <c r="W24" s="52">
        <f>((B10-2*W15)*10^(3)*B13*10^(3)*N8+2*(B10-2*W15)*10^(3)*F7*F4)*10^(-3)</f>
        <v>112.28121019108274</v>
      </c>
    </row>
    <row r="25" spans="1:26" x14ac:dyDescent="0.3">
      <c r="A25" s="4">
        <v>4</v>
      </c>
      <c r="B25" s="17">
        <f>'Interface utilisateur'!G31</f>
        <v>1</v>
      </c>
      <c r="C25">
        <f>D24</f>
        <v>8</v>
      </c>
      <c r="D25">
        <f>B25+C25</f>
        <v>9</v>
      </c>
      <c r="E25" s="17"/>
      <c r="F25" s="17">
        <f>'Interface utilisateur'!J31/$N$14</f>
        <v>18</v>
      </c>
      <c r="G25" s="17">
        <f>'Interface utilisateur'!K31/$N$14</f>
        <v>20</v>
      </c>
      <c r="H25" s="17">
        <f>'Interface utilisateur'!L31/$N$15</f>
        <v>32</v>
      </c>
      <c r="I25" s="17">
        <f>'Interface utilisateur'!M31/$N$16</f>
        <v>0</v>
      </c>
      <c r="J25" s="20">
        <f>'Interface utilisateur'!P31</f>
        <v>6</v>
      </c>
      <c r="P25" s="4" t="s">
        <v>184</v>
      </c>
      <c r="Q25" s="25">
        <f>'Interface utilisateur'!G73</f>
        <v>51.04</v>
      </c>
      <c r="S25" s="4" t="s">
        <v>77</v>
      </c>
      <c r="T25" s="5">
        <f>2*T24/(T17*10^3)</f>
        <v>0.32326921672622116</v>
      </c>
      <c r="V25" s="47" t="s">
        <v>110</v>
      </c>
      <c r="W25" s="48">
        <f>IF(W23=TRUE,W24,W22)</f>
        <v>112.28121019108274</v>
      </c>
    </row>
    <row r="26" spans="1:26" x14ac:dyDescent="0.3">
      <c r="P26" s="4" t="s">
        <v>150</v>
      </c>
      <c r="Q26" s="25">
        <f>'Interface utilisateur'!G74</f>
        <v>50</v>
      </c>
      <c r="S26" s="4" t="s">
        <v>89</v>
      </c>
      <c r="T26" s="5">
        <f>T24/T17*10^(-3)</f>
        <v>0.16163460836311061</v>
      </c>
      <c r="V26" s="51" t="s">
        <v>111</v>
      </c>
      <c r="W26" s="52">
        <f>W18</f>
        <v>130.43090115667886</v>
      </c>
    </row>
    <row r="27" spans="1:26" x14ac:dyDescent="0.3">
      <c r="P27" s="4" t="s">
        <v>68</v>
      </c>
      <c r="Q27" s="25">
        <f>'Interface utilisateur'!G75</f>
        <v>47.5</v>
      </c>
      <c r="S27" s="4" t="s">
        <v>139</v>
      </c>
      <c r="T27" s="5">
        <f>1-N2/250</f>
        <v>0.99107999999999996</v>
      </c>
    </row>
    <row r="28" spans="1:26" x14ac:dyDescent="0.3">
      <c r="P28" s="7" t="s">
        <v>69</v>
      </c>
      <c r="Q28" s="27">
        <f>'Interface utilisateur'!G76</f>
        <v>1.5</v>
      </c>
      <c r="S28" s="4" t="s">
        <v>84</v>
      </c>
      <c r="T28" s="5">
        <f>0.6*T27*N8</f>
        <v>0.68312441454545447</v>
      </c>
      <c r="V28" s="47" t="s">
        <v>112</v>
      </c>
      <c r="W28" s="48"/>
    </row>
    <row r="29" spans="1:26" x14ac:dyDescent="0.3">
      <c r="S29" s="4" t="s">
        <v>85</v>
      </c>
      <c r="T29" s="24" t="b">
        <f>AND(T28&gt;T25)</f>
        <v>1</v>
      </c>
      <c r="V29" s="49" t="s">
        <v>42</v>
      </c>
      <c r="W29" s="50">
        <f>(F7*(F5-2*F8)^2)/4+F6*F8*(F5-F8)</f>
        <v>524429.33900000004</v>
      </c>
    </row>
    <row r="30" spans="1:26" x14ac:dyDescent="0.3">
      <c r="S30" s="4" t="s">
        <v>140</v>
      </c>
      <c r="T30" s="5">
        <f>0.85</f>
        <v>0.85</v>
      </c>
      <c r="V30" s="49" t="s">
        <v>113</v>
      </c>
      <c r="W30" s="50">
        <f>(W29*F4+(B13*10^3)*(B10*10^3)^2/8*N8)*10^(-6)</f>
        <v>130.96022786563694</v>
      </c>
    </row>
    <row r="31" spans="1:26" x14ac:dyDescent="0.3">
      <c r="P31" s="1" t="s">
        <v>70</v>
      </c>
      <c r="Q31" s="3">
        <f>IF(M1="ELU",Q24,Z6)</f>
        <v>72.699000000000012</v>
      </c>
      <c r="S31" s="4" t="s">
        <v>83</v>
      </c>
      <c r="T31" s="5">
        <f>T30*T27*N8</f>
        <v>0.96775958727272715</v>
      </c>
      <c r="V31" s="47" t="s">
        <v>114</v>
      </c>
      <c r="W31" s="48">
        <f>0.5*W25</f>
        <v>56.140605095541368</v>
      </c>
    </row>
    <row r="32" spans="1:26" x14ac:dyDescent="0.3">
      <c r="P32" s="7" t="s">
        <v>150</v>
      </c>
      <c r="Q32" s="8">
        <f>IF(M1="ELU",Q26,Z4)</f>
        <v>53.208525436967982</v>
      </c>
      <c r="S32" s="4" t="s">
        <v>86</v>
      </c>
      <c r="T32" s="24" t="b">
        <f>AND(T31&gt;T21)</f>
        <v>1</v>
      </c>
      <c r="V32" s="51" t="s">
        <v>115</v>
      </c>
      <c r="W32" s="52">
        <f>W30</f>
        <v>130.96022786563694</v>
      </c>
    </row>
    <row r="33" spans="1:24" x14ac:dyDescent="0.3">
      <c r="S33" s="4" t="s">
        <v>87</v>
      </c>
      <c r="T33" s="5">
        <f>1.5*T23/(T17)*10^(-3)</f>
        <v>0.16728307914415855</v>
      </c>
    </row>
    <row r="34" spans="1:24" x14ac:dyDescent="0.3">
      <c r="S34" s="4" t="s">
        <v>88</v>
      </c>
      <c r="T34" s="5">
        <f>N12+0.15*T26</f>
        <v>0.20889868037043155</v>
      </c>
      <c r="V34" s="47" t="s">
        <v>116</v>
      </c>
      <c r="W34" s="48" t="s">
        <v>117</v>
      </c>
    </row>
    <row r="35" spans="1:24" x14ac:dyDescent="0.3">
      <c r="S35" s="7" t="s">
        <v>90</v>
      </c>
      <c r="T35" s="22" t="b">
        <f>AND(T34&gt;T33)</f>
        <v>1</v>
      </c>
      <c r="V35" s="49">
        <f>IF(M1="ELU",W4,0)</f>
        <v>0</v>
      </c>
      <c r="W35" s="50">
        <f>IF(M1="ELU",W3,0)</f>
        <v>0</v>
      </c>
    </row>
    <row r="36" spans="1:24" x14ac:dyDescent="0.3">
      <c r="V36" s="49">
        <f>IF(M1="ELU",W26,0)</f>
        <v>0</v>
      </c>
      <c r="W36" s="50">
        <f>IF(M1="ELU",W25,0)</f>
        <v>0</v>
      </c>
    </row>
    <row r="37" spans="1:24" x14ac:dyDescent="0.3">
      <c r="V37" s="49">
        <f>IF(M1="ELU",W32,0)</f>
        <v>0</v>
      </c>
      <c r="W37" s="50">
        <f>IF(M1="ELU",W31,0)</f>
        <v>0</v>
      </c>
    </row>
    <row r="38" spans="1:24" x14ac:dyDescent="0.3">
      <c r="V38" s="51">
        <f>IF(M1="ELU",W18,0)</f>
        <v>0</v>
      </c>
      <c r="W38" s="52">
        <f>IF(M1="ELU",W17,0)</f>
        <v>0</v>
      </c>
    </row>
    <row r="40" spans="1:24" x14ac:dyDescent="0.3">
      <c r="X40" s="14"/>
    </row>
    <row r="41" spans="1:24" x14ac:dyDescent="0.3">
      <c r="A41" t="s">
        <v>8</v>
      </c>
    </row>
    <row r="43" spans="1:24" x14ac:dyDescent="0.3">
      <c r="A43" t="s">
        <v>2</v>
      </c>
      <c r="B43" t="s">
        <v>9</v>
      </c>
      <c r="C43" t="str">
        <f>"ELU"</f>
        <v>ELU</v>
      </c>
    </row>
    <row r="44" spans="1:24" x14ac:dyDescent="0.3">
      <c r="A44" t="s">
        <v>3</v>
      </c>
      <c r="B44" t="s">
        <v>10</v>
      </c>
      <c r="C44" t="str">
        <f>"ELS"</f>
        <v>ELS</v>
      </c>
    </row>
    <row r="45" spans="1:24" x14ac:dyDescent="0.3">
      <c r="A45" t="s">
        <v>4</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Interface utilisateur</vt:lpstr>
      <vt:lpstr>Calculs (ELU)</vt:lpstr>
      <vt:lpstr>Calculs (ELS)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Vrancx</dc:creator>
  <cp:lastModifiedBy>Sharleen Vrancx</cp:lastModifiedBy>
  <dcterms:created xsi:type="dcterms:W3CDTF">2023-04-19T13:27:21Z</dcterms:created>
  <dcterms:modified xsi:type="dcterms:W3CDTF">2023-06-09T16:22:05Z</dcterms:modified>
</cp:coreProperties>
</file>