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170" yWindow="-195" windowWidth="24240" windowHeight="15375" tabRatio="500" firstSheet="22" activeTab="22"/>
  </bookViews>
  <sheets>
    <sheet name="Lineare Regression_HID" sheetId="4" state="hidden" r:id="rId1"/>
    <sheet name="Lineare Regression_HID1" sheetId="5" state="hidden" r:id="rId2"/>
    <sheet name="Lineare Regression_HID2" sheetId="6" state="hidden" r:id="rId3"/>
    <sheet name="Lineare Regression_HID3" sheetId="7" state="hidden" r:id="rId4"/>
    <sheet name="Lineare Regression_HID4" sheetId="8" state="hidden" r:id="rId5"/>
    <sheet name="Lineare Regression_HID5" sheetId="9" state="hidden" r:id="rId6"/>
    <sheet name="Lineare Regression1_HID" sheetId="11" state="hidden" r:id="rId7"/>
    <sheet name="Lineare Regression1_HID1" sheetId="12" state="hidden" r:id="rId8"/>
    <sheet name="Lineare Regression1_HID2" sheetId="14" state="hidden" r:id="rId9"/>
    <sheet name="Lineare Regression1_HID3" sheetId="15" state="hidden" r:id="rId10"/>
    <sheet name="Lineare Regression_HID8" sheetId="25" state="hidden" r:id="rId11"/>
    <sheet name="Lineare Regression_HID9" sheetId="26" state="hidden" r:id="rId12"/>
    <sheet name="Lineare Regression_HID10" sheetId="28" state="hidden" r:id="rId13"/>
    <sheet name="Lineare Regression_HID11" sheetId="29" state="hidden" r:id="rId14"/>
    <sheet name="Lineare Regression_HID12" sheetId="30" state="hidden" r:id="rId15"/>
    <sheet name="Lineare Regression_HID13" sheetId="31" state="hidden" r:id="rId16"/>
    <sheet name="Lineare Regression_HID14" sheetId="32" state="hidden" r:id="rId17"/>
    <sheet name="Lineare Regression_HID15" sheetId="33" state="hidden" r:id="rId18"/>
    <sheet name="Lineare Regression1_HID4" sheetId="19" state="hidden" r:id="rId19"/>
    <sheet name="Lineare Regression1_HID5" sheetId="20" state="hidden" r:id="rId20"/>
    <sheet name="Lineare Regression_HID6" sheetId="22" state="hidden" r:id="rId21"/>
    <sheet name="Lineare Regression_HID7" sheetId="23" state="hidden" r:id="rId22"/>
    <sheet name="Legend" sheetId="151" r:id="rId23"/>
    <sheet name="Country" sheetId="146" r:id="rId24"/>
    <sheet name="Lineare Regression_HID16" sheetId="38" state="hidden" r:id="rId25"/>
    <sheet name="Lineare Regression_HID17" sheetId="39" state="hidden" r:id="rId26"/>
    <sheet name="Lineare Regression_HID18" sheetId="41" state="hidden" r:id="rId27"/>
    <sheet name="Lineare Regression_HID19" sheetId="42" state="hidden" r:id="rId28"/>
    <sheet name="Lineare Regression_HID20" sheetId="43" state="hidden" r:id="rId29"/>
    <sheet name="Lineare Regression_HID21" sheetId="44" state="hidden" r:id="rId30"/>
    <sheet name="Lineare Regression_HID22" sheetId="45" state="hidden" r:id="rId31"/>
    <sheet name="Lineare Regression_HID23" sheetId="46" state="hidden" r:id="rId32"/>
    <sheet name="Lineare Regression1_HID6" sheetId="48" state="hidden" r:id="rId33"/>
    <sheet name="Lineare Regression1_HID7" sheetId="49" state="hidden" r:id="rId34"/>
    <sheet name="Lineare Regression1_HID8" sheetId="50" state="hidden" r:id="rId35"/>
    <sheet name="Lineare Regression1_HID9" sheetId="51" state="hidden" r:id="rId36"/>
    <sheet name="Lineare Regression1_HID10" sheetId="52" state="hidden" r:id="rId37"/>
    <sheet name="Lineare Regression1_HID11" sheetId="53" state="hidden" r:id="rId38"/>
    <sheet name="Lineare Regression_HID24" sheetId="55" state="hidden" r:id="rId39"/>
    <sheet name="Lineare Regression_HID25" sheetId="56" state="hidden" r:id="rId40"/>
    <sheet name="Lineare Regression_HID26" sheetId="57" state="hidden" r:id="rId41"/>
    <sheet name="Lineare Regression_HID27" sheetId="58" state="hidden" r:id="rId42"/>
    <sheet name="Lineare Regression_HID28" sheetId="59" state="hidden" r:id="rId43"/>
    <sheet name="Lineare Regression_HID29" sheetId="60" state="hidden" r:id="rId44"/>
    <sheet name="Lineare Regression_HID30" sheetId="62" state="hidden" r:id="rId45"/>
    <sheet name="Lineare Regression_HID31" sheetId="63" state="hidden" r:id="rId46"/>
    <sheet name="Lineare Regression_HID32" sheetId="64" state="hidden" r:id="rId47"/>
    <sheet name="Lineare Regression_HID33" sheetId="65" state="hidden" r:id="rId48"/>
    <sheet name="Lineare Regression_HID34" sheetId="66" state="hidden" r:id="rId49"/>
    <sheet name="Lineare Regression_HID35" sheetId="67" state="hidden" r:id="rId50"/>
    <sheet name="Lineare Regression_HID36" sheetId="70" state="hidden" r:id="rId51"/>
    <sheet name="Lineare Regression_HID37" sheetId="71" state="hidden" r:id="rId52"/>
    <sheet name="Lineare Regression_HID38" sheetId="73" state="hidden" r:id="rId53"/>
    <sheet name="Lineare Regression_HID39" sheetId="74" state="hidden" r:id="rId54"/>
    <sheet name="Lineare Regression_HID68" sheetId="113" state="hidden" r:id="rId55"/>
    <sheet name="Lineare Regression_HID69" sheetId="114" state="hidden" r:id="rId56"/>
    <sheet name="Lineare Regression_HID70" sheetId="115" state="hidden" r:id="rId57"/>
    <sheet name="Lineare Regression_HID71" sheetId="116" state="hidden" r:id="rId58"/>
    <sheet name="Lineare Regression_HID72" sheetId="117" state="hidden" r:id="rId59"/>
    <sheet name="Lineare Regression_HID73" sheetId="118" state="hidden" r:id="rId60"/>
    <sheet name="Lineare Regression1_HID12" sheetId="121" state="hidden" r:id="rId61"/>
    <sheet name="Lineare Regression1_HID13" sheetId="122" state="hidden" r:id="rId62"/>
    <sheet name="Lineare Regression1_HID14" sheetId="123" state="hidden" r:id="rId63"/>
    <sheet name="Lineare Regression1_HID15" sheetId="124" state="hidden" r:id="rId64"/>
    <sheet name="Lineare Regression1_HID16" sheetId="125" state="hidden" r:id="rId65"/>
    <sheet name="Lineare Regression1_HID17" sheetId="126" state="hidden" r:id="rId66"/>
    <sheet name="Sectoral" sheetId="143" r:id="rId67"/>
    <sheet name="+ Sectoral (1Q)" sheetId="75" state="hidden" r:id="rId68"/>
    <sheet name="Lineare Regression_HID66" sheetId="109" state="hidden" r:id="rId69"/>
    <sheet name="Lineare Regression_HID67" sheetId="110" state="hidden" r:id="rId70"/>
    <sheet name="Alle PR" sheetId="108" state="hidden" r:id="rId71"/>
    <sheet name="Lineare Regression_HID54" sheetId="95" state="hidden" r:id="rId72"/>
    <sheet name="Lineare Regression_HID55" sheetId="96" state="hidden" r:id="rId73"/>
    <sheet name="Lineare Regression_HID56" sheetId="97" state="hidden" r:id="rId74"/>
    <sheet name="Lineare Regression_HID57" sheetId="98" state="hidden" r:id="rId75"/>
    <sheet name="Lineare Regression_HID58" sheetId="99" state="hidden" r:id="rId76"/>
    <sheet name="Lineare Regression_HID59" sheetId="100" state="hidden" r:id="rId77"/>
    <sheet name="Lineare Regression_HID60" sheetId="102" state="hidden" r:id="rId78"/>
    <sheet name="Lineare Regression_HID61" sheetId="103" state="hidden" r:id="rId79"/>
    <sheet name="Lineare Regression_HID62" sheetId="104" state="hidden" r:id="rId80"/>
    <sheet name="Lineare Regression_HID63" sheetId="105" state="hidden" r:id="rId81"/>
    <sheet name="Lineare Regression_HID64" sheetId="106" state="hidden" r:id="rId82"/>
    <sheet name="Lineare Regression_HID65" sheetId="107" state="hidden" r:id="rId83"/>
    <sheet name="Lineare Regression_HID40" sheetId="78" state="hidden" r:id="rId84"/>
    <sheet name="Lineare Regression_HID41" sheetId="79" state="hidden" r:id="rId85"/>
    <sheet name="Lineare Regression_HID42" sheetId="80" state="hidden" r:id="rId86"/>
    <sheet name="Lineare Regression_HID43" sheetId="81" state="hidden" r:id="rId87"/>
    <sheet name="Lineare Regression_HID44" sheetId="82" state="hidden" r:id="rId88"/>
    <sheet name="Lineare Regression_HID45" sheetId="83" state="hidden" r:id="rId89"/>
    <sheet name="Lineare Regression_HID46" sheetId="85" state="hidden" r:id="rId90"/>
    <sheet name="Lineare Regression_HID47" sheetId="86" state="hidden" r:id="rId91"/>
    <sheet name="Lineare Regression_HID48" sheetId="88" state="hidden" r:id="rId92"/>
    <sheet name="Lineare Regression_HID49" sheetId="89" state="hidden" r:id="rId93"/>
    <sheet name="Lineare Regression_HID50" sheetId="90" state="hidden" r:id="rId94"/>
    <sheet name="Lineare Regression_HID51" sheetId="91" state="hidden" r:id="rId95"/>
    <sheet name="Lineare Regression_HID52" sheetId="92" state="hidden" r:id="rId96"/>
    <sheet name="Lineare Regression_HID53" sheetId="93" state="hidden" r:id="rId97"/>
    <sheet name="+ Sectoral (2Q)" sheetId="141" state="hidden" r:id="rId98"/>
    <sheet name="Bloomberg CRA" sheetId="136" r:id="rId99"/>
    <sheet name="Thomson Reuters IMA " sheetId="149" r:id="rId100"/>
    <sheet name="Thomson Reuters IMA  ($)" sheetId="134" r:id="rId101"/>
    <sheet name="Sectors % GDP" sheetId="76" r:id="rId102"/>
    <sheet name="Trade Data" sheetId="138" r:id="rId103"/>
  </sheets>
  <calcPr calcId="145621" calcMode="manual" concurrentCalc="0"/>
  <extLst>
    <ext xmlns:mx="http://schemas.microsoft.com/office/mac/excel/2008/main" uri="{7523E5D3-25F3-A5E0-1632-64F254C22452}">
      <mx:ArchID Flags="2"/>
    </ext>
  </extLst>
</workbook>
</file>

<file path=xl/calcChain.xml><?xml version="1.0" encoding="utf-8"?>
<calcChain xmlns="http://schemas.openxmlformats.org/spreadsheetml/2006/main">
  <c r="N154" i="146" l="1"/>
  <c r="L154" i="146"/>
  <c r="J154" i="146"/>
  <c r="H154" i="146"/>
  <c r="F154" i="146"/>
  <c r="C2" i="143"/>
  <c r="C4" i="76"/>
  <c r="D2" i="143"/>
  <c r="O153" i="146"/>
  <c r="L153" i="146"/>
  <c r="J153" i="146"/>
  <c r="H153" i="146"/>
  <c r="F153" i="146"/>
  <c r="O152" i="146"/>
  <c r="L152" i="146"/>
  <c r="J152" i="146"/>
  <c r="H152" i="146"/>
  <c r="F152" i="146"/>
  <c r="O151" i="146"/>
  <c r="L151" i="146"/>
  <c r="J151" i="146"/>
  <c r="H151" i="146"/>
  <c r="F151" i="146"/>
  <c r="O150" i="146"/>
  <c r="N150" i="146"/>
  <c r="L150" i="146"/>
  <c r="J150" i="146"/>
  <c r="H150" i="146"/>
  <c r="F150" i="146"/>
  <c r="O149" i="146"/>
  <c r="L149" i="146"/>
  <c r="J149" i="146"/>
  <c r="H149" i="146"/>
  <c r="F149" i="146"/>
  <c r="O148" i="146"/>
  <c r="L148" i="146"/>
  <c r="J148" i="146"/>
  <c r="H148" i="146"/>
  <c r="F148" i="146"/>
  <c r="O147" i="146"/>
  <c r="L147" i="146"/>
  <c r="J147" i="146"/>
  <c r="H147" i="146"/>
  <c r="F147" i="146"/>
  <c r="O146" i="146"/>
  <c r="N146" i="146"/>
  <c r="L146" i="146"/>
  <c r="J146" i="146"/>
  <c r="H146" i="146"/>
  <c r="F146" i="146"/>
  <c r="O145" i="146"/>
  <c r="L145" i="146"/>
  <c r="J145" i="146"/>
  <c r="H145" i="146"/>
  <c r="F145" i="146"/>
  <c r="O144" i="146"/>
  <c r="L144" i="146"/>
  <c r="J144" i="146"/>
  <c r="H144" i="146"/>
  <c r="F144" i="146"/>
  <c r="O143" i="146"/>
  <c r="L143" i="146"/>
  <c r="J143" i="146"/>
  <c r="H143" i="146"/>
  <c r="F143" i="146"/>
  <c r="O142" i="146"/>
  <c r="N142" i="146"/>
  <c r="L142" i="146"/>
  <c r="J142" i="146"/>
  <c r="H142" i="146"/>
  <c r="F142" i="146"/>
  <c r="O141" i="146"/>
  <c r="L141" i="146"/>
  <c r="J141" i="146"/>
  <c r="H141" i="146"/>
  <c r="F141" i="146"/>
  <c r="O140" i="146"/>
  <c r="L140" i="146"/>
  <c r="J140" i="146"/>
  <c r="H140" i="146"/>
  <c r="F140" i="146"/>
  <c r="O139" i="146"/>
  <c r="L139" i="146"/>
  <c r="J139" i="146"/>
  <c r="H139" i="146"/>
  <c r="F139" i="146"/>
  <c r="O138" i="146"/>
  <c r="L138" i="146"/>
  <c r="J138" i="146"/>
  <c r="H138" i="146"/>
  <c r="F138" i="146"/>
  <c r="O137" i="146"/>
  <c r="L137" i="146"/>
  <c r="J137" i="146"/>
  <c r="H137" i="146"/>
  <c r="F137" i="146"/>
  <c r="O136" i="146"/>
  <c r="L136" i="146"/>
  <c r="J136" i="146"/>
  <c r="H136" i="146"/>
  <c r="F136" i="146"/>
  <c r="O135" i="146"/>
  <c r="F135" i="146"/>
  <c r="O134" i="146"/>
  <c r="L134" i="146"/>
  <c r="J134" i="146"/>
  <c r="H134" i="146"/>
  <c r="F134" i="146"/>
  <c r="O133" i="146"/>
  <c r="L133" i="146"/>
  <c r="J133" i="146"/>
  <c r="H133" i="146"/>
  <c r="F133" i="146"/>
  <c r="O132" i="146"/>
  <c r="L132" i="146"/>
  <c r="J132" i="146"/>
  <c r="H132" i="146"/>
  <c r="F132" i="146"/>
  <c r="O131" i="146"/>
  <c r="N131" i="146"/>
  <c r="L131" i="146"/>
  <c r="J131" i="146"/>
  <c r="H131" i="146"/>
  <c r="F131" i="146"/>
  <c r="O130" i="146"/>
  <c r="L130" i="146"/>
  <c r="J130" i="146"/>
  <c r="H130" i="146"/>
  <c r="F130" i="146"/>
  <c r="O129" i="146"/>
  <c r="L129" i="146"/>
  <c r="J129" i="146"/>
  <c r="H129" i="146"/>
  <c r="F129" i="146"/>
  <c r="O128" i="146"/>
  <c r="L128" i="146"/>
  <c r="J128" i="146"/>
  <c r="H128" i="146"/>
  <c r="F128" i="146"/>
  <c r="O127" i="146"/>
  <c r="N127" i="146"/>
  <c r="L127" i="146"/>
  <c r="J127" i="146"/>
  <c r="H127" i="146"/>
  <c r="F127" i="146"/>
  <c r="O126" i="146"/>
  <c r="L126" i="146"/>
  <c r="J126" i="146"/>
  <c r="H126" i="146"/>
  <c r="F126" i="146"/>
  <c r="O125" i="146"/>
  <c r="L125" i="146"/>
  <c r="J125" i="146"/>
  <c r="H125" i="146"/>
  <c r="F125" i="146"/>
  <c r="O124" i="146"/>
  <c r="L124" i="146"/>
  <c r="J124" i="146"/>
  <c r="H124" i="146"/>
  <c r="F124" i="146"/>
  <c r="O123" i="146"/>
  <c r="N123" i="146"/>
  <c r="L123" i="146"/>
  <c r="J123" i="146"/>
  <c r="H123" i="146"/>
  <c r="F123" i="146"/>
  <c r="O122" i="146"/>
  <c r="L122" i="146"/>
  <c r="J122" i="146"/>
  <c r="H122" i="146"/>
  <c r="F122" i="146"/>
  <c r="O121" i="146"/>
  <c r="L121" i="146"/>
  <c r="J121" i="146"/>
  <c r="H121" i="146"/>
  <c r="F121" i="146"/>
  <c r="O120" i="146"/>
  <c r="L120" i="146"/>
  <c r="J120" i="146"/>
  <c r="H120" i="146"/>
  <c r="F120" i="146"/>
  <c r="O119" i="146"/>
  <c r="L119" i="146"/>
  <c r="J119" i="146"/>
  <c r="H119" i="146"/>
  <c r="F119" i="146"/>
  <c r="O118" i="146"/>
  <c r="L118" i="146"/>
  <c r="J118" i="146"/>
  <c r="H118" i="146"/>
  <c r="F118" i="146"/>
  <c r="O117" i="146"/>
  <c r="L117" i="146"/>
  <c r="J117" i="146"/>
  <c r="H117" i="146"/>
  <c r="F117" i="146"/>
  <c r="O116" i="146"/>
  <c r="N116" i="146"/>
  <c r="F116" i="146"/>
  <c r="O115" i="146"/>
  <c r="L115" i="146"/>
  <c r="J115" i="146"/>
  <c r="H115" i="146"/>
  <c r="F115" i="146"/>
  <c r="O114" i="146"/>
  <c r="L114" i="146"/>
  <c r="J114" i="146"/>
  <c r="H114" i="146"/>
  <c r="F114" i="146"/>
  <c r="O113" i="146"/>
  <c r="L113" i="146"/>
  <c r="J113" i="146"/>
  <c r="H113" i="146"/>
  <c r="F113" i="146"/>
  <c r="O112" i="146"/>
  <c r="N112" i="146"/>
  <c r="L112" i="146"/>
  <c r="J112" i="146"/>
  <c r="H112" i="146"/>
  <c r="F112" i="146"/>
  <c r="O111" i="146"/>
  <c r="L111" i="146"/>
  <c r="J111" i="146"/>
  <c r="H111" i="146"/>
  <c r="F111" i="146"/>
  <c r="O110" i="146"/>
  <c r="L110" i="146"/>
  <c r="J110" i="146"/>
  <c r="H110" i="146"/>
  <c r="F110" i="146"/>
  <c r="O109" i="146"/>
  <c r="L109" i="146"/>
  <c r="J109" i="146"/>
  <c r="H109" i="146"/>
  <c r="F109" i="146"/>
  <c r="O108" i="146"/>
  <c r="N108" i="146"/>
  <c r="L108" i="146"/>
  <c r="J108" i="146"/>
  <c r="H108" i="146"/>
  <c r="F108" i="146"/>
  <c r="O107" i="146"/>
  <c r="L107" i="146"/>
  <c r="J107" i="146"/>
  <c r="H107" i="146"/>
  <c r="F107" i="146"/>
  <c r="O106" i="146"/>
  <c r="L106" i="146"/>
  <c r="J106" i="146"/>
  <c r="H106" i="146"/>
  <c r="F106" i="146"/>
  <c r="O105" i="146"/>
  <c r="L105" i="146"/>
  <c r="J105" i="146"/>
  <c r="H105" i="146"/>
  <c r="F105" i="146"/>
  <c r="O104" i="146"/>
  <c r="N104" i="146"/>
  <c r="L104" i="146"/>
  <c r="J104" i="146"/>
  <c r="H104" i="146"/>
  <c r="F104" i="146"/>
  <c r="O103" i="146"/>
  <c r="L103" i="146"/>
  <c r="J103" i="146"/>
  <c r="H103" i="146"/>
  <c r="F103" i="146"/>
  <c r="O102" i="146"/>
  <c r="L102" i="146"/>
  <c r="J102" i="146"/>
  <c r="H102" i="146"/>
  <c r="F102" i="146"/>
  <c r="O101" i="146"/>
  <c r="L101" i="146"/>
  <c r="J101" i="146"/>
  <c r="H101" i="146"/>
  <c r="F101" i="146"/>
  <c r="O100" i="146"/>
  <c r="L100" i="146"/>
  <c r="J100" i="146"/>
  <c r="H100" i="146"/>
  <c r="F100" i="146"/>
  <c r="O99" i="146"/>
  <c r="L99" i="146"/>
  <c r="J99" i="146"/>
  <c r="H99" i="146"/>
  <c r="F99" i="146"/>
  <c r="O98" i="146"/>
  <c r="L98" i="146"/>
  <c r="J98" i="146"/>
  <c r="H98" i="146"/>
  <c r="F98" i="146"/>
  <c r="O97" i="146"/>
  <c r="F97" i="146"/>
  <c r="O96" i="146"/>
  <c r="L96" i="146"/>
  <c r="J96" i="146"/>
  <c r="H96" i="146"/>
  <c r="F96" i="146"/>
  <c r="O95" i="146"/>
  <c r="L95" i="146"/>
  <c r="J95" i="146"/>
  <c r="H95" i="146"/>
  <c r="F95" i="146"/>
  <c r="O94" i="146"/>
  <c r="L94" i="146"/>
  <c r="J94" i="146"/>
  <c r="H94" i="146"/>
  <c r="F94" i="146"/>
  <c r="O93" i="146"/>
  <c r="N93" i="146"/>
  <c r="L93" i="146"/>
  <c r="J93" i="146"/>
  <c r="H93" i="146"/>
  <c r="F93" i="146"/>
  <c r="O92" i="146"/>
  <c r="L92" i="146"/>
  <c r="J92" i="146"/>
  <c r="H92" i="146"/>
  <c r="F92" i="146"/>
  <c r="O91" i="146"/>
  <c r="L91" i="146"/>
  <c r="J91" i="146"/>
  <c r="H91" i="146"/>
  <c r="F91" i="146"/>
  <c r="O90" i="146"/>
  <c r="L90" i="146"/>
  <c r="J90" i="146"/>
  <c r="H90" i="146"/>
  <c r="F90" i="146"/>
  <c r="O89" i="146"/>
  <c r="N89" i="146"/>
  <c r="L89" i="146"/>
  <c r="J89" i="146"/>
  <c r="H89" i="146"/>
  <c r="F89" i="146"/>
  <c r="O88" i="146"/>
  <c r="L88" i="146"/>
  <c r="J88" i="146"/>
  <c r="H88" i="146"/>
  <c r="F88" i="146"/>
  <c r="O87" i="146"/>
  <c r="L87" i="146"/>
  <c r="J87" i="146"/>
  <c r="H87" i="146"/>
  <c r="F87" i="146"/>
  <c r="O86" i="146"/>
  <c r="L86" i="146"/>
  <c r="J86" i="146"/>
  <c r="H86" i="146"/>
  <c r="F86" i="146"/>
  <c r="O85" i="146"/>
  <c r="N85" i="146"/>
  <c r="L85" i="146"/>
  <c r="J85" i="146"/>
  <c r="H85" i="146"/>
  <c r="F85" i="146"/>
  <c r="O84" i="146"/>
  <c r="L84" i="146"/>
  <c r="J84" i="146"/>
  <c r="H84" i="146"/>
  <c r="F84" i="146"/>
  <c r="O83" i="146"/>
  <c r="L83" i="146"/>
  <c r="J83" i="146"/>
  <c r="H83" i="146"/>
  <c r="F83" i="146"/>
  <c r="O82" i="146"/>
  <c r="L82" i="146"/>
  <c r="J82" i="146"/>
  <c r="H82" i="146"/>
  <c r="F82" i="146"/>
  <c r="O81" i="146"/>
  <c r="L81" i="146"/>
  <c r="J81" i="146"/>
  <c r="H81" i="146"/>
  <c r="F81" i="146"/>
  <c r="O80" i="146"/>
  <c r="L80" i="146"/>
  <c r="J80" i="146"/>
  <c r="H80" i="146"/>
  <c r="F80" i="146"/>
  <c r="O79" i="146"/>
  <c r="L79" i="146"/>
  <c r="J79" i="146"/>
  <c r="H79" i="146"/>
  <c r="F79" i="146"/>
  <c r="O78" i="146"/>
  <c r="F78" i="146"/>
  <c r="O77" i="146"/>
  <c r="L77" i="146"/>
  <c r="J77" i="146"/>
  <c r="H77" i="146"/>
  <c r="F77" i="146"/>
  <c r="O76" i="146"/>
  <c r="L76" i="146"/>
  <c r="J76" i="146"/>
  <c r="H76" i="146"/>
  <c r="F76" i="146"/>
  <c r="O75" i="146"/>
  <c r="L75" i="146"/>
  <c r="J75" i="146"/>
  <c r="H75" i="146"/>
  <c r="F75" i="146"/>
  <c r="O74" i="146"/>
  <c r="N74" i="146"/>
  <c r="L74" i="146"/>
  <c r="J74" i="146"/>
  <c r="H74" i="146"/>
  <c r="F74" i="146"/>
  <c r="O73" i="146"/>
  <c r="L73" i="146"/>
  <c r="J73" i="146"/>
  <c r="H73" i="146"/>
  <c r="F73" i="146"/>
  <c r="O72" i="146"/>
  <c r="L72" i="146"/>
  <c r="J72" i="146"/>
  <c r="H72" i="146"/>
  <c r="F72" i="146"/>
  <c r="O71" i="146"/>
  <c r="L71" i="146"/>
  <c r="J71" i="146"/>
  <c r="H71" i="146"/>
  <c r="F71" i="146"/>
  <c r="O70" i="146"/>
  <c r="N70" i="146"/>
  <c r="L70" i="146"/>
  <c r="J70" i="146"/>
  <c r="H70" i="146"/>
  <c r="F70" i="146"/>
  <c r="O69" i="146"/>
  <c r="L69" i="146"/>
  <c r="J69" i="146"/>
  <c r="H69" i="146"/>
  <c r="F69" i="146"/>
  <c r="O68" i="146"/>
  <c r="L68" i="146"/>
  <c r="J68" i="146"/>
  <c r="H68" i="146"/>
  <c r="F68" i="146"/>
  <c r="O67" i="146"/>
  <c r="L67" i="146"/>
  <c r="J67" i="146"/>
  <c r="H67" i="146"/>
  <c r="F67" i="146"/>
  <c r="O66" i="146"/>
  <c r="N66" i="146"/>
  <c r="L66" i="146"/>
  <c r="J66" i="146"/>
  <c r="H66" i="146"/>
  <c r="F66" i="146"/>
  <c r="O65" i="146"/>
  <c r="L65" i="146"/>
  <c r="J65" i="146"/>
  <c r="H65" i="146"/>
  <c r="F65" i="146"/>
  <c r="O64" i="146"/>
  <c r="L64" i="146"/>
  <c r="J64" i="146"/>
  <c r="H64" i="146"/>
  <c r="F64" i="146"/>
  <c r="O63" i="146"/>
  <c r="L63" i="146"/>
  <c r="J63" i="146"/>
  <c r="H63" i="146"/>
  <c r="F63" i="146"/>
  <c r="O62" i="146"/>
  <c r="L62" i="146"/>
  <c r="J62" i="146"/>
  <c r="H62" i="146"/>
  <c r="F62" i="146"/>
  <c r="O61" i="146"/>
  <c r="L61" i="146"/>
  <c r="J61" i="146"/>
  <c r="H61" i="146"/>
  <c r="F61" i="146"/>
  <c r="O60" i="146"/>
  <c r="L60" i="146"/>
  <c r="J60" i="146"/>
  <c r="H60" i="146"/>
  <c r="F60" i="146"/>
  <c r="O59" i="146"/>
  <c r="F59" i="146"/>
  <c r="O58" i="146"/>
  <c r="L58" i="146"/>
  <c r="J58" i="146"/>
  <c r="H58" i="146"/>
  <c r="F58" i="146"/>
  <c r="O57" i="146"/>
  <c r="L57" i="146"/>
  <c r="J57" i="146"/>
  <c r="H57" i="146"/>
  <c r="F57" i="146"/>
  <c r="O56" i="146"/>
  <c r="L56" i="146"/>
  <c r="J56" i="146"/>
  <c r="H56" i="146"/>
  <c r="F56" i="146"/>
  <c r="O55" i="146"/>
  <c r="N55" i="146"/>
  <c r="L55" i="146"/>
  <c r="J55" i="146"/>
  <c r="H55" i="146"/>
  <c r="F55" i="146"/>
  <c r="O54" i="146"/>
  <c r="L54" i="146"/>
  <c r="J54" i="146"/>
  <c r="H54" i="146"/>
  <c r="F54" i="146"/>
  <c r="O53" i="146"/>
  <c r="L53" i="146"/>
  <c r="J53" i="146"/>
  <c r="H53" i="146"/>
  <c r="F53" i="146"/>
  <c r="O52" i="146"/>
  <c r="L52" i="146"/>
  <c r="J52" i="146"/>
  <c r="H52" i="146"/>
  <c r="F52" i="146"/>
  <c r="O51" i="146"/>
  <c r="N51" i="146"/>
  <c r="L51" i="146"/>
  <c r="J51" i="146"/>
  <c r="H51" i="146"/>
  <c r="F51" i="146"/>
  <c r="O50" i="146"/>
  <c r="L50" i="146"/>
  <c r="J50" i="146"/>
  <c r="H50" i="146"/>
  <c r="F50" i="146"/>
  <c r="O49" i="146"/>
  <c r="L49" i="146"/>
  <c r="J49" i="146"/>
  <c r="H49" i="146"/>
  <c r="F49" i="146"/>
  <c r="O48" i="146"/>
  <c r="L48" i="146"/>
  <c r="J48" i="146"/>
  <c r="H48" i="146"/>
  <c r="F48" i="146"/>
  <c r="O47" i="146"/>
  <c r="N47" i="146"/>
  <c r="L47" i="146"/>
  <c r="J47" i="146"/>
  <c r="H47" i="146"/>
  <c r="F47" i="146"/>
  <c r="O46" i="146"/>
  <c r="L46" i="146"/>
  <c r="J46" i="146"/>
  <c r="H46" i="146"/>
  <c r="F46" i="146"/>
  <c r="O45" i="146"/>
  <c r="L45" i="146"/>
  <c r="J45" i="146"/>
  <c r="H45" i="146"/>
  <c r="F45" i="146"/>
  <c r="O44" i="146"/>
  <c r="L44" i="146"/>
  <c r="J44" i="146"/>
  <c r="H44" i="146"/>
  <c r="F44" i="146"/>
  <c r="O43" i="146"/>
  <c r="L43" i="146"/>
  <c r="J43" i="146"/>
  <c r="H43" i="146"/>
  <c r="F43" i="146"/>
  <c r="O42" i="146"/>
  <c r="L42" i="146"/>
  <c r="J42" i="146"/>
  <c r="H42" i="146"/>
  <c r="F42" i="146"/>
  <c r="O41" i="146"/>
  <c r="L41" i="146"/>
  <c r="J41" i="146"/>
  <c r="H41" i="146"/>
  <c r="F41" i="146"/>
  <c r="O40" i="146"/>
  <c r="F40" i="146"/>
  <c r="O39" i="146"/>
  <c r="L39" i="146"/>
  <c r="J39" i="146"/>
  <c r="H39" i="146"/>
  <c r="F39" i="146"/>
  <c r="O38" i="146"/>
  <c r="L38" i="146"/>
  <c r="J38" i="146"/>
  <c r="H38" i="146"/>
  <c r="F38" i="146"/>
  <c r="O37" i="146"/>
  <c r="L37" i="146"/>
  <c r="J37" i="146"/>
  <c r="H37" i="146"/>
  <c r="F37" i="146"/>
  <c r="O36" i="146"/>
  <c r="N36" i="146"/>
  <c r="L36" i="146"/>
  <c r="J36" i="146"/>
  <c r="H36" i="146"/>
  <c r="F36" i="146"/>
  <c r="O35" i="146"/>
  <c r="L35" i="146"/>
  <c r="J35" i="146"/>
  <c r="H35" i="146"/>
  <c r="F35" i="146"/>
  <c r="O34" i="146"/>
  <c r="L34" i="146"/>
  <c r="J34" i="146"/>
  <c r="H34" i="146"/>
  <c r="F34" i="146"/>
  <c r="O33" i="146"/>
  <c r="L33" i="146"/>
  <c r="J33" i="146"/>
  <c r="H33" i="146"/>
  <c r="F33" i="146"/>
  <c r="O32" i="146"/>
  <c r="N32" i="146"/>
  <c r="L32" i="146"/>
  <c r="J32" i="146"/>
  <c r="H32" i="146"/>
  <c r="F32" i="146"/>
  <c r="O31" i="146"/>
  <c r="L31" i="146"/>
  <c r="J31" i="146"/>
  <c r="H31" i="146"/>
  <c r="F31" i="146"/>
  <c r="O30" i="146"/>
  <c r="L30" i="146"/>
  <c r="J30" i="146"/>
  <c r="H30" i="146"/>
  <c r="F30" i="146"/>
  <c r="O29" i="146"/>
  <c r="L29" i="146"/>
  <c r="J29" i="146"/>
  <c r="H29" i="146"/>
  <c r="F29" i="146"/>
  <c r="R28" i="146"/>
  <c r="O28" i="146"/>
  <c r="N28" i="146"/>
  <c r="L28" i="146"/>
  <c r="J28" i="146"/>
  <c r="H28" i="146"/>
  <c r="F28" i="146"/>
  <c r="O27" i="146"/>
  <c r="L27" i="146"/>
  <c r="J27" i="146"/>
  <c r="H27" i="146"/>
  <c r="F27" i="146"/>
  <c r="O26" i="146"/>
  <c r="L26" i="146"/>
  <c r="J26" i="146"/>
  <c r="H26" i="146"/>
  <c r="F26" i="146"/>
  <c r="R25" i="146"/>
  <c r="O25" i="146"/>
  <c r="L25" i="146"/>
  <c r="J25" i="146"/>
  <c r="H25" i="146"/>
  <c r="F25" i="146"/>
  <c r="R24" i="146"/>
  <c r="O24" i="146"/>
  <c r="L24" i="146"/>
  <c r="J24" i="146"/>
  <c r="H24" i="146"/>
  <c r="F24" i="146"/>
  <c r="O23" i="146"/>
  <c r="L23" i="146"/>
  <c r="J23" i="146"/>
  <c r="H23" i="146"/>
  <c r="F23" i="146"/>
  <c r="O22" i="146"/>
  <c r="L22" i="146"/>
  <c r="J22" i="146"/>
  <c r="H22" i="146"/>
  <c r="F22" i="146"/>
  <c r="R21" i="146"/>
  <c r="O21" i="146"/>
  <c r="F21" i="146"/>
  <c r="O20" i="146"/>
  <c r="L20" i="146"/>
  <c r="J20" i="146"/>
  <c r="H20" i="146"/>
  <c r="F20" i="146"/>
  <c r="O19" i="146"/>
  <c r="L19" i="146"/>
  <c r="J19" i="146"/>
  <c r="H19" i="146"/>
  <c r="F19" i="146"/>
  <c r="O18" i="146"/>
  <c r="L18" i="146"/>
  <c r="J18" i="146"/>
  <c r="H18" i="146"/>
  <c r="F18" i="146"/>
  <c r="O17" i="146"/>
  <c r="N17" i="146"/>
  <c r="L17" i="146"/>
  <c r="J17" i="146"/>
  <c r="H17" i="146"/>
  <c r="F17" i="146"/>
  <c r="O16" i="146"/>
  <c r="L16" i="146"/>
  <c r="J16" i="146"/>
  <c r="H16" i="146"/>
  <c r="F16" i="146"/>
  <c r="O15" i="146"/>
  <c r="L15" i="146"/>
  <c r="J15" i="146"/>
  <c r="H15" i="146"/>
  <c r="F15" i="146"/>
  <c r="O14" i="146"/>
  <c r="L14" i="146"/>
  <c r="J14" i="146"/>
  <c r="H14" i="146"/>
  <c r="F14" i="146"/>
  <c r="R13" i="146"/>
  <c r="O13" i="146"/>
  <c r="N13" i="146"/>
  <c r="L13" i="146"/>
  <c r="J13" i="146"/>
  <c r="H13" i="146"/>
  <c r="F13" i="146"/>
  <c r="R12" i="146"/>
  <c r="O12" i="146"/>
  <c r="L12" i="146"/>
  <c r="J12" i="146"/>
  <c r="H12" i="146"/>
  <c r="F12" i="146"/>
  <c r="R11" i="146"/>
  <c r="O11" i="146"/>
  <c r="L11" i="146"/>
  <c r="J11" i="146"/>
  <c r="H11" i="146"/>
  <c r="F11" i="146"/>
  <c r="R10" i="146"/>
  <c r="O10" i="146"/>
  <c r="L10" i="146"/>
  <c r="J10" i="146"/>
  <c r="H10" i="146"/>
  <c r="F10" i="146"/>
  <c r="R9" i="146"/>
  <c r="O9" i="146"/>
  <c r="N9" i="146"/>
  <c r="L9" i="146"/>
  <c r="J9" i="146"/>
  <c r="H9" i="146"/>
  <c r="F9" i="146"/>
  <c r="O8" i="146"/>
  <c r="L8" i="146"/>
  <c r="J8" i="146"/>
  <c r="H8" i="146"/>
  <c r="F8" i="146"/>
  <c r="O7" i="146"/>
  <c r="L7" i="146"/>
  <c r="J7" i="146"/>
  <c r="H7" i="146"/>
  <c r="F7" i="146"/>
  <c r="R6" i="146"/>
  <c r="O6" i="146"/>
  <c r="L6" i="146"/>
  <c r="J6" i="146"/>
  <c r="H6" i="146"/>
  <c r="F6" i="146"/>
  <c r="R5" i="146"/>
  <c r="O5" i="146"/>
  <c r="L5" i="146"/>
  <c r="J5" i="146"/>
  <c r="H5" i="146"/>
  <c r="F5" i="146"/>
  <c r="R4" i="146"/>
  <c r="O4" i="146"/>
  <c r="L4" i="146"/>
  <c r="J4" i="146"/>
  <c r="H4" i="146"/>
  <c r="F4" i="146"/>
  <c r="R3" i="146"/>
  <c r="O3" i="146"/>
  <c r="L3" i="146"/>
  <c r="J3" i="146"/>
  <c r="H3" i="146"/>
  <c r="F3" i="146"/>
  <c r="R2" i="146"/>
  <c r="O2" i="146"/>
  <c r="F2" i="146"/>
  <c r="E2" i="143"/>
  <c r="C3" i="143"/>
  <c r="C5" i="76"/>
  <c r="D3" i="143"/>
  <c r="E3" i="143"/>
  <c r="C4" i="143"/>
  <c r="C6" i="76"/>
  <c r="D4" i="143"/>
  <c r="E4" i="143"/>
  <c r="D5" i="143"/>
  <c r="E5" i="143"/>
  <c r="C6" i="143"/>
  <c r="D6" i="143"/>
  <c r="E6" i="143"/>
  <c r="D7" i="143"/>
  <c r="E7" i="143"/>
  <c r="D8" i="143"/>
  <c r="E8" i="143"/>
  <c r="C9" i="143"/>
  <c r="D9" i="143"/>
  <c r="E9" i="143"/>
  <c r="C10" i="143"/>
  <c r="D10" i="143"/>
  <c r="E10" i="143"/>
  <c r="E4" i="76"/>
  <c r="D11" i="143"/>
  <c r="E11" i="143"/>
  <c r="C12" i="143"/>
  <c r="E5" i="76"/>
  <c r="D12" i="143"/>
  <c r="E12" i="143"/>
  <c r="E6" i="76"/>
  <c r="D13" i="143"/>
  <c r="E13" i="143"/>
  <c r="D14" i="143"/>
  <c r="E14" i="143"/>
  <c r="C15" i="143"/>
  <c r="D15" i="143"/>
  <c r="E15" i="143"/>
  <c r="C16" i="143"/>
  <c r="D16" i="143"/>
  <c r="E16" i="143"/>
  <c r="D17" i="143"/>
  <c r="E17" i="143"/>
  <c r="C18" i="143"/>
  <c r="D18" i="143"/>
  <c r="E18" i="143"/>
  <c r="D19" i="143"/>
  <c r="E19" i="143"/>
  <c r="D20" i="143"/>
  <c r="E20" i="143"/>
  <c r="D21" i="143"/>
  <c r="E21" i="143"/>
  <c r="C22" i="143"/>
  <c r="D22" i="143"/>
  <c r="E22" i="143"/>
  <c r="G4" i="76"/>
  <c r="D23" i="143"/>
  <c r="E23" i="143"/>
  <c r="C24" i="143"/>
  <c r="G5" i="76"/>
  <c r="D24" i="143"/>
  <c r="E24" i="143"/>
  <c r="G6" i="76"/>
  <c r="D25" i="143"/>
  <c r="E25" i="143"/>
  <c r="D26" i="143"/>
  <c r="E26" i="143"/>
  <c r="C27" i="143"/>
  <c r="D27" i="143"/>
  <c r="E27" i="143"/>
  <c r="D28" i="143"/>
  <c r="E28" i="143"/>
  <c r="D29" i="143"/>
  <c r="E29" i="143"/>
  <c r="D30" i="143"/>
  <c r="E30" i="143"/>
  <c r="D31" i="143"/>
  <c r="E31" i="143"/>
  <c r="D32" i="143"/>
  <c r="E32" i="143"/>
  <c r="C33" i="143"/>
  <c r="D33" i="143"/>
  <c r="E33" i="143"/>
  <c r="D34" i="143"/>
  <c r="E34" i="143"/>
  <c r="I4" i="76"/>
  <c r="D35" i="143"/>
  <c r="E35" i="143"/>
  <c r="C36" i="143"/>
  <c r="I5" i="76"/>
  <c r="D36" i="143"/>
  <c r="E36" i="143"/>
  <c r="C37" i="143"/>
  <c r="I6" i="76"/>
  <c r="D37" i="143"/>
  <c r="E37" i="143"/>
  <c r="D38" i="143"/>
  <c r="E38" i="143"/>
  <c r="C39" i="143"/>
  <c r="D39" i="143"/>
  <c r="E39" i="143"/>
  <c r="C40" i="143"/>
  <c r="D40" i="143"/>
  <c r="E40" i="143"/>
  <c r="D41" i="143"/>
  <c r="E41" i="143"/>
  <c r="C42" i="143"/>
  <c r="D42" i="143"/>
  <c r="E42" i="143"/>
  <c r="C43" i="143"/>
  <c r="D43" i="143"/>
  <c r="E43" i="143"/>
  <c r="D44" i="143"/>
  <c r="E44" i="143"/>
  <c r="C45" i="143"/>
  <c r="D45" i="143"/>
  <c r="E45" i="143"/>
  <c r="C46" i="143"/>
  <c r="D46" i="143"/>
  <c r="E46" i="143"/>
  <c r="K4" i="76"/>
  <c r="D47" i="143"/>
  <c r="E47" i="143"/>
  <c r="C48" i="143"/>
  <c r="K5" i="76"/>
  <c r="D48" i="143"/>
  <c r="E48" i="143"/>
  <c r="C49" i="143"/>
  <c r="K6" i="76"/>
  <c r="D49" i="143"/>
  <c r="E49" i="143"/>
  <c r="D50" i="143"/>
  <c r="E50" i="143"/>
  <c r="C51" i="143"/>
  <c r="D51" i="143"/>
  <c r="E51" i="143"/>
  <c r="C52" i="143"/>
  <c r="D52" i="143"/>
  <c r="E52" i="143"/>
  <c r="D53" i="143"/>
  <c r="E53" i="143"/>
  <c r="C54" i="143"/>
  <c r="D54" i="143"/>
  <c r="E54" i="143"/>
  <c r="C55" i="143"/>
  <c r="D55" i="143"/>
  <c r="E55" i="143"/>
  <c r="D56" i="143"/>
  <c r="E56" i="143"/>
  <c r="C57" i="143"/>
  <c r="D57" i="143"/>
  <c r="E57" i="143"/>
  <c r="C58" i="143"/>
  <c r="D58" i="143"/>
  <c r="E58" i="143"/>
  <c r="C8" i="76"/>
  <c r="D59" i="143"/>
  <c r="E59" i="143"/>
  <c r="C60" i="143"/>
  <c r="C9" i="76"/>
  <c r="D60" i="143"/>
  <c r="E60" i="143"/>
  <c r="C61" i="143"/>
  <c r="C10" i="76"/>
  <c r="D61" i="143"/>
  <c r="E61" i="143"/>
  <c r="D62" i="143"/>
  <c r="E62" i="143"/>
  <c r="C63" i="143"/>
  <c r="D63" i="143"/>
  <c r="E63" i="143"/>
  <c r="C64" i="143"/>
  <c r="D64" i="143"/>
  <c r="E64" i="143"/>
  <c r="D65" i="143"/>
  <c r="E65" i="143"/>
  <c r="C66" i="143"/>
  <c r="D66" i="143"/>
  <c r="E66" i="143"/>
  <c r="C67" i="143"/>
  <c r="D67" i="143"/>
  <c r="E67" i="143"/>
  <c r="E8" i="76"/>
  <c r="D68" i="143"/>
  <c r="E68" i="143"/>
  <c r="C69" i="143"/>
  <c r="E9" i="76"/>
  <c r="D69" i="143"/>
  <c r="E69" i="143"/>
  <c r="C70" i="143"/>
  <c r="E10" i="76"/>
  <c r="D70" i="143"/>
  <c r="E70" i="143"/>
  <c r="D71" i="143"/>
  <c r="E71" i="143"/>
  <c r="C72" i="143"/>
  <c r="D72" i="143"/>
  <c r="E72" i="143"/>
  <c r="C73" i="143"/>
  <c r="D73" i="143"/>
  <c r="E73" i="143"/>
  <c r="D74" i="143"/>
  <c r="E74" i="143"/>
  <c r="C75" i="143"/>
  <c r="D75" i="143"/>
  <c r="E75" i="143"/>
  <c r="C76" i="143"/>
  <c r="D76" i="143"/>
  <c r="E76" i="143"/>
  <c r="D77" i="143"/>
  <c r="E77" i="143"/>
  <c r="C78" i="143"/>
  <c r="D78" i="143"/>
  <c r="E78" i="143"/>
  <c r="C79" i="143"/>
  <c r="D79" i="143"/>
  <c r="E79" i="143"/>
  <c r="C80" i="143"/>
  <c r="G8" i="76"/>
  <c r="D80" i="143"/>
  <c r="E80" i="143"/>
  <c r="C81" i="143"/>
  <c r="G9" i="76"/>
  <c r="D81" i="143"/>
  <c r="E81" i="143"/>
  <c r="C82" i="143"/>
  <c r="G10" i="76"/>
  <c r="D82" i="143"/>
  <c r="E82" i="143"/>
  <c r="D83" i="143"/>
  <c r="E83" i="143"/>
  <c r="C84" i="143"/>
  <c r="D84" i="143"/>
  <c r="E84" i="143"/>
  <c r="C85" i="143"/>
  <c r="D85" i="143"/>
  <c r="E85" i="143"/>
  <c r="D86" i="143"/>
  <c r="E86" i="143"/>
  <c r="C87" i="143"/>
  <c r="D87" i="143"/>
  <c r="E87" i="143"/>
  <c r="C88" i="143"/>
  <c r="D88" i="143"/>
  <c r="E88" i="143"/>
  <c r="D89" i="143"/>
  <c r="E89" i="143"/>
  <c r="C90" i="143"/>
  <c r="D90" i="143"/>
  <c r="E90" i="143"/>
  <c r="C91" i="143"/>
  <c r="D91" i="143"/>
  <c r="E91" i="143"/>
  <c r="I8" i="76"/>
  <c r="D92" i="143"/>
  <c r="E92" i="143"/>
  <c r="C93" i="143"/>
  <c r="I9" i="76"/>
  <c r="D93" i="143"/>
  <c r="E93" i="143"/>
  <c r="C94" i="143"/>
  <c r="I10" i="76"/>
  <c r="D94" i="143"/>
  <c r="E94" i="143"/>
  <c r="D95" i="143"/>
  <c r="E95" i="143"/>
  <c r="C96" i="143"/>
  <c r="D96" i="143"/>
  <c r="E96" i="143"/>
  <c r="C97" i="143"/>
  <c r="D97" i="143"/>
  <c r="E97" i="143"/>
  <c r="D98" i="143"/>
  <c r="E98" i="143"/>
  <c r="C99" i="143"/>
  <c r="D99" i="143"/>
  <c r="E99" i="143"/>
  <c r="C100" i="143"/>
  <c r="D100" i="143"/>
  <c r="E100" i="143"/>
  <c r="D101" i="143"/>
  <c r="E101" i="143"/>
  <c r="C102" i="143"/>
  <c r="D102" i="143"/>
  <c r="E102" i="143"/>
  <c r="C103" i="143"/>
  <c r="D103" i="143"/>
  <c r="E103" i="143"/>
  <c r="C104" i="143"/>
  <c r="K8" i="76"/>
  <c r="D104" i="143"/>
  <c r="E104" i="143"/>
  <c r="C105" i="143"/>
  <c r="K9" i="76"/>
  <c r="D105" i="143"/>
  <c r="E105" i="143"/>
  <c r="C106" i="143"/>
  <c r="K10" i="76"/>
  <c r="D106" i="143"/>
  <c r="E106" i="143"/>
  <c r="C107" i="143"/>
  <c r="D107" i="143"/>
  <c r="E107" i="143"/>
  <c r="C108" i="143"/>
  <c r="D108" i="143"/>
  <c r="E108" i="143"/>
  <c r="C109" i="143"/>
  <c r="D109" i="143"/>
  <c r="E109" i="143"/>
  <c r="C110" i="143"/>
  <c r="D110" i="143"/>
  <c r="E110" i="143"/>
  <c r="C111" i="143"/>
  <c r="D111" i="143"/>
  <c r="E111" i="143"/>
  <c r="C112" i="143"/>
  <c r="D112" i="143"/>
  <c r="E112" i="143"/>
  <c r="D113" i="143"/>
  <c r="E113" i="143"/>
  <c r="C114" i="143"/>
  <c r="D114" i="143"/>
  <c r="E114" i="143"/>
  <c r="C115" i="143"/>
  <c r="D115" i="143"/>
  <c r="E115" i="143"/>
  <c r="C12" i="76"/>
  <c r="D116" i="143"/>
  <c r="E116" i="143"/>
  <c r="C117" i="143"/>
  <c r="C13" i="76"/>
  <c r="D117" i="143"/>
  <c r="E117" i="143"/>
  <c r="C118" i="143"/>
  <c r="C14" i="76"/>
  <c r="D118" i="143"/>
  <c r="E118" i="143"/>
  <c r="D119" i="143"/>
  <c r="E119" i="143"/>
  <c r="C120" i="143"/>
  <c r="D120" i="143"/>
  <c r="E120" i="143"/>
  <c r="C121" i="143"/>
  <c r="D121" i="143"/>
  <c r="E121" i="143"/>
  <c r="D122" i="143"/>
  <c r="E122" i="143"/>
  <c r="C123" i="143"/>
  <c r="D123" i="143"/>
  <c r="E123" i="143"/>
  <c r="C124" i="143"/>
  <c r="D124" i="143"/>
  <c r="E124" i="143"/>
  <c r="E12" i="76"/>
  <c r="D125" i="143"/>
  <c r="E125" i="143"/>
  <c r="C126" i="143"/>
  <c r="E13" i="76"/>
  <c r="D126" i="143"/>
  <c r="E126" i="143"/>
  <c r="C127" i="143"/>
  <c r="E14" i="76"/>
  <c r="D127" i="143"/>
  <c r="E127" i="143"/>
  <c r="C128" i="143"/>
  <c r="D128" i="143"/>
  <c r="E128" i="143"/>
  <c r="C129" i="143"/>
  <c r="D129" i="143"/>
  <c r="E129" i="143"/>
  <c r="C130" i="143"/>
  <c r="D130" i="143"/>
  <c r="E130" i="143"/>
  <c r="C131" i="143"/>
  <c r="D131" i="143"/>
  <c r="E131" i="143"/>
  <c r="C132" i="143"/>
  <c r="D132" i="143"/>
  <c r="E132" i="143"/>
  <c r="C133" i="143"/>
  <c r="D133" i="143"/>
  <c r="E133" i="143"/>
  <c r="D134" i="143"/>
  <c r="E134" i="143"/>
  <c r="C135" i="143"/>
  <c r="D135" i="143"/>
  <c r="E135" i="143"/>
  <c r="C136" i="143"/>
  <c r="D136" i="143"/>
  <c r="E136" i="143"/>
  <c r="G12" i="76"/>
  <c r="D137" i="143"/>
  <c r="E137" i="143"/>
  <c r="C138" i="143"/>
  <c r="G13" i="76"/>
  <c r="D138" i="143"/>
  <c r="E138" i="143"/>
  <c r="G14" i="76"/>
  <c r="D139" i="143"/>
  <c r="E139" i="143"/>
  <c r="D140" i="143"/>
  <c r="E140" i="143"/>
  <c r="D141" i="143"/>
  <c r="E141" i="143"/>
  <c r="C142" i="143"/>
  <c r="D142" i="143"/>
  <c r="E142" i="143"/>
  <c r="D143" i="143"/>
  <c r="E143" i="143"/>
  <c r="C144" i="143"/>
  <c r="D144" i="143"/>
  <c r="E144" i="143"/>
  <c r="C145" i="143"/>
  <c r="D145" i="143"/>
  <c r="E145" i="143"/>
  <c r="D146" i="143"/>
  <c r="E146" i="143"/>
  <c r="C147" i="143"/>
  <c r="D147" i="143"/>
  <c r="E147" i="143"/>
  <c r="C148" i="143"/>
  <c r="D148" i="143"/>
  <c r="E148" i="143"/>
  <c r="I12" i="76"/>
  <c r="D149" i="143"/>
  <c r="E149" i="143"/>
  <c r="C150" i="143"/>
  <c r="I13" i="76"/>
  <c r="D150" i="143"/>
  <c r="E150" i="143"/>
  <c r="C151" i="143"/>
  <c r="I14" i="76"/>
  <c r="D151" i="143"/>
  <c r="E151" i="143"/>
  <c r="C152" i="143"/>
  <c r="D152" i="143"/>
  <c r="E152" i="143"/>
  <c r="C153" i="143"/>
  <c r="D153" i="143"/>
  <c r="E153" i="143"/>
  <c r="C154" i="143"/>
  <c r="D154" i="143"/>
  <c r="E154" i="143"/>
  <c r="D155" i="143"/>
  <c r="E155" i="143"/>
  <c r="C156" i="143"/>
  <c r="D156" i="143"/>
  <c r="E156" i="143"/>
  <c r="C157" i="143"/>
  <c r="D157" i="143"/>
  <c r="E157" i="143"/>
  <c r="D158" i="143"/>
  <c r="E158" i="143"/>
  <c r="C159" i="143"/>
  <c r="D159" i="143"/>
  <c r="E159" i="143"/>
  <c r="C160" i="143"/>
  <c r="D160" i="143"/>
  <c r="E160" i="143"/>
  <c r="K12" i="76"/>
  <c r="D161" i="143"/>
  <c r="E161" i="143"/>
  <c r="C162" i="143"/>
  <c r="K13" i="76"/>
  <c r="D162" i="143"/>
  <c r="E162" i="143"/>
  <c r="K14" i="76"/>
  <c r="D163" i="143"/>
  <c r="E163" i="143"/>
  <c r="C164" i="143"/>
  <c r="D164" i="143"/>
  <c r="E164" i="143"/>
  <c r="C165" i="143"/>
  <c r="D165" i="143"/>
  <c r="E165" i="143"/>
  <c r="C166" i="143"/>
  <c r="D166" i="143"/>
  <c r="E166" i="143"/>
  <c r="D167" i="143"/>
  <c r="E167" i="143"/>
  <c r="C168" i="143"/>
  <c r="D168" i="143"/>
  <c r="E168" i="143"/>
  <c r="C169" i="143"/>
  <c r="D169" i="143"/>
  <c r="E169" i="143"/>
  <c r="D170" i="143"/>
  <c r="E170" i="143"/>
  <c r="C171" i="143"/>
  <c r="D171" i="143"/>
  <c r="E171" i="143"/>
  <c r="C172" i="143"/>
  <c r="D172" i="143"/>
  <c r="E172" i="143"/>
  <c r="C16" i="76"/>
  <c r="D173" i="143"/>
  <c r="E173" i="143"/>
  <c r="C174" i="143"/>
  <c r="C17" i="76"/>
  <c r="D174" i="143"/>
  <c r="E174" i="143"/>
  <c r="C18" i="76"/>
  <c r="D175" i="143"/>
  <c r="E175" i="143"/>
  <c r="D176" i="143"/>
  <c r="E176" i="143"/>
  <c r="C177" i="143"/>
  <c r="D177" i="143"/>
  <c r="E177" i="143"/>
  <c r="C178" i="143"/>
  <c r="D178" i="143"/>
  <c r="E178" i="143"/>
  <c r="D179" i="143"/>
  <c r="E179" i="143"/>
  <c r="C180" i="143"/>
  <c r="D180" i="143"/>
  <c r="E180" i="143"/>
  <c r="C181" i="143"/>
  <c r="D181" i="143"/>
  <c r="E181" i="143"/>
  <c r="E16" i="76"/>
  <c r="D182" i="143"/>
  <c r="E182" i="143"/>
  <c r="C183" i="143"/>
  <c r="E17" i="76"/>
  <c r="D183" i="143"/>
  <c r="E183" i="143"/>
  <c r="C184" i="143"/>
  <c r="E18" i="76"/>
  <c r="D184" i="143"/>
  <c r="E184" i="143"/>
  <c r="D185" i="143"/>
  <c r="E185" i="143"/>
  <c r="C186" i="143"/>
  <c r="D186" i="143"/>
  <c r="E186" i="143"/>
  <c r="C187" i="143"/>
  <c r="D187" i="143"/>
  <c r="E187" i="143"/>
  <c r="D188" i="143"/>
  <c r="E188" i="143"/>
  <c r="C189" i="143"/>
  <c r="D189" i="143"/>
  <c r="E189" i="143"/>
  <c r="D190" i="143"/>
  <c r="E190" i="143"/>
  <c r="D191" i="143"/>
  <c r="E191" i="143"/>
  <c r="C192" i="143"/>
  <c r="D192" i="143"/>
  <c r="E192" i="143"/>
  <c r="D193" i="143"/>
  <c r="E193" i="143"/>
  <c r="G16" i="76"/>
  <c r="D194" i="143"/>
  <c r="E194" i="143"/>
  <c r="G17" i="76"/>
  <c r="D195" i="143"/>
  <c r="E195" i="143"/>
  <c r="C196" i="143"/>
  <c r="G18" i="76"/>
  <c r="D196" i="143"/>
  <c r="E196" i="143"/>
  <c r="D197" i="143"/>
  <c r="E197" i="143"/>
  <c r="C198" i="143"/>
  <c r="D198" i="143"/>
  <c r="E198" i="143"/>
  <c r="D199" i="143"/>
  <c r="E199" i="143"/>
  <c r="D200" i="143"/>
  <c r="E200" i="143"/>
  <c r="C201" i="143"/>
  <c r="D201" i="143"/>
  <c r="E201" i="143"/>
  <c r="C202" i="143"/>
  <c r="D202" i="143"/>
  <c r="E202" i="143"/>
  <c r="D203" i="143"/>
  <c r="E203" i="143"/>
  <c r="D204" i="143"/>
  <c r="E204" i="143"/>
  <c r="C205" i="143"/>
  <c r="D205" i="143"/>
  <c r="E205" i="143"/>
  <c r="I16" i="76"/>
  <c r="D206" i="143"/>
  <c r="E206" i="143"/>
  <c r="C207" i="143"/>
  <c r="I17" i="76"/>
  <c r="D207" i="143"/>
  <c r="E207" i="143"/>
  <c r="C208" i="143"/>
  <c r="I18" i="76"/>
  <c r="D208" i="143"/>
  <c r="E208" i="143"/>
  <c r="D209" i="143"/>
  <c r="E209" i="143"/>
  <c r="C210" i="143"/>
  <c r="D210" i="143"/>
  <c r="E210" i="143"/>
  <c r="D211" i="143"/>
  <c r="E211" i="143"/>
  <c r="C212" i="143"/>
  <c r="D212" i="143"/>
  <c r="E212" i="143"/>
  <c r="C213" i="143"/>
  <c r="D213" i="143"/>
  <c r="E213" i="143"/>
  <c r="C214" i="143"/>
  <c r="D214" i="143"/>
  <c r="E214" i="143"/>
  <c r="D215" i="143"/>
  <c r="E215" i="143"/>
  <c r="C216" i="143"/>
  <c r="D216" i="143"/>
  <c r="E216" i="143"/>
  <c r="D217" i="143"/>
  <c r="E217" i="143"/>
  <c r="K16" i="76"/>
  <c r="D218" i="143"/>
  <c r="E218" i="143"/>
  <c r="C219" i="143"/>
  <c r="K17" i="76"/>
  <c r="D219" i="143"/>
  <c r="E219" i="143"/>
  <c r="K18" i="76"/>
  <c r="D220" i="143"/>
  <c r="E220" i="143"/>
  <c r="D221" i="143"/>
  <c r="E221" i="143"/>
  <c r="D222" i="143"/>
  <c r="E222" i="143"/>
  <c r="C223" i="143"/>
  <c r="D223" i="143"/>
  <c r="E223" i="143"/>
  <c r="D224" i="143"/>
  <c r="E224" i="143"/>
  <c r="C225" i="143"/>
  <c r="D225" i="143"/>
  <c r="E225" i="143"/>
  <c r="C226" i="143"/>
  <c r="D226" i="143"/>
  <c r="E226" i="143"/>
  <c r="D227" i="143"/>
  <c r="E227" i="143"/>
  <c r="C228" i="143"/>
  <c r="D228" i="143"/>
  <c r="E228" i="143"/>
  <c r="C229" i="143"/>
  <c r="D229" i="143"/>
  <c r="E229" i="143"/>
  <c r="C20" i="76"/>
  <c r="D230" i="143"/>
  <c r="E230" i="143"/>
  <c r="C21" i="76"/>
  <c r="D231" i="143"/>
  <c r="E231" i="143"/>
  <c r="C22" i="76"/>
  <c r="D232" i="143"/>
  <c r="E232" i="143"/>
  <c r="D233" i="143"/>
  <c r="E233" i="143"/>
  <c r="D234" i="143"/>
  <c r="E234" i="143"/>
  <c r="D235" i="143"/>
  <c r="E235" i="143"/>
  <c r="D236" i="143"/>
  <c r="E236" i="143"/>
  <c r="D237" i="143"/>
  <c r="E237" i="143"/>
  <c r="D238" i="143"/>
  <c r="E238" i="143"/>
  <c r="E20" i="76"/>
  <c r="D239" i="143"/>
  <c r="E239" i="143"/>
  <c r="E21" i="76"/>
  <c r="D240" i="143"/>
  <c r="E240" i="143"/>
  <c r="E22" i="76"/>
  <c r="D241" i="143"/>
  <c r="E241" i="143"/>
  <c r="D242" i="143"/>
  <c r="E242" i="143"/>
  <c r="D243" i="143"/>
  <c r="E243" i="143"/>
  <c r="D244" i="143"/>
  <c r="E244" i="143"/>
  <c r="D245" i="143"/>
  <c r="E245" i="143"/>
  <c r="D246" i="143"/>
  <c r="E246" i="143"/>
  <c r="D247" i="143"/>
  <c r="E247" i="143"/>
  <c r="D248" i="143"/>
  <c r="E248" i="143"/>
  <c r="C249" i="143"/>
  <c r="D249" i="143"/>
  <c r="E249" i="143"/>
  <c r="D250" i="143"/>
  <c r="E250" i="143"/>
  <c r="G20" i="76"/>
  <c r="D251" i="143"/>
  <c r="E251" i="143"/>
  <c r="G21" i="76"/>
  <c r="D252" i="143"/>
  <c r="E252" i="143"/>
  <c r="G22" i="76"/>
  <c r="D253" i="143"/>
  <c r="E253" i="143"/>
  <c r="D254" i="143"/>
  <c r="E254" i="143"/>
  <c r="D255" i="143"/>
  <c r="E255" i="143"/>
  <c r="D256" i="143"/>
  <c r="E256" i="143"/>
  <c r="D257" i="143"/>
  <c r="E257" i="143"/>
  <c r="C258" i="143"/>
  <c r="D258" i="143"/>
  <c r="E258" i="143"/>
  <c r="D259" i="143"/>
  <c r="E259" i="143"/>
  <c r="D260" i="143"/>
  <c r="E260" i="143"/>
  <c r="D261" i="143"/>
  <c r="E261" i="143"/>
  <c r="D262" i="143"/>
  <c r="E262" i="143"/>
  <c r="I20" i="76"/>
  <c r="D263" i="143"/>
  <c r="E263" i="143"/>
  <c r="I21" i="76"/>
  <c r="D264" i="143"/>
  <c r="E264" i="143"/>
  <c r="I22" i="76"/>
  <c r="D265" i="143"/>
  <c r="E265" i="143"/>
  <c r="D266" i="143"/>
  <c r="E266" i="143"/>
  <c r="D267" i="143"/>
  <c r="E267" i="143"/>
  <c r="D268" i="143"/>
  <c r="E268" i="143"/>
  <c r="D269" i="143"/>
  <c r="E269" i="143"/>
  <c r="D270" i="143"/>
  <c r="E270" i="143"/>
  <c r="D271" i="143"/>
  <c r="E271" i="143"/>
  <c r="D272" i="143"/>
  <c r="E272" i="143"/>
  <c r="C273" i="143"/>
  <c r="D273" i="143"/>
  <c r="E273" i="143"/>
  <c r="D274" i="143"/>
  <c r="E274" i="143"/>
  <c r="K20" i="76"/>
  <c r="D275" i="143"/>
  <c r="E275" i="143"/>
  <c r="C276" i="143"/>
  <c r="K21" i="76"/>
  <c r="D276" i="143"/>
  <c r="E276" i="143"/>
  <c r="K22" i="76"/>
  <c r="D277" i="143"/>
  <c r="E277" i="143"/>
  <c r="D278" i="143"/>
  <c r="E278" i="143"/>
  <c r="C279" i="143"/>
  <c r="D279" i="143"/>
  <c r="E279" i="143"/>
  <c r="D280" i="143"/>
  <c r="E280" i="143"/>
  <c r="D281" i="143"/>
  <c r="E281" i="143"/>
  <c r="D282" i="143"/>
  <c r="E282" i="143"/>
  <c r="D283" i="143"/>
  <c r="E283" i="143"/>
  <c r="D284" i="143"/>
  <c r="E284" i="143"/>
  <c r="C285" i="143"/>
  <c r="D285" i="143"/>
  <c r="E285" i="143"/>
  <c r="D286" i="143"/>
  <c r="E286" i="143"/>
  <c r="C24" i="76"/>
  <c r="D287" i="143"/>
  <c r="E287" i="143"/>
  <c r="C288" i="143"/>
  <c r="C25" i="76"/>
  <c r="D288" i="143"/>
  <c r="E288" i="143"/>
  <c r="C289" i="143"/>
  <c r="C26" i="76"/>
  <c r="D289" i="143"/>
  <c r="E289" i="143"/>
  <c r="D290" i="143"/>
  <c r="E290" i="143"/>
  <c r="C291" i="143"/>
  <c r="D291" i="143"/>
  <c r="E291" i="143"/>
  <c r="C292" i="143"/>
  <c r="D292" i="143"/>
  <c r="E292" i="143"/>
  <c r="D293" i="143"/>
  <c r="E293" i="143"/>
  <c r="C294" i="143"/>
  <c r="D294" i="143"/>
  <c r="E294" i="143"/>
  <c r="C295" i="143"/>
  <c r="D295" i="143"/>
  <c r="E295" i="143"/>
  <c r="E24" i="76"/>
  <c r="D296" i="143"/>
  <c r="E296" i="143"/>
  <c r="C297" i="143"/>
  <c r="E25" i="76"/>
  <c r="D297" i="143"/>
  <c r="E297" i="143"/>
  <c r="C298" i="143"/>
  <c r="E26" i="76"/>
  <c r="D298" i="143"/>
  <c r="E298" i="143"/>
  <c r="D299" i="143"/>
  <c r="E299" i="143"/>
  <c r="C300" i="143"/>
  <c r="D300" i="143"/>
  <c r="E300" i="143"/>
  <c r="C301" i="143"/>
  <c r="D301" i="143"/>
  <c r="E301" i="143"/>
  <c r="D302" i="143"/>
  <c r="E302" i="143"/>
  <c r="C303" i="143"/>
  <c r="D303" i="143"/>
  <c r="E303" i="143"/>
  <c r="C304" i="143"/>
  <c r="D304" i="143"/>
  <c r="E304" i="143"/>
  <c r="D305" i="143"/>
  <c r="E305" i="143"/>
  <c r="C306" i="143"/>
  <c r="D306" i="143"/>
  <c r="E306" i="143"/>
  <c r="C307" i="143"/>
  <c r="D307" i="143"/>
  <c r="E307" i="143"/>
  <c r="G24" i="76"/>
  <c r="D308" i="143"/>
  <c r="E308" i="143"/>
  <c r="C309" i="143"/>
  <c r="G25" i="76"/>
  <c r="D309" i="143"/>
  <c r="E309" i="143"/>
  <c r="C310" i="143"/>
  <c r="G26" i="76"/>
  <c r="D310" i="143"/>
  <c r="E310" i="143"/>
  <c r="D311" i="143"/>
  <c r="E311" i="143"/>
  <c r="C312" i="143"/>
  <c r="D312" i="143"/>
  <c r="E312" i="143"/>
  <c r="C313" i="143"/>
  <c r="D313" i="143"/>
  <c r="E313" i="143"/>
  <c r="D314" i="143"/>
  <c r="E314" i="143"/>
  <c r="C315" i="143"/>
  <c r="D315" i="143"/>
  <c r="E315" i="143"/>
  <c r="C316" i="143"/>
  <c r="D316" i="143"/>
  <c r="E316" i="143"/>
  <c r="D317" i="143"/>
  <c r="E317" i="143"/>
  <c r="C318" i="143"/>
  <c r="D318" i="143"/>
  <c r="E318" i="143"/>
  <c r="C319" i="143"/>
  <c r="D319" i="143"/>
  <c r="E319" i="143"/>
  <c r="I24" i="76"/>
  <c r="D320" i="143"/>
  <c r="E320" i="143"/>
  <c r="C321" i="143"/>
  <c r="I25" i="76"/>
  <c r="D321" i="143"/>
  <c r="E321" i="143"/>
  <c r="C322" i="143"/>
  <c r="I26" i="76"/>
  <c r="D322" i="143"/>
  <c r="E322" i="143"/>
  <c r="C323" i="143"/>
  <c r="D323" i="143"/>
  <c r="E323" i="143"/>
  <c r="C324" i="143"/>
  <c r="D324" i="143"/>
  <c r="E324" i="143"/>
  <c r="C325" i="143"/>
  <c r="D325" i="143"/>
  <c r="E325" i="143"/>
  <c r="D326" i="143"/>
  <c r="E326" i="143"/>
  <c r="C327" i="143"/>
  <c r="D327" i="143"/>
  <c r="E327" i="143"/>
  <c r="C328" i="143"/>
  <c r="D328" i="143"/>
  <c r="E328" i="143"/>
  <c r="D329" i="143"/>
  <c r="E329" i="143"/>
  <c r="C330" i="143"/>
  <c r="D330" i="143"/>
  <c r="E330" i="143"/>
  <c r="C331" i="143"/>
  <c r="D331" i="143"/>
  <c r="E331" i="143"/>
  <c r="K24" i="76"/>
  <c r="D332" i="143"/>
  <c r="E332" i="143"/>
  <c r="C333" i="143"/>
  <c r="K25" i="76"/>
  <c r="D333" i="143"/>
  <c r="E333" i="143"/>
  <c r="C334" i="143"/>
  <c r="K26" i="76"/>
  <c r="D334" i="143"/>
  <c r="E334" i="143"/>
  <c r="D335" i="143"/>
  <c r="E335" i="143"/>
  <c r="C336" i="143"/>
  <c r="D336" i="143"/>
  <c r="E336" i="143"/>
  <c r="C337" i="143"/>
  <c r="D337" i="143"/>
  <c r="E337" i="143"/>
  <c r="D338" i="143"/>
  <c r="E338" i="143"/>
  <c r="C339" i="143"/>
  <c r="D339" i="143"/>
  <c r="E339" i="143"/>
  <c r="C340" i="143"/>
  <c r="D340" i="143"/>
  <c r="E340" i="143"/>
  <c r="D341" i="143"/>
  <c r="E341" i="143"/>
  <c r="C342" i="143"/>
  <c r="D342" i="143"/>
  <c r="E342" i="143"/>
  <c r="C343" i="143"/>
  <c r="D343" i="143"/>
  <c r="E343" i="143"/>
  <c r="C28" i="76"/>
  <c r="D344" i="143"/>
  <c r="E344" i="143"/>
  <c r="C345" i="143"/>
  <c r="C29" i="76"/>
  <c r="D345" i="143"/>
  <c r="E345" i="143"/>
  <c r="C346" i="143"/>
  <c r="C30" i="76"/>
  <c r="D346" i="143"/>
  <c r="E346" i="143"/>
  <c r="C347" i="143"/>
  <c r="D347" i="143"/>
  <c r="E347" i="143"/>
  <c r="C348" i="143"/>
  <c r="D348" i="143"/>
  <c r="E348" i="143"/>
  <c r="D349" i="143"/>
  <c r="E349" i="143"/>
  <c r="D350" i="143"/>
  <c r="E350" i="143"/>
  <c r="C351" i="143"/>
  <c r="D351" i="143"/>
  <c r="E351" i="143"/>
  <c r="D352" i="143"/>
  <c r="E352" i="143"/>
  <c r="E28" i="76"/>
  <c r="D353" i="143"/>
  <c r="E353" i="143"/>
  <c r="C354" i="143"/>
  <c r="E29" i="76"/>
  <c r="D354" i="143"/>
  <c r="E354" i="143"/>
  <c r="E30" i="76"/>
  <c r="D355" i="143"/>
  <c r="E355" i="143"/>
  <c r="D356" i="143"/>
  <c r="E356" i="143"/>
  <c r="C357" i="143"/>
  <c r="D357" i="143"/>
  <c r="E357" i="143"/>
  <c r="D358" i="143"/>
  <c r="E358" i="143"/>
  <c r="D359" i="143"/>
  <c r="E359" i="143"/>
  <c r="C360" i="143"/>
  <c r="D360" i="143"/>
  <c r="E360" i="143"/>
  <c r="C361" i="143"/>
  <c r="D361" i="143"/>
  <c r="E361" i="143"/>
  <c r="D362" i="143"/>
  <c r="E362" i="143"/>
  <c r="C363" i="143"/>
  <c r="D363" i="143"/>
  <c r="E363" i="143"/>
  <c r="D364" i="143"/>
  <c r="E364" i="143"/>
  <c r="G28" i="76"/>
  <c r="D365" i="143"/>
  <c r="E365" i="143"/>
  <c r="C366" i="143"/>
  <c r="G29" i="76"/>
  <c r="D366" i="143"/>
  <c r="E366" i="143"/>
  <c r="G30" i="76"/>
  <c r="D367" i="143"/>
  <c r="E367" i="143"/>
  <c r="D368" i="143"/>
  <c r="E368" i="143"/>
  <c r="C369" i="143"/>
  <c r="D369" i="143"/>
  <c r="E369" i="143"/>
  <c r="D370" i="143"/>
  <c r="E370" i="143"/>
  <c r="D371" i="143"/>
  <c r="E371" i="143"/>
  <c r="C372" i="143"/>
  <c r="D372" i="143"/>
  <c r="E372" i="143"/>
  <c r="D373" i="143"/>
  <c r="E373" i="143"/>
  <c r="D374" i="143"/>
  <c r="E374" i="143"/>
  <c r="D375" i="143"/>
  <c r="E375" i="143"/>
  <c r="D376" i="143"/>
  <c r="E376" i="143"/>
  <c r="I28" i="76"/>
  <c r="D377" i="143"/>
  <c r="E377" i="143"/>
  <c r="C378" i="143"/>
  <c r="I29" i="76"/>
  <c r="D378" i="143"/>
  <c r="E378" i="143"/>
  <c r="I30" i="76"/>
  <c r="D379" i="143"/>
  <c r="E379" i="143"/>
  <c r="D380" i="143"/>
  <c r="E380" i="143"/>
  <c r="C381" i="143"/>
  <c r="D381" i="143"/>
  <c r="E381" i="143"/>
  <c r="D382" i="143"/>
  <c r="E382" i="143"/>
  <c r="D383" i="143"/>
  <c r="E383" i="143"/>
  <c r="C384" i="143"/>
  <c r="D384" i="143"/>
  <c r="E384" i="143"/>
  <c r="C385" i="143"/>
  <c r="D385" i="143"/>
  <c r="E385" i="143"/>
  <c r="D386" i="143"/>
  <c r="E386" i="143"/>
  <c r="C387" i="143"/>
  <c r="D387" i="143"/>
  <c r="E387" i="143"/>
  <c r="D388" i="143"/>
  <c r="E388" i="143"/>
  <c r="K28" i="76"/>
  <c r="D389" i="143"/>
  <c r="E389" i="143"/>
  <c r="C390" i="143"/>
  <c r="K29" i="76"/>
  <c r="D390" i="143"/>
  <c r="E390" i="143"/>
  <c r="C391" i="143"/>
  <c r="K30" i="76"/>
  <c r="D391" i="143"/>
  <c r="E391" i="143"/>
  <c r="C392" i="143"/>
  <c r="D392" i="143"/>
  <c r="E392" i="143"/>
  <c r="C393" i="143"/>
  <c r="D393" i="143"/>
  <c r="E393" i="143"/>
  <c r="C394" i="143"/>
  <c r="D394" i="143"/>
  <c r="E394" i="143"/>
  <c r="D395" i="143"/>
  <c r="E395" i="143"/>
  <c r="C396" i="143"/>
  <c r="D396" i="143"/>
  <c r="E396" i="143"/>
  <c r="C397" i="143"/>
  <c r="D397" i="143"/>
  <c r="E397" i="143"/>
  <c r="D398" i="143"/>
  <c r="E398" i="143"/>
  <c r="C399" i="143"/>
  <c r="D399" i="143"/>
  <c r="E399" i="143"/>
  <c r="C400" i="143"/>
  <c r="D400" i="143"/>
  <c r="E400" i="143"/>
  <c r="C401" i="143"/>
  <c r="C32" i="76"/>
  <c r="D401" i="143"/>
  <c r="E401" i="143"/>
  <c r="C402" i="143"/>
  <c r="C33" i="76"/>
  <c r="D402" i="143"/>
  <c r="E402" i="143"/>
  <c r="C403" i="143"/>
  <c r="C34" i="76"/>
  <c r="D403" i="143"/>
  <c r="E403" i="143"/>
  <c r="C404" i="143"/>
  <c r="D404" i="143"/>
  <c r="E404" i="143"/>
  <c r="C405" i="143"/>
  <c r="D405" i="143"/>
  <c r="E405" i="143"/>
  <c r="C406" i="143"/>
  <c r="D406" i="143"/>
  <c r="E406" i="143"/>
  <c r="C407" i="143"/>
  <c r="D407" i="143"/>
  <c r="E407" i="143"/>
  <c r="C408" i="143"/>
  <c r="D408" i="143"/>
  <c r="E408" i="143"/>
  <c r="C409" i="143"/>
  <c r="D409" i="143"/>
  <c r="E409" i="143"/>
  <c r="C410" i="143"/>
  <c r="E32" i="76"/>
  <c r="D410" i="143"/>
  <c r="E410" i="143"/>
  <c r="C411" i="143"/>
  <c r="E33" i="76"/>
  <c r="D411" i="143"/>
  <c r="E411" i="143"/>
  <c r="E34" i="76"/>
  <c r="D412" i="143"/>
  <c r="E412" i="143"/>
  <c r="D413" i="143"/>
  <c r="E413" i="143"/>
  <c r="D414" i="143"/>
  <c r="E414" i="143"/>
  <c r="D415" i="143"/>
  <c r="E415" i="143"/>
  <c r="D416" i="143"/>
  <c r="E416" i="143"/>
  <c r="C417" i="143"/>
  <c r="D417" i="143"/>
  <c r="E417" i="143"/>
  <c r="D418" i="143"/>
  <c r="E418" i="143"/>
  <c r="D419" i="143"/>
  <c r="E419" i="143"/>
  <c r="D420" i="143"/>
  <c r="E420" i="143"/>
  <c r="D421" i="143"/>
  <c r="E421" i="143"/>
  <c r="G32" i="76"/>
  <c r="D422" i="143"/>
  <c r="E422" i="143"/>
  <c r="G33" i="76"/>
  <c r="D423" i="143"/>
  <c r="E423" i="143"/>
  <c r="G34" i="76"/>
  <c r="D424" i="143"/>
  <c r="E424" i="143"/>
  <c r="D425" i="143"/>
  <c r="E425" i="143"/>
  <c r="C426" i="143"/>
  <c r="D426" i="143"/>
  <c r="E426" i="143"/>
  <c r="D427" i="143"/>
  <c r="E427" i="143"/>
  <c r="D428" i="143"/>
  <c r="E428" i="143"/>
  <c r="D429" i="143"/>
  <c r="E429" i="143"/>
  <c r="D430" i="143"/>
  <c r="E430" i="143"/>
  <c r="D431" i="143"/>
  <c r="E431" i="143"/>
  <c r="D432" i="143"/>
  <c r="E432" i="143"/>
  <c r="D433" i="143"/>
  <c r="E433" i="143"/>
  <c r="I32" i="76"/>
  <c r="D434" i="143"/>
  <c r="E434" i="143"/>
  <c r="I33" i="76"/>
  <c r="D435" i="143"/>
  <c r="E435" i="143"/>
  <c r="I34" i="76"/>
  <c r="D436" i="143"/>
  <c r="E436" i="143"/>
  <c r="D437" i="143"/>
  <c r="E437" i="143"/>
  <c r="D438" i="143"/>
  <c r="E438" i="143"/>
  <c r="D439" i="143"/>
  <c r="E439" i="143"/>
  <c r="D440" i="143"/>
  <c r="E440" i="143"/>
  <c r="D441" i="143"/>
  <c r="E441" i="143"/>
  <c r="D442" i="143"/>
  <c r="E442" i="143"/>
  <c r="D443" i="143"/>
  <c r="E443" i="143"/>
  <c r="D444" i="143"/>
  <c r="E444" i="143"/>
  <c r="D445" i="143"/>
  <c r="E445" i="143"/>
  <c r="K32" i="76"/>
  <c r="D446" i="143"/>
  <c r="E446" i="143"/>
  <c r="K33" i="76"/>
  <c r="D447" i="143"/>
  <c r="E447" i="143"/>
  <c r="K34" i="76"/>
  <c r="D448" i="143"/>
  <c r="E448" i="143"/>
  <c r="D449" i="143"/>
  <c r="E449" i="143"/>
  <c r="D450" i="143"/>
  <c r="E450" i="143"/>
  <c r="D451" i="143"/>
  <c r="E451" i="143"/>
  <c r="D452" i="143"/>
  <c r="E452" i="143"/>
  <c r="D453" i="143"/>
  <c r="E453" i="143"/>
  <c r="D454" i="143"/>
  <c r="E454" i="143"/>
  <c r="D455" i="143"/>
  <c r="E455" i="143"/>
  <c r="D456" i="143"/>
  <c r="E456" i="143"/>
  <c r="D457" i="143"/>
  <c r="E457" i="143"/>
  <c r="E458" i="143"/>
  <c r="O457" i="143"/>
  <c r="L457" i="143"/>
  <c r="O456" i="143"/>
  <c r="L456" i="143"/>
  <c r="O455" i="143"/>
  <c r="L455" i="143"/>
  <c r="O454" i="143"/>
  <c r="L454" i="143"/>
  <c r="O453" i="143"/>
  <c r="L453" i="143"/>
  <c r="O452" i="143"/>
  <c r="L452" i="143"/>
  <c r="O451" i="143"/>
  <c r="L451" i="143"/>
  <c r="O450" i="143"/>
  <c r="L450" i="143"/>
  <c r="O449" i="143"/>
  <c r="L449" i="143"/>
  <c r="O448" i="143"/>
  <c r="L448" i="143"/>
  <c r="O447" i="143"/>
  <c r="L447" i="143"/>
  <c r="O446" i="143"/>
  <c r="L446" i="143"/>
  <c r="O445" i="143"/>
  <c r="L445" i="143"/>
  <c r="O444" i="143"/>
  <c r="L444" i="143"/>
  <c r="O443" i="143"/>
  <c r="L443" i="143"/>
  <c r="O442" i="143"/>
  <c r="L442" i="143"/>
  <c r="O441" i="143"/>
  <c r="L441" i="143"/>
  <c r="O440" i="143"/>
  <c r="L440" i="143"/>
  <c r="O439" i="143"/>
  <c r="L439" i="143"/>
  <c r="O438" i="143"/>
  <c r="L438" i="143"/>
  <c r="O437" i="143"/>
  <c r="L437" i="143"/>
  <c r="O436" i="143"/>
  <c r="L436" i="143"/>
  <c r="O435" i="143"/>
  <c r="L435" i="143"/>
  <c r="O434" i="143"/>
  <c r="L434" i="143"/>
  <c r="O433" i="143"/>
  <c r="L433" i="143"/>
  <c r="O432" i="143"/>
  <c r="L432" i="143"/>
  <c r="O431" i="143"/>
  <c r="L431" i="143"/>
  <c r="O430" i="143"/>
  <c r="L430" i="143"/>
  <c r="O429" i="143"/>
  <c r="L429" i="143"/>
  <c r="O428" i="143"/>
  <c r="L428" i="143"/>
  <c r="O427" i="143"/>
  <c r="L427" i="143"/>
  <c r="O426" i="143"/>
  <c r="L426" i="143"/>
  <c r="O425" i="143"/>
  <c r="L425" i="143"/>
  <c r="O424" i="143"/>
  <c r="L424" i="143"/>
  <c r="O423" i="143"/>
  <c r="L423" i="143"/>
  <c r="O422" i="143"/>
  <c r="L422" i="143"/>
  <c r="O421" i="143"/>
  <c r="L421" i="143"/>
  <c r="O420" i="143"/>
  <c r="L420" i="143"/>
  <c r="O419" i="143"/>
  <c r="L419" i="143"/>
  <c r="O418" i="143"/>
  <c r="L418" i="143"/>
  <c r="O417" i="143"/>
  <c r="L417" i="143"/>
  <c r="O416" i="143"/>
  <c r="L416" i="143"/>
  <c r="O415" i="143"/>
  <c r="L415" i="143"/>
  <c r="O414" i="143"/>
  <c r="L414" i="143"/>
  <c r="O413" i="143"/>
  <c r="L413" i="143"/>
  <c r="O412" i="143"/>
  <c r="L412" i="143"/>
  <c r="O411" i="143"/>
  <c r="L411" i="143"/>
  <c r="O410" i="143"/>
  <c r="L410" i="143"/>
  <c r="O409" i="143"/>
  <c r="L409" i="143"/>
  <c r="O408" i="143"/>
  <c r="L408" i="143"/>
  <c r="O407" i="143"/>
  <c r="L407" i="143"/>
  <c r="O406" i="143"/>
  <c r="L406" i="143"/>
  <c r="O405" i="143"/>
  <c r="L405" i="143"/>
  <c r="O404" i="143"/>
  <c r="L404" i="143"/>
  <c r="O403" i="143"/>
  <c r="L403" i="143"/>
  <c r="O402" i="143"/>
  <c r="L402" i="143"/>
  <c r="O401" i="143"/>
  <c r="L401" i="143"/>
  <c r="O400" i="143"/>
  <c r="L400" i="143"/>
  <c r="O399" i="143"/>
  <c r="L399" i="143"/>
  <c r="O398" i="143"/>
  <c r="L398" i="143"/>
  <c r="O397" i="143"/>
  <c r="L397" i="143"/>
  <c r="O396" i="143"/>
  <c r="L396" i="143"/>
  <c r="O395" i="143"/>
  <c r="L395" i="143"/>
  <c r="O394" i="143"/>
  <c r="L394" i="143"/>
  <c r="O393" i="143"/>
  <c r="L393" i="143"/>
  <c r="O392" i="143"/>
  <c r="L392" i="143"/>
  <c r="O391" i="143"/>
  <c r="L391" i="143"/>
  <c r="O390" i="143"/>
  <c r="L390" i="143"/>
  <c r="O389" i="143"/>
  <c r="L389" i="143"/>
  <c r="O388" i="143"/>
  <c r="L388" i="143"/>
  <c r="O387" i="143"/>
  <c r="L387" i="143"/>
  <c r="O386" i="143"/>
  <c r="L386" i="143"/>
  <c r="O385" i="143"/>
  <c r="L385" i="143"/>
  <c r="O384" i="143"/>
  <c r="L384" i="143"/>
  <c r="O383" i="143"/>
  <c r="L383" i="143"/>
  <c r="O382" i="143"/>
  <c r="L382" i="143"/>
  <c r="O381" i="143"/>
  <c r="L381" i="143"/>
  <c r="O380" i="143"/>
  <c r="L380" i="143"/>
  <c r="O379" i="143"/>
  <c r="L379" i="143"/>
  <c r="O378" i="143"/>
  <c r="L378" i="143"/>
  <c r="O377" i="143"/>
  <c r="L377" i="143"/>
  <c r="O376" i="143"/>
  <c r="L376" i="143"/>
  <c r="O375" i="143"/>
  <c r="L375" i="143"/>
  <c r="O374" i="143"/>
  <c r="L374" i="143"/>
  <c r="O373" i="143"/>
  <c r="L373" i="143"/>
  <c r="O372" i="143"/>
  <c r="L372" i="143"/>
  <c r="O371" i="143"/>
  <c r="L371" i="143"/>
  <c r="O370" i="143"/>
  <c r="L370" i="143"/>
  <c r="O369" i="143"/>
  <c r="L369" i="143"/>
  <c r="O368" i="143"/>
  <c r="L368" i="143"/>
  <c r="O367" i="143"/>
  <c r="L367" i="143"/>
  <c r="O366" i="143"/>
  <c r="L366" i="143"/>
  <c r="O365" i="143"/>
  <c r="L365" i="143"/>
  <c r="O364" i="143"/>
  <c r="L364" i="143"/>
  <c r="O363" i="143"/>
  <c r="L363" i="143"/>
  <c r="O362" i="143"/>
  <c r="L362" i="143"/>
  <c r="O361" i="143"/>
  <c r="L361" i="143"/>
  <c r="O360" i="143"/>
  <c r="L360" i="143"/>
  <c r="O359" i="143"/>
  <c r="L359" i="143"/>
  <c r="O358" i="143"/>
  <c r="L358" i="143"/>
  <c r="O357" i="143"/>
  <c r="L357" i="143"/>
  <c r="O356" i="143"/>
  <c r="L356" i="143"/>
  <c r="O355" i="143"/>
  <c r="L355" i="143"/>
  <c r="O354" i="143"/>
  <c r="L354" i="143"/>
  <c r="O353" i="143"/>
  <c r="L353" i="143"/>
  <c r="O352" i="143"/>
  <c r="L352" i="143"/>
  <c r="O351" i="143"/>
  <c r="L351" i="143"/>
  <c r="O350" i="143"/>
  <c r="L350" i="143"/>
  <c r="O349" i="143"/>
  <c r="L349" i="143"/>
  <c r="O348" i="143"/>
  <c r="L348" i="143"/>
  <c r="O347" i="143"/>
  <c r="L347" i="143"/>
  <c r="O346" i="143"/>
  <c r="L346" i="143"/>
  <c r="O345" i="143"/>
  <c r="L345" i="143"/>
  <c r="O344" i="143"/>
  <c r="L344" i="143"/>
  <c r="O343" i="143"/>
  <c r="L343" i="143"/>
  <c r="O342" i="143"/>
  <c r="L342" i="143"/>
  <c r="O341" i="143"/>
  <c r="L341" i="143"/>
  <c r="O340" i="143"/>
  <c r="L340" i="143"/>
  <c r="O339" i="143"/>
  <c r="L339" i="143"/>
  <c r="O338" i="143"/>
  <c r="L338" i="143"/>
  <c r="O337" i="143"/>
  <c r="L337" i="143"/>
  <c r="O336" i="143"/>
  <c r="L336" i="143"/>
  <c r="O335" i="143"/>
  <c r="L335" i="143"/>
  <c r="O334" i="143"/>
  <c r="L334" i="143"/>
  <c r="O333" i="143"/>
  <c r="L333" i="143"/>
  <c r="O332" i="143"/>
  <c r="L332" i="143"/>
  <c r="O331" i="143"/>
  <c r="L331" i="143"/>
  <c r="O330" i="143"/>
  <c r="L330" i="143"/>
  <c r="O329" i="143"/>
  <c r="L329" i="143"/>
  <c r="O328" i="143"/>
  <c r="L328" i="143"/>
  <c r="O327" i="143"/>
  <c r="L327" i="143"/>
  <c r="O326" i="143"/>
  <c r="L326" i="143"/>
  <c r="O325" i="143"/>
  <c r="L325" i="143"/>
  <c r="O324" i="143"/>
  <c r="L324" i="143"/>
  <c r="O323" i="143"/>
  <c r="L323" i="143"/>
  <c r="O322" i="143"/>
  <c r="L322" i="143"/>
  <c r="O321" i="143"/>
  <c r="L321" i="143"/>
  <c r="O320" i="143"/>
  <c r="L320" i="143"/>
  <c r="O319" i="143"/>
  <c r="L319" i="143"/>
  <c r="O318" i="143"/>
  <c r="L318" i="143"/>
  <c r="O317" i="143"/>
  <c r="L317" i="143"/>
  <c r="O316" i="143"/>
  <c r="L316" i="143"/>
  <c r="O315" i="143"/>
  <c r="L315" i="143"/>
  <c r="O314" i="143"/>
  <c r="L314" i="143"/>
  <c r="O313" i="143"/>
  <c r="L313" i="143"/>
  <c r="O312" i="143"/>
  <c r="L312" i="143"/>
  <c r="O311" i="143"/>
  <c r="L311" i="143"/>
  <c r="O310" i="143"/>
  <c r="L310" i="143"/>
  <c r="O309" i="143"/>
  <c r="L309" i="143"/>
  <c r="O308" i="143"/>
  <c r="L308" i="143"/>
  <c r="O307" i="143"/>
  <c r="L307" i="143"/>
  <c r="O306" i="143"/>
  <c r="L306" i="143"/>
  <c r="O305" i="143"/>
  <c r="L305" i="143"/>
  <c r="O304" i="143"/>
  <c r="L304" i="143"/>
  <c r="O303" i="143"/>
  <c r="L303" i="143"/>
  <c r="O302" i="143"/>
  <c r="L302" i="143"/>
  <c r="O301" i="143"/>
  <c r="L301" i="143"/>
  <c r="O300" i="143"/>
  <c r="L300" i="143"/>
  <c r="O299" i="143"/>
  <c r="L299" i="143"/>
  <c r="O298" i="143"/>
  <c r="L298" i="143"/>
  <c r="O297" i="143"/>
  <c r="L297" i="143"/>
  <c r="O296" i="143"/>
  <c r="L296" i="143"/>
  <c r="O295" i="143"/>
  <c r="L295" i="143"/>
  <c r="O294" i="143"/>
  <c r="L294" i="143"/>
  <c r="O293" i="143"/>
  <c r="L293" i="143"/>
  <c r="O292" i="143"/>
  <c r="L292" i="143"/>
  <c r="O291" i="143"/>
  <c r="L291" i="143"/>
  <c r="O290" i="143"/>
  <c r="L290" i="143"/>
  <c r="O289" i="143"/>
  <c r="L289" i="143"/>
  <c r="O288" i="143"/>
  <c r="L288" i="143"/>
  <c r="O287" i="143"/>
  <c r="L287" i="143"/>
  <c r="O286" i="143"/>
  <c r="L286" i="143"/>
  <c r="O285" i="143"/>
  <c r="L285" i="143"/>
  <c r="O284" i="143"/>
  <c r="L284" i="143"/>
  <c r="O283" i="143"/>
  <c r="L283" i="143"/>
  <c r="O282" i="143"/>
  <c r="L282" i="143"/>
  <c r="O281" i="143"/>
  <c r="L281" i="143"/>
  <c r="O280" i="143"/>
  <c r="L280" i="143"/>
  <c r="O279" i="143"/>
  <c r="L279" i="143"/>
  <c r="O278" i="143"/>
  <c r="L278" i="143"/>
  <c r="O277" i="143"/>
  <c r="L277" i="143"/>
  <c r="O276" i="143"/>
  <c r="L276" i="143"/>
  <c r="O275" i="143"/>
  <c r="L275" i="143"/>
  <c r="O274" i="143"/>
  <c r="L274" i="143"/>
  <c r="O273" i="143"/>
  <c r="L273" i="143"/>
  <c r="O272" i="143"/>
  <c r="L272" i="143"/>
  <c r="O271" i="143"/>
  <c r="L271" i="143"/>
  <c r="O270" i="143"/>
  <c r="L270" i="143"/>
  <c r="O269" i="143"/>
  <c r="L269" i="143"/>
  <c r="O268" i="143"/>
  <c r="L268" i="143"/>
  <c r="O267" i="143"/>
  <c r="L267" i="143"/>
  <c r="O266" i="143"/>
  <c r="L266" i="143"/>
  <c r="O265" i="143"/>
  <c r="L265" i="143"/>
  <c r="O264" i="143"/>
  <c r="L264" i="143"/>
  <c r="O263" i="143"/>
  <c r="L263" i="143"/>
  <c r="O262" i="143"/>
  <c r="L262" i="143"/>
  <c r="O261" i="143"/>
  <c r="L261" i="143"/>
  <c r="O260" i="143"/>
  <c r="L260" i="143"/>
  <c r="O259" i="143"/>
  <c r="L259" i="143"/>
  <c r="O258" i="143"/>
  <c r="L258" i="143"/>
  <c r="O257" i="143"/>
  <c r="L257" i="143"/>
  <c r="O256" i="143"/>
  <c r="L256" i="143"/>
  <c r="O255" i="143"/>
  <c r="L255" i="143"/>
  <c r="O254" i="143"/>
  <c r="L254" i="143"/>
  <c r="O253" i="143"/>
  <c r="L253" i="143"/>
  <c r="O252" i="143"/>
  <c r="L252" i="143"/>
  <c r="O251" i="143"/>
  <c r="L251" i="143"/>
  <c r="O250" i="143"/>
  <c r="L250" i="143"/>
  <c r="O249" i="143"/>
  <c r="L249" i="143"/>
  <c r="O248" i="143"/>
  <c r="L248" i="143"/>
  <c r="O247" i="143"/>
  <c r="L247" i="143"/>
  <c r="O246" i="143"/>
  <c r="L246" i="143"/>
  <c r="O245" i="143"/>
  <c r="L245" i="143"/>
  <c r="O244" i="143"/>
  <c r="L244" i="143"/>
  <c r="O243" i="143"/>
  <c r="L243" i="143"/>
  <c r="O242" i="143"/>
  <c r="L242" i="143"/>
  <c r="O241" i="143"/>
  <c r="L241" i="143"/>
  <c r="O240" i="143"/>
  <c r="L240" i="143"/>
  <c r="O239" i="143"/>
  <c r="L239" i="143"/>
  <c r="O238" i="143"/>
  <c r="L238" i="143"/>
  <c r="O237" i="143"/>
  <c r="L237" i="143"/>
  <c r="O236" i="143"/>
  <c r="L236" i="143"/>
  <c r="O235" i="143"/>
  <c r="L235" i="143"/>
  <c r="O234" i="143"/>
  <c r="L234" i="143"/>
  <c r="O233" i="143"/>
  <c r="L233" i="143"/>
  <c r="O232" i="143"/>
  <c r="L232" i="143"/>
  <c r="O231" i="143"/>
  <c r="L231" i="143"/>
  <c r="O230" i="143"/>
  <c r="L230" i="143"/>
  <c r="O229" i="143"/>
  <c r="L229" i="143"/>
  <c r="O228" i="143"/>
  <c r="L228" i="143"/>
  <c r="O227" i="143"/>
  <c r="L227" i="143"/>
  <c r="O226" i="143"/>
  <c r="L226" i="143"/>
  <c r="O225" i="143"/>
  <c r="L225" i="143"/>
  <c r="O224" i="143"/>
  <c r="L224" i="143"/>
  <c r="O223" i="143"/>
  <c r="L223" i="143"/>
  <c r="O222" i="143"/>
  <c r="L222" i="143"/>
  <c r="O221" i="143"/>
  <c r="L221" i="143"/>
  <c r="O220" i="143"/>
  <c r="L220" i="143"/>
  <c r="O219" i="143"/>
  <c r="L219" i="143"/>
  <c r="O218" i="143"/>
  <c r="L218" i="143"/>
  <c r="O217" i="143"/>
  <c r="L217" i="143"/>
  <c r="O216" i="143"/>
  <c r="L216" i="143"/>
  <c r="O215" i="143"/>
  <c r="L215" i="143"/>
  <c r="O214" i="143"/>
  <c r="L214" i="143"/>
  <c r="O213" i="143"/>
  <c r="L213" i="143"/>
  <c r="O212" i="143"/>
  <c r="L212" i="143"/>
  <c r="O211" i="143"/>
  <c r="L211" i="143"/>
  <c r="O210" i="143"/>
  <c r="L210" i="143"/>
  <c r="O209" i="143"/>
  <c r="L209" i="143"/>
  <c r="O208" i="143"/>
  <c r="L208" i="143"/>
  <c r="O207" i="143"/>
  <c r="L207" i="143"/>
  <c r="O206" i="143"/>
  <c r="L206" i="143"/>
  <c r="O205" i="143"/>
  <c r="L205" i="143"/>
  <c r="O204" i="143"/>
  <c r="L204" i="143"/>
  <c r="O203" i="143"/>
  <c r="L203" i="143"/>
  <c r="O202" i="143"/>
  <c r="L202" i="143"/>
  <c r="O201" i="143"/>
  <c r="L201" i="143"/>
  <c r="O200" i="143"/>
  <c r="L200" i="143"/>
  <c r="O199" i="143"/>
  <c r="L199" i="143"/>
  <c r="O198" i="143"/>
  <c r="L198" i="143"/>
  <c r="O197" i="143"/>
  <c r="L197" i="143"/>
  <c r="O196" i="143"/>
  <c r="L196" i="143"/>
  <c r="O195" i="143"/>
  <c r="L195" i="143"/>
  <c r="O194" i="143"/>
  <c r="L194" i="143"/>
  <c r="O193" i="143"/>
  <c r="L193" i="143"/>
  <c r="O192" i="143"/>
  <c r="L192" i="143"/>
  <c r="O191" i="143"/>
  <c r="L191" i="143"/>
  <c r="O190" i="143"/>
  <c r="L190" i="143"/>
  <c r="O189" i="143"/>
  <c r="L189" i="143"/>
  <c r="O188" i="143"/>
  <c r="L188" i="143"/>
  <c r="O187" i="143"/>
  <c r="L187" i="143"/>
  <c r="O186" i="143"/>
  <c r="L186" i="143"/>
  <c r="O185" i="143"/>
  <c r="L185" i="143"/>
  <c r="O184" i="143"/>
  <c r="L184" i="143"/>
  <c r="O183" i="143"/>
  <c r="L183" i="143"/>
  <c r="O182" i="143"/>
  <c r="L182" i="143"/>
  <c r="O181" i="143"/>
  <c r="L181" i="143"/>
  <c r="O180" i="143"/>
  <c r="L180" i="143"/>
  <c r="O179" i="143"/>
  <c r="L179" i="143"/>
  <c r="O178" i="143"/>
  <c r="L178" i="143"/>
  <c r="O177" i="143"/>
  <c r="L177" i="143"/>
  <c r="O176" i="143"/>
  <c r="L176" i="143"/>
  <c r="O175" i="143"/>
  <c r="L175" i="143"/>
  <c r="O174" i="143"/>
  <c r="L174" i="143"/>
  <c r="O173" i="143"/>
  <c r="L173" i="143"/>
  <c r="O172" i="143"/>
  <c r="L172" i="143"/>
  <c r="O171" i="143"/>
  <c r="L171" i="143"/>
  <c r="O170" i="143"/>
  <c r="L170" i="143"/>
  <c r="O169" i="143"/>
  <c r="L169" i="143"/>
  <c r="O168" i="143"/>
  <c r="L168" i="143"/>
  <c r="O167" i="143"/>
  <c r="L167" i="143"/>
  <c r="O166" i="143"/>
  <c r="L166" i="143"/>
  <c r="O165" i="143"/>
  <c r="L165" i="143"/>
  <c r="O164" i="143"/>
  <c r="L164" i="143"/>
  <c r="O163" i="143"/>
  <c r="L163" i="143"/>
  <c r="O162" i="143"/>
  <c r="L162" i="143"/>
  <c r="O161" i="143"/>
  <c r="L161" i="143"/>
  <c r="O160" i="143"/>
  <c r="L160" i="143"/>
  <c r="O159" i="143"/>
  <c r="L159" i="143"/>
  <c r="O158" i="143"/>
  <c r="L158" i="143"/>
  <c r="O157" i="143"/>
  <c r="L157" i="143"/>
  <c r="O156" i="143"/>
  <c r="L156" i="143"/>
  <c r="O155" i="143"/>
  <c r="L155" i="143"/>
  <c r="O154" i="143"/>
  <c r="L154" i="143"/>
  <c r="O153" i="143"/>
  <c r="L153" i="143"/>
  <c r="O152" i="143"/>
  <c r="L152" i="143"/>
  <c r="O151" i="143"/>
  <c r="L151" i="143"/>
  <c r="O150" i="143"/>
  <c r="L150" i="143"/>
  <c r="O149" i="143"/>
  <c r="L149" i="143"/>
  <c r="O148" i="143"/>
  <c r="L148" i="143"/>
  <c r="O147" i="143"/>
  <c r="L147" i="143"/>
  <c r="O146" i="143"/>
  <c r="L146" i="143"/>
  <c r="O145" i="143"/>
  <c r="L145" i="143"/>
  <c r="O144" i="143"/>
  <c r="L144" i="143"/>
  <c r="O143" i="143"/>
  <c r="L143" i="143"/>
  <c r="O142" i="143"/>
  <c r="L142" i="143"/>
  <c r="O141" i="143"/>
  <c r="L141" i="143"/>
  <c r="O140" i="143"/>
  <c r="L140" i="143"/>
  <c r="O139" i="143"/>
  <c r="L139" i="143"/>
  <c r="O138" i="143"/>
  <c r="L138" i="143"/>
  <c r="O137" i="143"/>
  <c r="L137" i="143"/>
  <c r="O136" i="143"/>
  <c r="L136" i="143"/>
  <c r="O135" i="143"/>
  <c r="L135" i="143"/>
  <c r="O134" i="143"/>
  <c r="L134" i="143"/>
  <c r="O133" i="143"/>
  <c r="L133" i="143"/>
  <c r="O132" i="143"/>
  <c r="L132" i="143"/>
  <c r="O131" i="143"/>
  <c r="L131" i="143"/>
  <c r="O130" i="143"/>
  <c r="L130" i="143"/>
  <c r="O129" i="143"/>
  <c r="L129" i="143"/>
  <c r="O128" i="143"/>
  <c r="L128" i="143"/>
  <c r="O127" i="143"/>
  <c r="L127" i="143"/>
  <c r="O126" i="143"/>
  <c r="L126" i="143"/>
  <c r="O125" i="143"/>
  <c r="L125" i="143"/>
  <c r="O124" i="143"/>
  <c r="L124" i="143"/>
  <c r="O123" i="143"/>
  <c r="L123" i="143"/>
  <c r="O122" i="143"/>
  <c r="L122" i="143"/>
  <c r="O121" i="143"/>
  <c r="L121" i="143"/>
  <c r="O120" i="143"/>
  <c r="L120" i="143"/>
  <c r="O119" i="143"/>
  <c r="L119" i="143"/>
  <c r="O118" i="143"/>
  <c r="L118" i="143"/>
  <c r="O117" i="143"/>
  <c r="L117" i="143"/>
  <c r="O116" i="143"/>
  <c r="L116" i="143"/>
  <c r="O115" i="143"/>
  <c r="L115" i="143"/>
  <c r="O114" i="143"/>
  <c r="L114" i="143"/>
  <c r="O113" i="143"/>
  <c r="L113" i="143"/>
  <c r="O112" i="143"/>
  <c r="L112" i="143"/>
  <c r="O111" i="143"/>
  <c r="L111" i="143"/>
  <c r="O110" i="143"/>
  <c r="L110" i="143"/>
  <c r="O109" i="143"/>
  <c r="L109" i="143"/>
  <c r="O108" i="143"/>
  <c r="L108" i="143"/>
  <c r="O107" i="143"/>
  <c r="L107" i="143"/>
  <c r="O106" i="143"/>
  <c r="L106" i="143"/>
  <c r="O105" i="143"/>
  <c r="L105" i="143"/>
  <c r="O104" i="143"/>
  <c r="L104" i="143"/>
  <c r="O103" i="143"/>
  <c r="L103" i="143"/>
  <c r="O102" i="143"/>
  <c r="L102" i="143"/>
  <c r="O101" i="143"/>
  <c r="L101" i="143"/>
  <c r="O100" i="143"/>
  <c r="L100" i="143"/>
  <c r="O99" i="143"/>
  <c r="L99" i="143"/>
  <c r="O98" i="143"/>
  <c r="L98" i="143"/>
  <c r="O97" i="143"/>
  <c r="L97" i="143"/>
  <c r="O96" i="143"/>
  <c r="L96" i="143"/>
  <c r="O95" i="143"/>
  <c r="L95" i="143"/>
  <c r="O94" i="143"/>
  <c r="L94" i="143"/>
  <c r="O93" i="143"/>
  <c r="L93" i="143"/>
  <c r="O92" i="143"/>
  <c r="L92" i="143"/>
  <c r="O91" i="143"/>
  <c r="L91" i="143"/>
  <c r="O90" i="143"/>
  <c r="L90" i="143"/>
  <c r="O89" i="143"/>
  <c r="L89" i="143"/>
  <c r="O88" i="143"/>
  <c r="L88" i="143"/>
  <c r="O87" i="143"/>
  <c r="L87" i="143"/>
  <c r="O86" i="143"/>
  <c r="L86" i="143"/>
  <c r="O85" i="143"/>
  <c r="L85" i="143"/>
  <c r="O84" i="143"/>
  <c r="L84" i="143"/>
  <c r="O83" i="143"/>
  <c r="L83" i="143"/>
  <c r="O82" i="143"/>
  <c r="L82" i="143"/>
  <c r="O81" i="143"/>
  <c r="L81" i="143"/>
  <c r="O80" i="143"/>
  <c r="L80" i="143"/>
  <c r="O79" i="143"/>
  <c r="L79" i="143"/>
  <c r="O78" i="143"/>
  <c r="L78" i="143"/>
  <c r="O77" i="143"/>
  <c r="L77" i="143"/>
  <c r="O76" i="143"/>
  <c r="L76" i="143"/>
  <c r="O75" i="143"/>
  <c r="L75" i="143"/>
  <c r="O74" i="143"/>
  <c r="L74" i="143"/>
  <c r="O73" i="143"/>
  <c r="L73" i="143"/>
  <c r="O72" i="143"/>
  <c r="L72" i="143"/>
  <c r="O71" i="143"/>
  <c r="L71" i="143"/>
  <c r="O70" i="143"/>
  <c r="L70" i="143"/>
  <c r="O69" i="143"/>
  <c r="L69" i="143"/>
  <c r="O68" i="143"/>
  <c r="L68" i="143"/>
  <c r="O67" i="143"/>
  <c r="L67" i="143"/>
  <c r="O66" i="143"/>
  <c r="L66" i="143"/>
  <c r="O65" i="143"/>
  <c r="L65" i="143"/>
  <c r="O64" i="143"/>
  <c r="L64" i="143"/>
  <c r="O63" i="143"/>
  <c r="L63" i="143"/>
  <c r="O62" i="143"/>
  <c r="L62" i="143"/>
  <c r="O61" i="143"/>
  <c r="L61" i="143"/>
  <c r="O60" i="143"/>
  <c r="L60" i="143"/>
  <c r="O59" i="143"/>
  <c r="L59" i="143"/>
  <c r="L58" i="143"/>
  <c r="L57" i="143"/>
  <c r="L56" i="143"/>
  <c r="L55" i="143"/>
  <c r="L54" i="143"/>
  <c r="L53" i="143"/>
  <c r="L52" i="143"/>
  <c r="L51" i="143"/>
  <c r="L50" i="143"/>
  <c r="L49" i="143"/>
  <c r="L48" i="143"/>
  <c r="O47" i="143"/>
  <c r="L47" i="143"/>
  <c r="L46" i="143"/>
  <c r="L45" i="143"/>
  <c r="L44" i="143"/>
  <c r="L43" i="143"/>
  <c r="L42" i="143"/>
  <c r="L41" i="143"/>
  <c r="L40" i="143"/>
  <c r="L39" i="143"/>
  <c r="L38" i="143"/>
  <c r="O37" i="143"/>
  <c r="L37" i="143"/>
  <c r="O36" i="143"/>
  <c r="L36" i="143"/>
  <c r="O35" i="143"/>
  <c r="L35" i="143"/>
  <c r="O34" i="143"/>
  <c r="L34" i="143"/>
  <c r="O33" i="143"/>
  <c r="L33" i="143"/>
  <c r="O32" i="143"/>
  <c r="L32" i="143"/>
  <c r="O31" i="143"/>
  <c r="L31" i="143"/>
  <c r="O30" i="143"/>
  <c r="L30" i="143"/>
  <c r="O29" i="143"/>
  <c r="L29" i="143"/>
  <c r="O28" i="143"/>
  <c r="L28" i="143"/>
  <c r="O27" i="143"/>
  <c r="L27" i="143"/>
  <c r="O26" i="143"/>
  <c r="L26" i="143"/>
  <c r="O25" i="143"/>
  <c r="L25" i="143"/>
  <c r="O24" i="143"/>
  <c r="L24" i="143"/>
  <c r="O23" i="143"/>
  <c r="L23" i="143"/>
  <c r="O22" i="143"/>
  <c r="L22" i="143"/>
  <c r="O21" i="143"/>
  <c r="L21" i="143"/>
  <c r="O20" i="143"/>
  <c r="L20" i="143"/>
  <c r="O19" i="143"/>
  <c r="L19" i="143"/>
  <c r="O18" i="143"/>
  <c r="L18" i="143"/>
  <c r="O17" i="143"/>
  <c r="L17" i="143"/>
  <c r="O16" i="143"/>
  <c r="L16" i="143"/>
  <c r="O15" i="143"/>
  <c r="L15" i="143"/>
  <c r="O14" i="143"/>
  <c r="L14" i="143"/>
  <c r="O13" i="143"/>
  <c r="L13" i="143"/>
  <c r="O12" i="143"/>
  <c r="L12" i="143"/>
  <c r="O11" i="143"/>
  <c r="L11" i="143"/>
  <c r="O10" i="143"/>
  <c r="L10" i="143"/>
  <c r="O9" i="143"/>
  <c r="L9" i="143"/>
  <c r="O8" i="143"/>
  <c r="L8" i="143"/>
  <c r="O7" i="143"/>
  <c r="L7" i="143"/>
  <c r="O6" i="143"/>
  <c r="L6" i="143"/>
  <c r="O5" i="143"/>
  <c r="L5" i="143"/>
  <c r="O4" i="143"/>
  <c r="L4" i="143"/>
  <c r="O3" i="143"/>
  <c r="L3" i="143"/>
  <c r="O2" i="143"/>
  <c r="L2" i="143"/>
  <c r="E434" i="141"/>
  <c r="Q433" i="141"/>
  <c r="M433" i="141"/>
  <c r="Q432" i="141"/>
  <c r="M432" i="141"/>
  <c r="Q431" i="141"/>
  <c r="M431" i="141"/>
  <c r="Q430" i="141"/>
  <c r="M430" i="141"/>
  <c r="Q429" i="141"/>
  <c r="M429" i="141"/>
  <c r="Q428" i="141"/>
  <c r="M428" i="141"/>
  <c r="Q427" i="141"/>
  <c r="M427" i="141"/>
  <c r="Q426" i="141"/>
  <c r="M426" i="141"/>
  <c r="Q425" i="141"/>
  <c r="M425" i="141"/>
  <c r="Q424" i="141"/>
  <c r="M424" i="141"/>
  <c r="Q423" i="141"/>
  <c r="M423" i="141"/>
  <c r="Q422" i="141"/>
  <c r="M422" i="141"/>
  <c r="Q421" i="141"/>
  <c r="M421" i="141"/>
  <c r="Q420" i="141"/>
  <c r="M420" i="141"/>
  <c r="Q419" i="141"/>
  <c r="M419" i="141"/>
  <c r="Q418" i="141"/>
  <c r="M418" i="141"/>
  <c r="Q417" i="141"/>
  <c r="M417" i="141"/>
  <c r="Q416" i="141"/>
  <c r="M416" i="141"/>
  <c r="Q415" i="141"/>
  <c r="M415" i="141"/>
  <c r="Q414" i="141"/>
  <c r="M414" i="141"/>
  <c r="Q413" i="141"/>
  <c r="M413" i="141"/>
  <c r="Q412" i="141"/>
  <c r="M412" i="141"/>
  <c r="Q411" i="141"/>
  <c r="M411" i="141"/>
  <c r="Q410" i="141"/>
  <c r="M410" i="141"/>
  <c r="Q409" i="141"/>
  <c r="M409" i="141"/>
  <c r="Q408" i="141"/>
  <c r="M408" i="141"/>
  <c r="Q407" i="141"/>
  <c r="M407" i="141"/>
  <c r="Q406" i="141"/>
  <c r="M406" i="141"/>
  <c r="Q405" i="141"/>
  <c r="M405" i="141"/>
  <c r="Q404" i="141"/>
  <c r="M404" i="141"/>
  <c r="Q403" i="141"/>
  <c r="M403" i="141"/>
  <c r="Q402" i="141"/>
  <c r="M402" i="141"/>
  <c r="Q401" i="141"/>
  <c r="M401" i="141"/>
  <c r="Q400" i="141"/>
  <c r="M400" i="141"/>
  <c r="Q399" i="141"/>
  <c r="M399" i="141"/>
  <c r="Q398" i="141"/>
  <c r="M398" i="141"/>
  <c r="Q397" i="141"/>
  <c r="M397" i="141"/>
  <c r="Q396" i="141"/>
  <c r="M396" i="141"/>
  <c r="Q395" i="141"/>
  <c r="M395" i="141"/>
  <c r="Q394" i="141"/>
  <c r="M394" i="141"/>
  <c r="Q393" i="141"/>
  <c r="M393" i="141"/>
  <c r="Q392" i="141"/>
  <c r="M392" i="141"/>
  <c r="Q391" i="141"/>
  <c r="M391" i="141"/>
  <c r="Q390" i="141"/>
  <c r="M390" i="141"/>
  <c r="Q389" i="141"/>
  <c r="M389" i="141"/>
  <c r="Q388" i="141"/>
  <c r="M388" i="141"/>
  <c r="Q387" i="141"/>
  <c r="M387" i="141"/>
  <c r="Q386" i="141"/>
  <c r="M386" i="141"/>
  <c r="Q385" i="141"/>
  <c r="M385" i="141"/>
  <c r="Q384" i="141"/>
  <c r="M384" i="141"/>
  <c r="Q383" i="141"/>
  <c r="M383" i="141"/>
  <c r="Q382" i="141"/>
  <c r="M382" i="141"/>
  <c r="Q381" i="141"/>
  <c r="M381" i="141"/>
  <c r="Q380" i="141"/>
  <c r="M380" i="141"/>
  <c r="Q379" i="141"/>
  <c r="M379" i="141"/>
  <c r="Q378" i="141"/>
  <c r="M378" i="141"/>
  <c r="Q377" i="141"/>
  <c r="M377" i="141"/>
  <c r="Q376" i="141"/>
  <c r="M376" i="141"/>
  <c r="Q375" i="141"/>
  <c r="M375" i="141"/>
  <c r="Q374" i="141"/>
  <c r="M374" i="141"/>
  <c r="Q373" i="141"/>
  <c r="M373" i="141"/>
  <c r="Q372" i="141"/>
  <c r="M372" i="141"/>
  <c r="Q371" i="141"/>
  <c r="M371" i="141"/>
  <c r="Q370" i="141"/>
  <c r="M370" i="141"/>
  <c r="Q369" i="141"/>
  <c r="M369" i="141"/>
  <c r="Q368" i="141"/>
  <c r="M368" i="141"/>
  <c r="Q367" i="141"/>
  <c r="M367" i="141"/>
  <c r="Q366" i="141"/>
  <c r="M366" i="141"/>
  <c r="Q365" i="141"/>
  <c r="M365" i="141"/>
  <c r="Q364" i="141"/>
  <c r="M364" i="141"/>
  <c r="Q363" i="141"/>
  <c r="M363" i="141"/>
  <c r="Q362" i="141"/>
  <c r="M362" i="141"/>
  <c r="Q361" i="141"/>
  <c r="M361" i="141"/>
  <c r="Q360" i="141"/>
  <c r="M360" i="141"/>
  <c r="Q359" i="141"/>
  <c r="M359" i="141"/>
  <c r="Q358" i="141"/>
  <c r="M358" i="141"/>
  <c r="Q357" i="141"/>
  <c r="M357" i="141"/>
  <c r="Q356" i="141"/>
  <c r="M356" i="141"/>
  <c r="Q355" i="141"/>
  <c r="M355" i="141"/>
  <c r="Q354" i="141"/>
  <c r="M354" i="141"/>
  <c r="Q353" i="141"/>
  <c r="M353" i="141"/>
  <c r="Q352" i="141"/>
  <c r="M352" i="141"/>
  <c r="Q351" i="141"/>
  <c r="M351" i="141"/>
  <c r="Q350" i="141"/>
  <c r="M350" i="141"/>
  <c r="Q349" i="141"/>
  <c r="M349" i="141"/>
  <c r="Q348" i="141"/>
  <c r="M348" i="141"/>
  <c r="Q347" i="141"/>
  <c r="M347" i="141"/>
  <c r="Q346" i="141"/>
  <c r="M346" i="141"/>
  <c r="Q345" i="141"/>
  <c r="M345" i="141"/>
  <c r="Q344" i="141"/>
  <c r="M344" i="141"/>
  <c r="Q343" i="141"/>
  <c r="M343" i="141"/>
  <c r="Q342" i="141"/>
  <c r="M342" i="141"/>
  <c r="Q341" i="141"/>
  <c r="M341" i="141"/>
  <c r="Q340" i="141"/>
  <c r="M340" i="141"/>
  <c r="Q339" i="141"/>
  <c r="M339" i="141"/>
  <c r="Q338" i="141"/>
  <c r="M338" i="141"/>
  <c r="Q337" i="141"/>
  <c r="M337" i="141"/>
  <c r="Q336" i="141"/>
  <c r="M336" i="141"/>
  <c r="Q335" i="141"/>
  <c r="M335" i="141"/>
  <c r="Q334" i="141"/>
  <c r="M334" i="141"/>
  <c r="Q333" i="141"/>
  <c r="M333" i="141"/>
  <c r="Q332" i="141"/>
  <c r="M332" i="141"/>
  <c r="Q331" i="141"/>
  <c r="M331" i="141"/>
  <c r="Q330" i="141"/>
  <c r="M330" i="141"/>
  <c r="Q329" i="141"/>
  <c r="M329" i="141"/>
  <c r="Q328" i="141"/>
  <c r="M328" i="141"/>
  <c r="Q327" i="141"/>
  <c r="M327" i="141"/>
  <c r="Q326" i="141"/>
  <c r="M326" i="141"/>
  <c r="Q325" i="141"/>
  <c r="M325" i="141"/>
  <c r="Q324" i="141"/>
  <c r="M324" i="141"/>
  <c r="Q323" i="141"/>
  <c r="M323" i="141"/>
  <c r="Q322" i="141"/>
  <c r="M322" i="141"/>
  <c r="Q321" i="141"/>
  <c r="M321" i="141"/>
  <c r="Q320" i="141"/>
  <c r="M320" i="141"/>
  <c r="Q319" i="141"/>
  <c r="M319" i="141"/>
  <c r="Q318" i="141"/>
  <c r="M318" i="141"/>
  <c r="Q317" i="141"/>
  <c r="M317" i="141"/>
  <c r="Q316" i="141"/>
  <c r="M316" i="141"/>
  <c r="Q315" i="141"/>
  <c r="M315" i="141"/>
  <c r="Q314" i="141"/>
  <c r="M314" i="141"/>
  <c r="Q313" i="141"/>
  <c r="M313" i="141"/>
  <c r="Q312" i="141"/>
  <c r="M312" i="141"/>
  <c r="Q311" i="141"/>
  <c r="M311" i="141"/>
  <c r="Q310" i="141"/>
  <c r="M310" i="141"/>
  <c r="Q309" i="141"/>
  <c r="M309" i="141"/>
  <c r="Q308" i="141"/>
  <c r="M308" i="141"/>
  <c r="Q307" i="141"/>
  <c r="M307" i="141"/>
  <c r="Q306" i="141"/>
  <c r="M306" i="141"/>
  <c r="Q305" i="141"/>
  <c r="M305" i="141"/>
  <c r="Q304" i="141"/>
  <c r="M304" i="141"/>
  <c r="Q303" i="141"/>
  <c r="M303" i="141"/>
  <c r="Q302" i="141"/>
  <c r="M302" i="141"/>
  <c r="Q301" i="141"/>
  <c r="M301" i="141"/>
  <c r="Q300" i="141"/>
  <c r="M300" i="141"/>
  <c r="Q299" i="141"/>
  <c r="M299" i="141"/>
  <c r="Q298" i="141"/>
  <c r="M298" i="141"/>
  <c r="Q297" i="141"/>
  <c r="M297" i="141"/>
  <c r="Q296" i="141"/>
  <c r="M296" i="141"/>
  <c r="Q295" i="141"/>
  <c r="M295" i="141"/>
  <c r="Q294" i="141"/>
  <c r="M294" i="141"/>
  <c r="Q293" i="141"/>
  <c r="M293" i="141"/>
  <c r="Q292" i="141"/>
  <c r="M292" i="141"/>
  <c r="Q291" i="141"/>
  <c r="M291" i="141"/>
  <c r="Q290" i="141"/>
  <c r="M290" i="141"/>
  <c r="Q289" i="141"/>
  <c r="M289" i="141"/>
  <c r="Q288" i="141"/>
  <c r="M288" i="141"/>
  <c r="Q287" i="141"/>
  <c r="M287" i="141"/>
  <c r="Q286" i="141"/>
  <c r="M286" i="141"/>
  <c r="Q285" i="141"/>
  <c r="M285" i="141"/>
  <c r="Q284" i="141"/>
  <c r="M284" i="141"/>
  <c r="Q283" i="141"/>
  <c r="M283" i="141"/>
  <c r="Q282" i="141"/>
  <c r="M282" i="141"/>
  <c r="Q281" i="141"/>
  <c r="M281" i="141"/>
  <c r="Q280" i="141"/>
  <c r="M280" i="141"/>
  <c r="Q279" i="141"/>
  <c r="M279" i="141"/>
  <c r="Q278" i="141"/>
  <c r="M278" i="141"/>
  <c r="Q277" i="141"/>
  <c r="M277" i="141"/>
  <c r="Q276" i="141"/>
  <c r="M276" i="141"/>
  <c r="Q275" i="141"/>
  <c r="M275" i="141"/>
  <c r="Q274" i="141"/>
  <c r="M274" i="141"/>
  <c r="Q273" i="141"/>
  <c r="M273" i="141"/>
  <c r="Q272" i="141"/>
  <c r="M272" i="141"/>
  <c r="Q271" i="141"/>
  <c r="M271" i="141"/>
  <c r="Q270" i="141"/>
  <c r="M270" i="141"/>
  <c r="Q269" i="141"/>
  <c r="M269" i="141"/>
  <c r="Q268" i="141"/>
  <c r="M268" i="141"/>
  <c r="Q267" i="141"/>
  <c r="M267" i="141"/>
  <c r="Q266" i="141"/>
  <c r="M266" i="141"/>
  <c r="Q265" i="141"/>
  <c r="M265" i="141"/>
  <c r="Q264" i="141"/>
  <c r="M264" i="141"/>
  <c r="Q263" i="141"/>
  <c r="M263" i="141"/>
  <c r="Q262" i="141"/>
  <c r="M262" i="141"/>
  <c r="Q261" i="141"/>
  <c r="M261" i="141"/>
  <c r="Q260" i="141"/>
  <c r="M260" i="141"/>
  <c r="Q259" i="141"/>
  <c r="M259" i="141"/>
  <c r="Q258" i="141"/>
  <c r="M258" i="141"/>
  <c r="Q257" i="141"/>
  <c r="M257" i="141"/>
  <c r="Q256" i="141"/>
  <c r="M256" i="141"/>
  <c r="Q255" i="141"/>
  <c r="M255" i="141"/>
  <c r="Q254" i="141"/>
  <c r="M254" i="141"/>
  <c r="Q253" i="141"/>
  <c r="M253" i="141"/>
  <c r="Q252" i="141"/>
  <c r="M252" i="141"/>
  <c r="Q251" i="141"/>
  <c r="M251" i="141"/>
  <c r="Q250" i="141"/>
  <c r="M250" i="141"/>
  <c r="Q249" i="141"/>
  <c r="M249" i="141"/>
  <c r="Q248" i="141"/>
  <c r="M248" i="141"/>
  <c r="Q247" i="141"/>
  <c r="M247" i="141"/>
  <c r="Q246" i="141"/>
  <c r="M246" i="141"/>
  <c r="Q245" i="141"/>
  <c r="M245" i="141"/>
  <c r="Q244" i="141"/>
  <c r="M244" i="141"/>
  <c r="Q243" i="141"/>
  <c r="M243" i="141"/>
  <c r="Q242" i="141"/>
  <c r="M242" i="141"/>
  <c r="Q241" i="141"/>
  <c r="M241" i="141"/>
  <c r="Q240" i="141"/>
  <c r="M240" i="141"/>
  <c r="Q239" i="141"/>
  <c r="M239" i="141"/>
  <c r="Q238" i="141"/>
  <c r="M238" i="141"/>
  <c r="Q237" i="141"/>
  <c r="M237" i="141"/>
  <c r="Q236" i="141"/>
  <c r="M236" i="141"/>
  <c r="Q235" i="141"/>
  <c r="M235" i="141"/>
  <c r="Q234" i="141"/>
  <c r="M234" i="141"/>
  <c r="Q233" i="141"/>
  <c r="M233" i="141"/>
  <c r="Q232" i="141"/>
  <c r="M232" i="141"/>
  <c r="Q231" i="141"/>
  <c r="M231" i="141"/>
  <c r="Q230" i="141"/>
  <c r="M230" i="141"/>
  <c r="Q229" i="141"/>
  <c r="M229" i="141"/>
  <c r="Q228" i="141"/>
  <c r="M228" i="141"/>
  <c r="Q227" i="141"/>
  <c r="M227" i="141"/>
  <c r="Q226" i="141"/>
  <c r="M226" i="141"/>
  <c r="Q225" i="141"/>
  <c r="M225" i="141"/>
  <c r="Q224" i="141"/>
  <c r="M224" i="141"/>
  <c r="Q223" i="141"/>
  <c r="M223" i="141"/>
  <c r="Q222" i="141"/>
  <c r="M222" i="141"/>
  <c r="Q221" i="141"/>
  <c r="M221" i="141"/>
  <c r="Q220" i="141"/>
  <c r="M220" i="141"/>
  <c r="Q219" i="141"/>
  <c r="M219" i="141"/>
  <c r="Q218" i="141"/>
  <c r="M218" i="141"/>
  <c r="Q217" i="141"/>
  <c r="M217" i="141"/>
  <c r="Q216" i="141"/>
  <c r="M216" i="141"/>
  <c r="Q215" i="141"/>
  <c r="M215" i="141"/>
  <c r="Q214" i="141"/>
  <c r="M214" i="141"/>
  <c r="Q213" i="141"/>
  <c r="M213" i="141"/>
  <c r="Q212" i="141"/>
  <c r="M212" i="141"/>
  <c r="Q211" i="141"/>
  <c r="M211" i="141"/>
  <c r="Q210" i="141"/>
  <c r="M210" i="141"/>
  <c r="Q209" i="141"/>
  <c r="M209" i="141"/>
  <c r="Q208" i="141"/>
  <c r="M208" i="141"/>
  <c r="Q207" i="141"/>
  <c r="M207" i="141"/>
  <c r="Q206" i="141"/>
  <c r="M206" i="141"/>
  <c r="Q205" i="141"/>
  <c r="M205" i="141"/>
  <c r="Q204" i="141"/>
  <c r="M204" i="141"/>
  <c r="Q203" i="141"/>
  <c r="M203" i="141"/>
  <c r="Q202" i="141"/>
  <c r="M202" i="141"/>
  <c r="Q201" i="141"/>
  <c r="M201" i="141"/>
  <c r="Q200" i="141"/>
  <c r="M200" i="141"/>
  <c r="Q199" i="141"/>
  <c r="M199" i="141"/>
  <c r="Q198" i="141"/>
  <c r="M198" i="141"/>
  <c r="Q197" i="141"/>
  <c r="M197" i="141"/>
  <c r="Q196" i="141"/>
  <c r="M196" i="141"/>
  <c r="Q195" i="141"/>
  <c r="M195" i="141"/>
  <c r="Q194" i="141"/>
  <c r="M194" i="141"/>
  <c r="Q193" i="141"/>
  <c r="M193" i="141"/>
  <c r="Q192" i="141"/>
  <c r="M192" i="141"/>
  <c r="Q191" i="141"/>
  <c r="M191" i="141"/>
  <c r="Q190" i="141"/>
  <c r="M190" i="141"/>
  <c r="Q189" i="141"/>
  <c r="M189" i="141"/>
  <c r="Q188" i="141"/>
  <c r="M188" i="141"/>
  <c r="Q187" i="141"/>
  <c r="M187" i="141"/>
  <c r="Q186" i="141"/>
  <c r="M186" i="141"/>
  <c r="Q185" i="141"/>
  <c r="M185" i="141"/>
  <c r="Q184" i="141"/>
  <c r="M184" i="141"/>
  <c r="Q183" i="141"/>
  <c r="M183" i="141"/>
  <c r="Q182" i="141"/>
  <c r="M182" i="141"/>
  <c r="Q181" i="141"/>
  <c r="M181" i="141"/>
  <c r="Q180" i="141"/>
  <c r="M180" i="141"/>
  <c r="Q179" i="141"/>
  <c r="M179" i="141"/>
  <c r="Q178" i="141"/>
  <c r="M178" i="141"/>
  <c r="Q177" i="141"/>
  <c r="M177" i="141"/>
  <c r="Q176" i="141"/>
  <c r="M176" i="141"/>
  <c r="Q175" i="141"/>
  <c r="M175" i="141"/>
  <c r="Q174" i="141"/>
  <c r="M174" i="141"/>
  <c r="Q173" i="141"/>
  <c r="M173" i="141"/>
  <c r="Q172" i="141"/>
  <c r="M172" i="141"/>
  <c r="Q171" i="141"/>
  <c r="M171" i="141"/>
  <c r="Q170" i="141"/>
  <c r="M170" i="141"/>
  <c r="Q169" i="141"/>
  <c r="M169" i="141"/>
  <c r="Q168" i="141"/>
  <c r="M168" i="141"/>
  <c r="Q167" i="141"/>
  <c r="M167" i="141"/>
  <c r="Q166" i="141"/>
  <c r="M166" i="141"/>
  <c r="Q165" i="141"/>
  <c r="M165" i="141"/>
  <c r="Q164" i="141"/>
  <c r="M164" i="141"/>
  <c r="Q163" i="141"/>
  <c r="M163" i="141"/>
  <c r="Q162" i="141"/>
  <c r="M162" i="141"/>
  <c r="Q161" i="141"/>
  <c r="M161" i="141"/>
  <c r="Q160" i="141"/>
  <c r="M160" i="141"/>
  <c r="Q159" i="141"/>
  <c r="M159" i="141"/>
  <c r="Q158" i="141"/>
  <c r="M158" i="141"/>
  <c r="Q157" i="141"/>
  <c r="M157" i="141"/>
  <c r="Q156" i="141"/>
  <c r="M156" i="141"/>
  <c r="Q155" i="141"/>
  <c r="M155" i="141"/>
  <c r="Q154" i="141"/>
  <c r="M154" i="141"/>
  <c r="Q153" i="141"/>
  <c r="M153" i="141"/>
  <c r="Q152" i="141"/>
  <c r="M152" i="141"/>
  <c r="Q151" i="141"/>
  <c r="M151" i="141"/>
  <c r="Q150" i="141"/>
  <c r="M150" i="141"/>
  <c r="Q149" i="141"/>
  <c r="M149" i="141"/>
  <c r="Q148" i="141"/>
  <c r="M148" i="141"/>
  <c r="Q147" i="141"/>
  <c r="M147" i="141"/>
  <c r="Q146" i="141"/>
  <c r="M146" i="141"/>
  <c r="Q145" i="141"/>
  <c r="M145" i="141"/>
  <c r="Q144" i="141"/>
  <c r="M144" i="141"/>
  <c r="Q143" i="141"/>
  <c r="M143" i="141"/>
  <c r="Q142" i="141"/>
  <c r="M142" i="141"/>
  <c r="Q141" i="141"/>
  <c r="M141" i="141"/>
  <c r="Q140" i="141"/>
  <c r="M140" i="141"/>
  <c r="Q139" i="141"/>
  <c r="M139" i="141"/>
  <c r="Q138" i="141"/>
  <c r="M138" i="141"/>
  <c r="Q137" i="141"/>
  <c r="M137" i="141"/>
  <c r="Q136" i="141"/>
  <c r="M136" i="141"/>
  <c r="Q135" i="141"/>
  <c r="M135" i="141"/>
  <c r="Q134" i="141"/>
  <c r="M134" i="141"/>
  <c r="Q133" i="141"/>
  <c r="M133" i="141"/>
  <c r="Q132" i="141"/>
  <c r="M132" i="141"/>
  <c r="Q131" i="141"/>
  <c r="M131" i="141"/>
  <c r="Q130" i="141"/>
  <c r="M130" i="141"/>
  <c r="Q129" i="141"/>
  <c r="M129" i="141"/>
  <c r="Q128" i="141"/>
  <c r="M128" i="141"/>
  <c r="Q127" i="141"/>
  <c r="M127" i="141"/>
  <c r="Q126" i="141"/>
  <c r="M126" i="141"/>
  <c r="Q125" i="141"/>
  <c r="M125" i="141"/>
  <c r="Q124" i="141"/>
  <c r="M124" i="141"/>
  <c r="Q123" i="141"/>
  <c r="M123" i="141"/>
  <c r="Q122" i="141"/>
  <c r="M122" i="141"/>
  <c r="Q121" i="141"/>
  <c r="M121" i="141"/>
  <c r="Q120" i="141"/>
  <c r="M120" i="141"/>
  <c r="Q119" i="141"/>
  <c r="M119" i="141"/>
  <c r="Q118" i="141"/>
  <c r="M118" i="141"/>
  <c r="Q117" i="141"/>
  <c r="M117" i="141"/>
  <c r="Q116" i="141"/>
  <c r="M116" i="141"/>
  <c r="Q115" i="141"/>
  <c r="M115" i="141"/>
  <c r="Q114" i="141"/>
  <c r="M114" i="141"/>
  <c r="Q113" i="141"/>
  <c r="M113" i="141"/>
  <c r="Q112" i="141"/>
  <c r="M112" i="141"/>
  <c r="Q111" i="141"/>
  <c r="M111" i="141"/>
  <c r="Q110" i="141"/>
  <c r="M110" i="141"/>
  <c r="Q109" i="141"/>
  <c r="M109" i="141"/>
  <c r="Q108" i="141"/>
  <c r="M108" i="141"/>
  <c r="Q107" i="141"/>
  <c r="M107" i="141"/>
  <c r="Q106" i="141"/>
  <c r="M106" i="141"/>
  <c r="Q105" i="141"/>
  <c r="M105" i="141"/>
  <c r="Q104" i="141"/>
  <c r="M104" i="141"/>
  <c r="Q103" i="141"/>
  <c r="M103" i="141"/>
  <c r="Q102" i="141"/>
  <c r="M102" i="141"/>
  <c r="Q101" i="141"/>
  <c r="M101" i="141"/>
  <c r="Q100" i="141"/>
  <c r="M100" i="141"/>
  <c r="Q99" i="141"/>
  <c r="M99" i="141"/>
  <c r="Q98" i="141"/>
  <c r="M98" i="141"/>
  <c r="Q97" i="141"/>
  <c r="M97" i="141"/>
  <c r="Q96" i="141"/>
  <c r="M96" i="141"/>
  <c r="Q95" i="141"/>
  <c r="M95" i="141"/>
  <c r="Q94" i="141"/>
  <c r="M94" i="141"/>
  <c r="Q93" i="141"/>
  <c r="M93" i="141"/>
  <c r="Q92" i="141"/>
  <c r="M92" i="141"/>
  <c r="Q91" i="141"/>
  <c r="M91" i="141"/>
  <c r="Q90" i="141"/>
  <c r="M90" i="141"/>
  <c r="Q89" i="141"/>
  <c r="M89" i="141"/>
  <c r="Q88" i="141"/>
  <c r="M88" i="141"/>
  <c r="Q87" i="141"/>
  <c r="M87" i="141"/>
  <c r="Q86" i="141"/>
  <c r="M86" i="141"/>
  <c r="Q85" i="141"/>
  <c r="M85" i="141"/>
  <c r="Q84" i="141"/>
  <c r="M84" i="141"/>
  <c r="Q83" i="141"/>
  <c r="M83" i="141"/>
  <c r="Q82" i="141"/>
  <c r="M82" i="141"/>
  <c r="Q81" i="141"/>
  <c r="M81" i="141"/>
  <c r="Q80" i="141"/>
  <c r="M80" i="141"/>
  <c r="Q79" i="141"/>
  <c r="M79" i="141"/>
  <c r="Q78" i="141"/>
  <c r="M78" i="141"/>
  <c r="Q77" i="141"/>
  <c r="M77" i="141"/>
  <c r="Q76" i="141"/>
  <c r="M76" i="141"/>
  <c r="Q75" i="141"/>
  <c r="M75" i="141"/>
  <c r="Q74" i="141"/>
  <c r="M74" i="141"/>
  <c r="Q73" i="141"/>
  <c r="M73" i="141"/>
  <c r="Q72" i="141"/>
  <c r="M72" i="141"/>
  <c r="Q71" i="141"/>
  <c r="M71" i="141"/>
  <c r="Q70" i="141"/>
  <c r="M70" i="141"/>
  <c r="Q69" i="141"/>
  <c r="M69" i="141"/>
  <c r="Q68" i="141"/>
  <c r="M68" i="141"/>
  <c r="Q67" i="141"/>
  <c r="M67" i="141"/>
  <c r="Q66" i="141"/>
  <c r="M66" i="141"/>
  <c r="Q65" i="141"/>
  <c r="M65" i="141"/>
  <c r="Q64" i="141"/>
  <c r="M64" i="141"/>
  <c r="Q63" i="141"/>
  <c r="M63" i="141"/>
  <c r="Q62" i="141"/>
  <c r="M62" i="141"/>
  <c r="Q61" i="141"/>
  <c r="M61" i="141"/>
  <c r="Q60" i="141"/>
  <c r="M60" i="141"/>
  <c r="Q59" i="141"/>
  <c r="M59" i="141"/>
  <c r="Q58" i="141"/>
  <c r="M58" i="141"/>
  <c r="Q57" i="141"/>
  <c r="M57" i="141"/>
  <c r="Q56" i="141"/>
  <c r="M56" i="141"/>
  <c r="M55" i="141"/>
  <c r="M54" i="141"/>
  <c r="M53" i="141"/>
  <c r="M52" i="141"/>
  <c r="M51" i="141"/>
  <c r="M50" i="141"/>
  <c r="M49" i="141"/>
  <c r="M48" i="141"/>
  <c r="Q47" i="141"/>
  <c r="M47" i="141"/>
  <c r="M46" i="141"/>
  <c r="M45" i="141"/>
  <c r="M44" i="141"/>
  <c r="M43" i="141"/>
  <c r="M42" i="141"/>
  <c r="M41" i="141"/>
  <c r="M40" i="141"/>
  <c r="M39" i="141"/>
  <c r="M38" i="141"/>
  <c r="Q37" i="141"/>
  <c r="M37" i="141"/>
  <c r="Q36" i="141"/>
  <c r="M36" i="141"/>
  <c r="Q35" i="141"/>
  <c r="M35" i="141"/>
  <c r="Q34" i="141"/>
  <c r="M34" i="141"/>
  <c r="Q33" i="141"/>
  <c r="M33" i="141"/>
  <c r="Q32" i="141"/>
  <c r="M32" i="141"/>
  <c r="Q31" i="141"/>
  <c r="M31" i="141"/>
  <c r="Q30" i="141"/>
  <c r="M30" i="141"/>
  <c r="Q29" i="141"/>
  <c r="M29" i="141"/>
  <c r="Q28" i="141"/>
  <c r="M28" i="141"/>
  <c r="Q27" i="141"/>
  <c r="M27" i="141"/>
  <c r="Q26" i="141"/>
  <c r="M26" i="141"/>
  <c r="Q25" i="141"/>
  <c r="M25" i="141"/>
  <c r="Q24" i="141"/>
  <c r="M24" i="141"/>
  <c r="Q23" i="141"/>
  <c r="M23" i="141"/>
  <c r="Q22" i="141"/>
  <c r="M22" i="141"/>
  <c r="Q21" i="141"/>
  <c r="M21" i="141"/>
  <c r="Q20" i="141"/>
  <c r="M20" i="141"/>
  <c r="Q19" i="141"/>
  <c r="M19" i="141"/>
  <c r="Q18" i="141"/>
  <c r="M18" i="141"/>
  <c r="Q17" i="141"/>
  <c r="M17" i="141"/>
  <c r="Q16" i="141"/>
  <c r="M16" i="141"/>
  <c r="Q15" i="141"/>
  <c r="M15" i="141"/>
  <c r="Q14" i="141"/>
  <c r="M14" i="141"/>
  <c r="Q13" i="141"/>
  <c r="M13" i="141"/>
  <c r="Q12" i="141"/>
  <c r="M12" i="141"/>
  <c r="Q11" i="141"/>
  <c r="M11" i="141"/>
  <c r="Q10" i="141"/>
  <c r="M10" i="141"/>
  <c r="Q9" i="141"/>
  <c r="M9" i="141"/>
  <c r="Q8" i="141"/>
  <c r="M8" i="141"/>
  <c r="Q7" i="141"/>
  <c r="M7" i="141"/>
  <c r="Q6" i="141"/>
  <c r="M6" i="141"/>
  <c r="Q5" i="141"/>
  <c r="M5" i="141"/>
  <c r="Q4" i="141"/>
  <c r="M4" i="141"/>
  <c r="Q3" i="141"/>
  <c r="M3" i="141"/>
  <c r="Q2" i="141"/>
  <c r="M2" i="141"/>
  <c r="Q448" i="75"/>
  <c r="Q447" i="75"/>
  <c r="Q446" i="75"/>
  <c r="Q437" i="75"/>
  <c r="Q436" i="75"/>
  <c r="Q435" i="75"/>
  <c r="Q434" i="75"/>
  <c r="Q425" i="75"/>
  <c r="Q424" i="75"/>
  <c r="Q423" i="75"/>
  <c r="Q422" i="75"/>
  <c r="Q413" i="75"/>
  <c r="Q412" i="75"/>
  <c r="Q411" i="75"/>
  <c r="Q410" i="75"/>
  <c r="Q409" i="75"/>
  <c r="Q391" i="75"/>
  <c r="Q390" i="75"/>
  <c r="Q389" i="75"/>
  <c r="Q380" i="75"/>
  <c r="Q379" i="75"/>
  <c r="Q378" i="75"/>
  <c r="Q377" i="75"/>
  <c r="Q368" i="75"/>
  <c r="Q367" i="75"/>
  <c r="Q366" i="75"/>
  <c r="Q365" i="75"/>
  <c r="Q364" i="75"/>
  <c r="Q353" i="75"/>
  <c r="Q354" i="75"/>
  <c r="Q355" i="75"/>
  <c r="Q344" i="75"/>
  <c r="Q335" i="75"/>
  <c r="Q336" i="75"/>
  <c r="Q334" i="75"/>
  <c r="Q333" i="75"/>
  <c r="Q332" i="75"/>
  <c r="Q323" i="75"/>
  <c r="Q322" i="75"/>
  <c r="Q321" i="75"/>
  <c r="Q320" i="75"/>
  <c r="Q311" i="75"/>
  <c r="Q310" i="75"/>
  <c r="Q309" i="75"/>
  <c r="Q308" i="75"/>
  <c r="Q299" i="75"/>
  <c r="Q298" i="75"/>
  <c r="Q297" i="75"/>
  <c r="Q296" i="75"/>
  <c r="Q287" i="75"/>
  <c r="Q278" i="75"/>
  <c r="Q277" i="75"/>
  <c r="Q276" i="75"/>
  <c r="Q275" i="75"/>
  <c r="Q266" i="75"/>
  <c r="Q265" i="75"/>
  <c r="Q264" i="75"/>
  <c r="Q263" i="75"/>
  <c r="Q254" i="75"/>
  <c r="Q253" i="75"/>
  <c r="Q252" i="75"/>
  <c r="Q251" i="75"/>
  <c r="Q242" i="75"/>
  <c r="Q241" i="75"/>
  <c r="Q240" i="75"/>
  <c r="Q239" i="75"/>
  <c r="Q230" i="75"/>
  <c r="Q221" i="75"/>
  <c r="Q220" i="75"/>
  <c r="Q219" i="75"/>
  <c r="Q218" i="75"/>
  <c r="Q209" i="75"/>
  <c r="Q208" i="75"/>
  <c r="Q207" i="75"/>
  <c r="Q206" i="75"/>
  <c r="Q197" i="75"/>
  <c r="Q196" i="75"/>
  <c r="Q195" i="75"/>
  <c r="Q194" i="75"/>
  <c r="Q185" i="75"/>
  <c r="Q184" i="75"/>
  <c r="Q183" i="75"/>
  <c r="Q182" i="75"/>
  <c r="Q173" i="75"/>
  <c r="Q164" i="75"/>
  <c r="Q163" i="75"/>
  <c r="Q162" i="75"/>
  <c r="Q161" i="75"/>
  <c r="Q152" i="75"/>
  <c r="Q151" i="75"/>
  <c r="Q150" i="75"/>
  <c r="Q149" i="75"/>
  <c r="Q140" i="75"/>
  <c r="Q139" i="75"/>
  <c r="Q138" i="75"/>
  <c r="Q137" i="75"/>
  <c r="Q128" i="75"/>
  <c r="Q127" i="75"/>
  <c r="Q126" i="75"/>
  <c r="Q125" i="75"/>
  <c r="Q116" i="75"/>
  <c r="Q104" i="75"/>
  <c r="Q105" i="75"/>
  <c r="Q106" i="75"/>
  <c r="Q95" i="75"/>
  <c r="Q94" i="75"/>
  <c r="Q93" i="75"/>
  <c r="Q92" i="75"/>
  <c r="Q83" i="75"/>
  <c r="Q82" i="75"/>
  <c r="Q81" i="75"/>
  <c r="Q80" i="75"/>
  <c r="Q71" i="75"/>
  <c r="Q70" i="75"/>
  <c r="Q69" i="75"/>
  <c r="Q68" i="75"/>
  <c r="Q59" i="75"/>
  <c r="Q37" i="75"/>
  <c r="Q36" i="75"/>
  <c r="Q35" i="75"/>
  <c r="Q25" i="75"/>
  <c r="Q24" i="75"/>
  <c r="Q23" i="75"/>
  <c r="Q14" i="75"/>
  <c r="Q13" i="75"/>
  <c r="Q12" i="75"/>
  <c r="Q11" i="75"/>
  <c r="Q10" i="75"/>
  <c r="C2" i="75"/>
  <c r="D2" i="75"/>
  <c r="E2" i="75"/>
  <c r="C3" i="75"/>
  <c r="D3" i="75"/>
  <c r="E3" i="75"/>
  <c r="C4" i="75"/>
  <c r="D4" i="75"/>
  <c r="E4" i="75"/>
  <c r="D5" i="75"/>
  <c r="E5" i="75"/>
  <c r="C6" i="75"/>
  <c r="D6" i="75"/>
  <c r="E6" i="75"/>
  <c r="D7" i="75"/>
  <c r="E7" i="75"/>
  <c r="D8" i="75"/>
  <c r="E8" i="75"/>
  <c r="C9" i="75"/>
  <c r="D9" i="75"/>
  <c r="E9" i="75"/>
  <c r="C10" i="75"/>
  <c r="D10" i="75"/>
  <c r="E10" i="75"/>
  <c r="D11" i="75"/>
  <c r="E11" i="75"/>
  <c r="C12" i="75"/>
  <c r="D12" i="75"/>
  <c r="E12" i="75"/>
  <c r="D13" i="75"/>
  <c r="E13" i="75"/>
  <c r="D14" i="75"/>
  <c r="E14" i="75"/>
  <c r="C15" i="75"/>
  <c r="D15" i="75"/>
  <c r="E15" i="75"/>
  <c r="C16" i="75"/>
  <c r="D16" i="75"/>
  <c r="E16" i="75"/>
  <c r="D17" i="75"/>
  <c r="E17" i="75"/>
  <c r="C18" i="75"/>
  <c r="D18" i="75"/>
  <c r="E18" i="75"/>
  <c r="D19" i="75"/>
  <c r="E19" i="75"/>
  <c r="D20" i="75"/>
  <c r="E20" i="75"/>
  <c r="D21" i="75"/>
  <c r="E21" i="75"/>
  <c r="C22" i="75"/>
  <c r="D22" i="75"/>
  <c r="E22" i="75"/>
  <c r="D23" i="75"/>
  <c r="E23" i="75"/>
  <c r="C24" i="75"/>
  <c r="D24" i="75"/>
  <c r="E24" i="75"/>
  <c r="D25" i="75"/>
  <c r="E25" i="75"/>
  <c r="D26" i="75"/>
  <c r="E26" i="75"/>
  <c r="C27" i="75"/>
  <c r="D27" i="75"/>
  <c r="E27" i="75"/>
  <c r="D28" i="75"/>
  <c r="E28" i="75"/>
  <c r="D29" i="75"/>
  <c r="E29" i="75"/>
  <c r="D30" i="75"/>
  <c r="E30" i="75"/>
  <c r="D31" i="75"/>
  <c r="E31" i="75"/>
  <c r="D32" i="75"/>
  <c r="E32" i="75"/>
  <c r="C33" i="75"/>
  <c r="D33" i="75"/>
  <c r="E33" i="75"/>
  <c r="D34" i="75"/>
  <c r="E34" i="75"/>
  <c r="D35" i="75"/>
  <c r="E35" i="75"/>
  <c r="C36" i="75"/>
  <c r="D36" i="75"/>
  <c r="E36" i="75"/>
  <c r="C37" i="75"/>
  <c r="D37" i="75"/>
  <c r="E37" i="75"/>
  <c r="D38" i="75"/>
  <c r="E38" i="75"/>
  <c r="C39" i="75"/>
  <c r="D39" i="75"/>
  <c r="E39" i="75"/>
  <c r="C40" i="75"/>
  <c r="D40" i="75"/>
  <c r="E40" i="75"/>
  <c r="D41" i="75"/>
  <c r="E41" i="75"/>
  <c r="C42" i="75"/>
  <c r="D42" i="75"/>
  <c r="E42" i="75"/>
  <c r="C43" i="75"/>
  <c r="D43" i="75"/>
  <c r="E43" i="75"/>
  <c r="D44" i="75"/>
  <c r="E44" i="75"/>
  <c r="C45" i="75"/>
  <c r="D45" i="75"/>
  <c r="E45" i="75"/>
  <c r="C46" i="75"/>
  <c r="D46" i="75"/>
  <c r="E46" i="75"/>
  <c r="D47" i="75"/>
  <c r="E47" i="75"/>
  <c r="C48" i="75"/>
  <c r="D48" i="75"/>
  <c r="E48" i="75"/>
  <c r="C49" i="75"/>
  <c r="D49" i="75"/>
  <c r="E49" i="75"/>
  <c r="D50" i="75"/>
  <c r="E50" i="75"/>
  <c r="C51" i="75"/>
  <c r="D51" i="75"/>
  <c r="E51" i="75"/>
  <c r="C52" i="75"/>
  <c r="D52" i="75"/>
  <c r="E52" i="75"/>
  <c r="D53" i="75"/>
  <c r="E53" i="75"/>
  <c r="C54" i="75"/>
  <c r="D54" i="75"/>
  <c r="E54" i="75"/>
  <c r="C55" i="75"/>
  <c r="D55" i="75"/>
  <c r="E55" i="75"/>
  <c r="D56" i="75"/>
  <c r="E56" i="75"/>
  <c r="C57" i="75"/>
  <c r="D57" i="75"/>
  <c r="E57" i="75"/>
  <c r="C58" i="75"/>
  <c r="D58" i="75"/>
  <c r="E58" i="75"/>
  <c r="D59" i="75"/>
  <c r="E59" i="75"/>
  <c r="C60" i="75"/>
  <c r="D60" i="75"/>
  <c r="E60" i="75"/>
  <c r="C61" i="75"/>
  <c r="D61" i="75"/>
  <c r="E61" i="75"/>
  <c r="D62" i="75"/>
  <c r="E62" i="75"/>
  <c r="C63" i="75"/>
  <c r="D63" i="75"/>
  <c r="E63" i="75"/>
  <c r="C64" i="75"/>
  <c r="D64" i="75"/>
  <c r="E64" i="75"/>
  <c r="D65" i="75"/>
  <c r="E65" i="75"/>
  <c r="C66" i="75"/>
  <c r="D66" i="75"/>
  <c r="E66" i="75"/>
  <c r="C67" i="75"/>
  <c r="D67" i="75"/>
  <c r="E67" i="75"/>
  <c r="D68" i="75"/>
  <c r="E68" i="75"/>
  <c r="C69" i="75"/>
  <c r="D69" i="75"/>
  <c r="E69" i="75"/>
  <c r="C70" i="75"/>
  <c r="D70" i="75"/>
  <c r="E70" i="75"/>
  <c r="D71" i="75"/>
  <c r="E71" i="75"/>
  <c r="C72" i="75"/>
  <c r="D72" i="75"/>
  <c r="E72" i="75"/>
  <c r="C73" i="75"/>
  <c r="D73" i="75"/>
  <c r="E73" i="75"/>
  <c r="D74" i="75"/>
  <c r="E74" i="75"/>
  <c r="C75" i="75"/>
  <c r="D75" i="75"/>
  <c r="E75" i="75"/>
  <c r="C76" i="75"/>
  <c r="D76" i="75"/>
  <c r="E76" i="75"/>
  <c r="D77" i="75"/>
  <c r="E77" i="75"/>
  <c r="C78" i="75"/>
  <c r="D78" i="75"/>
  <c r="E78" i="75"/>
  <c r="C79" i="75"/>
  <c r="D79" i="75"/>
  <c r="E79" i="75"/>
  <c r="C80" i="75"/>
  <c r="D80" i="75"/>
  <c r="E80" i="75"/>
  <c r="C81" i="75"/>
  <c r="D81" i="75"/>
  <c r="E81" i="75"/>
  <c r="C82" i="75"/>
  <c r="D82" i="75"/>
  <c r="E82" i="75"/>
  <c r="D83" i="75"/>
  <c r="E83" i="75"/>
  <c r="C84" i="75"/>
  <c r="D84" i="75"/>
  <c r="E84" i="75"/>
  <c r="C85" i="75"/>
  <c r="D85" i="75"/>
  <c r="E85" i="75"/>
  <c r="D86" i="75"/>
  <c r="E86" i="75"/>
  <c r="C87" i="75"/>
  <c r="D87" i="75"/>
  <c r="E87" i="75"/>
  <c r="C88" i="75"/>
  <c r="D88" i="75"/>
  <c r="E88" i="75"/>
  <c r="D89" i="75"/>
  <c r="E89" i="75"/>
  <c r="C90" i="75"/>
  <c r="D90" i="75"/>
  <c r="E90" i="75"/>
  <c r="C91" i="75"/>
  <c r="D91" i="75"/>
  <c r="E91" i="75"/>
  <c r="D92" i="75"/>
  <c r="E92" i="75"/>
  <c r="C93" i="75"/>
  <c r="D93" i="75"/>
  <c r="E93" i="75"/>
  <c r="C94" i="75"/>
  <c r="D94" i="75"/>
  <c r="E94" i="75"/>
  <c r="D95" i="75"/>
  <c r="E95" i="75"/>
  <c r="C96" i="75"/>
  <c r="D96" i="75"/>
  <c r="E96" i="75"/>
  <c r="C97" i="75"/>
  <c r="D97" i="75"/>
  <c r="E97" i="75"/>
  <c r="D98" i="75"/>
  <c r="E98" i="75"/>
  <c r="C99" i="75"/>
  <c r="D99" i="75"/>
  <c r="E99" i="75"/>
  <c r="C100" i="75"/>
  <c r="D100" i="75"/>
  <c r="E100" i="75"/>
  <c r="D101" i="75"/>
  <c r="E101" i="75"/>
  <c r="C102" i="75"/>
  <c r="D102" i="75"/>
  <c r="E102" i="75"/>
  <c r="C103" i="75"/>
  <c r="D103" i="75"/>
  <c r="E103" i="75"/>
  <c r="C104" i="75"/>
  <c r="D104" i="75"/>
  <c r="E104" i="75"/>
  <c r="C105" i="75"/>
  <c r="D105" i="75"/>
  <c r="E105" i="75"/>
  <c r="C106" i="75"/>
  <c r="D106" i="75"/>
  <c r="E106" i="75"/>
  <c r="C107" i="75"/>
  <c r="D107" i="75"/>
  <c r="E107" i="75"/>
  <c r="C108" i="75"/>
  <c r="D108" i="75"/>
  <c r="E108" i="75"/>
  <c r="C109" i="75"/>
  <c r="D109" i="75"/>
  <c r="E109" i="75"/>
  <c r="C110" i="75"/>
  <c r="D110" i="75"/>
  <c r="E110" i="75"/>
  <c r="C111" i="75"/>
  <c r="D111" i="75"/>
  <c r="E111" i="75"/>
  <c r="C112" i="75"/>
  <c r="D112" i="75"/>
  <c r="E112" i="75"/>
  <c r="D113" i="75"/>
  <c r="E113" i="75"/>
  <c r="C114" i="75"/>
  <c r="D114" i="75"/>
  <c r="E114" i="75"/>
  <c r="C115" i="75"/>
  <c r="D115" i="75"/>
  <c r="E115" i="75"/>
  <c r="D116" i="75"/>
  <c r="E116" i="75"/>
  <c r="C117" i="75"/>
  <c r="D117" i="75"/>
  <c r="E117" i="75"/>
  <c r="C118" i="75"/>
  <c r="D118" i="75"/>
  <c r="E118" i="75"/>
  <c r="D119" i="75"/>
  <c r="E119" i="75"/>
  <c r="C120" i="75"/>
  <c r="D120" i="75"/>
  <c r="E120" i="75"/>
  <c r="C121" i="75"/>
  <c r="D121" i="75"/>
  <c r="E121" i="75"/>
  <c r="D122" i="75"/>
  <c r="E122" i="75"/>
  <c r="C123" i="75"/>
  <c r="D123" i="75"/>
  <c r="E123" i="75"/>
  <c r="C124" i="75"/>
  <c r="D124" i="75"/>
  <c r="E124" i="75"/>
  <c r="D125" i="75"/>
  <c r="E125" i="75"/>
  <c r="C126" i="75"/>
  <c r="D126" i="75"/>
  <c r="E126" i="75"/>
  <c r="C127" i="75"/>
  <c r="D127" i="75"/>
  <c r="E127" i="75"/>
  <c r="C128" i="75"/>
  <c r="D128" i="75"/>
  <c r="E128" i="75"/>
  <c r="C129" i="75"/>
  <c r="D129" i="75"/>
  <c r="E129" i="75"/>
  <c r="C130" i="75"/>
  <c r="D130" i="75"/>
  <c r="E130" i="75"/>
  <c r="C131" i="75"/>
  <c r="D131" i="75"/>
  <c r="E131" i="75"/>
  <c r="C132" i="75"/>
  <c r="D132" i="75"/>
  <c r="E132" i="75"/>
  <c r="C133" i="75"/>
  <c r="D133" i="75"/>
  <c r="E133" i="75"/>
  <c r="D134" i="75"/>
  <c r="E134" i="75"/>
  <c r="C135" i="75"/>
  <c r="D135" i="75"/>
  <c r="E135" i="75"/>
  <c r="C136" i="75"/>
  <c r="D136" i="75"/>
  <c r="E136" i="75"/>
  <c r="D137" i="75"/>
  <c r="E137" i="75"/>
  <c r="C138" i="75"/>
  <c r="D138" i="75"/>
  <c r="E138" i="75"/>
  <c r="D139" i="75"/>
  <c r="E139" i="75"/>
  <c r="D140" i="75"/>
  <c r="E140" i="75"/>
  <c r="D141" i="75"/>
  <c r="E141" i="75"/>
  <c r="C142" i="75"/>
  <c r="D142" i="75"/>
  <c r="E142" i="75"/>
  <c r="D143" i="75"/>
  <c r="E143" i="75"/>
  <c r="C144" i="75"/>
  <c r="D144" i="75"/>
  <c r="E144" i="75"/>
  <c r="C145" i="75"/>
  <c r="D145" i="75"/>
  <c r="E145" i="75"/>
  <c r="D146" i="75"/>
  <c r="E146" i="75"/>
  <c r="C147" i="75"/>
  <c r="D147" i="75"/>
  <c r="E147" i="75"/>
  <c r="C148" i="75"/>
  <c r="D148" i="75"/>
  <c r="E148" i="75"/>
  <c r="D149" i="75"/>
  <c r="E149" i="75"/>
  <c r="C150" i="75"/>
  <c r="D150" i="75"/>
  <c r="E150" i="75"/>
  <c r="C151" i="75"/>
  <c r="D151" i="75"/>
  <c r="E151" i="75"/>
  <c r="C152" i="75"/>
  <c r="D152" i="75"/>
  <c r="E152" i="75"/>
  <c r="C153" i="75"/>
  <c r="D153" i="75"/>
  <c r="E153" i="75"/>
  <c r="C154" i="75"/>
  <c r="D154" i="75"/>
  <c r="E154" i="75"/>
  <c r="D155" i="75"/>
  <c r="E155" i="75"/>
  <c r="C156" i="75"/>
  <c r="D156" i="75"/>
  <c r="E156" i="75"/>
  <c r="C157" i="75"/>
  <c r="D157" i="75"/>
  <c r="E157" i="75"/>
  <c r="D158" i="75"/>
  <c r="E158" i="75"/>
  <c r="C159" i="75"/>
  <c r="D159" i="75"/>
  <c r="E159" i="75"/>
  <c r="C160" i="75"/>
  <c r="D160" i="75"/>
  <c r="E160" i="75"/>
  <c r="D161" i="75"/>
  <c r="E161" i="75"/>
  <c r="C162" i="75"/>
  <c r="D162" i="75"/>
  <c r="E162" i="75"/>
  <c r="D163" i="75"/>
  <c r="E163" i="75"/>
  <c r="C164" i="75"/>
  <c r="D164" i="75"/>
  <c r="E164" i="75"/>
  <c r="C165" i="75"/>
  <c r="D165" i="75"/>
  <c r="E165" i="75"/>
  <c r="C166" i="75"/>
  <c r="D166" i="75"/>
  <c r="E166" i="75"/>
  <c r="D167" i="75"/>
  <c r="E167" i="75"/>
  <c r="C168" i="75"/>
  <c r="D168" i="75"/>
  <c r="E168" i="75"/>
  <c r="C169" i="75"/>
  <c r="D169" i="75"/>
  <c r="E169" i="75"/>
  <c r="D170" i="75"/>
  <c r="E170" i="75"/>
  <c r="C171" i="75"/>
  <c r="D171" i="75"/>
  <c r="E171" i="75"/>
  <c r="C172" i="75"/>
  <c r="D172" i="75"/>
  <c r="E172" i="75"/>
  <c r="D173" i="75"/>
  <c r="E173" i="75"/>
  <c r="C174" i="75"/>
  <c r="D174" i="75"/>
  <c r="E174" i="75"/>
  <c r="D175" i="75"/>
  <c r="E175" i="75"/>
  <c r="D176" i="75"/>
  <c r="E176" i="75"/>
  <c r="C177" i="75"/>
  <c r="D177" i="75"/>
  <c r="E177" i="75"/>
  <c r="C178" i="75"/>
  <c r="D178" i="75"/>
  <c r="E178" i="75"/>
  <c r="D179" i="75"/>
  <c r="E179" i="75"/>
  <c r="C180" i="75"/>
  <c r="D180" i="75"/>
  <c r="E180" i="75"/>
  <c r="C181" i="75"/>
  <c r="D181" i="75"/>
  <c r="E181" i="75"/>
  <c r="D182" i="75"/>
  <c r="E182" i="75"/>
  <c r="C183" i="75"/>
  <c r="D183" i="75"/>
  <c r="E183" i="75"/>
  <c r="C184" i="75"/>
  <c r="D184" i="75"/>
  <c r="E184" i="75"/>
  <c r="D185" i="75"/>
  <c r="E185" i="75"/>
  <c r="C186" i="75"/>
  <c r="D186" i="75"/>
  <c r="E186" i="75"/>
  <c r="C187" i="75"/>
  <c r="D187" i="75"/>
  <c r="E187" i="75"/>
  <c r="D188" i="75"/>
  <c r="E188" i="75"/>
  <c r="C189" i="75"/>
  <c r="D189" i="75"/>
  <c r="E189" i="75"/>
  <c r="D190" i="75"/>
  <c r="E190" i="75"/>
  <c r="D191" i="75"/>
  <c r="E191" i="75"/>
  <c r="C192" i="75"/>
  <c r="D192" i="75"/>
  <c r="E192" i="75"/>
  <c r="D193" i="75"/>
  <c r="E193" i="75"/>
  <c r="D194" i="75"/>
  <c r="E194" i="75"/>
  <c r="D195" i="75"/>
  <c r="E195" i="75"/>
  <c r="C196" i="75"/>
  <c r="D196" i="75"/>
  <c r="E196" i="75"/>
  <c r="D197" i="75"/>
  <c r="E197" i="75"/>
  <c r="C198" i="75"/>
  <c r="D198" i="75"/>
  <c r="E198" i="75"/>
  <c r="D199" i="75"/>
  <c r="E199" i="75"/>
  <c r="D200" i="75"/>
  <c r="E200" i="75"/>
  <c r="C201" i="75"/>
  <c r="D201" i="75"/>
  <c r="E201" i="75"/>
  <c r="C202" i="75"/>
  <c r="D202" i="75"/>
  <c r="E202" i="75"/>
  <c r="D203" i="75"/>
  <c r="E203" i="75"/>
  <c r="D204" i="75"/>
  <c r="E204" i="75"/>
  <c r="C205" i="75"/>
  <c r="D205" i="75"/>
  <c r="E205" i="75"/>
  <c r="D206" i="75"/>
  <c r="E206" i="75"/>
  <c r="C207" i="75"/>
  <c r="D207" i="75"/>
  <c r="E207" i="75"/>
  <c r="C208" i="75"/>
  <c r="D208" i="75"/>
  <c r="E208" i="75"/>
  <c r="D209" i="75"/>
  <c r="E209" i="75"/>
  <c r="C210" i="75"/>
  <c r="D210" i="75"/>
  <c r="E210" i="75"/>
  <c r="D211" i="75"/>
  <c r="E211" i="75"/>
  <c r="C212" i="75"/>
  <c r="D212" i="75"/>
  <c r="E212" i="75"/>
  <c r="C213" i="75"/>
  <c r="D213" i="75"/>
  <c r="E213" i="75"/>
  <c r="C214" i="75"/>
  <c r="D214" i="75"/>
  <c r="E214" i="75"/>
  <c r="D215" i="75"/>
  <c r="E215" i="75"/>
  <c r="C216" i="75"/>
  <c r="D216" i="75"/>
  <c r="E216" i="75"/>
  <c r="D217" i="75"/>
  <c r="E217" i="75"/>
  <c r="D218" i="75"/>
  <c r="E218" i="75"/>
  <c r="C219" i="75"/>
  <c r="D219" i="75"/>
  <c r="E219" i="75"/>
  <c r="D220" i="75"/>
  <c r="E220" i="75"/>
  <c r="D221" i="75"/>
  <c r="E221" i="75"/>
  <c r="D222" i="75"/>
  <c r="E222" i="75"/>
  <c r="C223" i="75"/>
  <c r="D223" i="75"/>
  <c r="E223" i="75"/>
  <c r="D224" i="75"/>
  <c r="E224" i="75"/>
  <c r="C225" i="75"/>
  <c r="D225" i="75"/>
  <c r="E225" i="75"/>
  <c r="C226" i="75"/>
  <c r="D226" i="75"/>
  <c r="E226" i="75"/>
  <c r="D227" i="75"/>
  <c r="E227" i="75"/>
  <c r="C228" i="75"/>
  <c r="D228" i="75"/>
  <c r="E228" i="75"/>
  <c r="C229" i="75"/>
  <c r="D229" i="75"/>
  <c r="E229" i="75"/>
  <c r="D230" i="75"/>
  <c r="E230" i="75"/>
  <c r="D231" i="75"/>
  <c r="E231" i="75"/>
  <c r="D232" i="75"/>
  <c r="E232" i="75"/>
  <c r="D233" i="75"/>
  <c r="E233" i="75"/>
  <c r="D234" i="75"/>
  <c r="E234" i="75"/>
  <c r="D235" i="75"/>
  <c r="E235" i="75"/>
  <c r="D236" i="75"/>
  <c r="E236" i="75"/>
  <c r="D237" i="75"/>
  <c r="E237" i="75"/>
  <c r="D238" i="75"/>
  <c r="E238" i="75"/>
  <c r="D239" i="75"/>
  <c r="E239" i="75"/>
  <c r="D240" i="75"/>
  <c r="E240" i="75"/>
  <c r="D241" i="75"/>
  <c r="E241" i="75"/>
  <c r="D242" i="75"/>
  <c r="E242" i="75"/>
  <c r="D243" i="75"/>
  <c r="E243" i="75"/>
  <c r="D244" i="75"/>
  <c r="E244" i="75"/>
  <c r="D245" i="75"/>
  <c r="E245" i="75"/>
  <c r="D246" i="75"/>
  <c r="E246" i="75"/>
  <c r="D247" i="75"/>
  <c r="E247" i="75"/>
  <c r="D248" i="75"/>
  <c r="E248" i="75"/>
  <c r="C249" i="75"/>
  <c r="D249" i="75"/>
  <c r="E249" i="75"/>
  <c r="D250" i="75"/>
  <c r="E250" i="75"/>
  <c r="D251" i="75"/>
  <c r="E251" i="75"/>
  <c r="D252" i="75"/>
  <c r="E252" i="75"/>
  <c r="D253" i="75"/>
  <c r="E253" i="75"/>
  <c r="D254" i="75"/>
  <c r="E254" i="75"/>
  <c r="D255" i="75"/>
  <c r="E255" i="75"/>
  <c r="D256" i="75"/>
  <c r="E256" i="75"/>
  <c r="D257" i="75"/>
  <c r="E257" i="75"/>
  <c r="C258" i="75"/>
  <c r="D258" i="75"/>
  <c r="E258" i="75"/>
  <c r="D259" i="75"/>
  <c r="E259" i="75"/>
  <c r="D260" i="75"/>
  <c r="E260" i="75"/>
  <c r="D261" i="75"/>
  <c r="E261" i="75"/>
  <c r="D262" i="75"/>
  <c r="E262" i="75"/>
  <c r="D263" i="75"/>
  <c r="E263" i="75"/>
  <c r="D264" i="75"/>
  <c r="E264" i="75"/>
  <c r="D265" i="75"/>
  <c r="E265" i="75"/>
  <c r="D266" i="75"/>
  <c r="E266" i="75"/>
  <c r="D267" i="75"/>
  <c r="E267" i="75"/>
  <c r="D268" i="75"/>
  <c r="E268" i="75"/>
  <c r="D269" i="75"/>
  <c r="E269" i="75"/>
  <c r="D270" i="75"/>
  <c r="E270" i="75"/>
  <c r="D271" i="75"/>
  <c r="E271" i="75"/>
  <c r="D272" i="75"/>
  <c r="E272" i="75"/>
  <c r="C273" i="75"/>
  <c r="D273" i="75"/>
  <c r="E273" i="75"/>
  <c r="D274" i="75"/>
  <c r="E274" i="75"/>
  <c r="D275" i="75"/>
  <c r="E275" i="75"/>
  <c r="C276" i="75"/>
  <c r="D276" i="75"/>
  <c r="E276" i="75"/>
  <c r="D277" i="75"/>
  <c r="E277" i="75"/>
  <c r="D278" i="75"/>
  <c r="E278" i="75"/>
  <c r="C279" i="75"/>
  <c r="D279" i="75"/>
  <c r="E279" i="75"/>
  <c r="D280" i="75"/>
  <c r="E280" i="75"/>
  <c r="D281" i="75"/>
  <c r="E281" i="75"/>
  <c r="D282" i="75"/>
  <c r="E282" i="75"/>
  <c r="D283" i="75"/>
  <c r="E283" i="75"/>
  <c r="D284" i="75"/>
  <c r="E284" i="75"/>
  <c r="C285" i="75"/>
  <c r="D285" i="75"/>
  <c r="E285" i="75"/>
  <c r="D286" i="75"/>
  <c r="E286" i="75"/>
  <c r="D287" i="75"/>
  <c r="E287" i="75"/>
  <c r="C288" i="75"/>
  <c r="D288" i="75"/>
  <c r="E288" i="75"/>
  <c r="C289" i="75"/>
  <c r="D289" i="75"/>
  <c r="E289" i="75"/>
  <c r="D290" i="75"/>
  <c r="E290" i="75"/>
  <c r="C291" i="75"/>
  <c r="D291" i="75"/>
  <c r="E291" i="75"/>
  <c r="C292" i="75"/>
  <c r="D292" i="75"/>
  <c r="E292" i="75"/>
  <c r="D293" i="75"/>
  <c r="E293" i="75"/>
  <c r="C294" i="75"/>
  <c r="D294" i="75"/>
  <c r="E294" i="75"/>
  <c r="C295" i="75"/>
  <c r="D295" i="75"/>
  <c r="E295" i="75"/>
  <c r="D296" i="75"/>
  <c r="E296" i="75"/>
  <c r="C297" i="75"/>
  <c r="D297" i="75"/>
  <c r="E297" i="75"/>
  <c r="C298" i="75"/>
  <c r="D298" i="75"/>
  <c r="E298" i="75"/>
  <c r="D299" i="75"/>
  <c r="E299" i="75"/>
  <c r="C300" i="75"/>
  <c r="D300" i="75"/>
  <c r="E300" i="75"/>
  <c r="C301" i="75"/>
  <c r="D301" i="75"/>
  <c r="E301" i="75"/>
  <c r="D302" i="75"/>
  <c r="E302" i="75"/>
  <c r="C303" i="75"/>
  <c r="D303" i="75"/>
  <c r="E303" i="75"/>
  <c r="C304" i="75"/>
  <c r="D304" i="75"/>
  <c r="E304" i="75"/>
  <c r="D305" i="75"/>
  <c r="E305" i="75"/>
  <c r="C306" i="75"/>
  <c r="D306" i="75"/>
  <c r="E306" i="75"/>
  <c r="C307" i="75"/>
  <c r="D307" i="75"/>
  <c r="E307" i="75"/>
  <c r="D308" i="75"/>
  <c r="E308" i="75"/>
  <c r="C309" i="75"/>
  <c r="D309" i="75"/>
  <c r="E309" i="75"/>
  <c r="C310" i="75"/>
  <c r="D310" i="75"/>
  <c r="E310" i="75"/>
  <c r="D311" i="75"/>
  <c r="E311" i="75"/>
  <c r="C312" i="75"/>
  <c r="D312" i="75"/>
  <c r="E312" i="75"/>
  <c r="C313" i="75"/>
  <c r="D313" i="75"/>
  <c r="E313" i="75"/>
  <c r="D314" i="75"/>
  <c r="E314" i="75"/>
  <c r="C315" i="75"/>
  <c r="D315" i="75"/>
  <c r="E315" i="75"/>
  <c r="C316" i="75"/>
  <c r="D316" i="75"/>
  <c r="E316" i="75"/>
  <c r="D317" i="75"/>
  <c r="E317" i="75"/>
  <c r="C318" i="75"/>
  <c r="D318" i="75"/>
  <c r="E318" i="75"/>
  <c r="C319" i="75"/>
  <c r="D319" i="75"/>
  <c r="E319" i="75"/>
  <c r="D320" i="75"/>
  <c r="E320" i="75"/>
  <c r="C321" i="75"/>
  <c r="D321" i="75"/>
  <c r="E321" i="75"/>
  <c r="C322" i="75"/>
  <c r="D322" i="75"/>
  <c r="E322" i="75"/>
  <c r="D323" i="75"/>
  <c r="C323" i="75"/>
  <c r="E323" i="75"/>
  <c r="C324" i="75"/>
  <c r="D324" i="75"/>
  <c r="E324" i="75"/>
  <c r="C325" i="75"/>
  <c r="D325" i="75"/>
  <c r="E325" i="75"/>
  <c r="D326" i="75"/>
  <c r="E326" i="75"/>
  <c r="C327" i="75"/>
  <c r="D327" i="75"/>
  <c r="E327" i="75"/>
  <c r="C328" i="75"/>
  <c r="D328" i="75"/>
  <c r="E328" i="75"/>
  <c r="D329" i="75"/>
  <c r="E329" i="75"/>
  <c r="C330" i="75"/>
  <c r="D330" i="75"/>
  <c r="E330" i="75"/>
  <c r="C331" i="75"/>
  <c r="D331" i="75"/>
  <c r="E331" i="75"/>
  <c r="D332" i="75"/>
  <c r="E332" i="75"/>
  <c r="C333" i="75"/>
  <c r="D333" i="75"/>
  <c r="E333" i="75"/>
  <c r="C334" i="75"/>
  <c r="D334" i="75"/>
  <c r="E334" i="75"/>
  <c r="D335" i="75"/>
  <c r="E335" i="75"/>
  <c r="C336" i="75"/>
  <c r="D336" i="75"/>
  <c r="E336" i="75"/>
  <c r="C337" i="75"/>
  <c r="D337" i="75"/>
  <c r="E337" i="75"/>
  <c r="D338" i="75"/>
  <c r="E338" i="75"/>
  <c r="C339" i="75"/>
  <c r="D339" i="75"/>
  <c r="E339" i="75"/>
  <c r="C340" i="75"/>
  <c r="D340" i="75"/>
  <c r="E340" i="75"/>
  <c r="D341" i="75"/>
  <c r="E341" i="75"/>
  <c r="C342" i="75"/>
  <c r="D342" i="75"/>
  <c r="E342" i="75"/>
  <c r="C343" i="75"/>
  <c r="D343" i="75"/>
  <c r="E343" i="75"/>
  <c r="D344" i="75"/>
  <c r="E344" i="75"/>
  <c r="C345" i="75"/>
  <c r="D345" i="75"/>
  <c r="E345" i="75"/>
  <c r="C346" i="75"/>
  <c r="D346" i="75"/>
  <c r="E346" i="75"/>
  <c r="C347" i="75"/>
  <c r="D347" i="75"/>
  <c r="E347" i="75"/>
  <c r="C348" i="75"/>
  <c r="D348" i="75"/>
  <c r="E348" i="75"/>
  <c r="D349" i="75"/>
  <c r="E349" i="75"/>
  <c r="D350" i="75"/>
  <c r="E350" i="75"/>
  <c r="C351" i="75"/>
  <c r="D351" i="75"/>
  <c r="E351" i="75"/>
  <c r="D352" i="75"/>
  <c r="E352" i="75"/>
  <c r="D353" i="75"/>
  <c r="E353" i="75"/>
  <c r="C354" i="75"/>
  <c r="D354" i="75"/>
  <c r="E354" i="75"/>
  <c r="D355" i="75"/>
  <c r="E355" i="75"/>
  <c r="D356" i="75"/>
  <c r="E356" i="75"/>
  <c r="C357" i="75"/>
  <c r="D357" i="75"/>
  <c r="E357" i="75"/>
  <c r="D358" i="75"/>
  <c r="E358" i="75"/>
  <c r="D359" i="75"/>
  <c r="E359" i="75"/>
  <c r="C360" i="75"/>
  <c r="D360" i="75"/>
  <c r="E360" i="75"/>
  <c r="C361" i="75"/>
  <c r="D361" i="75"/>
  <c r="E361" i="75"/>
  <c r="D362" i="75"/>
  <c r="E362" i="75"/>
  <c r="C363" i="75"/>
  <c r="D363" i="75"/>
  <c r="E363" i="75"/>
  <c r="D364" i="75"/>
  <c r="E364" i="75"/>
  <c r="D365" i="75"/>
  <c r="E365" i="75"/>
  <c r="C366" i="75"/>
  <c r="D366" i="75"/>
  <c r="E366" i="75"/>
  <c r="D367" i="75"/>
  <c r="E367" i="75"/>
  <c r="D368" i="75"/>
  <c r="E368" i="75"/>
  <c r="C369" i="75"/>
  <c r="D369" i="75"/>
  <c r="E369" i="75"/>
  <c r="D370" i="75"/>
  <c r="E370" i="75"/>
  <c r="D371" i="75"/>
  <c r="E371" i="75"/>
  <c r="C372" i="75"/>
  <c r="D372" i="75"/>
  <c r="E372" i="75"/>
  <c r="D373" i="75"/>
  <c r="E373" i="75"/>
  <c r="D374" i="75"/>
  <c r="E374" i="75"/>
  <c r="D375" i="75"/>
  <c r="E375" i="75"/>
  <c r="D376" i="75"/>
  <c r="E376" i="75"/>
  <c r="D377" i="75"/>
  <c r="E377" i="75"/>
  <c r="C378" i="75"/>
  <c r="D378" i="75"/>
  <c r="E378" i="75"/>
  <c r="D379" i="75"/>
  <c r="E379" i="75"/>
  <c r="D380" i="75"/>
  <c r="E380" i="75"/>
  <c r="C381" i="75"/>
  <c r="D381" i="75"/>
  <c r="E381" i="75"/>
  <c r="D382" i="75"/>
  <c r="E382" i="75"/>
  <c r="D383" i="75"/>
  <c r="E383" i="75"/>
  <c r="C384" i="75"/>
  <c r="D384" i="75"/>
  <c r="E384" i="75"/>
  <c r="C385" i="75"/>
  <c r="D385" i="75"/>
  <c r="E385" i="75"/>
  <c r="D386" i="75"/>
  <c r="E386" i="75"/>
  <c r="C387" i="75"/>
  <c r="D387" i="75"/>
  <c r="E387" i="75"/>
  <c r="D388" i="75"/>
  <c r="E388" i="75"/>
  <c r="D389" i="75"/>
  <c r="E389" i="75"/>
  <c r="C390" i="75"/>
  <c r="D390" i="75"/>
  <c r="E390" i="75"/>
  <c r="C391" i="75"/>
  <c r="D391" i="75"/>
  <c r="E391" i="75"/>
  <c r="C392" i="75"/>
  <c r="D392" i="75"/>
  <c r="E392" i="75"/>
  <c r="C393" i="75"/>
  <c r="D393" i="75"/>
  <c r="E393" i="75"/>
  <c r="C394" i="75"/>
  <c r="D394" i="75"/>
  <c r="E394" i="75"/>
  <c r="D395" i="75"/>
  <c r="E395" i="75"/>
  <c r="C396" i="75"/>
  <c r="D396" i="75"/>
  <c r="E396" i="75"/>
  <c r="C397" i="75"/>
  <c r="D397" i="75"/>
  <c r="E397" i="75"/>
  <c r="D398" i="75"/>
  <c r="E398" i="75"/>
  <c r="C399" i="75"/>
  <c r="D399" i="75"/>
  <c r="E399" i="75"/>
  <c r="D400" i="75"/>
  <c r="C400" i="75"/>
  <c r="E400" i="75"/>
  <c r="D401" i="75"/>
  <c r="C401" i="75"/>
  <c r="E401" i="75"/>
  <c r="D402" i="75"/>
  <c r="C402" i="75"/>
  <c r="E402" i="75"/>
  <c r="D403" i="75"/>
  <c r="C403" i="75"/>
  <c r="E403" i="75"/>
  <c r="D404" i="75"/>
  <c r="C404" i="75"/>
  <c r="E404" i="75"/>
  <c r="D405" i="75"/>
  <c r="C405" i="75"/>
  <c r="E405" i="75"/>
  <c r="D406" i="75"/>
  <c r="C406" i="75"/>
  <c r="E406" i="75"/>
  <c r="D407" i="75"/>
  <c r="C407" i="75"/>
  <c r="E407" i="75"/>
  <c r="D408" i="75"/>
  <c r="C408" i="75"/>
  <c r="E408" i="75"/>
  <c r="D409" i="75"/>
  <c r="C409" i="75"/>
  <c r="E409" i="75"/>
  <c r="D410" i="75"/>
  <c r="C410" i="75"/>
  <c r="E410" i="75"/>
  <c r="C411" i="75"/>
  <c r="D411" i="75"/>
  <c r="E411" i="75"/>
  <c r="D412" i="75"/>
  <c r="E412" i="75"/>
  <c r="D413" i="75"/>
  <c r="E413" i="75"/>
  <c r="D414" i="75"/>
  <c r="E414" i="75"/>
  <c r="D415" i="75"/>
  <c r="E415" i="75"/>
  <c r="D416" i="75"/>
  <c r="E416" i="75"/>
  <c r="C417" i="75"/>
  <c r="D417" i="75"/>
  <c r="E417" i="75"/>
  <c r="D418" i="75"/>
  <c r="E418" i="75"/>
  <c r="D419" i="75"/>
  <c r="E419" i="75"/>
  <c r="D420" i="75"/>
  <c r="E420" i="75"/>
  <c r="D421" i="75"/>
  <c r="E421" i="75"/>
  <c r="D422" i="75"/>
  <c r="E422" i="75"/>
  <c r="D423" i="75"/>
  <c r="E423" i="75"/>
  <c r="D424" i="75"/>
  <c r="E424" i="75"/>
  <c r="D425" i="75"/>
  <c r="E425" i="75"/>
  <c r="C426" i="75"/>
  <c r="D426" i="75"/>
  <c r="E426" i="75"/>
  <c r="D427" i="75"/>
  <c r="E427" i="75"/>
  <c r="D428" i="75"/>
  <c r="E428" i="75"/>
  <c r="D429" i="75"/>
  <c r="E429" i="75"/>
  <c r="D430" i="75"/>
  <c r="E430" i="75"/>
  <c r="D431" i="75"/>
  <c r="E431" i="75"/>
  <c r="D432" i="75"/>
  <c r="E432" i="75"/>
  <c r="D433" i="75"/>
  <c r="E433" i="75"/>
  <c r="D434" i="75"/>
  <c r="E434" i="75"/>
  <c r="D435" i="75"/>
  <c r="E435" i="75"/>
  <c r="D436" i="75"/>
  <c r="E436" i="75"/>
  <c r="D437" i="75"/>
  <c r="E437" i="75"/>
  <c r="D438" i="75"/>
  <c r="E438" i="75"/>
  <c r="D439" i="75"/>
  <c r="E439" i="75"/>
  <c r="D440" i="75"/>
  <c r="E440" i="75"/>
  <c r="D441" i="75"/>
  <c r="E441" i="75"/>
  <c r="D442" i="75"/>
  <c r="E442" i="75"/>
  <c r="D443" i="75"/>
  <c r="E443" i="75"/>
  <c r="D444" i="75"/>
  <c r="E444" i="75"/>
  <c r="D445" i="75"/>
  <c r="E445" i="75"/>
  <c r="D446" i="75"/>
  <c r="E446" i="75"/>
  <c r="D447" i="75"/>
  <c r="E447" i="75"/>
  <c r="D448" i="75"/>
  <c r="E448" i="75"/>
  <c r="D449" i="75"/>
  <c r="E449" i="75"/>
  <c r="D450" i="75"/>
  <c r="E450" i="75"/>
  <c r="D451" i="75"/>
  <c r="E451" i="75"/>
  <c r="D452" i="75"/>
  <c r="E452" i="75"/>
  <c r="D453" i="75"/>
  <c r="E453" i="75"/>
  <c r="D454" i="75"/>
  <c r="E454" i="75"/>
  <c r="D455" i="75"/>
  <c r="E455" i="75"/>
  <c r="D456" i="75"/>
  <c r="E456" i="75"/>
  <c r="D457" i="75"/>
  <c r="E457" i="75"/>
  <c r="E458" i="75"/>
  <c r="Q457" i="75"/>
  <c r="Q456" i="75"/>
  <c r="Q455" i="75"/>
  <c r="Q454" i="75"/>
  <c r="Q453" i="75"/>
  <c r="Q452" i="75"/>
  <c r="Q451" i="75"/>
  <c r="Q450" i="75"/>
  <c r="Q449" i="75"/>
  <c r="Q445" i="75"/>
  <c r="Q444" i="75"/>
  <c r="Q443" i="75"/>
  <c r="Q442" i="75"/>
  <c r="Q441" i="75"/>
  <c r="Q440" i="75"/>
  <c r="Q439" i="75"/>
  <c r="Q438" i="75"/>
  <c r="Q433" i="75"/>
  <c r="Q432" i="75"/>
  <c r="Q431" i="75"/>
  <c r="Q430" i="75"/>
  <c r="Q429" i="75"/>
  <c r="Q428" i="75"/>
  <c r="Q427" i="75"/>
  <c r="Q426" i="75"/>
  <c r="Q421" i="75"/>
  <c r="Q420" i="75"/>
  <c r="Q419" i="75"/>
  <c r="Q418" i="75"/>
  <c r="Q417" i="75"/>
  <c r="Q416" i="75"/>
  <c r="Q415" i="75"/>
  <c r="Q414" i="75"/>
  <c r="Q408" i="75"/>
  <c r="Q407" i="75"/>
  <c r="Q406" i="75"/>
  <c r="Q405" i="75"/>
  <c r="Q404" i="75"/>
  <c r="Q403" i="75"/>
  <c r="Q402" i="75"/>
  <c r="Q401" i="75"/>
  <c r="Q400" i="75"/>
  <c r="Q399" i="75"/>
  <c r="Q398" i="75"/>
  <c r="Q397" i="75"/>
  <c r="Q396" i="75"/>
  <c r="Q395" i="75"/>
  <c r="Q394" i="75"/>
  <c r="Q393" i="75"/>
  <c r="Q392" i="75"/>
  <c r="Q388" i="75"/>
  <c r="Q387" i="75"/>
  <c r="Q386" i="75"/>
  <c r="Q385" i="75"/>
  <c r="Q384" i="75"/>
  <c r="Q383" i="75"/>
  <c r="Q382" i="75"/>
  <c r="Q381" i="75"/>
  <c r="Q376" i="75"/>
  <c r="Q375" i="75"/>
  <c r="Q374" i="75"/>
  <c r="Q373" i="75"/>
  <c r="Q372" i="75"/>
  <c r="Q371" i="75"/>
  <c r="Q370" i="75"/>
  <c r="Q369" i="75"/>
  <c r="Q363" i="75"/>
  <c r="Q362" i="75"/>
  <c r="Q361" i="75"/>
  <c r="Q360" i="75"/>
  <c r="Q359" i="75"/>
  <c r="Q358" i="75"/>
  <c r="Q357" i="75"/>
  <c r="Q356" i="75"/>
  <c r="Q352" i="75"/>
  <c r="Q351" i="75"/>
  <c r="Q350" i="75"/>
  <c r="Q349" i="75"/>
  <c r="Q348" i="75"/>
  <c r="Q347" i="75"/>
  <c r="Q346" i="75"/>
  <c r="Q345" i="75"/>
  <c r="Q343" i="75"/>
  <c r="Q342" i="75"/>
  <c r="Q341" i="75"/>
  <c r="Q340" i="75"/>
  <c r="Q339" i="75"/>
  <c r="Q338" i="75"/>
  <c r="Q337" i="75"/>
  <c r="Q331" i="75"/>
  <c r="Q330" i="75"/>
  <c r="Q329" i="75"/>
  <c r="Q328" i="75"/>
  <c r="Q327" i="75"/>
  <c r="Q326" i="75"/>
  <c r="Q325" i="75"/>
  <c r="Q324" i="75"/>
  <c r="Q319" i="75"/>
  <c r="Q318" i="75"/>
  <c r="Q317" i="75"/>
  <c r="Q316" i="75"/>
  <c r="Q315" i="75"/>
  <c r="Q314" i="75"/>
  <c r="Q313" i="75"/>
  <c r="Q312" i="75"/>
  <c r="Q307" i="75"/>
  <c r="Q306" i="75"/>
  <c r="Q305" i="75"/>
  <c r="Q304" i="75"/>
  <c r="Q303" i="75"/>
  <c r="Q302" i="75"/>
  <c r="Q301" i="75"/>
  <c r="Q300" i="75"/>
  <c r="Q295" i="75"/>
  <c r="Q294" i="75"/>
  <c r="Q293" i="75"/>
  <c r="Q292" i="75"/>
  <c r="Q291" i="75"/>
  <c r="Q290" i="75"/>
  <c r="Q289" i="75"/>
  <c r="Q288" i="75"/>
  <c r="Q286" i="75"/>
  <c r="Q285" i="75"/>
  <c r="Q284" i="75"/>
  <c r="Q283" i="75"/>
  <c r="Q282" i="75"/>
  <c r="Q281" i="75"/>
  <c r="Q280" i="75"/>
  <c r="Q279" i="75"/>
  <c r="Q274" i="75"/>
  <c r="Q273" i="75"/>
  <c r="Q272" i="75"/>
  <c r="Q271" i="75"/>
  <c r="Q270" i="75"/>
  <c r="Q269" i="75"/>
  <c r="Q268" i="75"/>
  <c r="Q267" i="75"/>
  <c r="Q262" i="75"/>
  <c r="Q261" i="75"/>
  <c r="Q260" i="75"/>
  <c r="Q259" i="75"/>
  <c r="Q258" i="75"/>
  <c r="Q257" i="75"/>
  <c r="Q256" i="75"/>
  <c r="Q255" i="75"/>
  <c r="Q250" i="75"/>
  <c r="Q249" i="75"/>
  <c r="Q248" i="75"/>
  <c r="Q247" i="75"/>
  <c r="Q246" i="75"/>
  <c r="Q245" i="75"/>
  <c r="Q244" i="75"/>
  <c r="Q243" i="75"/>
  <c r="Q238" i="75"/>
  <c r="Q237" i="75"/>
  <c r="Q236" i="75"/>
  <c r="Q235" i="75"/>
  <c r="Q234" i="75"/>
  <c r="Q233" i="75"/>
  <c r="Q232" i="75"/>
  <c r="Q231" i="75"/>
  <c r="Q229" i="75"/>
  <c r="Q228" i="75"/>
  <c r="Q227" i="75"/>
  <c r="Q226" i="75"/>
  <c r="Q225" i="75"/>
  <c r="Q224" i="75"/>
  <c r="Q223" i="75"/>
  <c r="Q222" i="75"/>
  <c r="Q217" i="75"/>
  <c r="Q216" i="75"/>
  <c r="Q215" i="75"/>
  <c r="Q214" i="75"/>
  <c r="Q213" i="75"/>
  <c r="Q212" i="75"/>
  <c r="Q211" i="75"/>
  <c r="Q210" i="75"/>
  <c r="Q205" i="75"/>
  <c r="Q204" i="75"/>
  <c r="Q203" i="75"/>
  <c r="Q202" i="75"/>
  <c r="Q201" i="75"/>
  <c r="Q200" i="75"/>
  <c r="Q199" i="75"/>
  <c r="Q198" i="75"/>
  <c r="Q193" i="75"/>
  <c r="Q192" i="75"/>
  <c r="Q191" i="75"/>
  <c r="Q190" i="75"/>
  <c r="Q189" i="75"/>
  <c r="Q188" i="75"/>
  <c r="Q187" i="75"/>
  <c r="Q186" i="75"/>
  <c r="Q181" i="75"/>
  <c r="Q180" i="75"/>
  <c r="Q179" i="75"/>
  <c r="Q178" i="75"/>
  <c r="Q177" i="75"/>
  <c r="Q176" i="75"/>
  <c r="Q175" i="75"/>
  <c r="Q174" i="75"/>
  <c r="Q172" i="75"/>
  <c r="Q171" i="75"/>
  <c r="Q170" i="75"/>
  <c r="Q169" i="75"/>
  <c r="Q168" i="75"/>
  <c r="Q167" i="75"/>
  <c r="Q166" i="75"/>
  <c r="Q165" i="75"/>
  <c r="Q160" i="75"/>
  <c r="Q159" i="75"/>
  <c r="Q158" i="75"/>
  <c r="Q157" i="75"/>
  <c r="Q156" i="75"/>
  <c r="Q155" i="75"/>
  <c r="Q154" i="75"/>
  <c r="Q153" i="75"/>
  <c r="Q148" i="75"/>
  <c r="Q147" i="75"/>
  <c r="Q146" i="75"/>
  <c r="Q145" i="75"/>
  <c r="Q144" i="75"/>
  <c r="Q143" i="75"/>
  <c r="Q142" i="75"/>
  <c r="Q141" i="75"/>
  <c r="Q136" i="75"/>
  <c r="Q135" i="75"/>
  <c r="Q134" i="75"/>
  <c r="Q133" i="75"/>
  <c r="Q132" i="75"/>
  <c r="Q131" i="75"/>
  <c r="Q130" i="75"/>
  <c r="Q129" i="75"/>
  <c r="Q124" i="75"/>
  <c r="Q123" i="75"/>
  <c r="Q122" i="75"/>
  <c r="Q121" i="75"/>
  <c r="Q120" i="75"/>
  <c r="Q119" i="75"/>
  <c r="Q118" i="75"/>
  <c r="Q117" i="75"/>
  <c r="Q115" i="75"/>
  <c r="Q114" i="75"/>
  <c r="Q113" i="75"/>
  <c r="Q112" i="75"/>
  <c r="Q111" i="75"/>
  <c r="Q110" i="75"/>
  <c r="Q109" i="75"/>
  <c r="Q108" i="75"/>
  <c r="Q107" i="75"/>
  <c r="Q103" i="75"/>
  <c r="Q102" i="75"/>
  <c r="Q101" i="75"/>
  <c r="Q100" i="75"/>
  <c r="Q99" i="75"/>
  <c r="Q98" i="75"/>
  <c r="Q97" i="75"/>
  <c r="Q96" i="75"/>
  <c r="Q91" i="75"/>
  <c r="Q90" i="75"/>
  <c r="Q89" i="75"/>
  <c r="Q88" i="75"/>
  <c r="Q87" i="75"/>
  <c r="Q86" i="75"/>
  <c r="Q85" i="75"/>
  <c r="Q84" i="75"/>
  <c r="Q79" i="75"/>
  <c r="Q78" i="75"/>
  <c r="Q77" i="75"/>
  <c r="Q76" i="75"/>
  <c r="Q75" i="75"/>
  <c r="Q74" i="75"/>
  <c r="Q73" i="75"/>
  <c r="Q72" i="75"/>
  <c r="Q67" i="75"/>
  <c r="Q66" i="75"/>
  <c r="Q65" i="75"/>
  <c r="Q64" i="75"/>
  <c r="Q63" i="75"/>
  <c r="Q62" i="75"/>
  <c r="Q61" i="75"/>
  <c r="Q60" i="75"/>
  <c r="Q47" i="75"/>
  <c r="Q34" i="75"/>
  <c r="Q33" i="75"/>
  <c r="Q32" i="75"/>
  <c r="Q31" i="75"/>
  <c r="Q30" i="75"/>
  <c r="Q29" i="75"/>
  <c r="Q28" i="75"/>
  <c r="Q27" i="75"/>
  <c r="Q26" i="75"/>
  <c r="Q22" i="75"/>
  <c r="Q21" i="75"/>
  <c r="Q20" i="75"/>
  <c r="Q19" i="75"/>
  <c r="Q18" i="75"/>
  <c r="Q17" i="75"/>
  <c r="Q16" i="75"/>
  <c r="Q15" i="75"/>
  <c r="Q9" i="75"/>
  <c r="Q8" i="75"/>
  <c r="Q7" i="75"/>
  <c r="Q6" i="75"/>
  <c r="Q5" i="75"/>
  <c r="Q4" i="75"/>
  <c r="Q3" i="75"/>
  <c r="Q2" i="75"/>
  <c r="D20" i="138"/>
  <c r="F20" i="138"/>
  <c r="H20" i="138"/>
  <c r="J20" i="138"/>
  <c r="B20" i="138"/>
  <c r="D26" i="138"/>
  <c r="F26" i="138"/>
  <c r="H26" i="138"/>
  <c r="J26" i="138"/>
  <c r="B26" i="138"/>
  <c r="D23" i="138"/>
  <c r="F23" i="138"/>
  <c r="H23" i="138"/>
  <c r="J23" i="138"/>
  <c r="B23" i="138"/>
  <c r="D17" i="138"/>
  <c r="F17" i="138"/>
  <c r="H17" i="138"/>
  <c r="J17" i="138"/>
  <c r="B17" i="138"/>
  <c r="D14" i="138"/>
  <c r="F14" i="138"/>
  <c r="H14" i="138"/>
  <c r="J14" i="138"/>
  <c r="B14" i="138"/>
  <c r="D11" i="138"/>
  <c r="F11" i="138"/>
  <c r="H11" i="138"/>
  <c r="J11" i="138"/>
  <c r="B11" i="138"/>
  <c r="D8" i="138"/>
  <c r="F8" i="138"/>
  <c r="H8" i="138"/>
  <c r="J8" i="138"/>
  <c r="B8" i="138"/>
  <c r="D5" i="138"/>
  <c r="F5" i="138"/>
  <c r="H5" i="138"/>
  <c r="J5" i="138"/>
  <c r="B5" i="138"/>
  <c r="B4" i="138"/>
  <c r="B28" i="138"/>
  <c r="D4" i="138"/>
  <c r="D7" i="138"/>
  <c r="D10" i="138"/>
  <c r="D13" i="138"/>
  <c r="D16" i="138"/>
  <c r="D19" i="138"/>
  <c r="D22" i="138"/>
  <c r="D25" i="138"/>
  <c r="D28" i="138"/>
  <c r="F4" i="138"/>
  <c r="F7" i="138"/>
  <c r="F10" i="138"/>
  <c r="F13" i="138"/>
  <c r="F16" i="138"/>
  <c r="F19" i="138"/>
  <c r="F22" i="138"/>
  <c r="F25" i="138"/>
  <c r="F28" i="138"/>
  <c r="H4" i="138"/>
  <c r="H7" i="138"/>
  <c r="H10" i="138"/>
  <c r="H13" i="138"/>
  <c r="H16" i="138"/>
  <c r="H19" i="138"/>
  <c r="H22" i="138"/>
  <c r="H25" i="138"/>
  <c r="H28" i="138"/>
  <c r="J4" i="138"/>
  <c r="J7" i="138"/>
  <c r="J10" i="138"/>
  <c r="J13" i="138"/>
  <c r="J16" i="138"/>
  <c r="J19" i="138"/>
  <c r="J22" i="138"/>
  <c r="J24" i="138"/>
  <c r="K24" i="138"/>
  <c r="J25" i="138"/>
  <c r="J28" i="138"/>
  <c r="B7" i="138"/>
  <c r="B10" i="138"/>
  <c r="B13" i="138"/>
  <c r="B16" i="138"/>
  <c r="B19" i="138"/>
  <c r="B22" i="138"/>
  <c r="B25" i="138"/>
  <c r="M13" i="75"/>
  <c r="M14" i="75"/>
  <c r="M15" i="75"/>
  <c r="M16" i="75"/>
  <c r="M17" i="75"/>
  <c r="M18" i="75"/>
  <c r="M19" i="75"/>
  <c r="M20" i="75"/>
  <c r="M21" i="75"/>
  <c r="M22" i="75"/>
  <c r="M23" i="75"/>
  <c r="M24" i="75"/>
  <c r="M25" i="75"/>
  <c r="M26" i="75"/>
  <c r="M27" i="75"/>
  <c r="M28" i="75"/>
  <c r="M29" i="75"/>
  <c r="M30" i="75"/>
  <c r="M31" i="75"/>
  <c r="M32" i="75"/>
  <c r="M33" i="75"/>
  <c r="M34" i="75"/>
  <c r="M35" i="75"/>
  <c r="M36" i="75"/>
  <c r="M37" i="75"/>
  <c r="M38" i="75"/>
  <c r="M39" i="75"/>
  <c r="M40" i="75"/>
  <c r="M41" i="75"/>
  <c r="M42" i="75"/>
  <c r="M43" i="75"/>
  <c r="M44" i="75"/>
  <c r="M45" i="75"/>
  <c r="M46" i="75"/>
  <c r="M47" i="75"/>
  <c r="M48" i="75"/>
  <c r="M49" i="75"/>
  <c r="M50" i="75"/>
  <c r="M51" i="75"/>
  <c r="M52" i="75"/>
  <c r="M53" i="75"/>
  <c r="M54" i="75"/>
  <c r="M55" i="75"/>
  <c r="M56" i="75"/>
  <c r="M57" i="75"/>
  <c r="M58" i="75"/>
  <c r="M59" i="75"/>
  <c r="M60" i="75"/>
  <c r="M61" i="75"/>
  <c r="M62" i="75"/>
  <c r="M63" i="75"/>
  <c r="M64" i="75"/>
  <c r="M65" i="75"/>
  <c r="M66" i="75"/>
  <c r="M67" i="75"/>
  <c r="M68" i="75"/>
  <c r="M69" i="75"/>
  <c r="M70" i="75"/>
  <c r="M71" i="75"/>
  <c r="M72" i="75"/>
  <c r="M73" i="75"/>
  <c r="M74" i="75"/>
  <c r="M75" i="75"/>
  <c r="M76" i="75"/>
  <c r="M77" i="75"/>
  <c r="M78" i="75"/>
  <c r="M79" i="75"/>
  <c r="M80" i="75"/>
  <c r="M81" i="75"/>
  <c r="M82" i="75"/>
  <c r="M83" i="75"/>
  <c r="M84" i="75"/>
  <c r="M85" i="75"/>
  <c r="M86" i="75"/>
  <c r="M87" i="75"/>
  <c r="M88" i="75"/>
  <c r="M89" i="75"/>
  <c r="M90" i="75"/>
  <c r="M91" i="75"/>
  <c r="M92" i="75"/>
  <c r="M93" i="75"/>
  <c r="M94" i="75"/>
  <c r="M95" i="75"/>
  <c r="M96" i="75"/>
  <c r="M97" i="75"/>
  <c r="M98" i="75"/>
  <c r="M99" i="75"/>
  <c r="M100" i="75"/>
  <c r="M101" i="75"/>
  <c r="M102" i="75"/>
  <c r="M103" i="75"/>
  <c r="M104" i="75"/>
  <c r="M105" i="75"/>
  <c r="M106" i="75"/>
  <c r="M107" i="75"/>
  <c r="M108" i="75"/>
  <c r="M109" i="75"/>
  <c r="M110" i="75"/>
  <c r="M111" i="75"/>
  <c r="M112" i="75"/>
  <c r="M113" i="75"/>
  <c r="M114" i="75"/>
  <c r="M115" i="75"/>
  <c r="M116" i="75"/>
  <c r="M117" i="75"/>
  <c r="M118" i="75"/>
  <c r="M119" i="75"/>
  <c r="M120" i="75"/>
  <c r="M121" i="75"/>
  <c r="M122" i="75"/>
  <c r="M123" i="75"/>
  <c r="M124" i="75"/>
  <c r="M125" i="75"/>
  <c r="M126" i="75"/>
  <c r="M127" i="75"/>
  <c r="M128" i="75"/>
  <c r="M129" i="75"/>
  <c r="M130" i="75"/>
  <c r="M131" i="75"/>
  <c r="M132" i="75"/>
  <c r="M133" i="75"/>
  <c r="M134" i="75"/>
  <c r="M135" i="75"/>
  <c r="M136" i="75"/>
  <c r="M137" i="75"/>
  <c r="M138" i="75"/>
  <c r="M139" i="75"/>
  <c r="M140" i="75"/>
  <c r="M141" i="75"/>
  <c r="M142" i="75"/>
  <c r="M143" i="75"/>
  <c r="M144" i="75"/>
  <c r="M145" i="75"/>
  <c r="M146" i="75"/>
  <c r="M147" i="75"/>
  <c r="M148" i="75"/>
  <c r="M149" i="75"/>
  <c r="M150" i="75"/>
  <c r="M151" i="75"/>
  <c r="M152" i="75"/>
  <c r="M153" i="75"/>
  <c r="M154" i="75"/>
  <c r="M155" i="75"/>
  <c r="M156" i="75"/>
  <c r="M157" i="75"/>
  <c r="M158" i="75"/>
  <c r="M159" i="75"/>
  <c r="M160" i="75"/>
  <c r="M161" i="75"/>
  <c r="M162" i="75"/>
  <c r="M163" i="75"/>
  <c r="M164" i="75"/>
  <c r="M165" i="75"/>
  <c r="M166" i="75"/>
  <c r="M167" i="75"/>
  <c r="M168" i="75"/>
  <c r="M169" i="75"/>
  <c r="M170" i="75"/>
  <c r="M171" i="75"/>
  <c r="M172" i="75"/>
  <c r="M173" i="75"/>
  <c r="M174" i="75"/>
  <c r="M175" i="75"/>
  <c r="M176" i="75"/>
  <c r="M177" i="75"/>
  <c r="M178" i="75"/>
  <c r="M179" i="75"/>
  <c r="M180" i="75"/>
  <c r="M181" i="75"/>
  <c r="M182" i="75"/>
  <c r="M183" i="75"/>
  <c r="M184" i="75"/>
  <c r="M185" i="75"/>
  <c r="M186" i="75"/>
  <c r="M187" i="75"/>
  <c r="M188" i="75"/>
  <c r="M189" i="75"/>
  <c r="M190" i="75"/>
  <c r="M191" i="75"/>
  <c r="M192" i="75"/>
  <c r="M193" i="75"/>
  <c r="M194" i="75"/>
  <c r="M195" i="75"/>
  <c r="M196" i="75"/>
  <c r="M197" i="75"/>
  <c r="M198" i="75"/>
  <c r="M199" i="75"/>
  <c r="M200" i="75"/>
  <c r="M201" i="75"/>
  <c r="M202" i="75"/>
  <c r="M203" i="75"/>
  <c r="M204" i="75"/>
  <c r="M205" i="75"/>
  <c r="M206" i="75"/>
  <c r="M207" i="75"/>
  <c r="M208" i="75"/>
  <c r="M209" i="75"/>
  <c r="M210" i="75"/>
  <c r="M211" i="75"/>
  <c r="M212" i="75"/>
  <c r="M213" i="75"/>
  <c r="M214" i="75"/>
  <c r="M215" i="75"/>
  <c r="M216" i="75"/>
  <c r="M217" i="75"/>
  <c r="M218" i="75"/>
  <c r="M219" i="75"/>
  <c r="M220" i="75"/>
  <c r="M221" i="75"/>
  <c r="M222" i="75"/>
  <c r="M223" i="75"/>
  <c r="M224" i="75"/>
  <c r="M225" i="75"/>
  <c r="M226" i="75"/>
  <c r="M227" i="75"/>
  <c r="M228" i="75"/>
  <c r="M229" i="75"/>
  <c r="M230" i="75"/>
  <c r="M231" i="75"/>
  <c r="M232" i="75"/>
  <c r="M233" i="75"/>
  <c r="M234" i="75"/>
  <c r="M235" i="75"/>
  <c r="M236" i="75"/>
  <c r="M237" i="75"/>
  <c r="M238" i="75"/>
  <c r="M239" i="75"/>
  <c r="M240" i="75"/>
  <c r="M241" i="75"/>
  <c r="M242" i="75"/>
  <c r="M243" i="75"/>
  <c r="M244" i="75"/>
  <c r="M245" i="75"/>
  <c r="M246" i="75"/>
  <c r="M247" i="75"/>
  <c r="M248" i="75"/>
  <c r="M249" i="75"/>
  <c r="M250" i="75"/>
  <c r="M251" i="75"/>
  <c r="M252" i="75"/>
  <c r="M253" i="75"/>
  <c r="M254" i="75"/>
  <c r="M255" i="75"/>
  <c r="M256" i="75"/>
  <c r="M257" i="75"/>
  <c r="M258" i="75"/>
  <c r="M259" i="75"/>
  <c r="M260" i="75"/>
  <c r="M261" i="75"/>
  <c r="M262" i="75"/>
  <c r="M263" i="75"/>
  <c r="M264" i="75"/>
  <c r="M265" i="75"/>
  <c r="M266" i="75"/>
  <c r="M267" i="75"/>
  <c r="M268" i="75"/>
  <c r="M269" i="75"/>
  <c r="M270" i="75"/>
  <c r="M271" i="75"/>
  <c r="M272" i="75"/>
  <c r="M273" i="75"/>
  <c r="M274" i="75"/>
  <c r="M275" i="75"/>
  <c r="M276" i="75"/>
  <c r="M277" i="75"/>
  <c r="M278" i="75"/>
  <c r="M279" i="75"/>
  <c r="M280" i="75"/>
  <c r="M281" i="75"/>
  <c r="M282" i="75"/>
  <c r="M283" i="75"/>
  <c r="M284" i="75"/>
  <c r="M285" i="75"/>
  <c r="M286" i="75"/>
  <c r="M287" i="75"/>
  <c r="M288" i="75"/>
  <c r="M289" i="75"/>
  <c r="M290" i="75"/>
  <c r="M291" i="75"/>
  <c r="M292" i="75"/>
  <c r="M293" i="75"/>
  <c r="M294" i="75"/>
  <c r="M295" i="75"/>
  <c r="M296" i="75"/>
  <c r="M297" i="75"/>
  <c r="M298" i="75"/>
  <c r="M299" i="75"/>
  <c r="M300" i="75"/>
  <c r="M301" i="75"/>
  <c r="M302" i="75"/>
  <c r="M303" i="75"/>
  <c r="M304" i="75"/>
  <c r="M305" i="75"/>
  <c r="M306" i="75"/>
  <c r="M307" i="75"/>
  <c r="M308" i="75"/>
  <c r="M309" i="75"/>
  <c r="M310" i="75"/>
  <c r="M311" i="75"/>
  <c r="M312" i="75"/>
  <c r="M313" i="75"/>
  <c r="M314" i="75"/>
  <c r="M315" i="75"/>
  <c r="M316" i="75"/>
  <c r="M317" i="75"/>
  <c r="M318" i="75"/>
  <c r="M319" i="75"/>
  <c r="M320" i="75"/>
  <c r="M321" i="75"/>
  <c r="M322" i="75"/>
  <c r="M323" i="75"/>
  <c r="M324" i="75"/>
  <c r="M325" i="75"/>
  <c r="M326" i="75"/>
  <c r="M327" i="75"/>
  <c r="M328" i="75"/>
  <c r="M329" i="75"/>
  <c r="M330" i="75"/>
  <c r="M331" i="75"/>
  <c r="M332" i="75"/>
  <c r="M333" i="75"/>
  <c r="M334" i="75"/>
  <c r="M335" i="75"/>
  <c r="M336" i="75"/>
  <c r="M337" i="75"/>
  <c r="M338" i="75"/>
  <c r="M339" i="75"/>
  <c r="M340" i="75"/>
  <c r="M341" i="75"/>
  <c r="M342" i="75"/>
  <c r="M343" i="75"/>
  <c r="M344" i="75"/>
  <c r="M345" i="75"/>
  <c r="M346" i="75"/>
  <c r="M347" i="75"/>
  <c r="M348" i="75"/>
  <c r="M349" i="75"/>
  <c r="M350" i="75"/>
  <c r="M351" i="75"/>
  <c r="M352" i="75"/>
  <c r="M353" i="75"/>
  <c r="M354" i="75"/>
  <c r="M355" i="75"/>
  <c r="M356" i="75"/>
  <c r="M357" i="75"/>
  <c r="M358" i="75"/>
  <c r="M359" i="75"/>
  <c r="M360" i="75"/>
  <c r="M361" i="75"/>
  <c r="M362" i="75"/>
  <c r="M363" i="75"/>
  <c r="M364" i="75"/>
  <c r="M365" i="75"/>
  <c r="M366" i="75"/>
  <c r="M367" i="75"/>
  <c r="M368" i="75"/>
  <c r="M369" i="75"/>
  <c r="M370" i="75"/>
  <c r="M371" i="75"/>
  <c r="M372" i="75"/>
  <c r="M373" i="75"/>
  <c r="M374" i="75"/>
  <c r="M375" i="75"/>
  <c r="M376" i="75"/>
  <c r="M377" i="75"/>
  <c r="M378" i="75"/>
  <c r="M379" i="75"/>
  <c r="M380" i="75"/>
  <c r="M381" i="75"/>
  <c r="M382" i="75"/>
  <c r="M383" i="75"/>
  <c r="M384" i="75"/>
  <c r="M385" i="75"/>
  <c r="M386" i="75"/>
  <c r="M387" i="75"/>
  <c r="M388" i="75"/>
  <c r="M389" i="75"/>
  <c r="M390" i="75"/>
  <c r="M391" i="75"/>
  <c r="M392" i="75"/>
  <c r="M393" i="75"/>
  <c r="M394" i="75"/>
  <c r="M395" i="75"/>
  <c r="M396" i="75"/>
  <c r="M397" i="75"/>
  <c r="M398" i="75"/>
  <c r="M399" i="75"/>
  <c r="M400" i="75"/>
  <c r="M401" i="75"/>
  <c r="M402" i="75"/>
  <c r="M403" i="75"/>
  <c r="M404" i="75"/>
  <c r="M405" i="75"/>
  <c r="M406" i="75"/>
  <c r="M407" i="75"/>
  <c r="M408" i="75"/>
  <c r="M409" i="75"/>
  <c r="M410" i="75"/>
  <c r="M411" i="75"/>
  <c r="M412" i="75"/>
  <c r="M413" i="75"/>
  <c r="M414" i="75"/>
  <c r="M415" i="75"/>
  <c r="M416" i="75"/>
  <c r="M417" i="75"/>
  <c r="M418" i="75"/>
  <c r="M419" i="75"/>
  <c r="M420" i="75"/>
  <c r="M421" i="75"/>
  <c r="M422" i="75"/>
  <c r="M423" i="75"/>
  <c r="M424" i="75"/>
  <c r="M425" i="75"/>
  <c r="M426" i="75"/>
  <c r="M427" i="75"/>
  <c r="M428" i="75"/>
  <c r="M429" i="75"/>
  <c r="M430" i="75"/>
  <c r="M431" i="75"/>
  <c r="M432" i="75"/>
  <c r="M433" i="75"/>
  <c r="M434" i="75"/>
  <c r="M435" i="75"/>
  <c r="M436" i="75"/>
  <c r="M437" i="75"/>
  <c r="M438" i="75"/>
  <c r="M439" i="75"/>
  <c r="M440" i="75"/>
  <c r="M441" i="75"/>
  <c r="M442" i="75"/>
  <c r="M443" i="75"/>
  <c r="M444" i="75"/>
  <c r="M445" i="75"/>
  <c r="M446" i="75"/>
  <c r="M447" i="75"/>
  <c r="M448" i="75"/>
  <c r="M449" i="75"/>
  <c r="M450" i="75"/>
  <c r="M451" i="75"/>
  <c r="M452" i="75"/>
  <c r="M453" i="75"/>
  <c r="M454" i="75"/>
  <c r="M455" i="75"/>
  <c r="M456" i="75"/>
  <c r="M457" i="75"/>
  <c r="M3" i="75"/>
  <c r="M4" i="75"/>
  <c r="M5" i="75"/>
  <c r="M6" i="75"/>
  <c r="M7" i="75"/>
  <c r="M8" i="75"/>
  <c r="M9" i="75"/>
  <c r="M10" i="75"/>
  <c r="M11" i="75"/>
  <c r="M12" i="75"/>
  <c r="M2" i="75"/>
  <c r="C1" i="126"/>
  <c r="C2" i="126"/>
  <c r="C3" i="126"/>
  <c r="C4" i="126"/>
  <c r="C5" i="126"/>
  <c r="C6" i="126"/>
  <c r="C7" i="126"/>
  <c r="C8" i="126"/>
  <c r="C9" i="126"/>
  <c r="C10" i="126"/>
  <c r="C11" i="126"/>
  <c r="C12" i="126"/>
  <c r="C13" i="126"/>
  <c r="C14" i="126"/>
  <c r="C15" i="126"/>
  <c r="C16" i="126"/>
  <c r="C17" i="126"/>
  <c r="C18" i="126"/>
  <c r="C19" i="126"/>
  <c r="C20" i="126"/>
  <c r="C21" i="126"/>
  <c r="C22" i="126"/>
  <c r="C23" i="126"/>
  <c r="C24" i="126"/>
  <c r="C25" i="126"/>
  <c r="C26" i="126"/>
  <c r="C27" i="126"/>
  <c r="C28" i="126"/>
  <c r="C29" i="126"/>
  <c r="C30" i="126"/>
  <c r="C31" i="126"/>
  <c r="C32" i="126"/>
  <c r="C33" i="126"/>
  <c r="C34" i="126"/>
  <c r="C35" i="126"/>
  <c r="C36" i="126"/>
  <c r="C37" i="126"/>
  <c r="C38" i="126"/>
  <c r="C39" i="126"/>
  <c r="C40" i="126"/>
  <c r="C41" i="126"/>
  <c r="C42" i="126"/>
  <c r="C43" i="126"/>
  <c r="C44" i="126"/>
  <c r="C45" i="126"/>
  <c r="C46" i="126"/>
  <c r="C47" i="126"/>
  <c r="C48" i="126"/>
  <c r="C49" i="126"/>
  <c r="C50" i="126"/>
  <c r="C51" i="126"/>
  <c r="C52" i="126"/>
  <c r="C53" i="126"/>
  <c r="C54" i="126"/>
  <c r="C55" i="126"/>
  <c r="C56" i="126"/>
  <c r="C57" i="126"/>
  <c r="C58" i="126"/>
  <c r="C59" i="126"/>
  <c r="C60" i="126"/>
  <c r="C61" i="126"/>
  <c r="C62" i="126"/>
  <c r="C63" i="126"/>
  <c r="C64" i="126"/>
  <c r="C65" i="126"/>
  <c r="C66" i="126"/>
  <c r="C67" i="126"/>
  <c r="C68" i="126"/>
  <c r="C69" i="126"/>
  <c r="C70" i="126"/>
  <c r="B1" i="126"/>
  <c r="B2" i="126"/>
  <c r="B3" i="126"/>
  <c r="B4" i="126"/>
  <c r="B5" i="126"/>
  <c r="B6" i="126"/>
  <c r="B7" i="126"/>
  <c r="B8" i="126"/>
  <c r="B9" i="126"/>
  <c r="B10" i="126"/>
  <c r="B11" i="126"/>
  <c r="B12" i="126"/>
  <c r="B13" i="126"/>
  <c r="B14" i="126"/>
  <c r="B15" i="126"/>
  <c r="B16" i="126"/>
  <c r="B17" i="126"/>
  <c r="B18" i="126"/>
  <c r="B19" i="126"/>
  <c r="B20" i="126"/>
  <c r="B21" i="126"/>
  <c r="B22" i="126"/>
  <c r="B23" i="126"/>
  <c r="B24" i="126"/>
  <c r="B25" i="126"/>
  <c r="B26" i="126"/>
  <c r="B27" i="126"/>
  <c r="B28" i="126"/>
  <c r="B29" i="126"/>
  <c r="B30" i="126"/>
  <c r="B31" i="126"/>
  <c r="B32" i="126"/>
  <c r="B33" i="126"/>
  <c r="B34" i="126"/>
  <c r="B35" i="126"/>
  <c r="B36" i="126"/>
  <c r="B37" i="126"/>
  <c r="B38" i="126"/>
  <c r="B39" i="126"/>
  <c r="B40" i="126"/>
  <c r="B41" i="126"/>
  <c r="B42" i="126"/>
  <c r="B43" i="126"/>
  <c r="B44" i="126"/>
  <c r="B45" i="126"/>
  <c r="B46" i="126"/>
  <c r="B47" i="126"/>
  <c r="B48" i="126"/>
  <c r="B49" i="126"/>
  <c r="B50" i="126"/>
  <c r="B51" i="126"/>
  <c r="B52" i="126"/>
  <c r="B53" i="126"/>
  <c r="B54" i="126"/>
  <c r="B55" i="126"/>
  <c r="B56" i="126"/>
  <c r="B57" i="126"/>
  <c r="B58" i="126"/>
  <c r="B59" i="126"/>
  <c r="B60" i="126"/>
  <c r="B61" i="126"/>
  <c r="B62" i="126"/>
  <c r="B63" i="126"/>
  <c r="B64" i="126"/>
  <c r="B65" i="126"/>
  <c r="B66" i="126"/>
  <c r="B67" i="126"/>
  <c r="B68" i="126"/>
  <c r="B69" i="126"/>
  <c r="B70" i="126"/>
  <c r="C1" i="125"/>
  <c r="C2" i="125"/>
  <c r="C3" i="125"/>
  <c r="C4" i="125"/>
  <c r="C5" i="125"/>
  <c r="C6" i="125"/>
  <c r="C7" i="125"/>
  <c r="C8" i="125"/>
  <c r="C9" i="125"/>
  <c r="C10" i="125"/>
  <c r="C11" i="125"/>
  <c r="C12" i="125"/>
  <c r="C13" i="125"/>
  <c r="C14" i="125"/>
  <c r="C15" i="125"/>
  <c r="C16" i="125"/>
  <c r="C17" i="125"/>
  <c r="C18" i="125"/>
  <c r="C19" i="125"/>
  <c r="C20" i="125"/>
  <c r="C21" i="125"/>
  <c r="C22" i="125"/>
  <c r="C23" i="125"/>
  <c r="C24" i="125"/>
  <c r="C25" i="125"/>
  <c r="C26" i="125"/>
  <c r="C27" i="125"/>
  <c r="C28" i="125"/>
  <c r="C29" i="125"/>
  <c r="C30" i="125"/>
  <c r="C31" i="125"/>
  <c r="C32" i="125"/>
  <c r="C33" i="125"/>
  <c r="C34" i="125"/>
  <c r="C35" i="125"/>
  <c r="C36" i="125"/>
  <c r="C37" i="125"/>
  <c r="C38" i="125"/>
  <c r="C39" i="125"/>
  <c r="C40" i="125"/>
  <c r="C41" i="125"/>
  <c r="C42" i="125"/>
  <c r="C43" i="125"/>
  <c r="C44" i="125"/>
  <c r="C45" i="125"/>
  <c r="C46" i="125"/>
  <c r="C47" i="125"/>
  <c r="C48" i="125"/>
  <c r="C49" i="125"/>
  <c r="C50" i="125"/>
  <c r="C51" i="125"/>
  <c r="C52" i="125"/>
  <c r="C53" i="125"/>
  <c r="C54" i="125"/>
  <c r="C55" i="125"/>
  <c r="C56" i="125"/>
  <c r="C57" i="125"/>
  <c r="C58" i="125"/>
  <c r="C59" i="125"/>
  <c r="C60" i="125"/>
  <c r="C61" i="125"/>
  <c r="C62" i="125"/>
  <c r="C63" i="125"/>
  <c r="C64" i="125"/>
  <c r="C65" i="125"/>
  <c r="C66" i="125"/>
  <c r="C67" i="125"/>
  <c r="C68" i="125"/>
  <c r="C69" i="125"/>
  <c r="C70" i="125"/>
  <c r="B1" i="125"/>
  <c r="B2" i="125"/>
  <c r="B3" i="125"/>
  <c r="B4" i="125"/>
  <c r="B5" i="125"/>
  <c r="B6" i="125"/>
  <c r="B7" i="125"/>
  <c r="B8" i="125"/>
  <c r="B9" i="125"/>
  <c r="B10" i="125"/>
  <c r="B11" i="125"/>
  <c r="B12" i="125"/>
  <c r="B13" i="125"/>
  <c r="B14" i="125"/>
  <c r="B15" i="125"/>
  <c r="B16" i="125"/>
  <c r="B17" i="125"/>
  <c r="B18" i="125"/>
  <c r="B19" i="125"/>
  <c r="B20" i="125"/>
  <c r="B21" i="125"/>
  <c r="B22" i="125"/>
  <c r="B23" i="125"/>
  <c r="B24" i="125"/>
  <c r="B25" i="125"/>
  <c r="B26" i="125"/>
  <c r="B27" i="125"/>
  <c r="B28" i="125"/>
  <c r="B29" i="125"/>
  <c r="B30" i="125"/>
  <c r="B31" i="125"/>
  <c r="B32" i="125"/>
  <c r="B33" i="125"/>
  <c r="B34" i="125"/>
  <c r="B35" i="125"/>
  <c r="B36" i="125"/>
  <c r="B37" i="125"/>
  <c r="B38" i="125"/>
  <c r="B39" i="125"/>
  <c r="B40" i="125"/>
  <c r="B41" i="125"/>
  <c r="B42" i="125"/>
  <c r="B43" i="125"/>
  <c r="B44" i="125"/>
  <c r="B45" i="125"/>
  <c r="B46" i="125"/>
  <c r="B47" i="125"/>
  <c r="B48" i="125"/>
  <c r="B49" i="125"/>
  <c r="B50" i="125"/>
  <c r="B51" i="125"/>
  <c r="B52" i="125"/>
  <c r="B53" i="125"/>
  <c r="B54" i="125"/>
  <c r="B55" i="125"/>
  <c r="B56" i="125"/>
  <c r="B57" i="125"/>
  <c r="B58" i="125"/>
  <c r="B59" i="125"/>
  <c r="B60" i="125"/>
  <c r="B61" i="125"/>
  <c r="B62" i="125"/>
  <c r="B63" i="125"/>
  <c r="B64" i="125"/>
  <c r="B65" i="125"/>
  <c r="B66" i="125"/>
  <c r="B67" i="125"/>
  <c r="B68" i="125"/>
  <c r="B69" i="125"/>
  <c r="B70" i="125"/>
  <c r="C1" i="124"/>
  <c r="C2" i="124"/>
  <c r="C3" i="124"/>
  <c r="C4" i="124"/>
  <c r="C5" i="124"/>
  <c r="C6" i="124"/>
  <c r="C7" i="124"/>
  <c r="C8" i="124"/>
  <c r="C9" i="124"/>
  <c r="C10" i="124"/>
  <c r="C11" i="124"/>
  <c r="C12" i="124"/>
  <c r="C13" i="124"/>
  <c r="C14" i="124"/>
  <c r="C15" i="124"/>
  <c r="C16" i="124"/>
  <c r="C17" i="124"/>
  <c r="C18" i="124"/>
  <c r="C19" i="124"/>
  <c r="C20" i="124"/>
  <c r="C21" i="124"/>
  <c r="C22" i="124"/>
  <c r="C23" i="124"/>
  <c r="C24" i="124"/>
  <c r="C25" i="124"/>
  <c r="C26" i="124"/>
  <c r="C27" i="124"/>
  <c r="C28" i="124"/>
  <c r="C29" i="124"/>
  <c r="C30" i="124"/>
  <c r="C31" i="124"/>
  <c r="C32" i="124"/>
  <c r="C33" i="124"/>
  <c r="C34" i="124"/>
  <c r="C35" i="124"/>
  <c r="C36" i="124"/>
  <c r="C37" i="124"/>
  <c r="C38" i="124"/>
  <c r="C39" i="124"/>
  <c r="C40" i="124"/>
  <c r="C41" i="124"/>
  <c r="C42" i="124"/>
  <c r="C43" i="124"/>
  <c r="C44" i="124"/>
  <c r="C45" i="124"/>
  <c r="C46" i="124"/>
  <c r="C47" i="124"/>
  <c r="C48" i="124"/>
  <c r="C49" i="124"/>
  <c r="C50" i="124"/>
  <c r="C51" i="124"/>
  <c r="C52" i="124"/>
  <c r="C53" i="124"/>
  <c r="C54" i="124"/>
  <c r="C55" i="124"/>
  <c r="C56" i="124"/>
  <c r="C57" i="124"/>
  <c r="C58" i="124"/>
  <c r="C59" i="124"/>
  <c r="C60" i="124"/>
  <c r="C61" i="124"/>
  <c r="C62" i="124"/>
  <c r="C63" i="124"/>
  <c r="C64" i="124"/>
  <c r="C65" i="124"/>
  <c r="C66" i="124"/>
  <c r="C67" i="124"/>
  <c r="C68" i="124"/>
  <c r="C69" i="124"/>
  <c r="C70" i="124"/>
  <c r="C71" i="124"/>
  <c r="C72" i="124"/>
  <c r="C73" i="124"/>
  <c r="C74" i="124"/>
  <c r="C75" i="124"/>
  <c r="C76" i="124"/>
  <c r="C77" i="124"/>
  <c r="C78" i="124"/>
  <c r="C79" i="124"/>
  <c r="C80" i="124"/>
  <c r="C81" i="124"/>
  <c r="C82" i="124"/>
  <c r="C83" i="124"/>
  <c r="C84" i="124"/>
  <c r="C85" i="124"/>
  <c r="C86" i="124"/>
  <c r="C87" i="124"/>
  <c r="C88" i="124"/>
  <c r="C89" i="124"/>
  <c r="C90" i="124"/>
  <c r="C91" i="124"/>
  <c r="C92" i="124"/>
  <c r="C93" i="124"/>
  <c r="C94" i="124"/>
  <c r="C95" i="124"/>
  <c r="C96" i="124"/>
  <c r="C97" i="124"/>
  <c r="C98" i="124"/>
  <c r="C99" i="124"/>
  <c r="C100" i="124"/>
  <c r="B1" i="124"/>
  <c r="B2" i="124"/>
  <c r="B3" i="124"/>
  <c r="B4" i="124"/>
  <c r="B5" i="124"/>
  <c r="B6" i="124"/>
  <c r="B7" i="124"/>
  <c r="B8" i="124"/>
  <c r="B9" i="124"/>
  <c r="B10" i="124"/>
  <c r="B11" i="124"/>
  <c r="B12" i="124"/>
  <c r="B13" i="124"/>
  <c r="B14" i="124"/>
  <c r="B15" i="124"/>
  <c r="B16" i="124"/>
  <c r="B17" i="124"/>
  <c r="B18" i="124"/>
  <c r="B19" i="124"/>
  <c r="B20" i="124"/>
  <c r="B21" i="124"/>
  <c r="B22" i="124"/>
  <c r="B23" i="124"/>
  <c r="B24" i="124"/>
  <c r="B25" i="124"/>
  <c r="B26" i="124"/>
  <c r="B27" i="124"/>
  <c r="B28" i="124"/>
  <c r="B29" i="124"/>
  <c r="B30" i="124"/>
  <c r="B31" i="124"/>
  <c r="B32" i="124"/>
  <c r="B33" i="124"/>
  <c r="B34" i="124"/>
  <c r="B35" i="124"/>
  <c r="B36" i="124"/>
  <c r="B37" i="124"/>
  <c r="B38" i="124"/>
  <c r="B39" i="124"/>
  <c r="B40" i="124"/>
  <c r="B41" i="124"/>
  <c r="B42" i="124"/>
  <c r="B43" i="124"/>
  <c r="B44" i="124"/>
  <c r="B45" i="124"/>
  <c r="B46" i="124"/>
  <c r="B47" i="124"/>
  <c r="B48" i="124"/>
  <c r="B49" i="124"/>
  <c r="B50" i="124"/>
  <c r="B51" i="124"/>
  <c r="B52" i="124"/>
  <c r="B53" i="124"/>
  <c r="B54" i="124"/>
  <c r="B55" i="124"/>
  <c r="B56" i="124"/>
  <c r="B57" i="124"/>
  <c r="B58" i="124"/>
  <c r="B59" i="124"/>
  <c r="B60" i="124"/>
  <c r="B61" i="124"/>
  <c r="B62" i="124"/>
  <c r="B63" i="124"/>
  <c r="B64" i="124"/>
  <c r="B65" i="124"/>
  <c r="B66" i="124"/>
  <c r="B67" i="124"/>
  <c r="B68" i="124"/>
  <c r="B69" i="124"/>
  <c r="B70" i="124"/>
  <c r="B71" i="124"/>
  <c r="B72" i="124"/>
  <c r="B73" i="124"/>
  <c r="B74" i="124"/>
  <c r="B75" i="124"/>
  <c r="B76" i="124"/>
  <c r="B77" i="124"/>
  <c r="B78" i="124"/>
  <c r="B79" i="124"/>
  <c r="B80" i="124"/>
  <c r="B81" i="124"/>
  <c r="B82" i="124"/>
  <c r="B83" i="124"/>
  <c r="B84" i="124"/>
  <c r="B85" i="124"/>
  <c r="B86" i="124"/>
  <c r="B87" i="124"/>
  <c r="B88" i="124"/>
  <c r="B89" i="124"/>
  <c r="B90" i="124"/>
  <c r="B91" i="124"/>
  <c r="B92" i="124"/>
  <c r="B93" i="124"/>
  <c r="B94" i="124"/>
  <c r="B95" i="124"/>
  <c r="B96" i="124"/>
  <c r="B97" i="124"/>
  <c r="B98" i="124"/>
  <c r="B99" i="124"/>
  <c r="B100" i="124"/>
  <c r="C1" i="123"/>
  <c r="C2" i="123"/>
  <c r="C3" i="123"/>
  <c r="C4" i="123"/>
  <c r="C5" i="123"/>
  <c r="C6" i="123"/>
  <c r="C7" i="123"/>
  <c r="C8" i="123"/>
  <c r="C9" i="123"/>
  <c r="C10" i="123"/>
  <c r="C11" i="123"/>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C35" i="123"/>
  <c r="C36" i="123"/>
  <c r="C37" i="123"/>
  <c r="C38" i="123"/>
  <c r="C39" i="123"/>
  <c r="C40" i="123"/>
  <c r="C41" i="123"/>
  <c r="C42" i="123"/>
  <c r="C43" i="123"/>
  <c r="C44" i="123"/>
  <c r="C45" i="123"/>
  <c r="C46" i="123"/>
  <c r="C47" i="123"/>
  <c r="C48" i="123"/>
  <c r="C49" i="123"/>
  <c r="C50" i="123"/>
  <c r="C51" i="123"/>
  <c r="C52" i="123"/>
  <c r="C53" i="123"/>
  <c r="C54" i="123"/>
  <c r="C55" i="123"/>
  <c r="C56" i="123"/>
  <c r="C57" i="123"/>
  <c r="C58" i="123"/>
  <c r="C59" i="123"/>
  <c r="C60" i="123"/>
  <c r="C61" i="123"/>
  <c r="C62" i="123"/>
  <c r="C63" i="123"/>
  <c r="C64" i="123"/>
  <c r="C65" i="123"/>
  <c r="C66" i="123"/>
  <c r="C67" i="123"/>
  <c r="C68" i="123"/>
  <c r="C69" i="123"/>
  <c r="C70" i="123"/>
  <c r="C71" i="123"/>
  <c r="C72" i="123"/>
  <c r="C73" i="123"/>
  <c r="C74" i="123"/>
  <c r="C75" i="123"/>
  <c r="C76" i="123"/>
  <c r="C77" i="123"/>
  <c r="C78" i="123"/>
  <c r="C79" i="123"/>
  <c r="C80" i="123"/>
  <c r="C81" i="123"/>
  <c r="C82" i="123"/>
  <c r="C83" i="123"/>
  <c r="C84" i="123"/>
  <c r="C85" i="123"/>
  <c r="C86" i="123"/>
  <c r="C87" i="123"/>
  <c r="C88" i="123"/>
  <c r="C89" i="123"/>
  <c r="C90" i="123"/>
  <c r="C91" i="123"/>
  <c r="C92" i="123"/>
  <c r="C93" i="123"/>
  <c r="C94" i="123"/>
  <c r="C95" i="123"/>
  <c r="C96" i="123"/>
  <c r="C97" i="123"/>
  <c r="C98" i="123"/>
  <c r="C99" i="123"/>
  <c r="C100" i="123"/>
  <c r="B1" i="123"/>
  <c r="B2" i="123"/>
  <c r="B3" i="123"/>
  <c r="B4" i="123"/>
  <c r="B5" i="123"/>
  <c r="B6" i="123"/>
  <c r="B7" i="123"/>
  <c r="B8" i="123"/>
  <c r="B9" i="123"/>
  <c r="B10" i="123"/>
  <c r="B11" i="123"/>
  <c r="B12" i="123"/>
  <c r="B13" i="123"/>
  <c r="B14" i="123"/>
  <c r="B15" i="123"/>
  <c r="B16" i="123"/>
  <c r="B17" i="123"/>
  <c r="B18" i="123"/>
  <c r="B19" i="123"/>
  <c r="B20" i="123"/>
  <c r="B21" i="123"/>
  <c r="B22" i="123"/>
  <c r="B23" i="123"/>
  <c r="B24" i="123"/>
  <c r="B25" i="123"/>
  <c r="B26" i="123"/>
  <c r="B27" i="123"/>
  <c r="B28" i="123"/>
  <c r="B29" i="123"/>
  <c r="B30" i="123"/>
  <c r="B31" i="123"/>
  <c r="B32" i="123"/>
  <c r="B33" i="123"/>
  <c r="B34" i="123"/>
  <c r="B35" i="123"/>
  <c r="B36" i="123"/>
  <c r="B37" i="123"/>
  <c r="B38" i="123"/>
  <c r="B39" i="123"/>
  <c r="B40" i="123"/>
  <c r="B41" i="123"/>
  <c r="B42" i="123"/>
  <c r="B43" i="123"/>
  <c r="B44" i="123"/>
  <c r="B45" i="123"/>
  <c r="B46" i="123"/>
  <c r="B47" i="123"/>
  <c r="B48" i="123"/>
  <c r="B49" i="123"/>
  <c r="B50" i="123"/>
  <c r="B51" i="123"/>
  <c r="B52" i="123"/>
  <c r="B53" i="123"/>
  <c r="B54" i="123"/>
  <c r="B55" i="123"/>
  <c r="B56" i="123"/>
  <c r="B57" i="123"/>
  <c r="B58" i="123"/>
  <c r="B59" i="123"/>
  <c r="B60" i="123"/>
  <c r="B61" i="123"/>
  <c r="B62" i="123"/>
  <c r="B63" i="123"/>
  <c r="B64" i="123"/>
  <c r="B65" i="123"/>
  <c r="B66" i="123"/>
  <c r="B67" i="123"/>
  <c r="B68" i="123"/>
  <c r="B69" i="123"/>
  <c r="B70" i="123"/>
  <c r="B71" i="123"/>
  <c r="B72" i="123"/>
  <c r="B73" i="123"/>
  <c r="B74" i="123"/>
  <c r="B75" i="123"/>
  <c r="B76" i="123"/>
  <c r="B77" i="123"/>
  <c r="B78" i="123"/>
  <c r="B79" i="123"/>
  <c r="B80" i="123"/>
  <c r="B81" i="123"/>
  <c r="B82" i="123"/>
  <c r="B83" i="123"/>
  <c r="B84" i="123"/>
  <c r="B85" i="123"/>
  <c r="B86" i="123"/>
  <c r="B87" i="123"/>
  <c r="B88" i="123"/>
  <c r="B89" i="123"/>
  <c r="B90" i="123"/>
  <c r="B91" i="123"/>
  <c r="B92" i="123"/>
  <c r="B93" i="123"/>
  <c r="B94" i="123"/>
  <c r="B95" i="123"/>
  <c r="B96" i="123"/>
  <c r="B97" i="123"/>
  <c r="B98" i="123"/>
  <c r="B99" i="123"/>
  <c r="B100" i="123"/>
  <c r="C1" i="122"/>
  <c r="C2" i="122"/>
  <c r="C3" i="122"/>
  <c r="C4" i="122"/>
  <c r="C5" i="122"/>
  <c r="C6" i="122"/>
  <c r="C7" i="122"/>
  <c r="C8" i="122"/>
  <c r="C9" i="122"/>
  <c r="C10" i="122"/>
  <c r="C11" i="122"/>
  <c r="C12" i="122"/>
  <c r="C13" i="122"/>
  <c r="C14" i="122"/>
  <c r="C15" i="122"/>
  <c r="C16" i="122"/>
  <c r="C17" i="122"/>
  <c r="C18" i="122"/>
  <c r="C19" i="122"/>
  <c r="C20" i="122"/>
  <c r="C21" i="122"/>
  <c r="C22" i="122"/>
  <c r="C23" i="122"/>
  <c r="C24" i="122"/>
  <c r="C25" i="122"/>
  <c r="C26" i="122"/>
  <c r="C27" i="122"/>
  <c r="C28" i="122"/>
  <c r="C29" i="122"/>
  <c r="C30" i="122"/>
  <c r="C31" i="122"/>
  <c r="C32" i="122"/>
  <c r="C33" i="122"/>
  <c r="C34" i="122"/>
  <c r="C35" i="122"/>
  <c r="C36" i="122"/>
  <c r="C37" i="122"/>
  <c r="C38" i="122"/>
  <c r="C39" i="122"/>
  <c r="C40" i="122"/>
  <c r="C41" i="122"/>
  <c r="C42" i="122"/>
  <c r="C43" i="122"/>
  <c r="C44" i="122"/>
  <c r="C45" i="122"/>
  <c r="C46" i="122"/>
  <c r="C47" i="122"/>
  <c r="C48" i="122"/>
  <c r="C49" i="122"/>
  <c r="C50" i="122"/>
  <c r="C51" i="122"/>
  <c r="C52" i="122"/>
  <c r="C53" i="122"/>
  <c r="C54" i="122"/>
  <c r="C55" i="122"/>
  <c r="C56" i="122"/>
  <c r="C57" i="122"/>
  <c r="C58" i="122"/>
  <c r="C59" i="122"/>
  <c r="C60" i="122"/>
  <c r="C61" i="122"/>
  <c r="C62" i="122"/>
  <c r="C63" i="122"/>
  <c r="C64" i="122"/>
  <c r="C65" i="122"/>
  <c r="C66" i="122"/>
  <c r="C67" i="122"/>
  <c r="C68" i="122"/>
  <c r="C69" i="122"/>
  <c r="C70" i="122"/>
  <c r="B1" i="122"/>
  <c r="B2" i="122"/>
  <c r="B3" i="122"/>
  <c r="B4" i="122"/>
  <c r="B5" i="122"/>
  <c r="B6" i="122"/>
  <c r="B7" i="122"/>
  <c r="B8" i="122"/>
  <c r="B9" i="122"/>
  <c r="B10" i="122"/>
  <c r="B11" i="122"/>
  <c r="B12" i="122"/>
  <c r="B13" i="122"/>
  <c r="B14" i="122"/>
  <c r="B15" i="122"/>
  <c r="B16" i="122"/>
  <c r="B17" i="122"/>
  <c r="B18" i="122"/>
  <c r="B19" i="122"/>
  <c r="B20" i="122"/>
  <c r="B21" i="122"/>
  <c r="B22" i="122"/>
  <c r="B23" i="122"/>
  <c r="B24" i="122"/>
  <c r="B25" i="122"/>
  <c r="B26" i="122"/>
  <c r="B27" i="122"/>
  <c r="B28" i="122"/>
  <c r="B29" i="122"/>
  <c r="B30" i="122"/>
  <c r="B31" i="122"/>
  <c r="B32" i="122"/>
  <c r="B33" i="122"/>
  <c r="B34" i="122"/>
  <c r="B35" i="122"/>
  <c r="B36" i="122"/>
  <c r="B37" i="122"/>
  <c r="B38" i="122"/>
  <c r="B39" i="122"/>
  <c r="B40" i="122"/>
  <c r="B41" i="122"/>
  <c r="B42" i="122"/>
  <c r="B43" i="122"/>
  <c r="B44" i="122"/>
  <c r="B45" i="122"/>
  <c r="B46" i="122"/>
  <c r="B47" i="122"/>
  <c r="B48" i="122"/>
  <c r="B49" i="122"/>
  <c r="B50" i="122"/>
  <c r="B51" i="122"/>
  <c r="B52" i="122"/>
  <c r="B53" i="122"/>
  <c r="B54" i="122"/>
  <c r="B55" i="122"/>
  <c r="B56" i="122"/>
  <c r="B57" i="122"/>
  <c r="B58" i="122"/>
  <c r="B59" i="122"/>
  <c r="B60" i="122"/>
  <c r="B61" i="122"/>
  <c r="B62" i="122"/>
  <c r="B63" i="122"/>
  <c r="B64" i="122"/>
  <c r="B65" i="122"/>
  <c r="B66" i="122"/>
  <c r="B67" i="122"/>
  <c r="B68" i="122"/>
  <c r="B69" i="122"/>
  <c r="B70" i="122"/>
  <c r="C1" i="121"/>
  <c r="C2" i="121"/>
  <c r="C3" i="121"/>
  <c r="C4" i="121"/>
  <c r="C5" i="121"/>
  <c r="C6" i="121"/>
  <c r="C7" i="121"/>
  <c r="C8" i="121"/>
  <c r="C9" i="121"/>
  <c r="C10" i="121"/>
  <c r="C11" i="121"/>
  <c r="C12" i="121"/>
  <c r="C13" i="121"/>
  <c r="C14" i="121"/>
  <c r="C15" i="121"/>
  <c r="C16" i="121"/>
  <c r="C17" i="121"/>
  <c r="C18" i="121"/>
  <c r="C19" i="121"/>
  <c r="C20" i="121"/>
  <c r="C21" i="121"/>
  <c r="C22" i="121"/>
  <c r="C23" i="121"/>
  <c r="C24" i="121"/>
  <c r="C25" i="121"/>
  <c r="C26" i="121"/>
  <c r="C27" i="121"/>
  <c r="C28" i="121"/>
  <c r="C29" i="121"/>
  <c r="C30" i="121"/>
  <c r="C31" i="121"/>
  <c r="C32" i="121"/>
  <c r="C33" i="121"/>
  <c r="C34" i="121"/>
  <c r="C35" i="121"/>
  <c r="C36" i="121"/>
  <c r="C37" i="121"/>
  <c r="C38" i="121"/>
  <c r="C39" i="121"/>
  <c r="C40" i="121"/>
  <c r="C41" i="121"/>
  <c r="C42" i="121"/>
  <c r="C43" i="121"/>
  <c r="C44" i="121"/>
  <c r="C45" i="121"/>
  <c r="C46" i="121"/>
  <c r="C47" i="121"/>
  <c r="C48" i="121"/>
  <c r="C49" i="121"/>
  <c r="C50" i="121"/>
  <c r="C51" i="121"/>
  <c r="C52" i="121"/>
  <c r="C53" i="121"/>
  <c r="C54" i="121"/>
  <c r="C55" i="121"/>
  <c r="C56" i="121"/>
  <c r="C57" i="121"/>
  <c r="C58" i="121"/>
  <c r="C59" i="121"/>
  <c r="C60" i="121"/>
  <c r="C61" i="121"/>
  <c r="C62" i="121"/>
  <c r="C63" i="121"/>
  <c r="C64" i="121"/>
  <c r="C65" i="121"/>
  <c r="C66" i="121"/>
  <c r="C67" i="121"/>
  <c r="C68" i="121"/>
  <c r="C69" i="121"/>
  <c r="C70" i="121"/>
  <c r="B1" i="121"/>
  <c r="B2" i="121"/>
  <c r="B3" i="121"/>
  <c r="B4" i="121"/>
  <c r="B5" i="121"/>
  <c r="B6" i="121"/>
  <c r="B7" i="121"/>
  <c r="B8" i="121"/>
  <c r="B9" i="121"/>
  <c r="B10" i="121"/>
  <c r="B11" i="121"/>
  <c r="B12" i="121"/>
  <c r="B13" i="121"/>
  <c r="B14" i="121"/>
  <c r="B15" i="121"/>
  <c r="B16" i="121"/>
  <c r="B17" i="121"/>
  <c r="B18" i="121"/>
  <c r="B19" i="121"/>
  <c r="B20" i="121"/>
  <c r="B21" i="121"/>
  <c r="B22" i="121"/>
  <c r="B23" i="121"/>
  <c r="B24" i="121"/>
  <c r="B25" i="121"/>
  <c r="B26" i="121"/>
  <c r="B27" i="121"/>
  <c r="B28" i="121"/>
  <c r="B29" i="121"/>
  <c r="B30" i="121"/>
  <c r="B31" i="121"/>
  <c r="B32" i="121"/>
  <c r="B33" i="121"/>
  <c r="B34" i="121"/>
  <c r="B35" i="121"/>
  <c r="B36" i="121"/>
  <c r="B37" i="121"/>
  <c r="B38" i="121"/>
  <c r="B39" i="121"/>
  <c r="B40" i="121"/>
  <c r="B41" i="121"/>
  <c r="B42" i="121"/>
  <c r="B43" i="121"/>
  <c r="B44" i="121"/>
  <c r="B45" i="121"/>
  <c r="B46" i="121"/>
  <c r="B47" i="121"/>
  <c r="B48" i="121"/>
  <c r="B49" i="121"/>
  <c r="B50" i="121"/>
  <c r="B51" i="121"/>
  <c r="B52" i="121"/>
  <c r="B53" i="121"/>
  <c r="B54" i="121"/>
  <c r="B55" i="121"/>
  <c r="B56" i="121"/>
  <c r="B57" i="121"/>
  <c r="B58" i="121"/>
  <c r="B59" i="121"/>
  <c r="B60" i="121"/>
  <c r="B61" i="121"/>
  <c r="B62" i="121"/>
  <c r="B63" i="121"/>
  <c r="B64" i="121"/>
  <c r="B65" i="121"/>
  <c r="B66" i="121"/>
  <c r="B67" i="121"/>
  <c r="B68" i="121"/>
  <c r="B69" i="121"/>
  <c r="B70" i="121"/>
  <c r="C1" i="118"/>
  <c r="C2" i="118"/>
  <c r="C3" i="118"/>
  <c r="C4" i="118"/>
  <c r="C5" i="118"/>
  <c r="C6" i="118"/>
  <c r="C7" i="118"/>
  <c r="C8" i="118"/>
  <c r="C9" i="118"/>
  <c r="C10" i="118"/>
  <c r="C11" i="118"/>
  <c r="C12" i="118"/>
  <c r="C13" i="118"/>
  <c r="C14" i="118"/>
  <c r="C15" i="118"/>
  <c r="C16" i="118"/>
  <c r="C17" i="118"/>
  <c r="C18" i="118"/>
  <c r="C19" i="118"/>
  <c r="C20" i="118"/>
  <c r="C21" i="118"/>
  <c r="C22" i="118"/>
  <c r="C23" i="118"/>
  <c r="C24" i="118"/>
  <c r="C25" i="118"/>
  <c r="C26" i="118"/>
  <c r="C27" i="118"/>
  <c r="C28" i="118"/>
  <c r="C29" i="118"/>
  <c r="C30" i="118"/>
  <c r="C31" i="118"/>
  <c r="C32" i="118"/>
  <c r="C33" i="118"/>
  <c r="C34" i="118"/>
  <c r="C35" i="118"/>
  <c r="C36" i="118"/>
  <c r="C37" i="118"/>
  <c r="C38" i="118"/>
  <c r="C39" i="118"/>
  <c r="C40" i="118"/>
  <c r="C41" i="118"/>
  <c r="C42" i="118"/>
  <c r="C43" i="118"/>
  <c r="C44" i="118"/>
  <c r="C45" i="118"/>
  <c r="C46" i="118"/>
  <c r="C47" i="118"/>
  <c r="C48" i="118"/>
  <c r="C49" i="118"/>
  <c r="C50" i="118"/>
  <c r="C51" i="118"/>
  <c r="C52" i="118"/>
  <c r="C53" i="118"/>
  <c r="C54" i="118"/>
  <c r="C55" i="118"/>
  <c r="C56" i="118"/>
  <c r="C57" i="118"/>
  <c r="C58" i="118"/>
  <c r="C59" i="118"/>
  <c r="C60" i="118"/>
  <c r="C61" i="118"/>
  <c r="C62" i="118"/>
  <c r="C63" i="118"/>
  <c r="C64" i="118"/>
  <c r="C65" i="118"/>
  <c r="C66" i="118"/>
  <c r="C67" i="118"/>
  <c r="C68" i="118"/>
  <c r="C69" i="118"/>
  <c r="C70" i="118"/>
  <c r="B1" i="118"/>
  <c r="B2" i="118"/>
  <c r="B3" i="118"/>
  <c r="B4" i="118"/>
  <c r="B5" i="118"/>
  <c r="B6" i="118"/>
  <c r="B7" i="118"/>
  <c r="B8" i="118"/>
  <c r="B9" i="118"/>
  <c r="B10" i="118"/>
  <c r="B11" i="118"/>
  <c r="B12" i="118"/>
  <c r="B13" i="118"/>
  <c r="B14" i="118"/>
  <c r="B15" i="118"/>
  <c r="B16" i="118"/>
  <c r="B17" i="118"/>
  <c r="B18" i="118"/>
  <c r="B19" i="118"/>
  <c r="B20" i="118"/>
  <c r="B21" i="118"/>
  <c r="B22" i="118"/>
  <c r="B23" i="118"/>
  <c r="B24" i="118"/>
  <c r="B25" i="118"/>
  <c r="B26" i="118"/>
  <c r="B27" i="118"/>
  <c r="B28" i="118"/>
  <c r="B29" i="118"/>
  <c r="B30" i="118"/>
  <c r="B31" i="118"/>
  <c r="B32" i="118"/>
  <c r="B33" i="118"/>
  <c r="B34" i="118"/>
  <c r="B35" i="118"/>
  <c r="B36" i="118"/>
  <c r="B37" i="118"/>
  <c r="B38" i="118"/>
  <c r="B39" i="118"/>
  <c r="B40" i="118"/>
  <c r="B41" i="118"/>
  <c r="B42" i="118"/>
  <c r="B43" i="118"/>
  <c r="B44" i="118"/>
  <c r="B45" i="118"/>
  <c r="B46" i="118"/>
  <c r="B47" i="118"/>
  <c r="B48" i="118"/>
  <c r="B49" i="118"/>
  <c r="B50" i="118"/>
  <c r="B51" i="118"/>
  <c r="B52" i="118"/>
  <c r="B53" i="118"/>
  <c r="B54" i="118"/>
  <c r="B55" i="118"/>
  <c r="B56" i="118"/>
  <c r="B57" i="118"/>
  <c r="B58" i="118"/>
  <c r="B59" i="118"/>
  <c r="B60" i="118"/>
  <c r="B61" i="118"/>
  <c r="B62" i="118"/>
  <c r="B63" i="118"/>
  <c r="B64" i="118"/>
  <c r="B65" i="118"/>
  <c r="B66" i="118"/>
  <c r="B67" i="118"/>
  <c r="B68" i="118"/>
  <c r="B69" i="118"/>
  <c r="B70" i="118"/>
  <c r="C1" i="117"/>
  <c r="C2" i="117"/>
  <c r="C3" i="117"/>
  <c r="C4" i="117"/>
  <c r="C5" i="117"/>
  <c r="C6" i="117"/>
  <c r="C7" i="117"/>
  <c r="C8" i="117"/>
  <c r="C9" i="117"/>
  <c r="C10" i="117"/>
  <c r="C11" i="117"/>
  <c r="C12" i="117"/>
  <c r="C13" i="117"/>
  <c r="C14" i="117"/>
  <c r="C15" i="117"/>
  <c r="C16" i="117"/>
  <c r="C17" i="117"/>
  <c r="C18" i="117"/>
  <c r="C19" i="117"/>
  <c r="C20" i="117"/>
  <c r="C21" i="117"/>
  <c r="C22" i="117"/>
  <c r="C23" i="117"/>
  <c r="C24" i="117"/>
  <c r="C25" i="117"/>
  <c r="C26" i="117"/>
  <c r="C27" i="117"/>
  <c r="C28" i="117"/>
  <c r="C29" i="117"/>
  <c r="C30" i="117"/>
  <c r="C31" i="117"/>
  <c r="C32" i="117"/>
  <c r="C33" i="117"/>
  <c r="C34" i="117"/>
  <c r="C35" i="117"/>
  <c r="C36" i="117"/>
  <c r="C37" i="117"/>
  <c r="C38" i="117"/>
  <c r="C39" i="117"/>
  <c r="C40" i="117"/>
  <c r="C41" i="117"/>
  <c r="C42" i="117"/>
  <c r="C43" i="117"/>
  <c r="C44" i="117"/>
  <c r="C45" i="117"/>
  <c r="C46" i="117"/>
  <c r="C47" i="117"/>
  <c r="C48" i="117"/>
  <c r="C49" i="117"/>
  <c r="C50" i="117"/>
  <c r="C51" i="117"/>
  <c r="C52" i="117"/>
  <c r="C53" i="117"/>
  <c r="C54" i="117"/>
  <c r="C55" i="117"/>
  <c r="C56" i="117"/>
  <c r="C57" i="117"/>
  <c r="C58" i="117"/>
  <c r="C59" i="117"/>
  <c r="C60" i="117"/>
  <c r="C61" i="117"/>
  <c r="C62" i="117"/>
  <c r="C63" i="117"/>
  <c r="C64" i="117"/>
  <c r="C65" i="117"/>
  <c r="C66" i="117"/>
  <c r="C67" i="117"/>
  <c r="C68" i="117"/>
  <c r="C69" i="117"/>
  <c r="C70" i="117"/>
  <c r="B1" i="117"/>
  <c r="B2" i="117"/>
  <c r="B3" i="117"/>
  <c r="B4" i="117"/>
  <c r="B5" i="117"/>
  <c r="B6" i="117"/>
  <c r="B7" i="117"/>
  <c r="B8" i="117"/>
  <c r="B9" i="117"/>
  <c r="B10" i="117"/>
  <c r="B11" i="117"/>
  <c r="B12" i="117"/>
  <c r="B13" i="117"/>
  <c r="B14" i="117"/>
  <c r="B15" i="117"/>
  <c r="B16" i="117"/>
  <c r="B17" i="117"/>
  <c r="B18" i="117"/>
  <c r="B19" i="117"/>
  <c r="B20" i="117"/>
  <c r="B21" i="117"/>
  <c r="B22" i="117"/>
  <c r="B23" i="117"/>
  <c r="B24" i="117"/>
  <c r="B25" i="117"/>
  <c r="B26" i="117"/>
  <c r="B27" i="117"/>
  <c r="B28" i="117"/>
  <c r="B29" i="117"/>
  <c r="B30" i="117"/>
  <c r="B31" i="117"/>
  <c r="B32" i="117"/>
  <c r="B33" i="117"/>
  <c r="B34" i="117"/>
  <c r="B35" i="117"/>
  <c r="B36" i="117"/>
  <c r="B37" i="117"/>
  <c r="B38" i="117"/>
  <c r="B39" i="117"/>
  <c r="B40" i="117"/>
  <c r="B41" i="117"/>
  <c r="B42" i="117"/>
  <c r="B43" i="117"/>
  <c r="B44" i="117"/>
  <c r="B45" i="117"/>
  <c r="B46" i="117"/>
  <c r="B47" i="117"/>
  <c r="B48" i="117"/>
  <c r="B49" i="117"/>
  <c r="B50" i="117"/>
  <c r="B51" i="117"/>
  <c r="B52" i="117"/>
  <c r="B53" i="117"/>
  <c r="B54" i="117"/>
  <c r="B55" i="117"/>
  <c r="B56" i="117"/>
  <c r="B57" i="117"/>
  <c r="B58" i="117"/>
  <c r="B59" i="117"/>
  <c r="B60" i="117"/>
  <c r="B61" i="117"/>
  <c r="B62" i="117"/>
  <c r="B63" i="117"/>
  <c r="B64" i="117"/>
  <c r="B65" i="117"/>
  <c r="B66" i="117"/>
  <c r="B67" i="117"/>
  <c r="B68" i="117"/>
  <c r="B69" i="117"/>
  <c r="B70" i="117"/>
  <c r="C1" i="116"/>
  <c r="C2" i="116"/>
  <c r="C3" i="116"/>
  <c r="C4" i="116"/>
  <c r="C5" i="116"/>
  <c r="C6" i="116"/>
  <c r="C7" i="116"/>
  <c r="C8" i="116"/>
  <c r="C9" i="116"/>
  <c r="C10" i="116"/>
  <c r="C11" i="116"/>
  <c r="C12" i="116"/>
  <c r="C13" i="116"/>
  <c r="C14" i="116"/>
  <c r="C15" i="116"/>
  <c r="C16" i="116"/>
  <c r="C17" i="116"/>
  <c r="C18" i="116"/>
  <c r="C19" i="116"/>
  <c r="C20" i="116"/>
  <c r="C21" i="116"/>
  <c r="C22" i="116"/>
  <c r="C23" i="116"/>
  <c r="C24" i="116"/>
  <c r="C25" i="116"/>
  <c r="C26" i="116"/>
  <c r="C27" i="116"/>
  <c r="C28" i="116"/>
  <c r="C29" i="116"/>
  <c r="C30" i="116"/>
  <c r="C31" i="116"/>
  <c r="C32" i="116"/>
  <c r="C33" i="116"/>
  <c r="C34" i="116"/>
  <c r="C35" i="116"/>
  <c r="C36" i="116"/>
  <c r="C37" i="116"/>
  <c r="C38" i="116"/>
  <c r="C39" i="116"/>
  <c r="C40" i="116"/>
  <c r="C41" i="116"/>
  <c r="C42" i="116"/>
  <c r="C43" i="116"/>
  <c r="C44" i="116"/>
  <c r="C45" i="116"/>
  <c r="C46" i="116"/>
  <c r="C47" i="116"/>
  <c r="C48" i="116"/>
  <c r="C49" i="116"/>
  <c r="C50" i="116"/>
  <c r="C51" i="116"/>
  <c r="C52" i="116"/>
  <c r="C53" i="116"/>
  <c r="C54" i="116"/>
  <c r="C55" i="116"/>
  <c r="C56" i="116"/>
  <c r="C57" i="116"/>
  <c r="C58" i="116"/>
  <c r="C59" i="116"/>
  <c r="C60" i="116"/>
  <c r="C61" i="116"/>
  <c r="C62" i="116"/>
  <c r="C63" i="116"/>
  <c r="C64" i="116"/>
  <c r="C65" i="116"/>
  <c r="C66" i="116"/>
  <c r="C67" i="116"/>
  <c r="C68" i="116"/>
  <c r="C69" i="116"/>
  <c r="C70" i="116"/>
  <c r="C71" i="116"/>
  <c r="C72" i="116"/>
  <c r="C73" i="116"/>
  <c r="C74" i="116"/>
  <c r="C75" i="116"/>
  <c r="C76" i="116"/>
  <c r="C77" i="116"/>
  <c r="C78" i="116"/>
  <c r="C79" i="116"/>
  <c r="C80" i="116"/>
  <c r="C81" i="116"/>
  <c r="C82" i="116"/>
  <c r="C83" i="116"/>
  <c r="C84" i="116"/>
  <c r="C85" i="116"/>
  <c r="C86" i="116"/>
  <c r="C87" i="116"/>
  <c r="C88" i="116"/>
  <c r="C89" i="116"/>
  <c r="C90" i="116"/>
  <c r="C91" i="116"/>
  <c r="C92" i="116"/>
  <c r="C93" i="116"/>
  <c r="C94" i="116"/>
  <c r="C95" i="116"/>
  <c r="C96" i="116"/>
  <c r="C97" i="116"/>
  <c r="C98" i="116"/>
  <c r="C99" i="116"/>
  <c r="C100" i="116"/>
  <c r="B1" i="116"/>
  <c r="B2" i="116"/>
  <c r="B3" i="116"/>
  <c r="B4" i="116"/>
  <c r="B5" i="116"/>
  <c r="B6" i="116"/>
  <c r="B7" i="116"/>
  <c r="B8" i="116"/>
  <c r="B9" i="116"/>
  <c r="B10" i="116"/>
  <c r="B11" i="116"/>
  <c r="B12" i="116"/>
  <c r="B13" i="116"/>
  <c r="B14" i="116"/>
  <c r="B15" i="116"/>
  <c r="B16" i="116"/>
  <c r="B17" i="116"/>
  <c r="B18" i="116"/>
  <c r="B19" i="116"/>
  <c r="B20" i="116"/>
  <c r="B21" i="116"/>
  <c r="B22" i="116"/>
  <c r="B23" i="116"/>
  <c r="B24" i="116"/>
  <c r="B25" i="116"/>
  <c r="B26" i="116"/>
  <c r="B27" i="116"/>
  <c r="B28" i="116"/>
  <c r="B29" i="116"/>
  <c r="B30" i="116"/>
  <c r="B31" i="116"/>
  <c r="B32" i="116"/>
  <c r="B33" i="116"/>
  <c r="B34" i="116"/>
  <c r="B35" i="116"/>
  <c r="B36" i="116"/>
  <c r="B37" i="116"/>
  <c r="B38" i="116"/>
  <c r="B39" i="116"/>
  <c r="B40" i="116"/>
  <c r="B41" i="116"/>
  <c r="B42" i="116"/>
  <c r="B43" i="116"/>
  <c r="B44" i="116"/>
  <c r="B45" i="116"/>
  <c r="B46" i="116"/>
  <c r="B47" i="116"/>
  <c r="B48" i="116"/>
  <c r="B49" i="116"/>
  <c r="B50" i="116"/>
  <c r="B51" i="116"/>
  <c r="B52" i="116"/>
  <c r="B53" i="116"/>
  <c r="B54" i="116"/>
  <c r="B55" i="116"/>
  <c r="B56" i="116"/>
  <c r="B57" i="116"/>
  <c r="B58" i="116"/>
  <c r="B59" i="116"/>
  <c r="B60" i="116"/>
  <c r="B61" i="116"/>
  <c r="B62" i="116"/>
  <c r="B63" i="116"/>
  <c r="B64" i="116"/>
  <c r="B65" i="116"/>
  <c r="B66" i="116"/>
  <c r="B67" i="116"/>
  <c r="B68" i="116"/>
  <c r="B69" i="116"/>
  <c r="B70" i="116"/>
  <c r="B71" i="116"/>
  <c r="B72" i="116"/>
  <c r="B73" i="116"/>
  <c r="B74" i="116"/>
  <c r="B75" i="116"/>
  <c r="B76" i="116"/>
  <c r="B77" i="116"/>
  <c r="B78" i="116"/>
  <c r="B79" i="116"/>
  <c r="B80" i="116"/>
  <c r="B81" i="116"/>
  <c r="B82" i="116"/>
  <c r="B83" i="116"/>
  <c r="B84" i="116"/>
  <c r="B85" i="116"/>
  <c r="B86" i="116"/>
  <c r="B87" i="116"/>
  <c r="B88" i="116"/>
  <c r="B89" i="116"/>
  <c r="B90" i="116"/>
  <c r="B91" i="116"/>
  <c r="B92" i="116"/>
  <c r="B93" i="116"/>
  <c r="B94" i="116"/>
  <c r="B95" i="116"/>
  <c r="B96" i="116"/>
  <c r="B97" i="116"/>
  <c r="B98" i="116"/>
  <c r="B99" i="116"/>
  <c r="B100" i="116"/>
  <c r="C1" i="115"/>
  <c r="C2" i="115"/>
  <c r="C3" i="115"/>
  <c r="C4" i="115"/>
  <c r="C5" i="115"/>
  <c r="C6" i="115"/>
  <c r="C7" i="115"/>
  <c r="C8" i="115"/>
  <c r="C9" i="115"/>
  <c r="C10" i="115"/>
  <c r="C11" i="115"/>
  <c r="C12" i="115"/>
  <c r="C13" i="115"/>
  <c r="C14" i="115"/>
  <c r="C15" i="115"/>
  <c r="C16" i="115"/>
  <c r="C17" i="115"/>
  <c r="C18" i="115"/>
  <c r="C19" i="115"/>
  <c r="C20" i="115"/>
  <c r="C21" i="115"/>
  <c r="C22" i="115"/>
  <c r="C23" i="115"/>
  <c r="C24" i="115"/>
  <c r="C25" i="115"/>
  <c r="C26" i="115"/>
  <c r="C27" i="115"/>
  <c r="C28" i="115"/>
  <c r="C29" i="115"/>
  <c r="C30" i="115"/>
  <c r="C31" i="115"/>
  <c r="C32" i="115"/>
  <c r="C33" i="115"/>
  <c r="C34" i="115"/>
  <c r="C35" i="115"/>
  <c r="C36" i="115"/>
  <c r="C37" i="115"/>
  <c r="C38" i="115"/>
  <c r="C39" i="115"/>
  <c r="C40" i="115"/>
  <c r="C41" i="115"/>
  <c r="C42" i="115"/>
  <c r="C43" i="115"/>
  <c r="C44" i="115"/>
  <c r="C45" i="115"/>
  <c r="C46" i="115"/>
  <c r="C47" i="115"/>
  <c r="C48" i="115"/>
  <c r="C49" i="115"/>
  <c r="C50" i="115"/>
  <c r="C51" i="115"/>
  <c r="C52" i="115"/>
  <c r="C53" i="115"/>
  <c r="C54" i="115"/>
  <c r="C55" i="115"/>
  <c r="C56" i="115"/>
  <c r="C57" i="115"/>
  <c r="C58" i="115"/>
  <c r="C59" i="115"/>
  <c r="C60" i="115"/>
  <c r="C61" i="115"/>
  <c r="C62" i="115"/>
  <c r="C63" i="115"/>
  <c r="C64" i="115"/>
  <c r="C65" i="115"/>
  <c r="C66" i="115"/>
  <c r="C67" i="115"/>
  <c r="C68" i="115"/>
  <c r="C69" i="115"/>
  <c r="C70" i="115"/>
  <c r="C71" i="115"/>
  <c r="C72" i="115"/>
  <c r="C73" i="115"/>
  <c r="C74" i="115"/>
  <c r="C75" i="115"/>
  <c r="C76" i="115"/>
  <c r="C77" i="115"/>
  <c r="C78" i="115"/>
  <c r="C79" i="115"/>
  <c r="C80" i="115"/>
  <c r="C81" i="115"/>
  <c r="C82" i="115"/>
  <c r="C83" i="115"/>
  <c r="C84" i="115"/>
  <c r="C85" i="115"/>
  <c r="C86" i="115"/>
  <c r="C87" i="115"/>
  <c r="C88" i="115"/>
  <c r="C89" i="115"/>
  <c r="C90" i="115"/>
  <c r="C91" i="115"/>
  <c r="C92" i="115"/>
  <c r="C93" i="115"/>
  <c r="C94" i="115"/>
  <c r="C95" i="115"/>
  <c r="C96" i="115"/>
  <c r="C97" i="115"/>
  <c r="C98" i="115"/>
  <c r="C99" i="115"/>
  <c r="C100" i="115"/>
  <c r="B1" i="115"/>
  <c r="B2" i="115"/>
  <c r="B3" i="115"/>
  <c r="B4" i="115"/>
  <c r="B5" i="115"/>
  <c r="B6" i="115"/>
  <c r="B7" i="115"/>
  <c r="B8" i="115"/>
  <c r="B9" i="115"/>
  <c r="B10" i="115"/>
  <c r="B11" i="115"/>
  <c r="B12" i="115"/>
  <c r="B13" i="115"/>
  <c r="B14" i="115"/>
  <c r="B15" i="115"/>
  <c r="B16" i="115"/>
  <c r="B17" i="115"/>
  <c r="B18" i="115"/>
  <c r="B19" i="115"/>
  <c r="B20" i="115"/>
  <c r="B21" i="115"/>
  <c r="B22" i="115"/>
  <c r="B23" i="115"/>
  <c r="B24" i="115"/>
  <c r="B25" i="115"/>
  <c r="B26" i="115"/>
  <c r="B27" i="115"/>
  <c r="B28" i="115"/>
  <c r="B29" i="115"/>
  <c r="B30" i="115"/>
  <c r="B31" i="115"/>
  <c r="B32" i="115"/>
  <c r="B33" i="115"/>
  <c r="B34" i="115"/>
  <c r="B35" i="115"/>
  <c r="B36" i="115"/>
  <c r="B37" i="115"/>
  <c r="B38" i="115"/>
  <c r="B39" i="115"/>
  <c r="B40" i="115"/>
  <c r="B41" i="115"/>
  <c r="B42" i="115"/>
  <c r="B43" i="115"/>
  <c r="B44" i="115"/>
  <c r="B45" i="115"/>
  <c r="B46" i="115"/>
  <c r="B47" i="115"/>
  <c r="B48" i="115"/>
  <c r="B49" i="115"/>
  <c r="B50" i="115"/>
  <c r="B51" i="115"/>
  <c r="B52" i="115"/>
  <c r="B53" i="115"/>
  <c r="B54" i="115"/>
  <c r="B55" i="115"/>
  <c r="B56" i="115"/>
  <c r="B57" i="115"/>
  <c r="B58" i="115"/>
  <c r="B59" i="115"/>
  <c r="B60" i="115"/>
  <c r="B61" i="115"/>
  <c r="B62" i="115"/>
  <c r="B63" i="115"/>
  <c r="B64" i="115"/>
  <c r="B65" i="115"/>
  <c r="B66" i="115"/>
  <c r="B67" i="115"/>
  <c r="B68" i="115"/>
  <c r="B69" i="115"/>
  <c r="B70" i="115"/>
  <c r="B71" i="115"/>
  <c r="B72" i="115"/>
  <c r="B73" i="115"/>
  <c r="B74" i="115"/>
  <c r="B75" i="115"/>
  <c r="B76" i="115"/>
  <c r="B77" i="115"/>
  <c r="B78" i="115"/>
  <c r="B79" i="115"/>
  <c r="B80" i="115"/>
  <c r="B81" i="115"/>
  <c r="B82" i="115"/>
  <c r="B83" i="115"/>
  <c r="B84" i="115"/>
  <c r="B85" i="115"/>
  <c r="B86" i="115"/>
  <c r="B87" i="115"/>
  <c r="B88" i="115"/>
  <c r="B89" i="115"/>
  <c r="B90" i="115"/>
  <c r="B91" i="115"/>
  <c r="B92" i="115"/>
  <c r="B93" i="115"/>
  <c r="B94" i="115"/>
  <c r="B95" i="115"/>
  <c r="B96" i="115"/>
  <c r="B97" i="115"/>
  <c r="B98" i="115"/>
  <c r="B99" i="115"/>
  <c r="B100" i="115"/>
  <c r="C1" i="114"/>
  <c r="C2" i="114"/>
  <c r="C3" i="114"/>
  <c r="C4" i="114"/>
  <c r="C5" i="114"/>
  <c r="C6" i="114"/>
  <c r="C7" i="114"/>
  <c r="C8" i="114"/>
  <c r="C9" i="114"/>
  <c r="C10" i="114"/>
  <c r="C11" i="114"/>
  <c r="C12" i="114"/>
  <c r="C13" i="114"/>
  <c r="C14" i="114"/>
  <c r="C15" i="114"/>
  <c r="C16" i="114"/>
  <c r="C17" i="114"/>
  <c r="C18" i="114"/>
  <c r="C19" i="114"/>
  <c r="C20" i="114"/>
  <c r="C21" i="114"/>
  <c r="C22" i="114"/>
  <c r="C23" i="114"/>
  <c r="C24" i="114"/>
  <c r="C25" i="114"/>
  <c r="C26" i="114"/>
  <c r="C27" i="114"/>
  <c r="C28" i="114"/>
  <c r="C29" i="114"/>
  <c r="C30" i="114"/>
  <c r="C31" i="114"/>
  <c r="C32" i="114"/>
  <c r="C33" i="114"/>
  <c r="C34" i="114"/>
  <c r="C35" i="114"/>
  <c r="C36" i="114"/>
  <c r="C37" i="114"/>
  <c r="C38" i="114"/>
  <c r="C39" i="114"/>
  <c r="C40" i="114"/>
  <c r="C41" i="114"/>
  <c r="C42" i="114"/>
  <c r="C43" i="114"/>
  <c r="C44" i="114"/>
  <c r="C45" i="114"/>
  <c r="C46" i="114"/>
  <c r="C47" i="114"/>
  <c r="C48" i="114"/>
  <c r="C49" i="114"/>
  <c r="C50" i="114"/>
  <c r="C51" i="114"/>
  <c r="C52" i="114"/>
  <c r="C53" i="114"/>
  <c r="C54" i="114"/>
  <c r="C55" i="114"/>
  <c r="C56" i="114"/>
  <c r="C57" i="114"/>
  <c r="C58" i="114"/>
  <c r="C59" i="114"/>
  <c r="C60" i="114"/>
  <c r="C61" i="114"/>
  <c r="C62" i="114"/>
  <c r="C63" i="114"/>
  <c r="C64" i="114"/>
  <c r="C65" i="114"/>
  <c r="C66" i="114"/>
  <c r="C67" i="114"/>
  <c r="C68" i="114"/>
  <c r="C69" i="114"/>
  <c r="C70" i="114"/>
  <c r="B1" i="114"/>
  <c r="B2" i="114"/>
  <c r="B3" i="114"/>
  <c r="B4" i="114"/>
  <c r="B5" i="114"/>
  <c r="B6" i="114"/>
  <c r="B7" i="114"/>
  <c r="B8" i="114"/>
  <c r="B9" i="114"/>
  <c r="B10" i="114"/>
  <c r="B11" i="114"/>
  <c r="B12" i="114"/>
  <c r="B13" i="114"/>
  <c r="B14" i="114"/>
  <c r="B15" i="114"/>
  <c r="B16" i="114"/>
  <c r="B17" i="114"/>
  <c r="B18" i="114"/>
  <c r="B19" i="114"/>
  <c r="B20" i="114"/>
  <c r="B21" i="114"/>
  <c r="B22" i="114"/>
  <c r="B23" i="114"/>
  <c r="B24" i="114"/>
  <c r="B25" i="114"/>
  <c r="B26" i="114"/>
  <c r="B27" i="114"/>
  <c r="B28" i="114"/>
  <c r="B29" i="114"/>
  <c r="B30" i="114"/>
  <c r="B31" i="114"/>
  <c r="B32" i="114"/>
  <c r="B33" i="114"/>
  <c r="B34" i="114"/>
  <c r="B35" i="114"/>
  <c r="B36" i="114"/>
  <c r="B37" i="114"/>
  <c r="B38" i="114"/>
  <c r="B39" i="114"/>
  <c r="B40" i="114"/>
  <c r="B41" i="114"/>
  <c r="B42" i="114"/>
  <c r="B43" i="114"/>
  <c r="B44" i="114"/>
  <c r="B45" i="114"/>
  <c r="B46" i="114"/>
  <c r="B47" i="114"/>
  <c r="B48" i="114"/>
  <c r="B49" i="114"/>
  <c r="B50" i="114"/>
  <c r="B51" i="114"/>
  <c r="B52" i="114"/>
  <c r="B53" i="114"/>
  <c r="B54" i="114"/>
  <c r="B55" i="114"/>
  <c r="B56" i="114"/>
  <c r="B57" i="114"/>
  <c r="B58" i="114"/>
  <c r="B59" i="114"/>
  <c r="B60" i="114"/>
  <c r="B61" i="114"/>
  <c r="B62" i="114"/>
  <c r="B63" i="114"/>
  <c r="B64" i="114"/>
  <c r="B65" i="114"/>
  <c r="B66" i="114"/>
  <c r="B67" i="114"/>
  <c r="B68" i="114"/>
  <c r="B69" i="114"/>
  <c r="B70" i="114"/>
  <c r="C1" i="113"/>
  <c r="C2" i="113"/>
  <c r="C3" i="113"/>
  <c r="C4" i="113"/>
  <c r="C5" i="113"/>
  <c r="C6" i="113"/>
  <c r="C7" i="113"/>
  <c r="C8" i="113"/>
  <c r="C9" i="113"/>
  <c r="C10" i="113"/>
  <c r="C11" i="113"/>
  <c r="C12" i="113"/>
  <c r="C13" i="113"/>
  <c r="C14" i="113"/>
  <c r="C15" i="113"/>
  <c r="C16" i="113"/>
  <c r="C17" i="113"/>
  <c r="C18" i="113"/>
  <c r="C19" i="113"/>
  <c r="C20" i="113"/>
  <c r="C21" i="113"/>
  <c r="C22" i="113"/>
  <c r="C23" i="113"/>
  <c r="C24" i="113"/>
  <c r="C25" i="113"/>
  <c r="C26" i="113"/>
  <c r="C27" i="113"/>
  <c r="C28" i="113"/>
  <c r="C29" i="113"/>
  <c r="C30" i="113"/>
  <c r="C31" i="113"/>
  <c r="C32" i="113"/>
  <c r="C33" i="113"/>
  <c r="C34" i="113"/>
  <c r="C35" i="113"/>
  <c r="C36" i="113"/>
  <c r="C37" i="113"/>
  <c r="C38" i="113"/>
  <c r="C39" i="113"/>
  <c r="C40" i="113"/>
  <c r="C41" i="113"/>
  <c r="C42" i="113"/>
  <c r="C43" i="113"/>
  <c r="C44" i="113"/>
  <c r="C45" i="113"/>
  <c r="C46" i="113"/>
  <c r="C47" i="113"/>
  <c r="C48" i="113"/>
  <c r="C49" i="113"/>
  <c r="C50" i="113"/>
  <c r="C51" i="113"/>
  <c r="C52" i="113"/>
  <c r="C53" i="113"/>
  <c r="C54" i="113"/>
  <c r="C55" i="113"/>
  <c r="C56" i="113"/>
  <c r="C57" i="113"/>
  <c r="C58" i="113"/>
  <c r="C59" i="113"/>
  <c r="C60" i="113"/>
  <c r="C61" i="113"/>
  <c r="C62" i="113"/>
  <c r="C63" i="113"/>
  <c r="C64" i="113"/>
  <c r="C65" i="113"/>
  <c r="C66" i="113"/>
  <c r="C67" i="113"/>
  <c r="C68" i="113"/>
  <c r="C69" i="113"/>
  <c r="C70" i="113"/>
  <c r="B1" i="113"/>
  <c r="B2" i="113"/>
  <c r="B3" i="113"/>
  <c r="B4" i="113"/>
  <c r="B5" i="113"/>
  <c r="B6" i="113"/>
  <c r="B7" i="113"/>
  <c r="B8" i="113"/>
  <c r="B9" i="113"/>
  <c r="B10" i="113"/>
  <c r="B11" i="113"/>
  <c r="B12" i="113"/>
  <c r="B13" i="113"/>
  <c r="B14" i="113"/>
  <c r="B15" i="113"/>
  <c r="B16" i="113"/>
  <c r="B17" i="113"/>
  <c r="B18" i="113"/>
  <c r="B19" i="113"/>
  <c r="B20" i="113"/>
  <c r="B21" i="113"/>
  <c r="B22" i="113"/>
  <c r="B23" i="113"/>
  <c r="B24" i="113"/>
  <c r="B25" i="113"/>
  <c r="B26" i="113"/>
  <c r="B27" i="113"/>
  <c r="B28" i="113"/>
  <c r="B29" i="113"/>
  <c r="B30" i="113"/>
  <c r="B31" i="113"/>
  <c r="B32" i="113"/>
  <c r="B33" i="113"/>
  <c r="B34" i="113"/>
  <c r="B35" i="113"/>
  <c r="B36" i="113"/>
  <c r="B37" i="113"/>
  <c r="B38" i="113"/>
  <c r="B39" i="113"/>
  <c r="B40" i="113"/>
  <c r="B41" i="113"/>
  <c r="B42" i="113"/>
  <c r="B43" i="113"/>
  <c r="B44" i="113"/>
  <c r="B45" i="113"/>
  <c r="B46" i="113"/>
  <c r="B47" i="113"/>
  <c r="B48" i="113"/>
  <c r="B49" i="113"/>
  <c r="B50" i="113"/>
  <c r="B51" i="113"/>
  <c r="B52" i="113"/>
  <c r="B53" i="113"/>
  <c r="B54" i="113"/>
  <c r="B55" i="113"/>
  <c r="B56" i="113"/>
  <c r="B57" i="113"/>
  <c r="B58" i="113"/>
  <c r="B59" i="113"/>
  <c r="B60" i="113"/>
  <c r="B61" i="113"/>
  <c r="B62" i="113"/>
  <c r="B63" i="113"/>
  <c r="B64" i="113"/>
  <c r="B65" i="113"/>
  <c r="B66" i="113"/>
  <c r="B67" i="113"/>
  <c r="B68" i="113"/>
  <c r="B69" i="113"/>
  <c r="B70" i="113"/>
  <c r="C1" i="110"/>
  <c r="C2" i="110"/>
  <c r="C3" i="110"/>
  <c r="C4" i="110"/>
  <c r="C5" i="110"/>
  <c r="C6" i="110"/>
  <c r="C7" i="110"/>
  <c r="C8" i="110"/>
  <c r="C9" i="110"/>
  <c r="C10" i="110"/>
  <c r="C11" i="110"/>
  <c r="C12" i="110"/>
  <c r="C13" i="110"/>
  <c r="C14" i="110"/>
  <c r="C15" i="110"/>
  <c r="C16" i="110"/>
  <c r="C17" i="110"/>
  <c r="C18" i="110"/>
  <c r="C19" i="110"/>
  <c r="C20" i="110"/>
  <c r="C21" i="110"/>
  <c r="C22" i="110"/>
  <c r="C23" i="110"/>
  <c r="C24" i="110"/>
  <c r="C25" i="110"/>
  <c r="C26" i="110"/>
  <c r="C27" i="110"/>
  <c r="C28" i="110"/>
  <c r="C29" i="110"/>
  <c r="C30" i="110"/>
  <c r="C31" i="110"/>
  <c r="C32" i="110"/>
  <c r="C33" i="110"/>
  <c r="C34" i="110"/>
  <c r="C35" i="110"/>
  <c r="C36" i="110"/>
  <c r="C37" i="110"/>
  <c r="C38" i="110"/>
  <c r="C39" i="110"/>
  <c r="C40" i="110"/>
  <c r="C41" i="110"/>
  <c r="C42" i="110"/>
  <c r="C43" i="110"/>
  <c r="C44" i="110"/>
  <c r="C45" i="110"/>
  <c r="C46" i="110"/>
  <c r="C47" i="110"/>
  <c r="C48" i="110"/>
  <c r="C49" i="110"/>
  <c r="C50" i="110"/>
  <c r="C51" i="110"/>
  <c r="C52" i="110"/>
  <c r="C53" i="110"/>
  <c r="C54" i="110"/>
  <c r="C55" i="110"/>
  <c r="C56" i="110"/>
  <c r="C57" i="110"/>
  <c r="C58" i="110"/>
  <c r="C59" i="110"/>
  <c r="C60" i="110"/>
  <c r="C61" i="110"/>
  <c r="C62" i="110"/>
  <c r="C63" i="110"/>
  <c r="C64" i="110"/>
  <c r="C65" i="110"/>
  <c r="C66" i="110"/>
  <c r="C67" i="110"/>
  <c r="C68" i="110"/>
  <c r="C69" i="110"/>
  <c r="C70" i="110"/>
  <c r="B1" i="110"/>
  <c r="B2" i="110"/>
  <c r="B3" i="110"/>
  <c r="B4" i="110"/>
  <c r="B5" i="110"/>
  <c r="B6" i="110"/>
  <c r="B7" i="110"/>
  <c r="B8" i="110"/>
  <c r="B9" i="110"/>
  <c r="B10" i="110"/>
  <c r="B11" i="110"/>
  <c r="B12" i="110"/>
  <c r="B13" i="110"/>
  <c r="B14" i="110"/>
  <c r="B15" i="110"/>
  <c r="B16" i="110"/>
  <c r="B17" i="110"/>
  <c r="B18" i="110"/>
  <c r="B19" i="110"/>
  <c r="B20" i="110"/>
  <c r="B21" i="110"/>
  <c r="B22" i="110"/>
  <c r="B23" i="110"/>
  <c r="B24" i="110"/>
  <c r="B25" i="110"/>
  <c r="B26" i="110"/>
  <c r="B27" i="110"/>
  <c r="B28" i="110"/>
  <c r="B29" i="110"/>
  <c r="B30" i="110"/>
  <c r="B31" i="110"/>
  <c r="B32" i="110"/>
  <c r="B33" i="110"/>
  <c r="B34" i="110"/>
  <c r="B35" i="110"/>
  <c r="B36" i="110"/>
  <c r="B37" i="110"/>
  <c r="B38" i="110"/>
  <c r="B39" i="110"/>
  <c r="B40" i="110"/>
  <c r="B41" i="110"/>
  <c r="B42" i="110"/>
  <c r="B43" i="110"/>
  <c r="B44" i="110"/>
  <c r="B45" i="110"/>
  <c r="B46" i="110"/>
  <c r="B47" i="110"/>
  <c r="B48" i="110"/>
  <c r="B49" i="110"/>
  <c r="B50" i="110"/>
  <c r="B51" i="110"/>
  <c r="B52" i="110"/>
  <c r="B53" i="110"/>
  <c r="B54" i="110"/>
  <c r="B55" i="110"/>
  <c r="B56" i="110"/>
  <c r="B57" i="110"/>
  <c r="B58" i="110"/>
  <c r="B59" i="110"/>
  <c r="B60" i="110"/>
  <c r="B61" i="110"/>
  <c r="B62" i="110"/>
  <c r="B63" i="110"/>
  <c r="B64" i="110"/>
  <c r="B65" i="110"/>
  <c r="B66" i="110"/>
  <c r="B67" i="110"/>
  <c r="B68" i="110"/>
  <c r="B69" i="110"/>
  <c r="B70" i="110"/>
  <c r="C1" i="109"/>
  <c r="C2" i="109"/>
  <c r="C3" i="109"/>
  <c r="C4" i="109"/>
  <c r="C5" i="109"/>
  <c r="C6" i="109"/>
  <c r="C7" i="109"/>
  <c r="C8" i="109"/>
  <c r="C9" i="109"/>
  <c r="C10" i="109"/>
  <c r="C11" i="109"/>
  <c r="C12" i="109"/>
  <c r="C13" i="109"/>
  <c r="C14" i="109"/>
  <c r="C15" i="109"/>
  <c r="C16" i="109"/>
  <c r="C17" i="109"/>
  <c r="C18" i="109"/>
  <c r="C19" i="109"/>
  <c r="C20" i="109"/>
  <c r="C21" i="109"/>
  <c r="C22" i="109"/>
  <c r="C23" i="109"/>
  <c r="C24" i="109"/>
  <c r="C25" i="109"/>
  <c r="C26" i="109"/>
  <c r="C27" i="109"/>
  <c r="C28" i="109"/>
  <c r="C29" i="109"/>
  <c r="C30" i="109"/>
  <c r="C31" i="109"/>
  <c r="C32" i="109"/>
  <c r="C33" i="109"/>
  <c r="C34" i="109"/>
  <c r="C35" i="109"/>
  <c r="C36" i="109"/>
  <c r="C37" i="109"/>
  <c r="C38" i="109"/>
  <c r="C39" i="109"/>
  <c r="C40" i="109"/>
  <c r="C41" i="109"/>
  <c r="C42" i="109"/>
  <c r="C43" i="109"/>
  <c r="C44" i="109"/>
  <c r="C45" i="109"/>
  <c r="C46" i="109"/>
  <c r="C47" i="109"/>
  <c r="C48" i="109"/>
  <c r="C49" i="109"/>
  <c r="C50" i="109"/>
  <c r="C51" i="109"/>
  <c r="C52" i="109"/>
  <c r="C53" i="109"/>
  <c r="C54" i="109"/>
  <c r="C55" i="109"/>
  <c r="C56" i="109"/>
  <c r="C57" i="109"/>
  <c r="C58" i="109"/>
  <c r="C59" i="109"/>
  <c r="C60" i="109"/>
  <c r="C61" i="109"/>
  <c r="C62" i="109"/>
  <c r="C63" i="109"/>
  <c r="C64" i="109"/>
  <c r="C65" i="109"/>
  <c r="C66" i="109"/>
  <c r="C67" i="109"/>
  <c r="C68" i="109"/>
  <c r="C69" i="109"/>
  <c r="C70" i="109"/>
  <c r="B1" i="109"/>
  <c r="B2" i="109"/>
  <c r="B3" i="109"/>
  <c r="B4" i="109"/>
  <c r="B5" i="109"/>
  <c r="B6" i="109"/>
  <c r="B7" i="109"/>
  <c r="B8" i="109"/>
  <c r="B9" i="109"/>
  <c r="B10" i="109"/>
  <c r="B11" i="109"/>
  <c r="B12" i="109"/>
  <c r="B13" i="109"/>
  <c r="B14" i="109"/>
  <c r="B15" i="109"/>
  <c r="B16" i="109"/>
  <c r="B17" i="109"/>
  <c r="B18" i="109"/>
  <c r="B19" i="109"/>
  <c r="B20" i="109"/>
  <c r="B21" i="109"/>
  <c r="B22" i="109"/>
  <c r="B23" i="109"/>
  <c r="B24" i="109"/>
  <c r="B25" i="109"/>
  <c r="B26" i="109"/>
  <c r="B27" i="109"/>
  <c r="B28" i="109"/>
  <c r="B29" i="109"/>
  <c r="B30" i="109"/>
  <c r="B31" i="109"/>
  <c r="B32" i="109"/>
  <c r="B33" i="109"/>
  <c r="B34" i="109"/>
  <c r="B35" i="109"/>
  <c r="B36" i="109"/>
  <c r="B37" i="109"/>
  <c r="B38" i="109"/>
  <c r="B39" i="109"/>
  <c r="B40" i="109"/>
  <c r="B41" i="109"/>
  <c r="B42" i="109"/>
  <c r="B43" i="109"/>
  <c r="B44" i="109"/>
  <c r="B45" i="109"/>
  <c r="B46" i="109"/>
  <c r="B47" i="109"/>
  <c r="B48" i="109"/>
  <c r="B49" i="109"/>
  <c r="B50" i="109"/>
  <c r="B51" i="109"/>
  <c r="B52" i="109"/>
  <c r="B53" i="109"/>
  <c r="B54" i="109"/>
  <c r="B55" i="109"/>
  <c r="B56" i="109"/>
  <c r="B57" i="109"/>
  <c r="B58" i="109"/>
  <c r="B59" i="109"/>
  <c r="B60" i="109"/>
  <c r="B61" i="109"/>
  <c r="B62" i="109"/>
  <c r="B63" i="109"/>
  <c r="B64" i="109"/>
  <c r="B65" i="109"/>
  <c r="B66" i="109"/>
  <c r="B67" i="109"/>
  <c r="B68" i="109"/>
  <c r="B69" i="109"/>
  <c r="B70" i="109"/>
  <c r="C1" i="107"/>
  <c r="C2" i="107"/>
  <c r="C3" i="107"/>
  <c r="C4" i="107"/>
  <c r="C5" i="107"/>
  <c r="C6" i="107"/>
  <c r="C7" i="107"/>
  <c r="C8" i="107"/>
  <c r="C9" i="107"/>
  <c r="C10" i="107"/>
  <c r="C11" i="107"/>
  <c r="C12" i="107"/>
  <c r="C13" i="107"/>
  <c r="C14" i="107"/>
  <c r="C15" i="107"/>
  <c r="C16" i="107"/>
  <c r="C17" i="107"/>
  <c r="C18" i="107"/>
  <c r="C19" i="107"/>
  <c r="C20" i="107"/>
  <c r="C21" i="107"/>
  <c r="C22" i="107"/>
  <c r="C23" i="107"/>
  <c r="C24" i="107"/>
  <c r="C25" i="107"/>
  <c r="C26" i="107"/>
  <c r="C27" i="107"/>
  <c r="C28" i="107"/>
  <c r="C29" i="107"/>
  <c r="C30" i="107"/>
  <c r="C31" i="107"/>
  <c r="C32" i="107"/>
  <c r="C33" i="107"/>
  <c r="C34" i="107"/>
  <c r="C35" i="107"/>
  <c r="C36" i="107"/>
  <c r="C37" i="107"/>
  <c r="C38" i="107"/>
  <c r="C39" i="107"/>
  <c r="C40" i="107"/>
  <c r="C41" i="107"/>
  <c r="C42" i="107"/>
  <c r="C43" i="107"/>
  <c r="C44" i="107"/>
  <c r="C45" i="107"/>
  <c r="C46" i="107"/>
  <c r="C47" i="107"/>
  <c r="C48" i="107"/>
  <c r="C49" i="107"/>
  <c r="C50" i="107"/>
  <c r="C51" i="107"/>
  <c r="C52" i="107"/>
  <c r="C53" i="107"/>
  <c r="C54" i="107"/>
  <c r="C55" i="107"/>
  <c r="C56" i="107"/>
  <c r="C57" i="107"/>
  <c r="C58" i="107"/>
  <c r="C59" i="107"/>
  <c r="C60" i="107"/>
  <c r="C61" i="107"/>
  <c r="C62" i="107"/>
  <c r="C63" i="107"/>
  <c r="C64" i="107"/>
  <c r="C65" i="107"/>
  <c r="C66" i="107"/>
  <c r="C67" i="107"/>
  <c r="C68" i="107"/>
  <c r="C69" i="107"/>
  <c r="C70" i="107"/>
  <c r="B1" i="107"/>
  <c r="B2" i="107"/>
  <c r="B3" i="107"/>
  <c r="B4" i="107"/>
  <c r="B5" i="107"/>
  <c r="B6" i="107"/>
  <c r="B7" i="107"/>
  <c r="B8" i="107"/>
  <c r="B9" i="107"/>
  <c r="B10" i="107"/>
  <c r="B11" i="107"/>
  <c r="B12" i="107"/>
  <c r="B13" i="107"/>
  <c r="B14" i="107"/>
  <c r="B15" i="107"/>
  <c r="B16" i="107"/>
  <c r="B17" i="107"/>
  <c r="B18" i="107"/>
  <c r="B19" i="107"/>
  <c r="B20" i="107"/>
  <c r="B21" i="107"/>
  <c r="B22" i="107"/>
  <c r="B23" i="107"/>
  <c r="B24" i="107"/>
  <c r="B25" i="107"/>
  <c r="B26" i="107"/>
  <c r="B27" i="107"/>
  <c r="B28" i="107"/>
  <c r="B29" i="107"/>
  <c r="B30" i="107"/>
  <c r="B31" i="107"/>
  <c r="B32" i="107"/>
  <c r="B33" i="107"/>
  <c r="B34" i="107"/>
  <c r="B35" i="107"/>
  <c r="B36" i="107"/>
  <c r="B37" i="107"/>
  <c r="B38" i="107"/>
  <c r="B39" i="107"/>
  <c r="B40" i="107"/>
  <c r="B41" i="107"/>
  <c r="B42" i="107"/>
  <c r="B43" i="107"/>
  <c r="B44" i="107"/>
  <c r="B45" i="107"/>
  <c r="B46" i="107"/>
  <c r="B47" i="107"/>
  <c r="B48" i="107"/>
  <c r="B49" i="107"/>
  <c r="B50" i="107"/>
  <c r="B51" i="107"/>
  <c r="B52" i="107"/>
  <c r="B53" i="107"/>
  <c r="B54" i="107"/>
  <c r="B55" i="107"/>
  <c r="B56" i="107"/>
  <c r="B57" i="107"/>
  <c r="B58" i="107"/>
  <c r="B59" i="107"/>
  <c r="B60" i="107"/>
  <c r="B61" i="107"/>
  <c r="B62" i="107"/>
  <c r="B63" i="107"/>
  <c r="B64" i="107"/>
  <c r="B65" i="107"/>
  <c r="B66" i="107"/>
  <c r="B67" i="107"/>
  <c r="B68" i="107"/>
  <c r="B69" i="107"/>
  <c r="B70" i="107"/>
  <c r="C1" i="106"/>
  <c r="C2" i="106"/>
  <c r="C3" i="106"/>
  <c r="C4" i="106"/>
  <c r="C5" i="106"/>
  <c r="C6" i="106"/>
  <c r="C7" i="106"/>
  <c r="C8" i="106"/>
  <c r="C9" i="106"/>
  <c r="C10" i="106"/>
  <c r="C11" i="106"/>
  <c r="C12" i="106"/>
  <c r="C13" i="106"/>
  <c r="C14" i="106"/>
  <c r="C15" i="106"/>
  <c r="C16" i="106"/>
  <c r="C17" i="106"/>
  <c r="C18" i="106"/>
  <c r="C19" i="106"/>
  <c r="C20" i="106"/>
  <c r="C21" i="106"/>
  <c r="C22" i="106"/>
  <c r="C23" i="106"/>
  <c r="C24" i="106"/>
  <c r="C25" i="106"/>
  <c r="C26" i="106"/>
  <c r="C27" i="106"/>
  <c r="C28" i="106"/>
  <c r="C29" i="106"/>
  <c r="C30" i="106"/>
  <c r="C31" i="106"/>
  <c r="C32" i="106"/>
  <c r="C33" i="106"/>
  <c r="C34" i="106"/>
  <c r="C35" i="106"/>
  <c r="C36" i="106"/>
  <c r="C37" i="106"/>
  <c r="C38" i="106"/>
  <c r="C39" i="106"/>
  <c r="C40" i="106"/>
  <c r="C41" i="106"/>
  <c r="C42" i="106"/>
  <c r="C43" i="106"/>
  <c r="C44" i="106"/>
  <c r="C45" i="106"/>
  <c r="C46" i="106"/>
  <c r="C47" i="106"/>
  <c r="C48" i="106"/>
  <c r="C49" i="106"/>
  <c r="C50" i="106"/>
  <c r="C51" i="106"/>
  <c r="C52" i="106"/>
  <c r="C53" i="106"/>
  <c r="C54" i="106"/>
  <c r="C55" i="106"/>
  <c r="C56" i="106"/>
  <c r="C57" i="106"/>
  <c r="C58" i="106"/>
  <c r="C59" i="106"/>
  <c r="C60" i="106"/>
  <c r="C61" i="106"/>
  <c r="C62" i="106"/>
  <c r="C63" i="106"/>
  <c r="C64" i="106"/>
  <c r="C65" i="106"/>
  <c r="C66" i="106"/>
  <c r="C67" i="106"/>
  <c r="C68" i="106"/>
  <c r="C69" i="106"/>
  <c r="C70" i="106"/>
  <c r="B1" i="106"/>
  <c r="B2" i="106"/>
  <c r="B3" i="106"/>
  <c r="B4" i="106"/>
  <c r="B5" i="106"/>
  <c r="B6" i="106"/>
  <c r="B7" i="106"/>
  <c r="B8" i="106"/>
  <c r="B9"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41" i="106"/>
  <c r="B42" i="106"/>
  <c r="B43" i="106"/>
  <c r="B44" i="106"/>
  <c r="B45" i="106"/>
  <c r="B46" i="106"/>
  <c r="B47" i="106"/>
  <c r="B48" i="106"/>
  <c r="B49" i="106"/>
  <c r="B50" i="106"/>
  <c r="B51" i="106"/>
  <c r="B52" i="106"/>
  <c r="B53" i="106"/>
  <c r="B54" i="106"/>
  <c r="B55" i="106"/>
  <c r="B56" i="106"/>
  <c r="B57" i="106"/>
  <c r="B58" i="106"/>
  <c r="B59" i="106"/>
  <c r="B60" i="106"/>
  <c r="B61" i="106"/>
  <c r="B62" i="106"/>
  <c r="B63" i="106"/>
  <c r="B64" i="106"/>
  <c r="B65" i="106"/>
  <c r="B66" i="106"/>
  <c r="B67" i="106"/>
  <c r="B68" i="106"/>
  <c r="B69" i="106"/>
  <c r="B70" i="106"/>
  <c r="C1" i="105"/>
  <c r="C2" i="105"/>
  <c r="C3" i="105"/>
  <c r="C4" i="105"/>
  <c r="C5" i="105"/>
  <c r="C6" i="105"/>
  <c r="C7" i="105"/>
  <c r="C8" i="105"/>
  <c r="C9" i="105"/>
  <c r="C10" i="105"/>
  <c r="C11" i="105"/>
  <c r="C12" i="105"/>
  <c r="C13" i="105"/>
  <c r="C14" i="105"/>
  <c r="C15" i="105"/>
  <c r="C16" i="105"/>
  <c r="C17" i="105"/>
  <c r="C18" i="105"/>
  <c r="C19" i="105"/>
  <c r="C20" i="105"/>
  <c r="C21" i="105"/>
  <c r="C22" i="105"/>
  <c r="C23" i="105"/>
  <c r="C24" i="105"/>
  <c r="C25" i="105"/>
  <c r="C26" i="105"/>
  <c r="C27" i="105"/>
  <c r="C28" i="105"/>
  <c r="C29" i="105"/>
  <c r="C30" i="105"/>
  <c r="C31" i="105"/>
  <c r="C32" i="105"/>
  <c r="C33" i="105"/>
  <c r="C34" i="105"/>
  <c r="C35" i="105"/>
  <c r="C36" i="105"/>
  <c r="C37" i="105"/>
  <c r="C38" i="105"/>
  <c r="C39" i="105"/>
  <c r="C40" i="105"/>
  <c r="C41" i="105"/>
  <c r="C42" i="105"/>
  <c r="C43" i="105"/>
  <c r="C44" i="105"/>
  <c r="C45" i="105"/>
  <c r="C46" i="105"/>
  <c r="C47" i="105"/>
  <c r="C48" i="105"/>
  <c r="C49" i="105"/>
  <c r="C50" i="105"/>
  <c r="C51" i="105"/>
  <c r="C52" i="105"/>
  <c r="C53" i="105"/>
  <c r="C54" i="105"/>
  <c r="C55" i="105"/>
  <c r="C56" i="105"/>
  <c r="C57" i="105"/>
  <c r="C58" i="105"/>
  <c r="C59" i="105"/>
  <c r="C60" i="105"/>
  <c r="C61" i="105"/>
  <c r="C62" i="105"/>
  <c r="C63" i="105"/>
  <c r="C64" i="105"/>
  <c r="C65" i="105"/>
  <c r="C66" i="105"/>
  <c r="C67" i="105"/>
  <c r="C68" i="105"/>
  <c r="C69" i="105"/>
  <c r="C70" i="105"/>
  <c r="C71" i="105"/>
  <c r="C72" i="105"/>
  <c r="C73" i="105"/>
  <c r="C74" i="105"/>
  <c r="C75" i="105"/>
  <c r="C76" i="105"/>
  <c r="C77" i="105"/>
  <c r="C78" i="105"/>
  <c r="C79" i="105"/>
  <c r="C80" i="105"/>
  <c r="C81" i="105"/>
  <c r="C82" i="105"/>
  <c r="C83" i="105"/>
  <c r="C84" i="105"/>
  <c r="C85" i="105"/>
  <c r="C86" i="105"/>
  <c r="C87" i="105"/>
  <c r="C88" i="105"/>
  <c r="C89" i="105"/>
  <c r="C90" i="105"/>
  <c r="C91" i="105"/>
  <c r="C92" i="105"/>
  <c r="C93" i="105"/>
  <c r="C94" i="105"/>
  <c r="C95" i="105"/>
  <c r="C96" i="105"/>
  <c r="C97" i="105"/>
  <c r="C98" i="105"/>
  <c r="C99" i="105"/>
  <c r="C100" i="105"/>
  <c r="B1" i="105"/>
  <c r="B2" i="105"/>
  <c r="B3" i="105"/>
  <c r="B4" i="105"/>
  <c r="B5" i="105"/>
  <c r="B6" i="105"/>
  <c r="B7" i="105"/>
  <c r="B8" i="105"/>
  <c r="B9" i="105"/>
  <c r="B10" i="105"/>
  <c r="B11" i="105"/>
  <c r="B12" i="105"/>
  <c r="B13" i="105"/>
  <c r="B14" i="105"/>
  <c r="B15" i="105"/>
  <c r="B16" i="105"/>
  <c r="B17" i="105"/>
  <c r="B18" i="105"/>
  <c r="B19" i="105"/>
  <c r="B20" i="105"/>
  <c r="B21" i="105"/>
  <c r="B22" i="105"/>
  <c r="B23" i="105"/>
  <c r="B24" i="105"/>
  <c r="B25" i="105"/>
  <c r="B26" i="105"/>
  <c r="B27" i="105"/>
  <c r="B28" i="105"/>
  <c r="B29" i="105"/>
  <c r="B30" i="105"/>
  <c r="B31" i="105"/>
  <c r="B32" i="105"/>
  <c r="B33" i="105"/>
  <c r="B34" i="105"/>
  <c r="B35" i="105"/>
  <c r="B36" i="105"/>
  <c r="B37" i="105"/>
  <c r="B38" i="105"/>
  <c r="B39" i="105"/>
  <c r="B40" i="105"/>
  <c r="B41" i="105"/>
  <c r="B42" i="105"/>
  <c r="B43" i="105"/>
  <c r="B44" i="105"/>
  <c r="B45" i="105"/>
  <c r="B46" i="105"/>
  <c r="B47" i="105"/>
  <c r="B48" i="105"/>
  <c r="B49" i="105"/>
  <c r="B50" i="105"/>
  <c r="B51" i="105"/>
  <c r="B52" i="105"/>
  <c r="B53" i="105"/>
  <c r="B54" i="105"/>
  <c r="B55" i="105"/>
  <c r="B56" i="105"/>
  <c r="B57" i="105"/>
  <c r="B58" i="105"/>
  <c r="B59" i="105"/>
  <c r="B60" i="105"/>
  <c r="B61" i="105"/>
  <c r="B62" i="105"/>
  <c r="B63" i="105"/>
  <c r="B64" i="105"/>
  <c r="B65" i="105"/>
  <c r="B66" i="105"/>
  <c r="B67" i="105"/>
  <c r="B68" i="105"/>
  <c r="B69" i="105"/>
  <c r="B70" i="105"/>
  <c r="B71" i="105"/>
  <c r="B72" i="105"/>
  <c r="B73" i="105"/>
  <c r="B74" i="105"/>
  <c r="B75" i="105"/>
  <c r="B76" i="105"/>
  <c r="B77" i="105"/>
  <c r="B78" i="105"/>
  <c r="B79" i="105"/>
  <c r="B80" i="105"/>
  <c r="B81" i="105"/>
  <c r="B82" i="105"/>
  <c r="B83" i="105"/>
  <c r="B84" i="105"/>
  <c r="B85" i="105"/>
  <c r="B86" i="105"/>
  <c r="B87" i="105"/>
  <c r="B88" i="105"/>
  <c r="B89" i="105"/>
  <c r="B90" i="105"/>
  <c r="B91" i="105"/>
  <c r="B92" i="105"/>
  <c r="B93" i="105"/>
  <c r="B94" i="105"/>
  <c r="B95" i="105"/>
  <c r="B96" i="105"/>
  <c r="B97" i="105"/>
  <c r="B98" i="105"/>
  <c r="B99" i="105"/>
  <c r="B100" i="105"/>
  <c r="C1" i="104"/>
  <c r="C2" i="104"/>
  <c r="C3" i="104"/>
  <c r="C4" i="104"/>
  <c r="C5" i="104"/>
  <c r="C6" i="104"/>
  <c r="C7" i="104"/>
  <c r="C8" i="104"/>
  <c r="C9" i="104"/>
  <c r="C10" i="104"/>
  <c r="C11" i="104"/>
  <c r="C12" i="104"/>
  <c r="C13" i="104"/>
  <c r="C14" i="104"/>
  <c r="C15" i="104"/>
  <c r="C16" i="104"/>
  <c r="C17" i="104"/>
  <c r="C18" i="104"/>
  <c r="C19" i="104"/>
  <c r="C20" i="104"/>
  <c r="C21" i="104"/>
  <c r="C22" i="104"/>
  <c r="C23" i="104"/>
  <c r="C24" i="104"/>
  <c r="C25" i="104"/>
  <c r="C26" i="104"/>
  <c r="C27" i="104"/>
  <c r="C28" i="104"/>
  <c r="C29" i="104"/>
  <c r="C30" i="104"/>
  <c r="C31" i="104"/>
  <c r="C32" i="104"/>
  <c r="C33" i="104"/>
  <c r="C34" i="104"/>
  <c r="C35" i="104"/>
  <c r="C36" i="104"/>
  <c r="C37" i="104"/>
  <c r="C38" i="104"/>
  <c r="C39" i="104"/>
  <c r="C40" i="104"/>
  <c r="C41" i="104"/>
  <c r="C42" i="104"/>
  <c r="C43" i="104"/>
  <c r="C44" i="104"/>
  <c r="C45" i="104"/>
  <c r="C46" i="104"/>
  <c r="C47" i="104"/>
  <c r="C48" i="104"/>
  <c r="C49" i="104"/>
  <c r="C50" i="104"/>
  <c r="C51" i="104"/>
  <c r="C52" i="104"/>
  <c r="C53" i="104"/>
  <c r="C54" i="104"/>
  <c r="C55" i="104"/>
  <c r="C56" i="104"/>
  <c r="C57" i="104"/>
  <c r="C58" i="104"/>
  <c r="C59" i="104"/>
  <c r="C60" i="104"/>
  <c r="C61" i="104"/>
  <c r="C62" i="104"/>
  <c r="C63" i="104"/>
  <c r="C64" i="104"/>
  <c r="C65" i="104"/>
  <c r="C66" i="104"/>
  <c r="C67" i="104"/>
  <c r="C68" i="104"/>
  <c r="C69" i="104"/>
  <c r="C70" i="104"/>
  <c r="C71" i="104"/>
  <c r="C72" i="104"/>
  <c r="C73" i="104"/>
  <c r="C74" i="104"/>
  <c r="C75" i="104"/>
  <c r="C76" i="104"/>
  <c r="C77" i="104"/>
  <c r="C78" i="104"/>
  <c r="C79" i="104"/>
  <c r="C80" i="104"/>
  <c r="C81" i="104"/>
  <c r="C82" i="104"/>
  <c r="C83" i="104"/>
  <c r="C84" i="104"/>
  <c r="C85" i="104"/>
  <c r="C86" i="104"/>
  <c r="C87" i="104"/>
  <c r="C88" i="104"/>
  <c r="C89" i="104"/>
  <c r="C90" i="104"/>
  <c r="C91" i="104"/>
  <c r="C92" i="104"/>
  <c r="C93" i="104"/>
  <c r="C94" i="104"/>
  <c r="C95" i="104"/>
  <c r="C96" i="104"/>
  <c r="C97" i="104"/>
  <c r="C98" i="104"/>
  <c r="C99" i="104"/>
  <c r="C100" i="104"/>
  <c r="B1" i="104"/>
  <c r="B2" i="104"/>
  <c r="B3" i="104"/>
  <c r="B4" i="104"/>
  <c r="B5" i="104"/>
  <c r="B6" i="104"/>
  <c r="B7" i="104"/>
  <c r="B8" i="104"/>
  <c r="B9" i="104"/>
  <c r="B10" i="104"/>
  <c r="B11" i="104"/>
  <c r="B12" i="104"/>
  <c r="B13" i="104"/>
  <c r="B14" i="104"/>
  <c r="B15" i="104"/>
  <c r="B16" i="104"/>
  <c r="B17" i="104"/>
  <c r="B18" i="104"/>
  <c r="B19" i="104"/>
  <c r="B20" i="104"/>
  <c r="B21" i="104"/>
  <c r="B22" i="104"/>
  <c r="B23" i="104"/>
  <c r="B24" i="104"/>
  <c r="B25" i="104"/>
  <c r="B26" i="104"/>
  <c r="B27" i="104"/>
  <c r="B28" i="104"/>
  <c r="B29" i="104"/>
  <c r="B30" i="104"/>
  <c r="B31" i="104"/>
  <c r="B32" i="104"/>
  <c r="B33" i="104"/>
  <c r="B34" i="104"/>
  <c r="B35" i="104"/>
  <c r="B36" i="104"/>
  <c r="B37" i="104"/>
  <c r="B38" i="104"/>
  <c r="B39" i="104"/>
  <c r="B40" i="104"/>
  <c r="B41" i="104"/>
  <c r="B42" i="104"/>
  <c r="B43" i="104"/>
  <c r="B44" i="104"/>
  <c r="B45" i="104"/>
  <c r="B46" i="104"/>
  <c r="B47" i="104"/>
  <c r="B48" i="104"/>
  <c r="B49" i="104"/>
  <c r="B50" i="104"/>
  <c r="B51" i="104"/>
  <c r="B52" i="104"/>
  <c r="B53" i="104"/>
  <c r="B54" i="104"/>
  <c r="B55" i="104"/>
  <c r="B56" i="104"/>
  <c r="B57" i="104"/>
  <c r="B58" i="104"/>
  <c r="B59" i="104"/>
  <c r="B60" i="104"/>
  <c r="B61" i="104"/>
  <c r="B62" i="104"/>
  <c r="B63" i="104"/>
  <c r="B64" i="104"/>
  <c r="B65" i="104"/>
  <c r="B66" i="104"/>
  <c r="B67" i="104"/>
  <c r="B68" i="104"/>
  <c r="B69" i="104"/>
  <c r="B70" i="104"/>
  <c r="B71" i="104"/>
  <c r="B72" i="104"/>
  <c r="B73" i="104"/>
  <c r="B74" i="104"/>
  <c r="B75" i="104"/>
  <c r="B76" i="104"/>
  <c r="B77" i="104"/>
  <c r="B78" i="104"/>
  <c r="B79" i="104"/>
  <c r="B80" i="104"/>
  <c r="B81" i="104"/>
  <c r="B82" i="104"/>
  <c r="B83" i="104"/>
  <c r="B84" i="104"/>
  <c r="B85" i="104"/>
  <c r="B86" i="104"/>
  <c r="B87" i="104"/>
  <c r="B88" i="104"/>
  <c r="B89" i="104"/>
  <c r="B90" i="104"/>
  <c r="B91" i="104"/>
  <c r="B92" i="104"/>
  <c r="B93" i="104"/>
  <c r="B94" i="104"/>
  <c r="B95" i="104"/>
  <c r="B96" i="104"/>
  <c r="B97" i="104"/>
  <c r="B98" i="104"/>
  <c r="B99" i="104"/>
  <c r="B100" i="104"/>
  <c r="C1" i="103"/>
  <c r="C2" i="103"/>
  <c r="C3" i="103"/>
  <c r="C4" i="103"/>
  <c r="C5" i="103"/>
  <c r="C6" i="103"/>
  <c r="C7" i="103"/>
  <c r="C8" i="103"/>
  <c r="C9" i="103"/>
  <c r="C10" i="103"/>
  <c r="C11" i="103"/>
  <c r="C12" i="103"/>
  <c r="C13" i="103"/>
  <c r="C14" i="103"/>
  <c r="C15" i="103"/>
  <c r="C16" i="103"/>
  <c r="C17" i="103"/>
  <c r="C18" i="103"/>
  <c r="C19" i="103"/>
  <c r="C20" i="103"/>
  <c r="C21" i="103"/>
  <c r="C22" i="103"/>
  <c r="C23" i="103"/>
  <c r="C24" i="103"/>
  <c r="C25" i="103"/>
  <c r="C26" i="103"/>
  <c r="C27" i="103"/>
  <c r="C28" i="103"/>
  <c r="C29" i="103"/>
  <c r="C30" i="103"/>
  <c r="C31" i="103"/>
  <c r="C32" i="103"/>
  <c r="C33" i="103"/>
  <c r="C34" i="103"/>
  <c r="C35" i="103"/>
  <c r="C36" i="103"/>
  <c r="C37" i="103"/>
  <c r="C38" i="103"/>
  <c r="C39" i="103"/>
  <c r="C40" i="103"/>
  <c r="C41" i="103"/>
  <c r="C42" i="103"/>
  <c r="C43" i="103"/>
  <c r="C44" i="103"/>
  <c r="C45" i="103"/>
  <c r="C46" i="103"/>
  <c r="C47" i="103"/>
  <c r="C48" i="103"/>
  <c r="C49" i="103"/>
  <c r="C50" i="103"/>
  <c r="C51" i="103"/>
  <c r="C52" i="103"/>
  <c r="C53" i="103"/>
  <c r="C54" i="103"/>
  <c r="C55" i="103"/>
  <c r="C56" i="103"/>
  <c r="C57" i="103"/>
  <c r="C58" i="103"/>
  <c r="C59" i="103"/>
  <c r="C60" i="103"/>
  <c r="C61" i="103"/>
  <c r="C62" i="103"/>
  <c r="C63" i="103"/>
  <c r="C64" i="103"/>
  <c r="C65" i="103"/>
  <c r="C66" i="103"/>
  <c r="C67" i="103"/>
  <c r="C68" i="103"/>
  <c r="C69" i="103"/>
  <c r="C70" i="103"/>
  <c r="B1" i="103"/>
  <c r="B2" i="103"/>
  <c r="B3" i="103"/>
  <c r="B4" i="103"/>
  <c r="B5" i="103"/>
  <c r="B6" i="103"/>
  <c r="B7" i="103"/>
  <c r="B8" i="103"/>
  <c r="B9" i="103"/>
  <c r="B10" i="103"/>
  <c r="B11" i="103"/>
  <c r="B12" i="103"/>
  <c r="B13" i="103"/>
  <c r="B14" i="103"/>
  <c r="B15" i="103"/>
  <c r="B16" i="103"/>
  <c r="B17" i="103"/>
  <c r="B18" i="103"/>
  <c r="B19" i="103"/>
  <c r="B20" i="103"/>
  <c r="B21" i="103"/>
  <c r="B22" i="103"/>
  <c r="B23" i="103"/>
  <c r="B24" i="103"/>
  <c r="B25" i="103"/>
  <c r="B26" i="103"/>
  <c r="B27" i="103"/>
  <c r="B28" i="103"/>
  <c r="B29" i="103"/>
  <c r="B30" i="103"/>
  <c r="B31" i="103"/>
  <c r="B32" i="103"/>
  <c r="B33" i="103"/>
  <c r="B34" i="103"/>
  <c r="B35" i="103"/>
  <c r="B36" i="103"/>
  <c r="B37" i="103"/>
  <c r="B38" i="103"/>
  <c r="B39" i="103"/>
  <c r="B40" i="103"/>
  <c r="B41" i="103"/>
  <c r="B42" i="103"/>
  <c r="B43" i="103"/>
  <c r="B44" i="103"/>
  <c r="B45" i="103"/>
  <c r="B46" i="103"/>
  <c r="B47" i="103"/>
  <c r="B48" i="103"/>
  <c r="B49" i="103"/>
  <c r="B50" i="103"/>
  <c r="B51" i="103"/>
  <c r="B52" i="103"/>
  <c r="B53" i="103"/>
  <c r="B54" i="103"/>
  <c r="B55" i="103"/>
  <c r="B56" i="103"/>
  <c r="B57" i="103"/>
  <c r="B58" i="103"/>
  <c r="B59" i="103"/>
  <c r="B60" i="103"/>
  <c r="B61" i="103"/>
  <c r="B62" i="103"/>
  <c r="B63" i="103"/>
  <c r="B64" i="103"/>
  <c r="B65" i="103"/>
  <c r="B66" i="103"/>
  <c r="B67" i="103"/>
  <c r="B68" i="103"/>
  <c r="B69" i="103"/>
  <c r="B70" i="103"/>
  <c r="C1" i="102"/>
  <c r="C2" i="102"/>
  <c r="C3" i="102"/>
  <c r="C4" i="102"/>
  <c r="C5" i="102"/>
  <c r="C6" i="102"/>
  <c r="C7" i="102"/>
  <c r="C8" i="102"/>
  <c r="C9" i="102"/>
  <c r="C10" i="102"/>
  <c r="C11" i="102"/>
  <c r="C12" i="102"/>
  <c r="C13" i="102"/>
  <c r="C14" i="102"/>
  <c r="C15" i="102"/>
  <c r="C16" i="102"/>
  <c r="C17" i="102"/>
  <c r="C18" i="102"/>
  <c r="C19" i="102"/>
  <c r="C20" i="102"/>
  <c r="C21" i="102"/>
  <c r="C22" i="102"/>
  <c r="C23" i="102"/>
  <c r="C24" i="102"/>
  <c r="C25" i="102"/>
  <c r="C26" i="102"/>
  <c r="C27" i="102"/>
  <c r="C28" i="102"/>
  <c r="C29" i="102"/>
  <c r="C30" i="102"/>
  <c r="C31" i="102"/>
  <c r="C32" i="102"/>
  <c r="C33" i="102"/>
  <c r="C34" i="102"/>
  <c r="C35" i="102"/>
  <c r="C36" i="102"/>
  <c r="C37" i="102"/>
  <c r="C38" i="102"/>
  <c r="C39" i="102"/>
  <c r="C40" i="102"/>
  <c r="C41" i="102"/>
  <c r="C42" i="102"/>
  <c r="C43" i="102"/>
  <c r="C44" i="102"/>
  <c r="C45" i="102"/>
  <c r="C46" i="102"/>
  <c r="C47" i="102"/>
  <c r="C48" i="102"/>
  <c r="C49" i="102"/>
  <c r="C50" i="102"/>
  <c r="C51" i="102"/>
  <c r="C52" i="102"/>
  <c r="C53" i="102"/>
  <c r="C54" i="102"/>
  <c r="C55" i="102"/>
  <c r="C56" i="102"/>
  <c r="C57" i="102"/>
  <c r="C58" i="102"/>
  <c r="C59" i="102"/>
  <c r="C60" i="102"/>
  <c r="C61" i="102"/>
  <c r="C62" i="102"/>
  <c r="C63" i="102"/>
  <c r="C64" i="102"/>
  <c r="C65" i="102"/>
  <c r="C66" i="102"/>
  <c r="C67" i="102"/>
  <c r="C68" i="102"/>
  <c r="C69" i="102"/>
  <c r="C70" i="102"/>
  <c r="B1" i="102"/>
  <c r="B2" i="102"/>
  <c r="B3" i="102"/>
  <c r="B4" i="102"/>
  <c r="B5" i="102"/>
  <c r="B6" i="102"/>
  <c r="B7" i="102"/>
  <c r="B8" i="102"/>
  <c r="B9" i="102"/>
  <c r="B10" i="102"/>
  <c r="B11" i="102"/>
  <c r="B12" i="102"/>
  <c r="B13" i="102"/>
  <c r="B14" i="102"/>
  <c r="B15" i="102"/>
  <c r="B16" i="102"/>
  <c r="B17" i="102"/>
  <c r="B18" i="102"/>
  <c r="B19" i="102"/>
  <c r="B20" i="102"/>
  <c r="B21" i="102"/>
  <c r="B22" i="102"/>
  <c r="B23" i="102"/>
  <c r="B24" i="102"/>
  <c r="B25" i="102"/>
  <c r="B26" i="102"/>
  <c r="B27" i="102"/>
  <c r="B28" i="102"/>
  <c r="B29" i="102"/>
  <c r="B30" i="102"/>
  <c r="B31" i="102"/>
  <c r="B32" i="102"/>
  <c r="B33" i="102"/>
  <c r="B34" i="102"/>
  <c r="B35" i="102"/>
  <c r="B36" i="102"/>
  <c r="B37" i="102"/>
  <c r="B38" i="102"/>
  <c r="B39" i="102"/>
  <c r="B40" i="102"/>
  <c r="B41" i="102"/>
  <c r="B42" i="102"/>
  <c r="B43" i="102"/>
  <c r="B44" i="102"/>
  <c r="B45" i="102"/>
  <c r="B46" i="102"/>
  <c r="B47" i="102"/>
  <c r="B48" i="102"/>
  <c r="B49" i="102"/>
  <c r="B50" i="102"/>
  <c r="B51" i="102"/>
  <c r="B52" i="102"/>
  <c r="B53" i="102"/>
  <c r="B54" i="102"/>
  <c r="B55" i="102"/>
  <c r="B56" i="102"/>
  <c r="B57" i="102"/>
  <c r="B58" i="102"/>
  <c r="B59" i="102"/>
  <c r="B60" i="102"/>
  <c r="B61" i="102"/>
  <c r="B62" i="102"/>
  <c r="B63" i="102"/>
  <c r="B64" i="102"/>
  <c r="B65" i="102"/>
  <c r="B66" i="102"/>
  <c r="B67" i="102"/>
  <c r="B68" i="102"/>
  <c r="B69" i="102"/>
  <c r="B70" i="102"/>
  <c r="C1" i="100"/>
  <c r="C2" i="100"/>
  <c r="C3" i="100"/>
  <c r="C4" i="100"/>
  <c r="C5" i="100"/>
  <c r="C6" i="100"/>
  <c r="C7" i="100"/>
  <c r="C8" i="100"/>
  <c r="C9" i="100"/>
  <c r="C10" i="100"/>
  <c r="C11" i="100"/>
  <c r="C12" i="100"/>
  <c r="C13" i="100"/>
  <c r="C14" i="100"/>
  <c r="C15" i="100"/>
  <c r="C16" i="100"/>
  <c r="C17" i="100"/>
  <c r="C18" i="100"/>
  <c r="C19" i="100"/>
  <c r="C20" i="100"/>
  <c r="C21" i="100"/>
  <c r="C22" i="100"/>
  <c r="C23" i="100"/>
  <c r="C24" i="100"/>
  <c r="C25" i="100"/>
  <c r="C26" i="100"/>
  <c r="C27" i="100"/>
  <c r="C28" i="100"/>
  <c r="C29" i="100"/>
  <c r="C30" i="100"/>
  <c r="C31" i="100"/>
  <c r="C32" i="100"/>
  <c r="C33" i="100"/>
  <c r="C34" i="100"/>
  <c r="C35" i="100"/>
  <c r="C36" i="100"/>
  <c r="C37" i="100"/>
  <c r="C38" i="100"/>
  <c r="C39" i="100"/>
  <c r="C40" i="100"/>
  <c r="C41" i="100"/>
  <c r="C42" i="100"/>
  <c r="C43" i="100"/>
  <c r="C44" i="100"/>
  <c r="C45" i="100"/>
  <c r="C46" i="100"/>
  <c r="C47" i="100"/>
  <c r="C48" i="100"/>
  <c r="C49" i="100"/>
  <c r="C50" i="100"/>
  <c r="C51" i="100"/>
  <c r="C52" i="100"/>
  <c r="C53" i="100"/>
  <c r="C54" i="100"/>
  <c r="C55" i="100"/>
  <c r="C56" i="100"/>
  <c r="C57" i="100"/>
  <c r="C58" i="100"/>
  <c r="C59" i="100"/>
  <c r="C60" i="100"/>
  <c r="C61" i="100"/>
  <c r="C62" i="100"/>
  <c r="C63" i="100"/>
  <c r="C64" i="100"/>
  <c r="C65" i="100"/>
  <c r="C66" i="100"/>
  <c r="C67" i="100"/>
  <c r="C68" i="100"/>
  <c r="C69" i="100"/>
  <c r="C70" i="100"/>
  <c r="B1" i="100"/>
  <c r="B2" i="100"/>
  <c r="B3" i="100"/>
  <c r="B4" i="100"/>
  <c r="B5" i="100"/>
  <c r="B6" i="100"/>
  <c r="B7" i="100"/>
  <c r="B8" i="100"/>
  <c r="B9" i="100"/>
  <c r="B10" i="100"/>
  <c r="B11" i="100"/>
  <c r="B12" i="100"/>
  <c r="B13" i="100"/>
  <c r="B14" i="100"/>
  <c r="B15" i="100"/>
  <c r="B16" i="100"/>
  <c r="B17" i="100"/>
  <c r="B18" i="100"/>
  <c r="B19" i="100"/>
  <c r="B20" i="100"/>
  <c r="B21" i="100"/>
  <c r="B22" i="100"/>
  <c r="B23" i="100"/>
  <c r="B24" i="100"/>
  <c r="B25" i="100"/>
  <c r="B26" i="100"/>
  <c r="B27" i="100"/>
  <c r="B28" i="100"/>
  <c r="B29" i="100"/>
  <c r="B30" i="100"/>
  <c r="B31" i="100"/>
  <c r="B32" i="100"/>
  <c r="B33" i="100"/>
  <c r="B34" i="100"/>
  <c r="B35" i="100"/>
  <c r="B36" i="100"/>
  <c r="B37" i="100"/>
  <c r="B38" i="100"/>
  <c r="B39" i="100"/>
  <c r="B40" i="100"/>
  <c r="B41" i="100"/>
  <c r="B42" i="100"/>
  <c r="B43" i="100"/>
  <c r="B44" i="100"/>
  <c r="B45" i="100"/>
  <c r="B46" i="100"/>
  <c r="B47" i="100"/>
  <c r="B48" i="100"/>
  <c r="B49" i="100"/>
  <c r="B50" i="100"/>
  <c r="B51" i="100"/>
  <c r="B52" i="100"/>
  <c r="B53" i="100"/>
  <c r="B54" i="100"/>
  <c r="B55" i="100"/>
  <c r="B56" i="100"/>
  <c r="B57" i="100"/>
  <c r="B58" i="100"/>
  <c r="B59" i="100"/>
  <c r="B60" i="100"/>
  <c r="B61" i="100"/>
  <c r="B62" i="100"/>
  <c r="B63" i="100"/>
  <c r="B64" i="100"/>
  <c r="B65" i="100"/>
  <c r="B66" i="100"/>
  <c r="B67" i="100"/>
  <c r="B68" i="100"/>
  <c r="B69" i="100"/>
  <c r="B70" i="100"/>
  <c r="C1" i="99"/>
  <c r="C2" i="99"/>
  <c r="C3" i="99"/>
  <c r="C4" i="99"/>
  <c r="C5" i="99"/>
  <c r="C6" i="99"/>
  <c r="C7" i="99"/>
  <c r="C8" i="99"/>
  <c r="C9" i="99"/>
  <c r="C10" i="99"/>
  <c r="C11" i="99"/>
  <c r="C12" i="99"/>
  <c r="C13" i="99"/>
  <c r="C14" i="99"/>
  <c r="C15" i="99"/>
  <c r="C16" i="99"/>
  <c r="C17" i="99"/>
  <c r="C18" i="99"/>
  <c r="C19" i="99"/>
  <c r="C20" i="99"/>
  <c r="C21" i="99"/>
  <c r="C22" i="99"/>
  <c r="C23" i="99"/>
  <c r="C24" i="99"/>
  <c r="C25" i="99"/>
  <c r="C26" i="99"/>
  <c r="C27" i="99"/>
  <c r="C28" i="99"/>
  <c r="C29" i="99"/>
  <c r="C30" i="99"/>
  <c r="C31" i="99"/>
  <c r="C32" i="99"/>
  <c r="C33" i="99"/>
  <c r="C34" i="99"/>
  <c r="C35" i="99"/>
  <c r="C36" i="99"/>
  <c r="C37" i="99"/>
  <c r="C38" i="99"/>
  <c r="C39" i="99"/>
  <c r="C40" i="99"/>
  <c r="C41" i="99"/>
  <c r="C42" i="99"/>
  <c r="C43" i="99"/>
  <c r="C44" i="99"/>
  <c r="C45" i="99"/>
  <c r="C46" i="99"/>
  <c r="C47" i="99"/>
  <c r="C48" i="99"/>
  <c r="C49" i="99"/>
  <c r="C50" i="99"/>
  <c r="C51" i="99"/>
  <c r="C52" i="99"/>
  <c r="C53" i="99"/>
  <c r="C54" i="99"/>
  <c r="C55" i="99"/>
  <c r="C56" i="99"/>
  <c r="C57" i="99"/>
  <c r="C58" i="99"/>
  <c r="C59" i="99"/>
  <c r="C60" i="99"/>
  <c r="C61" i="99"/>
  <c r="C62" i="99"/>
  <c r="C63" i="99"/>
  <c r="C64" i="99"/>
  <c r="C65" i="99"/>
  <c r="C66" i="99"/>
  <c r="C67" i="99"/>
  <c r="C68" i="99"/>
  <c r="C69" i="99"/>
  <c r="C70" i="99"/>
  <c r="B1" i="99"/>
  <c r="B2" i="99"/>
  <c r="B3" i="99"/>
  <c r="B4" i="99"/>
  <c r="B5" i="99"/>
  <c r="B6" i="99"/>
  <c r="B7" i="99"/>
  <c r="B8" i="99"/>
  <c r="B9" i="99"/>
  <c r="B10" i="99"/>
  <c r="B11" i="99"/>
  <c r="B12" i="99"/>
  <c r="B13" i="99"/>
  <c r="B14" i="99"/>
  <c r="B15" i="99"/>
  <c r="B16" i="99"/>
  <c r="B17" i="99"/>
  <c r="B18" i="99"/>
  <c r="B19" i="99"/>
  <c r="B20" i="99"/>
  <c r="B21" i="99"/>
  <c r="B22" i="99"/>
  <c r="B23" i="99"/>
  <c r="B24" i="99"/>
  <c r="B25" i="99"/>
  <c r="B26" i="99"/>
  <c r="B27" i="99"/>
  <c r="B28" i="99"/>
  <c r="B29" i="99"/>
  <c r="B30" i="99"/>
  <c r="B31" i="99"/>
  <c r="B32" i="99"/>
  <c r="B33" i="99"/>
  <c r="B34" i="99"/>
  <c r="B35" i="99"/>
  <c r="B36" i="99"/>
  <c r="B37" i="99"/>
  <c r="B38" i="99"/>
  <c r="B39" i="99"/>
  <c r="B40" i="99"/>
  <c r="B41" i="99"/>
  <c r="B42" i="99"/>
  <c r="B43" i="99"/>
  <c r="B44" i="99"/>
  <c r="B45" i="99"/>
  <c r="B46" i="99"/>
  <c r="B47" i="99"/>
  <c r="B48" i="99"/>
  <c r="B49" i="99"/>
  <c r="B50" i="99"/>
  <c r="B51" i="99"/>
  <c r="B52" i="99"/>
  <c r="B53" i="99"/>
  <c r="B54" i="99"/>
  <c r="B55" i="99"/>
  <c r="B56" i="99"/>
  <c r="B57" i="99"/>
  <c r="B58" i="99"/>
  <c r="B59" i="99"/>
  <c r="B60" i="99"/>
  <c r="B61" i="99"/>
  <c r="B62" i="99"/>
  <c r="B63" i="99"/>
  <c r="B64" i="99"/>
  <c r="B65" i="99"/>
  <c r="B66" i="99"/>
  <c r="B67" i="99"/>
  <c r="B68" i="99"/>
  <c r="B69" i="99"/>
  <c r="B70" i="99"/>
  <c r="C1" i="98"/>
  <c r="C2" i="98"/>
  <c r="C3" i="98"/>
  <c r="C4" i="98"/>
  <c r="C5" i="98"/>
  <c r="C6" i="98"/>
  <c r="C7" i="98"/>
  <c r="C8" i="98"/>
  <c r="C9" i="98"/>
  <c r="C10" i="98"/>
  <c r="C11" i="98"/>
  <c r="C12" i="98"/>
  <c r="C13" i="98"/>
  <c r="C14" i="98"/>
  <c r="C15" i="98"/>
  <c r="C16" i="98"/>
  <c r="C17" i="98"/>
  <c r="C18" i="98"/>
  <c r="C19" i="98"/>
  <c r="C20" i="98"/>
  <c r="C21" i="98"/>
  <c r="C22" i="98"/>
  <c r="C23" i="98"/>
  <c r="C24" i="98"/>
  <c r="C25" i="98"/>
  <c r="C26" i="98"/>
  <c r="C27" i="98"/>
  <c r="C28" i="98"/>
  <c r="C29" i="98"/>
  <c r="C30" i="98"/>
  <c r="C31" i="98"/>
  <c r="C32" i="98"/>
  <c r="C33" i="98"/>
  <c r="C34" i="98"/>
  <c r="C35" i="98"/>
  <c r="C36" i="98"/>
  <c r="C37" i="98"/>
  <c r="C38" i="98"/>
  <c r="C39" i="98"/>
  <c r="C40" i="98"/>
  <c r="C41" i="98"/>
  <c r="C42" i="98"/>
  <c r="C43" i="98"/>
  <c r="C44" i="98"/>
  <c r="C45" i="98"/>
  <c r="C46" i="98"/>
  <c r="C47" i="98"/>
  <c r="C48" i="98"/>
  <c r="C49" i="98"/>
  <c r="C50" i="98"/>
  <c r="C51" i="98"/>
  <c r="C52" i="98"/>
  <c r="C53" i="98"/>
  <c r="C54" i="98"/>
  <c r="C55" i="98"/>
  <c r="C56" i="98"/>
  <c r="C57" i="98"/>
  <c r="C58" i="98"/>
  <c r="C59" i="98"/>
  <c r="C60" i="98"/>
  <c r="C61" i="98"/>
  <c r="C62" i="98"/>
  <c r="C63" i="98"/>
  <c r="C64" i="98"/>
  <c r="C65" i="98"/>
  <c r="C66" i="98"/>
  <c r="C67" i="98"/>
  <c r="C68" i="98"/>
  <c r="C69" i="98"/>
  <c r="C70" i="98"/>
  <c r="C71" i="98"/>
  <c r="C72" i="98"/>
  <c r="C73" i="98"/>
  <c r="C74" i="98"/>
  <c r="C75" i="98"/>
  <c r="C76" i="98"/>
  <c r="C77" i="98"/>
  <c r="C78" i="98"/>
  <c r="C79" i="98"/>
  <c r="C80" i="98"/>
  <c r="C81" i="98"/>
  <c r="C82" i="98"/>
  <c r="C83" i="98"/>
  <c r="C84" i="98"/>
  <c r="C85" i="98"/>
  <c r="C86" i="98"/>
  <c r="C87" i="98"/>
  <c r="C88" i="98"/>
  <c r="C89" i="98"/>
  <c r="C90" i="98"/>
  <c r="C91" i="98"/>
  <c r="C92" i="98"/>
  <c r="C93" i="98"/>
  <c r="C94" i="98"/>
  <c r="C95" i="98"/>
  <c r="C96" i="98"/>
  <c r="C97" i="98"/>
  <c r="C98" i="98"/>
  <c r="C99" i="98"/>
  <c r="C100" i="98"/>
  <c r="B1" i="98"/>
  <c r="B2" i="98"/>
  <c r="B3" i="98"/>
  <c r="B4" i="98"/>
  <c r="B5" i="98"/>
  <c r="B6" i="98"/>
  <c r="B7" i="98"/>
  <c r="B8" i="98"/>
  <c r="B9" i="98"/>
  <c r="B10" i="98"/>
  <c r="B11" i="98"/>
  <c r="B12" i="98"/>
  <c r="B13" i="98"/>
  <c r="B14" i="98"/>
  <c r="B15" i="98"/>
  <c r="B16" i="98"/>
  <c r="B17" i="98"/>
  <c r="B18" i="98"/>
  <c r="B19" i="98"/>
  <c r="B20" i="98"/>
  <c r="B21" i="98"/>
  <c r="B22" i="98"/>
  <c r="B23" i="98"/>
  <c r="B24" i="98"/>
  <c r="B25" i="98"/>
  <c r="B26" i="98"/>
  <c r="B27" i="98"/>
  <c r="B28" i="98"/>
  <c r="B29" i="98"/>
  <c r="B30" i="98"/>
  <c r="B31" i="98"/>
  <c r="B32" i="98"/>
  <c r="B33" i="98"/>
  <c r="B34" i="98"/>
  <c r="B35" i="98"/>
  <c r="B36" i="98"/>
  <c r="B37" i="98"/>
  <c r="B38" i="98"/>
  <c r="B39" i="98"/>
  <c r="B40" i="98"/>
  <c r="B41" i="98"/>
  <c r="B42" i="98"/>
  <c r="B43" i="98"/>
  <c r="B44" i="98"/>
  <c r="B45" i="98"/>
  <c r="B46" i="98"/>
  <c r="B47" i="98"/>
  <c r="B48" i="98"/>
  <c r="B49" i="98"/>
  <c r="B50" i="98"/>
  <c r="B51" i="98"/>
  <c r="B52" i="98"/>
  <c r="B53" i="98"/>
  <c r="B54" i="98"/>
  <c r="B55" i="98"/>
  <c r="B56" i="98"/>
  <c r="B57" i="98"/>
  <c r="B58" i="98"/>
  <c r="B59" i="98"/>
  <c r="B60" i="98"/>
  <c r="B61" i="98"/>
  <c r="B62" i="98"/>
  <c r="B63" i="98"/>
  <c r="B64" i="98"/>
  <c r="B65" i="98"/>
  <c r="B66" i="98"/>
  <c r="B67" i="98"/>
  <c r="B68" i="98"/>
  <c r="B69" i="98"/>
  <c r="B70" i="98"/>
  <c r="B71" i="98"/>
  <c r="B72" i="98"/>
  <c r="B73" i="98"/>
  <c r="B74" i="98"/>
  <c r="B75" i="98"/>
  <c r="B76" i="98"/>
  <c r="B77" i="98"/>
  <c r="B78" i="98"/>
  <c r="B79" i="98"/>
  <c r="B80" i="98"/>
  <c r="B81" i="98"/>
  <c r="B82" i="98"/>
  <c r="B83" i="98"/>
  <c r="B84" i="98"/>
  <c r="B85" i="98"/>
  <c r="B86" i="98"/>
  <c r="B87" i="98"/>
  <c r="B88" i="98"/>
  <c r="B89" i="98"/>
  <c r="B90" i="98"/>
  <c r="B91" i="98"/>
  <c r="B92" i="98"/>
  <c r="B93" i="98"/>
  <c r="B94" i="98"/>
  <c r="B95" i="98"/>
  <c r="B96" i="98"/>
  <c r="B97" i="98"/>
  <c r="B98" i="98"/>
  <c r="B99" i="98"/>
  <c r="B100" i="98"/>
  <c r="C1" i="97"/>
  <c r="C2" i="97"/>
  <c r="C3" i="97"/>
  <c r="C4" i="97"/>
  <c r="C5" i="97"/>
  <c r="C6" i="97"/>
  <c r="C7" i="97"/>
  <c r="C8" i="97"/>
  <c r="C9" i="97"/>
  <c r="C10" i="97"/>
  <c r="C11" i="97"/>
  <c r="C12" i="97"/>
  <c r="C13" i="97"/>
  <c r="C14" i="97"/>
  <c r="C15" i="97"/>
  <c r="C16" i="97"/>
  <c r="C17" i="97"/>
  <c r="C18" i="97"/>
  <c r="C19" i="97"/>
  <c r="C20" i="97"/>
  <c r="C21" i="97"/>
  <c r="C22" i="97"/>
  <c r="C23" i="97"/>
  <c r="C24" i="97"/>
  <c r="C25" i="97"/>
  <c r="C26" i="97"/>
  <c r="C27" i="97"/>
  <c r="C28" i="97"/>
  <c r="C29" i="97"/>
  <c r="C30" i="97"/>
  <c r="C31" i="97"/>
  <c r="C32" i="97"/>
  <c r="C33" i="97"/>
  <c r="C34" i="97"/>
  <c r="C35" i="97"/>
  <c r="C36" i="97"/>
  <c r="C37" i="97"/>
  <c r="C38" i="97"/>
  <c r="C39" i="97"/>
  <c r="C40" i="97"/>
  <c r="C41" i="97"/>
  <c r="C42" i="97"/>
  <c r="C43" i="97"/>
  <c r="C44" i="97"/>
  <c r="C45" i="97"/>
  <c r="C46" i="97"/>
  <c r="C47" i="97"/>
  <c r="C48" i="97"/>
  <c r="C49" i="97"/>
  <c r="C50" i="97"/>
  <c r="C51" i="97"/>
  <c r="C52" i="97"/>
  <c r="C53" i="97"/>
  <c r="C54" i="97"/>
  <c r="C55" i="97"/>
  <c r="C56" i="97"/>
  <c r="C57" i="97"/>
  <c r="C58" i="97"/>
  <c r="C59" i="97"/>
  <c r="C60" i="97"/>
  <c r="C61" i="97"/>
  <c r="C62" i="97"/>
  <c r="C63" i="97"/>
  <c r="C64" i="97"/>
  <c r="C65" i="97"/>
  <c r="C66" i="97"/>
  <c r="C67" i="97"/>
  <c r="C68" i="97"/>
  <c r="C69" i="97"/>
  <c r="C70" i="97"/>
  <c r="C71" i="97"/>
  <c r="C72" i="97"/>
  <c r="C73" i="97"/>
  <c r="C74" i="97"/>
  <c r="C75" i="97"/>
  <c r="C76" i="97"/>
  <c r="C77" i="97"/>
  <c r="C78" i="97"/>
  <c r="C79" i="97"/>
  <c r="C80" i="97"/>
  <c r="C81" i="97"/>
  <c r="C82" i="97"/>
  <c r="C83" i="97"/>
  <c r="C84" i="97"/>
  <c r="C85" i="97"/>
  <c r="C86" i="97"/>
  <c r="C87" i="97"/>
  <c r="C88" i="97"/>
  <c r="C89" i="97"/>
  <c r="C90" i="97"/>
  <c r="C91" i="97"/>
  <c r="C92" i="97"/>
  <c r="C93" i="97"/>
  <c r="C94" i="97"/>
  <c r="C95" i="97"/>
  <c r="C96" i="97"/>
  <c r="C97" i="97"/>
  <c r="C98" i="97"/>
  <c r="C99" i="97"/>
  <c r="C100" i="97"/>
  <c r="B1" i="97"/>
  <c r="B2" i="97"/>
  <c r="B3" i="97"/>
  <c r="B4" i="97"/>
  <c r="B5" i="97"/>
  <c r="B6" i="97"/>
  <c r="B7" i="97"/>
  <c r="B8" i="97"/>
  <c r="B9" i="97"/>
  <c r="B10" i="97"/>
  <c r="B11" i="97"/>
  <c r="B12" i="97"/>
  <c r="B13" i="97"/>
  <c r="B14" i="97"/>
  <c r="B15" i="97"/>
  <c r="B16" i="97"/>
  <c r="B17" i="97"/>
  <c r="B18" i="97"/>
  <c r="B19" i="97"/>
  <c r="B20" i="97"/>
  <c r="B21" i="97"/>
  <c r="B22" i="97"/>
  <c r="B23" i="97"/>
  <c r="B24" i="97"/>
  <c r="B25" i="97"/>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C1" i="96"/>
  <c r="C2" i="96"/>
  <c r="C3" i="96"/>
  <c r="C4" i="96"/>
  <c r="C5" i="96"/>
  <c r="C6" i="96"/>
  <c r="C7" i="96"/>
  <c r="C8" i="96"/>
  <c r="C9" i="96"/>
  <c r="C10" i="96"/>
  <c r="C11" i="96"/>
  <c r="C12" i="96"/>
  <c r="C13" i="96"/>
  <c r="C14" i="96"/>
  <c r="C15" i="96"/>
  <c r="C16" i="96"/>
  <c r="C17" i="96"/>
  <c r="C18" i="96"/>
  <c r="C19" i="96"/>
  <c r="C20" i="96"/>
  <c r="C21" i="96"/>
  <c r="C22" i="96"/>
  <c r="C23" i="96"/>
  <c r="C24" i="96"/>
  <c r="C25" i="96"/>
  <c r="C26" i="96"/>
  <c r="C27" i="96"/>
  <c r="C28" i="96"/>
  <c r="C29" i="96"/>
  <c r="C30" i="96"/>
  <c r="C31" i="96"/>
  <c r="C32" i="96"/>
  <c r="C33" i="96"/>
  <c r="C34" i="96"/>
  <c r="C35" i="96"/>
  <c r="C36" i="96"/>
  <c r="C37" i="96"/>
  <c r="C38" i="96"/>
  <c r="C39" i="96"/>
  <c r="C40" i="96"/>
  <c r="C41" i="96"/>
  <c r="C42" i="96"/>
  <c r="C43" i="96"/>
  <c r="C44" i="96"/>
  <c r="C45" i="96"/>
  <c r="C46" i="96"/>
  <c r="C47" i="96"/>
  <c r="C48" i="96"/>
  <c r="C49" i="96"/>
  <c r="C50" i="96"/>
  <c r="C51" i="96"/>
  <c r="C52" i="96"/>
  <c r="C53" i="96"/>
  <c r="C54" i="96"/>
  <c r="C55" i="96"/>
  <c r="C56" i="96"/>
  <c r="C57" i="96"/>
  <c r="C58" i="96"/>
  <c r="C59" i="96"/>
  <c r="C60" i="96"/>
  <c r="C61" i="96"/>
  <c r="C62" i="96"/>
  <c r="C63" i="96"/>
  <c r="C64" i="96"/>
  <c r="C65" i="96"/>
  <c r="C66" i="96"/>
  <c r="C67" i="96"/>
  <c r="C68" i="96"/>
  <c r="C69" i="96"/>
  <c r="C70" i="96"/>
  <c r="B1" i="96"/>
  <c r="B2" i="96"/>
  <c r="B3" i="96"/>
  <c r="B4" i="96"/>
  <c r="B5" i="96"/>
  <c r="B6" i="96"/>
  <c r="B7" i="96"/>
  <c r="B8" i="96"/>
  <c r="B9" i="96"/>
  <c r="B10" i="96"/>
  <c r="B11" i="96"/>
  <c r="B12" i="96"/>
  <c r="B13" i="96"/>
  <c r="B14" i="96"/>
  <c r="B15" i="96"/>
  <c r="B16" i="96"/>
  <c r="B17" i="96"/>
  <c r="B18" i="96"/>
  <c r="B19" i="96"/>
  <c r="B20" i="96"/>
  <c r="B21" i="96"/>
  <c r="B22" i="96"/>
  <c r="B23" i="96"/>
  <c r="B24" i="96"/>
  <c r="B25" i="96"/>
  <c r="B26" i="96"/>
  <c r="B27" i="96"/>
  <c r="B28" i="96"/>
  <c r="B29" i="96"/>
  <c r="B30" i="96"/>
  <c r="B31" i="96"/>
  <c r="B32" i="96"/>
  <c r="B33" i="96"/>
  <c r="B34" i="96"/>
  <c r="B35" i="96"/>
  <c r="B36" i="96"/>
  <c r="B37" i="96"/>
  <c r="B38" i="96"/>
  <c r="B39" i="96"/>
  <c r="B40" i="96"/>
  <c r="B41" i="96"/>
  <c r="B42" i="96"/>
  <c r="B43" i="96"/>
  <c r="B44" i="96"/>
  <c r="B45" i="96"/>
  <c r="B46" i="96"/>
  <c r="B47" i="96"/>
  <c r="B48" i="96"/>
  <c r="B49" i="96"/>
  <c r="B50" i="96"/>
  <c r="B51" i="96"/>
  <c r="B52" i="96"/>
  <c r="B53" i="96"/>
  <c r="B54" i="96"/>
  <c r="B55" i="96"/>
  <c r="B56" i="96"/>
  <c r="B57" i="96"/>
  <c r="B58" i="96"/>
  <c r="B59" i="96"/>
  <c r="B60" i="96"/>
  <c r="B61" i="96"/>
  <c r="B62" i="96"/>
  <c r="B63" i="96"/>
  <c r="B64" i="96"/>
  <c r="B65" i="96"/>
  <c r="B66" i="96"/>
  <c r="B67" i="96"/>
  <c r="B68" i="96"/>
  <c r="B69" i="96"/>
  <c r="B70" i="96"/>
  <c r="C1" i="95"/>
  <c r="C2" i="95"/>
  <c r="C3" i="95"/>
  <c r="C4" i="95"/>
  <c r="C5" i="95"/>
  <c r="C6" i="95"/>
  <c r="C7" i="95"/>
  <c r="C8" i="95"/>
  <c r="C9" i="95"/>
  <c r="C10" i="95"/>
  <c r="C11" i="95"/>
  <c r="C12" i="95"/>
  <c r="C13" i="95"/>
  <c r="C14" i="95"/>
  <c r="C15" i="95"/>
  <c r="C16" i="95"/>
  <c r="C17" i="95"/>
  <c r="C18" i="95"/>
  <c r="C19" i="95"/>
  <c r="C20" i="95"/>
  <c r="C21" i="95"/>
  <c r="C22" i="95"/>
  <c r="C23" i="95"/>
  <c r="C24" i="95"/>
  <c r="C25" i="95"/>
  <c r="C26" i="95"/>
  <c r="C27" i="95"/>
  <c r="C28" i="95"/>
  <c r="C29" i="95"/>
  <c r="C30" i="95"/>
  <c r="C31" i="95"/>
  <c r="C32" i="95"/>
  <c r="C33" i="95"/>
  <c r="C34" i="95"/>
  <c r="C35" i="95"/>
  <c r="C36" i="95"/>
  <c r="C37" i="95"/>
  <c r="C38" i="95"/>
  <c r="C39" i="95"/>
  <c r="C40"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70" i="95"/>
  <c r="B1" i="95"/>
  <c r="B2" i="95"/>
  <c r="B3" i="95"/>
  <c r="B4" i="95"/>
  <c r="B5" i="95"/>
  <c r="B6" i="95"/>
  <c r="B7" i="95"/>
  <c r="B8" i="95"/>
  <c r="B9" i="95"/>
  <c r="B10" i="95"/>
  <c r="B11" i="95"/>
  <c r="B12" i="95"/>
  <c r="B13" i="95"/>
  <c r="B14" i="95"/>
  <c r="B15" i="95"/>
  <c r="B16" i="95"/>
  <c r="B17" i="95"/>
  <c r="B18" i="95"/>
  <c r="B19" i="95"/>
  <c r="B20" i="95"/>
  <c r="B21" i="95"/>
  <c r="B22" i="95"/>
  <c r="B23" i="95"/>
  <c r="B24" i="95"/>
  <c r="B25" i="95"/>
  <c r="B26" i="95"/>
  <c r="B27" i="95"/>
  <c r="B28" i="95"/>
  <c r="B29" i="95"/>
  <c r="B30" i="95"/>
  <c r="B31" i="95"/>
  <c r="B32" i="95"/>
  <c r="B33" i="95"/>
  <c r="B34" i="95"/>
  <c r="B35" i="95"/>
  <c r="B36" i="95"/>
  <c r="B37" i="95"/>
  <c r="B38" i="95"/>
  <c r="B39" i="95"/>
  <c r="B40" i="95"/>
  <c r="B41" i="95"/>
  <c r="B42" i="95"/>
  <c r="B43" i="95"/>
  <c r="B44" i="95"/>
  <c r="B45" i="95"/>
  <c r="B46" i="95"/>
  <c r="B47" i="95"/>
  <c r="B48" i="95"/>
  <c r="B49" i="95"/>
  <c r="B50" i="95"/>
  <c r="B51" i="95"/>
  <c r="B52" i="95"/>
  <c r="B53" i="95"/>
  <c r="B54" i="95"/>
  <c r="B55" i="95"/>
  <c r="B56" i="95"/>
  <c r="B57" i="95"/>
  <c r="B58" i="95"/>
  <c r="B59" i="95"/>
  <c r="B60" i="95"/>
  <c r="B61" i="95"/>
  <c r="B62" i="95"/>
  <c r="B63" i="95"/>
  <c r="B64" i="95"/>
  <c r="B65" i="95"/>
  <c r="B66" i="95"/>
  <c r="B67" i="95"/>
  <c r="B68" i="95"/>
  <c r="B69" i="95"/>
  <c r="B70" i="95"/>
  <c r="C1" i="93"/>
  <c r="C2" i="93"/>
  <c r="C3" i="93"/>
  <c r="C4" i="93"/>
  <c r="C5" i="93"/>
  <c r="C6" i="93"/>
  <c r="C7" i="93"/>
  <c r="C8" i="93"/>
  <c r="C9" i="93"/>
  <c r="C10" i="93"/>
  <c r="C11" i="93"/>
  <c r="C12" i="93"/>
  <c r="C13" i="93"/>
  <c r="C14" i="93"/>
  <c r="C15" i="93"/>
  <c r="C16" i="93"/>
  <c r="C17" i="93"/>
  <c r="C18" i="93"/>
  <c r="C19" i="93"/>
  <c r="C20" i="93"/>
  <c r="C21" i="93"/>
  <c r="C22" i="93"/>
  <c r="C23" i="93"/>
  <c r="C24" i="93"/>
  <c r="C25" i="93"/>
  <c r="C26" i="93"/>
  <c r="C27" i="93"/>
  <c r="C28" i="93"/>
  <c r="C29" i="93"/>
  <c r="C30" i="93"/>
  <c r="C31" i="93"/>
  <c r="C32" i="93"/>
  <c r="C33" i="93"/>
  <c r="C34" i="93"/>
  <c r="C35" i="93"/>
  <c r="C36" i="93"/>
  <c r="C37" i="93"/>
  <c r="C38" i="93"/>
  <c r="C39" i="93"/>
  <c r="C40" i="93"/>
  <c r="C41" i="93"/>
  <c r="C42" i="93"/>
  <c r="C43" i="93"/>
  <c r="C44" i="93"/>
  <c r="C45" i="93"/>
  <c r="C46" i="93"/>
  <c r="C47" i="93"/>
  <c r="C48" i="93"/>
  <c r="C49" i="93"/>
  <c r="C50" i="93"/>
  <c r="C51" i="93"/>
  <c r="C52" i="93"/>
  <c r="C53" i="93"/>
  <c r="C54" i="93"/>
  <c r="C55" i="93"/>
  <c r="C56" i="93"/>
  <c r="C57" i="93"/>
  <c r="C58" i="93"/>
  <c r="C59" i="93"/>
  <c r="C60" i="93"/>
  <c r="C61" i="93"/>
  <c r="C62" i="93"/>
  <c r="C63" i="93"/>
  <c r="C64" i="93"/>
  <c r="C65" i="93"/>
  <c r="C66" i="93"/>
  <c r="C67" i="93"/>
  <c r="C68" i="93"/>
  <c r="C69" i="93"/>
  <c r="C70" i="93"/>
  <c r="B1" i="93"/>
  <c r="B2" i="93"/>
  <c r="B3" i="93"/>
  <c r="B4" i="93"/>
  <c r="B5" i="93"/>
  <c r="B6" i="93"/>
  <c r="B7" i="93"/>
  <c r="B8" i="93"/>
  <c r="B9" i="93"/>
  <c r="B10" i="93"/>
  <c r="B11" i="93"/>
  <c r="B12" i="93"/>
  <c r="B13" i="93"/>
  <c r="B14" i="93"/>
  <c r="B15" i="93"/>
  <c r="B16" i="93"/>
  <c r="B17" i="93"/>
  <c r="B18" i="93"/>
  <c r="B19" i="93"/>
  <c r="B20" i="93"/>
  <c r="B21" i="93"/>
  <c r="B22" i="93"/>
  <c r="B23" i="93"/>
  <c r="B24" i="93"/>
  <c r="B25" i="93"/>
  <c r="B26" i="93"/>
  <c r="B27" i="93"/>
  <c r="B28" i="93"/>
  <c r="B29" i="93"/>
  <c r="B30" i="93"/>
  <c r="B31" i="93"/>
  <c r="B32" i="93"/>
  <c r="B33" i="93"/>
  <c r="B34" i="93"/>
  <c r="B35" i="93"/>
  <c r="B36" i="93"/>
  <c r="B37" i="93"/>
  <c r="B38" i="93"/>
  <c r="B39" i="93"/>
  <c r="B40" i="93"/>
  <c r="B41" i="93"/>
  <c r="B42" i="93"/>
  <c r="B43" i="93"/>
  <c r="B44" i="93"/>
  <c r="B45" i="93"/>
  <c r="B46" i="93"/>
  <c r="B47" i="93"/>
  <c r="B48" i="93"/>
  <c r="B49" i="93"/>
  <c r="B50" i="93"/>
  <c r="B51" i="93"/>
  <c r="B52" i="93"/>
  <c r="B53" i="93"/>
  <c r="B54" i="93"/>
  <c r="B55" i="93"/>
  <c r="B56" i="93"/>
  <c r="B57" i="93"/>
  <c r="B58" i="93"/>
  <c r="B59" i="93"/>
  <c r="B60" i="93"/>
  <c r="B61" i="93"/>
  <c r="B62" i="93"/>
  <c r="B63" i="93"/>
  <c r="B64" i="93"/>
  <c r="B65" i="93"/>
  <c r="B66" i="93"/>
  <c r="B67" i="93"/>
  <c r="B68" i="93"/>
  <c r="B69" i="93"/>
  <c r="B70" i="93"/>
  <c r="C1" i="92"/>
  <c r="C2" i="92"/>
  <c r="C3" i="92"/>
  <c r="C4" i="92"/>
  <c r="C5" i="92"/>
  <c r="C6" i="92"/>
  <c r="C7" i="92"/>
  <c r="C8" i="92"/>
  <c r="C9" i="92"/>
  <c r="C10" i="92"/>
  <c r="C11" i="92"/>
  <c r="C12" i="92"/>
  <c r="C13" i="92"/>
  <c r="C14" i="92"/>
  <c r="C15" i="92"/>
  <c r="C16" i="92"/>
  <c r="C17" i="92"/>
  <c r="C18" i="92"/>
  <c r="C19" i="92"/>
  <c r="C20" i="92"/>
  <c r="C21" i="92"/>
  <c r="C22" i="92"/>
  <c r="C23" i="92"/>
  <c r="C24" i="92"/>
  <c r="C25" i="92"/>
  <c r="C26" i="92"/>
  <c r="C27" i="92"/>
  <c r="C28" i="92"/>
  <c r="C29" i="92"/>
  <c r="C30" i="92"/>
  <c r="C31" i="92"/>
  <c r="C32" i="92"/>
  <c r="C33" i="92"/>
  <c r="C34" i="92"/>
  <c r="C35" i="92"/>
  <c r="C36" i="92"/>
  <c r="C37" i="92"/>
  <c r="C38" i="92"/>
  <c r="C39" i="92"/>
  <c r="C40" i="92"/>
  <c r="C41" i="92"/>
  <c r="C42" i="92"/>
  <c r="C43" i="92"/>
  <c r="C44" i="92"/>
  <c r="C45" i="92"/>
  <c r="C46" i="92"/>
  <c r="C47" i="92"/>
  <c r="C48" i="92"/>
  <c r="C49" i="92"/>
  <c r="C50" i="92"/>
  <c r="C51" i="92"/>
  <c r="C52" i="92"/>
  <c r="C53" i="92"/>
  <c r="C54" i="92"/>
  <c r="C55" i="92"/>
  <c r="C56" i="92"/>
  <c r="C57" i="92"/>
  <c r="C58" i="92"/>
  <c r="C59" i="92"/>
  <c r="C60" i="92"/>
  <c r="C61" i="92"/>
  <c r="C62" i="92"/>
  <c r="C63" i="92"/>
  <c r="C64" i="92"/>
  <c r="C65" i="92"/>
  <c r="C66" i="92"/>
  <c r="C67" i="92"/>
  <c r="C68" i="92"/>
  <c r="C69" i="92"/>
  <c r="C70" i="92"/>
  <c r="B1" i="92"/>
  <c r="B2" i="92"/>
  <c r="B3" i="92"/>
  <c r="B4" i="92"/>
  <c r="B5" i="92"/>
  <c r="B6" i="92"/>
  <c r="B7" i="92"/>
  <c r="B8" i="92"/>
  <c r="B9" i="92"/>
  <c r="B10" i="92"/>
  <c r="B11" i="92"/>
  <c r="B12" i="92"/>
  <c r="B13" i="92"/>
  <c r="B14" i="92"/>
  <c r="B15" i="92"/>
  <c r="B16" i="92"/>
  <c r="B17" i="92"/>
  <c r="B18" i="92"/>
  <c r="B19" i="92"/>
  <c r="B20" i="92"/>
  <c r="B21" i="92"/>
  <c r="B22" i="92"/>
  <c r="B23" i="92"/>
  <c r="B24" i="92"/>
  <c r="B25" i="92"/>
  <c r="B26" i="92"/>
  <c r="B27" i="92"/>
  <c r="B28" i="92"/>
  <c r="B29" i="92"/>
  <c r="B30" i="92"/>
  <c r="B31" i="92"/>
  <c r="B32" i="92"/>
  <c r="B33" i="92"/>
  <c r="B34" i="92"/>
  <c r="B35" i="92"/>
  <c r="B36" i="92"/>
  <c r="B37" i="92"/>
  <c r="B38" i="92"/>
  <c r="B39" i="92"/>
  <c r="B40" i="92"/>
  <c r="B41" i="92"/>
  <c r="B42" i="92"/>
  <c r="B43" i="92"/>
  <c r="B44" i="92"/>
  <c r="B45" i="92"/>
  <c r="B46" i="92"/>
  <c r="B47" i="92"/>
  <c r="B48" i="92"/>
  <c r="B49" i="92"/>
  <c r="B50" i="92"/>
  <c r="B51" i="92"/>
  <c r="B52" i="92"/>
  <c r="B53" i="92"/>
  <c r="B54" i="92"/>
  <c r="B55" i="92"/>
  <c r="B56" i="92"/>
  <c r="B57" i="92"/>
  <c r="B58" i="92"/>
  <c r="B59" i="92"/>
  <c r="B60" i="92"/>
  <c r="B61" i="92"/>
  <c r="B62" i="92"/>
  <c r="B63" i="92"/>
  <c r="B64" i="92"/>
  <c r="B65" i="92"/>
  <c r="B66" i="92"/>
  <c r="B67" i="92"/>
  <c r="B68" i="92"/>
  <c r="B69" i="92"/>
  <c r="B70" i="92"/>
  <c r="C1" i="91"/>
  <c r="C2" i="91"/>
  <c r="C3" i="91"/>
  <c r="C4" i="91"/>
  <c r="C5" i="91"/>
  <c r="C6" i="91"/>
  <c r="C7" i="91"/>
  <c r="C8" i="91"/>
  <c r="C9" i="91"/>
  <c r="C10" i="91"/>
  <c r="C11" i="91"/>
  <c r="C12" i="91"/>
  <c r="C13" i="91"/>
  <c r="C14" i="91"/>
  <c r="C15" i="91"/>
  <c r="C16" i="91"/>
  <c r="C17" i="91"/>
  <c r="C18" i="91"/>
  <c r="C19" i="91"/>
  <c r="C20" i="91"/>
  <c r="C21" i="91"/>
  <c r="C22" i="91"/>
  <c r="C23" i="91"/>
  <c r="C24" i="91"/>
  <c r="C25" i="91"/>
  <c r="C26" i="91"/>
  <c r="C27" i="91"/>
  <c r="C28" i="91"/>
  <c r="C29" i="91"/>
  <c r="C30" i="91"/>
  <c r="C31" i="91"/>
  <c r="C32" i="91"/>
  <c r="C33" i="91"/>
  <c r="C34" i="91"/>
  <c r="C35" i="91"/>
  <c r="C36" i="91"/>
  <c r="C37" i="91"/>
  <c r="C38" i="91"/>
  <c r="C39" i="91"/>
  <c r="C40" i="91"/>
  <c r="C41" i="91"/>
  <c r="C42" i="91"/>
  <c r="C43" i="91"/>
  <c r="C44" i="91"/>
  <c r="C45" i="91"/>
  <c r="C46" i="91"/>
  <c r="C47" i="91"/>
  <c r="C48" i="91"/>
  <c r="C49" i="91"/>
  <c r="C50" i="91"/>
  <c r="C51" i="91"/>
  <c r="C52" i="91"/>
  <c r="C53" i="91"/>
  <c r="C54" i="91"/>
  <c r="C55" i="91"/>
  <c r="C56" i="91"/>
  <c r="C57" i="91"/>
  <c r="C58" i="91"/>
  <c r="C59" i="91"/>
  <c r="C60" i="91"/>
  <c r="C61" i="91"/>
  <c r="C62" i="91"/>
  <c r="C63" i="91"/>
  <c r="C64" i="91"/>
  <c r="C65" i="91"/>
  <c r="C66" i="91"/>
  <c r="C67" i="91"/>
  <c r="C68" i="91"/>
  <c r="C69" i="91"/>
  <c r="C70" i="91"/>
  <c r="C71" i="91"/>
  <c r="C72" i="91"/>
  <c r="C73" i="91"/>
  <c r="C74" i="91"/>
  <c r="C75" i="91"/>
  <c r="C76" i="91"/>
  <c r="C77" i="91"/>
  <c r="C78" i="91"/>
  <c r="C79" i="91"/>
  <c r="C80" i="91"/>
  <c r="C81" i="91"/>
  <c r="C82" i="91"/>
  <c r="C83" i="91"/>
  <c r="C84" i="91"/>
  <c r="C85" i="91"/>
  <c r="C86" i="91"/>
  <c r="C87" i="91"/>
  <c r="C88" i="91"/>
  <c r="C89" i="91"/>
  <c r="C90" i="91"/>
  <c r="C91" i="91"/>
  <c r="C92" i="91"/>
  <c r="C93" i="91"/>
  <c r="C94" i="91"/>
  <c r="C95" i="91"/>
  <c r="C96" i="91"/>
  <c r="C97" i="91"/>
  <c r="C98" i="91"/>
  <c r="C99" i="91"/>
  <c r="C100" i="91"/>
  <c r="B1" i="91"/>
  <c r="B2" i="91"/>
  <c r="B3" i="91"/>
  <c r="B4" i="91"/>
  <c r="B5" i="91"/>
  <c r="B6" i="91"/>
  <c r="B7" i="91"/>
  <c r="B8" i="91"/>
  <c r="B9" i="91"/>
  <c r="B10" i="91"/>
  <c r="B11" i="91"/>
  <c r="B12" i="91"/>
  <c r="B13" i="91"/>
  <c r="B14" i="91"/>
  <c r="B15" i="91"/>
  <c r="B16" i="91"/>
  <c r="B17" i="91"/>
  <c r="B18" i="91"/>
  <c r="B19" i="91"/>
  <c r="B20" i="91"/>
  <c r="B21" i="91"/>
  <c r="B22" i="91"/>
  <c r="B23" i="91"/>
  <c r="B24" i="91"/>
  <c r="B25" i="91"/>
  <c r="B26" i="91"/>
  <c r="B27" i="91"/>
  <c r="B28" i="91"/>
  <c r="B29" i="91"/>
  <c r="B30" i="91"/>
  <c r="B31" i="91"/>
  <c r="B32" i="91"/>
  <c r="B33" i="91"/>
  <c r="B34" i="91"/>
  <c r="B35" i="91"/>
  <c r="B36" i="91"/>
  <c r="B37" i="91"/>
  <c r="B38" i="91"/>
  <c r="B39" i="91"/>
  <c r="B40" i="91"/>
  <c r="B41" i="91"/>
  <c r="B42" i="91"/>
  <c r="B43" i="91"/>
  <c r="B44" i="91"/>
  <c r="B45" i="91"/>
  <c r="B46" i="91"/>
  <c r="B47" i="91"/>
  <c r="B48" i="91"/>
  <c r="B49" i="91"/>
  <c r="B50" i="91"/>
  <c r="B51" i="91"/>
  <c r="B52" i="91"/>
  <c r="B53" i="91"/>
  <c r="B54" i="91"/>
  <c r="B55" i="91"/>
  <c r="B56" i="91"/>
  <c r="B57" i="91"/>
  <c r="B58" i="91"/>
  <c r="B59" i="91"/>
  <c r="B60" i="91"/>
  <c r="B61" i="91"/>
  <c r="B62" i="91"/>
  <c r="B63" i="91"/>
  <c r="B64" i="91"/>
  <c r="B65" i="91"/>
  <c r="B66" i="91"/>
  <c r="B67" i="91"/>
  <c r="B68" i="91"/>
  <c r="B69" i="91"/>
  <c r="B70" i="91"/>
  <c r="B71" i="91"/>
  <c r="B72" i="91"/>
  <c r="B73" i="91"/>
  <c r="B74" i="91"/>
  <c r="B75" i="91"/>
  <c r="B76" i="91"/>
  <c r="B77" i="91"/>
  <c r="B78" i="91"/>
  <c r="B79" i="91"/>
  <c r="B80" i="91"/>
  <c r="B81" i="91"/>
  <c r="B82" i="91"/>
  <c r="B83" i="91"/>
  <c r="B84" i="91"/>
  <c r="B85" i="91"/>
  <c r="B86" i="91"/>
  <c r="B87" i="91"/>
  <c r="B88" i="91"/>
  <c r="B89" i="91"/>
  <c r="B90" i="91"/>
  <c r="B91" i="91"/>
  <c r="B92" i="91"/>
  <c r="B93" i="91"/>
  <c r="B94" i="91"/>
  <c r="B95" i="91"/>
  <c r="B96" i="91"/>
  <c r="B97" i="91"/>
  <c r="B98" i="91"/>
  <c r="B99" i="91"/>
  <c r="B100" i="91"/>
  <c r="C1" i="90"/>
  <c r="C2" i="90"/>
  <c r="C3" i="90"/>
  <c r="C4" i="90"/>
  <c r="C5" i="90"/>
  <c r="C6" i="90"/>
  <c r="C7" i="90"/>
  <c r="C8" i="90"/>
  <c r="C9" i="90"/>
  <c r="C10" i="90"/>
  <c r="C11" i="90"/>
  <c r="C12" i="90"/>
  <c r="C13" i="90"/>
  <c r="C14" i="90"/>
  <c r="C15" i="90"/>
  <c r="C16" i="90"/>
  <c r="C17" i="90"/>
  <c r="C18" i="90"/>
  <c r="C19" i="90"/>
  <c r="C20" i="90"/>
  <c r="C21" i="90"/>
  <c r="C22" i="90"/>
  <c r="C23" i="90"/>
  <c r="C24" i="90"/>
  <c r="C25" i="90"/>
  <c r="C26" i="90"/>
  <c r="C27" i="90"/>
  <c r="C28" i="90"/>
  <c r="C29" i="90"/>
  <c r="C30" i="90"/>
  <c r="C31" i="90"/>
  <c r="C32" i="90"/>
  <c r="C33" i="90"/>
  <c r="C34" i="90"/>
  <c r="C35" i="90"/>
  <c r="C36" i="90"/>
  <c r="C37" i="90"/>
  <c r="C38" i="90"/>
  <c r="C39" i="90"/>
  <c r="C40" i="90"/>
  <c r="C41" i="90"/>
  <c r="C42" i="90"/>
  <c r="C43" i="90"/>
  <c r="C44" i="90"/>
  <c r="C45" i="90"/>
  <c r="C46" i="90"/>
  <c r="C47" i="90"/>
  <c r="C48" i="90"/>
  <c r="C49" i="90"/>
  <c r="C50" i="90"/>
  <c r="C51" i="90"/>
  <c r="C52" i="90"/>
  <c r="C53" i="90"/>
  <c r="C54" i="90"/>
  <c r="C55" i="90"/>
  <c r="C56" i="90"/>
  <c r="C57" i="90"/>
  <c r="C58" i="90"/>
  <c r="C59" i="90"/>
  <c r="C60" i="90"/>
  <c r="C61" i="90"/>
  <c r="C62" i="90"/>
  <c r="C63" i="90"/>
  <c r="C64" i="90"/>
  <c r="C65" i="90"/>
  <c r="C66" i="90"/>
  <c r="C67" i="90"/>
  <c r="C68" i="90"/>
  <c r="C69" i="90"/>
  <c r="C70" i="90"/>
  <c r="C71" i="90"/>
  <c r="C72" i="90"/>
  <c r="C73" i="90"/>
  <c r="C74" i="90"/>
  <c r="C75" i="90"/>
  <c r="C76" i="90"/>
  <c r="C77" i="90"/>
  <c r="C78" i="90"/>
  <c r="C79" i="90"/>
  <c r="C80" i="90"/>
  <c r="C81" i="90"/>
  <c r="C82" i="90"/>
  <c r="C83" i="90"/>
  <c r="C84" i="90"/>
  <c r="C85" i="90"/>
  <c r="C86" i="90"/>
  <c r="C87" i="90"/>
  <c r="C88" i="90"/>
  <c r="C89" i="90"/>
  <c r="C90" i="90"/>
  <c r="C91" i="90"/>
  <c r="C92" i="90"/>
  <c r="C93" i="90"/>
  <c r="C94" i="90"/>
  <c r="C95" i="90"/>
  <c r="C96" i="90"/>
  <c r="C97" i="90"/>
  <c r="C98" i="90"/>
  <c r="C99" i="90"/>
  <c r="C100" i="90"/>
  <c r="B1" i="90"/>
  <c r="B2" i="90"/>
  <c r="B3" i="90"/>
  <c r="B4" i="90"/>
  <c r="B5" i="90"/>
  <c r="B6" i="90"/>
  <c r="B7" i="90"/>
  <c r="B8" i="90"/>
  <c r="B9" i="90"/>
  <c r="B10" i="90"/>
  <c r="B11" i="90"/>
  <c r="B12" i="90"/>
  <c r="B13" i="90"/>
  <c r="B14" i="90"/>
  <c r="B15" i="90"/>
  <c r="B16" i="90"/>
  <c r="B17" i="90"/>
  <c r="B18" i="90"/>
  <c r="B19" i="90"/>
  <c r="B20" i="90"/>
  <c r="B21" i="90"/>
  <c r="B22" i="90"/>
  <c r="B23" i="90"/>
  <c r="B24" i="90"/>
  <c r="B25" i="90"/>
  <c r="B26" i="90"/>
  <c r="B27" i="90"/>
  <c r="B28" i="90"/>
  <c r="B29" i="90"/>
  <c r="B30" i="90"/>
  <c r="B31" i="90"/>
  <c r="B32" i="90"/>
  <c r="B33" i="90"/>
  <c r="B34" i="90"/>
  <c r="B35" i="90"/>
  <c r="B36" i="90"/>
  <c r="B37" i="90"/>
  <c r="B38" i="90"/>
  <c r="B39" i="90"/>
  <c r="B40" i="90"/>
  <c r="B41" i="90"/>
  <c r="B42" i="90"/>
  <c r="B43" i="90"/>
  <c r="B44" i="90"/>
  <c r="B45" i="90"/>
  <c r="B46" i="90"/>
  <c r="B47" i="90"/>
  <c r="B48" i="90"/>
  <c r="B49" i="90"/>
  <c r="B50" i="90"/>
  <c r="B51" i="90"/>
  <c r="B52" i="90"/>
  <c r="B53" i="90"/>
  <c r="B54" i="90"/>
  <c r="B55" i="90"/>
  <c r="B56" i="90"/>
  <c r="B57" i="90"/>
  <c r="B58" i="90"/>
  <c r="B59" i="90"/>
  <c r="B60" i="90"/>
  <c r="B61" i="90"/>
  <c r="B62" i="90"/>
  <c r="B63" i="90"/>
  <c r="B64" i="90"/>
  <c r="B65" i="90"/>
  <c r="B66" i="90"/>
  <c r="B67" i="90"/>
  <c r="B68" i="90"/>
  <c r="B69" i="90"/>
  <c r="B70" i="90"/>
  <c r="B71" i="90"/>
  <c r="B72" i="90"/>
  <c r="B73" i="90"/>
  <c r="B74" i="90"/>
  <c r="B75" i="90"/>
  <c r="B76" i="90"/>
  <c r="B77" i="90"/>
  <c r="B78" i="90"/>
  <c r="B79" i="90"/>
  <c r="B80" i="90"/>
  <c r="B81" i="90"/>
  <c r="B82" i="90"/>
  <c r="B83" i="90"/>
  <c r="B84" i="90"/>
  <c r="B85" i="90"/>
  <c r="B86" i="90"/>
  <c r="B87" i="90"/>
  <c r="B88" i="90"/>
  <c r="B89" i="90"/>
  <c r="B90" i="90"/>
  <c r="B91" i="90"/>
  <c r="B92" i="90"/>
  <c r="B93" i="90"/>
  <c r="B94" i="90"/>
  <c r="B95" i="90"/>
  <c r="B96" i="90"/>
  <c r="B97" i="90"/>
  <c r="B98" i="90"/>
  <c r="B99" i="90"/>
  <c r="B100" i="90"/>
  <c r="C1" i="89"/>
  <c r="C2" i="89"/>
  <c r="C3" i="89"/>
  <c r="C4" i="89"/>
  <c r="C5" i="89"/>
  <c r="C6" i="89"/>
  <c r="C7" i="89"/>
  <c r="C8" i="89"/>
  <c r="C9" i="89"/>
  <c r="C10" i="89"/>
  <c r="C11" i="89"/>
  <c r="C12" i="89"/>
  <c r="C13" i="89"/>
  <c r="C14" i="89"/>
  <c r="C15" i="89"/>
  <c r="C16" i="89"/>
  <c r="C17" i="89"/>
  <c r="C18" i="89"/>
  <c r="C19" i="89"/>
  <c r="C20" i="89"/>
  <c r="C21" i="89"/>
  <c r="C22" i="89"/>
  <c r="C23" i="89"/>
  <c r="C24" i="89"/>
  <c r="C25" i="89"/>
  <c r="C26" i="89"/>
  <c r="C27" i="89"/>
  <c r="C28" i="89"/>
  <c r="C29" i="89"/>
  <c r="C30" i="89"/>
  <c r="C31" i="89"/>
  <c r="C32" i="89"/>
  <c r="C33" i="89"/>
  <c r="C34" i="89"/>
  <c r="C35" i="89"/>
  <c r="C36" i="89"/>
  <c r="C37" i="89"/>
  <c r="C38" i="89"/>
  <c r="C39" i="89"/>
  <c r="C40" i="89"/>
  <c r="C41" i="89"/>
  <c r="C42" i="89"/>
  <c r="C43" i="89"/>
  <c r="C44" i="89"/>
  <c r="C45" i="89"/>
  <c r="C46" i="89"/>
  <c r="C47" i="89"/>
  <c r="C48" i="89"/>
  <c r="C49" i="89"/>
  <c r="C50" i="89"/>
  <c r="C51" i="89"/>
  <c r="C52" i="89"/>
  <c r="C53" i="89"/>
  <c r="C54" i="89"/>
  <c r="C55" i="89"/>
  <c r="C56" i="89"/>
  <c r="C57" i="89"/>
  <c r="C58" i="89"/>
  <c r="C59" i="89"/>
  <c r="C60" i="89"/>
  <c r="C61" i="89"/>
  <c r="C62" i="89"/>
  <c r="C63" i="89"/>
  <c r="C64" i="89"/>
  <c r="C65" i="89"/>
  <c r="C66" i="89"/>
  <c r="C67" i="89"/>
  <c r="C68" i="89"/>
  <c r="C69" i="89"/>
  <c r="C70" i="89"/>
  <c r="B1" i="89"/>
  <c r="B2" i="89"/>
  <c r="B3" i="89"/>
  <c r="B4" i="89"/>
  <c r="B5" i="89"/>
  <c r="B6" i="89"/>
  <c r="B7" i="89"/>
  <c r="B8" i="89"/>
  <c r="B9" i="89"/>
  <c r="B10" i="89"/>
  <c r="B11" i="89"/>
  <c r="B12" i="89"/>
  <c r="B13" i="89"/>
  <c r="B14" i="89"/>
  <c r="B15" i="89"/>
  <c r="B16" i="89"/>
  <c r="B17" i="89"/>
  <c r="B18" i="89"/>
  <c r="B19" i="89"/>
  <c r="B20" i="89"/>
  <c r="B21" i="89"/>
  <c r="B22" i="89"/>
  <c r="B23" i="89"/>
  <c r="B24" i="89"/>
  <c r="B25" i="89"/>
  <c r="B26" i="89"/>
  <c r="B27" i="89"/>
  <c r="B28" i="89"/>
  <c r="B29" i="89"/>
  <c r="B30" i="89"/>
  <c r="B31" i="89"/>
  <c r="B32" i="89"/>
  <c r="B33" i="89"/>
  <c r="B34" i="89"/>
  <c r="B35" i="89"/>
  <c r="B36" i="89"/>
  <c r="B37" i="89"/>
  <c r="B38" i="89"/>
  <c r="B39" i="89"/>
  <c r="B40" i="89"/>
  <c r="B41" i="89"/>
  <c r="B42" i="89"/>
  <c r="B43" i="89"/>
  <c r="B44" i="89"/>
  <c r="B45" i="89"/>
  <c r="B46" i="89"/>
  <c r="B47" i="89"/>
  <c r="B48" i="89"/>
  <c r="B49" i="89"/>
  <c r="B50" i="89"/>
  <c r="B51" i="89"/>
  <c r="B52" i="89"/>
  <c r="B53" i="89"/>
  <c r="B54" i="89"/>
  <c r="B55" i="89"/>
  <c r="B56" i="89"/>
  <c r="B57" i="89"/>
  <c r="B58" i="89"/>
  <c r="B59" i="89"/>
  <c r="B60" i="89"/>
  <c r="B61" i="89"/>
  <c r="B62" i="89"/>
  <c r="B63" i="89"/>
  <c r="B64" i="89"/>
  <c r="B65" i="89"/>
  <c r="B66" i="89"/>
  <c r="B67" i="89"/>
  <c r="B68" i="89"/>
  <c r="B69" i="89"/>
  <c r="B70" i="89"/>
  <c r="C1" i="88"/>
  <c r="C2" i="88"/>
  <c r="C3" i="88"/>
  <c r="C4" i="88"/>
  <c r="C5" i="88"/>
  <c r="C6" i="88"/>
  <c r="C7" i="88"/>
  <c r="C8" i="88"/>
  <c r="C9" i="88"/>
  <c r="C10" i="88"/>
  <c r="C11" i="88"/>
  <c r="C12" i="88"/>
  <c r="C13" i="88"/>
  <c r="C14" i="88"/>
  <c r="C15" i="88"/>
  <c r="C16" i="88"/>
  <c r="C17" i="88"/>
  <c r="C18" i="88"/>
  <c r="C19" i="88"/>
  <c r="C20" i="88"/>
  <c r="C21" i="88"/>
  <c r="C22" i="88"/>
  <c r="C23" i="88"/>
  <c r="C24" i="88"/>
  <c r="C25" i="88"/>
  <c r="C26" i="88"/>
  <c r="C27" i="88"/>
  <c r="C28" i="88"/>
  <c r="C29" i="88"/>
  <c r="C30" i="88"/>
  <c r="C31" i="88"/>
  <c r="C32" i="88"/>
  <c r="C33" i="88"/>
  <c r="C34" i="88"/>
  <c r="C35" i="88"/>
  <c r="C36" i="88"/>
  <c r="C37" i="88"/>
  <c r="C38" i="88"/>
  <c r="C39" i="88"/>
  <c r="C40" i="88"/>
  <c r="C41" i="88"/>
  <c r="C42" i="88"/>
  <c r="C43" i="88"/>
  <c r="C44" i="88"/>
  <c r="C45" i="88"/>
  <c r="C46" i="88"/>
  <c r="C47" i="88"/>
  <c r="C48" i="88"/>
  <c r="C49" i="88"/>
  <c r="C50" i="88"/>
  <c r="C51" i="88"/>
  <c r="C52" i="88"/>
  <c r="C53" i="88"/>
  <c r="C54" i="88"/>
  <c r="C55" i="88"/>
  <c r="C56" i="88"/>
  <c r="C57" i="88"/>
  <c r="C58" i="88"/>
  <c r="C59" i="88"/>
  <c r="C60" i="88"/>
  <c r="C61" i="88"/>
  <c r="C62" i="88"/>
  <c r="C63" i="88"/>
  <c r="C64" i="88"/>
  <c r="C65" i="88"/>
  <c r="C66" i="88"/>
  <c r="C67" i="88"/>
  <c r="C68" i="88"/>
  <c r="C69" i="88"/>
  <c r="C70" i="88"/>
  <c r="B1" i="88"/>
  <c r="B2" i="88"/>
  <c r="B3" i="88"/>
  <c r="B4" i="88"/>
  <c r="B5" i="88"/>
  <c r="B6" i="88"/>
  <c r="B7" i="88"/>
  <c r="B8" i="88"/>
  <c r="B9" i="88"/>
  <c r="B10" i="88"/>
  <c r="B11" i="88"/>
  <c r="B12" i="88"/>
  <c r="B13" i="88"/>
  <c r="B14" i="88"/>
  <c r="B15" i="88"/>
  <c r="B16" i="88"/>
  <c r="B17" i="88"/>
  <c r="B18" i="88"/>
  <c r="B19" i="88"/>
  <c r="B20" i="88"/>
  <c r="B21" i="88"/>
  <c r="B22" i="88"/>
  <c r="B23" i="88"/>
  <c r="B24" i="88"/>
  <c r="B25" i="88"/>
  <c r="B26" i="88"/>
  <c r="B27" i="88"/>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C1" i="86"/>
  <c r="C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B1"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C1" i="85"/>
  <c r="C2" i="85"/>
  <c r="C3" i="85"/>
  <c r="C4" i="85"/>
  <c r="C5" i="85"/>
  <c r="C6" i="85"/>
  <c r="C7" i="85"/>
  <c r="C8" i="85"/>
  <c r="C9" i="85"/>
  <c r="C10" i="85"/>
  <c r="C11" i="85"/>
  <c r="C12" i="85"/>
  <c r="C13" i="85"/>
  <c r="C14" i="85"/>
  <c r="C15" i="85"/>
  <c r="C16" i="85"/>
  <c r="C17" i="85"/>
  <c r="C18" i="85"/>
  <c r="C19" i="85"/>
  <c r="C20" i="85"/>
  <c r="C21" i="85"/>
  <c r="C22" i="85"/>
  <c r="C23" i="85"/>
  <c r="C24" i="85"/>
  <c r="C25" i="85"/>
  <c r="C26" i="85"/>
  <c r="C27" i="85"/>
  <c r="C28" i="85"/>
  <c r="C29" i="85"/>
  <c r="C30" i="85"/>
  <c r="C31" i="85"/>
  <c r="C32" i="85"/>
  <c r="C33" i="85"/>
  <c r="C34" i="85"/>
  <c r="C35" i="85"/>
  <c r="C36" i="85"/>
  <c r="C37" i="85"/>
  <c r="C38" i="85"/>
  <c r="C39" i="85"/>
  <c r="C40" i="85"/>
  <c r="C41" i="85"/>
  <c r="C42" i="85"/>
  <c r="C43" i="85"/>
  <c r="C44" i="85"/>
  <c r="C45" i="85"/>
  <c r="C46" i="85"/>
  <c r="C47" i="85"/>
  <c r="C48" i="85"/>
  <c r="C49" i="85"/>
  <c r="C50" i="85"/>
  <c r="C51" i="85"/>
  <c r="C52" i="85"/>
  <c r="C53" i="85"/>
  <c r="C54" i="85"/>
  <c r="C55" i="85"/>
  <c r="C56" i="85"/>
  <c r="C57" i="85"/>
  <c r="C58" i="85"/>
  <c r="C59" i="85"/>
  <c r="C60" i="85"/>
  <c r="C61" i="85"/>
  <c r="C62" i="85"/>
  <c r="C63" i="85"/>
  <c r="C64" i="85"/>
  <c r="C65" i="85"/>
  <c r="C66" i="85"/>
  <c r="C67" i="85"/>
  <c r="C68" i="85"/>
  <c r="C69" i="85"/>
  <c r="C70" i="85"/>
  <c r="B1" i="85"/>
  <c r="B2" i="85"/>
  <c r="B3" i="85"/>
  <c r="B4" i="85"/>
  <c r="B5" i="85"/>
  <c r="B6" i="85"/>
  <c r="B7" i="85"/>
  <c r="B8" i="85"/>
  <c r="B9" i="85"/>
  <c r="B10" i="85"/>
  <c r="B11" i="85"/>
  <c r="B12" i="85"/>
  <c r="B13" i="85"/>
  <c r="B14" i="85"/>
  <c r="B15" i="85"/>
  <c r="B16" i="85"/>
  <c r="B17" i="85"/>
  <c r="B18" i="85"/>
  <c r="B19" i="85"/>
  <c r="B20" i="85"/>
  <c r="B21" i="85"/>
  <c r="B22" i="85"/>
  <c r="B23" i="85"/>
  <c r="B24" i="85"/>
  <c r="B25" i="85"/>
  <c r="B26" i="85"/>
  <c r="B27" i="85"/>
  <c r="B28" i="85"/>
  <c r="B29" i="85"/>
  <c r="B30" i="85"/>
  <c r="B31" i="85"/>
  <c r="B32" i="85"/>
  <c r="B33" i="85"/>
  <c r="B34" i="85"/>
  <c r="B35" i="85"/>
  <c r="B36" i="85"/>
  <c r="B37" i="85"/>
  <c r="B38" i="85"/>
  <c r="B39" i="85"/>
  <c r="B40" i="85"/>
  <c r="B41" i="85"/>
  <c r="B42" i="85"/>
  <c r="B43" i="85"/>
  <c r="B44" i="85"/>
  <c r="B45" i="85"/>
  <c r="B46" i="85"/>
  <c r="B47" i="85"/>
  <c r="B48" i="85"/>
  <c r="B49" i="85"/>
  <c r="B50" i="85"/>
  <c r="B51" i="85"/>
  <c r="B52" i="85"/>
  <c r="B53" i="85"/>
  <c r="B54" i="85"/>
  <c r="B55" i="85"/>
  <c r="B56" i="85"/>
  <c r="B57" i="85"/>
  <c r="B58" i="85"/>
  <c r="B59" i="85"/>
  <c r="B60" i="85"/>
  <c r="B61" i="85"/>
  <c r="B62" i="85"/>
  <c r="B63" i="85"/>
  <c r="B64" i="85"/>
  <c r="B65" i="85"/>
  <c r="B66" i="85"/>
  <c r="B67" i="85"/>
  <c r="B68" i="85"/>
  <c r="B69" i="85"/>
  <c r="B70" i="85"/>
  <c r="C1" i="83"/>
  <c r="C2" i="83"/>
  <c r="C3" i="83"/>
  <c r="C4" i="83"/>
  <c r="C5" i="83"/>
  <c r="C6" i="83"/>
  <c r="C7" i="83"/>
  <c r="C8" i="83"/>
  <c r="C9" i="83"/>
  <c r="C10" i="83"/>
  <c r="C11" i="83"/>
  <c r="C12" i="83"/>
  <c r="C13" i="83"/>
  <c r="C14" i="83"/>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C64" i="83"/>
  <c r="C65" i="83"/>
  <c r="C66" i="83"/>
  <c r="C67" i="83"/>
  <c r="C68" i="83"/>
  <c r="C69" i="83"/>
  <c r="C70" i="83"/>
  <c r="B1" i="83"/>
  <c r="B2" i="83"/>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C1" i="82"/>
  <c r="C2" i="82"/>
  <c r="C3" i="82"/>
  <c r="C4" i="82"/>
  <c r="C5" i="82"/>
  <c r="C6" i="82"/>
  <c r="C7" i="82"/>
  <c r="C8" i="82"/>
  <c r="C9" i="82"/>
  <c r="C10" i="82"/>
  <c r="C11" i="82"/>
  <c r="C12" i="82"/>
  <c r="C13" i="82"/>
  <c r="C14" i="82"/>
  <c r="C15" i="82"/>
  <c r="C16" i="82"/>
  <c r="C17" i="82"/>
  <c r="C18" i="82"/>
  <c r="C19" i="82"/>
  <c r="C20" i="82"/>
  <c r="C21" i="82"/>
  <c r="C22" i="82"/>
  <c r="C23" i="82"/>
  <c r="C24" i="82"/>
  <c r="C25" i="82"/>
  <c r="C26" i="82"/>
  <c r="C27" i="82"/>
  <c r="C28" i="82"/>
  <c r="C29" i="82"/>
  <c r="C30" i="82"/>
  <c r="C31" i="82"/>
  <c r="C32" i="82"/>
  <c r="C33" i="82"/>
  <c r="C34" i="82"/>
  <c r="C35" i="82"/>
  <c r="C36" i="82"/>
  <c r="C37" i="82"/>
  <c r="C38" i="82"/>
  <c r="C39" i="82"/>
  <c r="C40" i="82"/>
  <c r="C41" i="82"/>
  <c r="C42" i="82"/>
  <c r="C43" i="82"/>
  <c r="C44" i="82"/>
  <c r="C45" i="82"/>
  <c r="C46" i="82"/>
  <c r="C47" i="82"/>
  <c r="C48" i="82"/>
  <c r="C49" i="82"/>
  <c r="C50" i="82"/>
  <c r="C51" i="82"/>
  <c r="C52" i="82"/>
  <c r="C53" i="82"/>
  <c r="C54" i="82"/>
  <c r="C55" i="82"/>
  <c r="C56" i="82"/>
  <c r="C57" i="82"/>
  <c r="C58" i="82"/>
  <c r="C59" i="82"/>
  <c r="C60" i="82"/>
  <c r="C61" i="82"/>
  <c r="C62" i="82"/>
  <c r="C63" i="82"/>
  <c r="C64" i="82"/>
  <c r="C65" i="82"/>
  <c r="C66" i="82"/>
  <c r="C67" i="82"/>
  <c r="C68" i="82"/>
  <c r="C69" i="82"/>
  <c r="C70" i="82"/>
  <c r="B1" i="82"/>
  <c r="B2" i="82"/>
  <c r="B3" i="82"/>
  <c r="B4" i="82"/>
  <c r="B5" i="82"/>
  <c r="B6" i="82"/>
  <c r="B7" i="82"/>
  <c r="B8" i="82"/>
  <c r="B9" i="82"/>
  <c r="B10" i="82"/>
  <c r="B11" i="82"/>
  <c r="B12" i="82"/>
  <c r="B13" i="82"/>
  <c r="B14" i="82"/>
  <c r="B15" i="82"/>
  <c r="B16" i="82"/>
  <c r="B17" i="82"/>
  <c r="B18" i="82"/>
  <c r="B19" i="82"/>
  <c r="B20" i="82"/>
  <c r="B21" i="82"/>
  <c r="B22" i="82"/>
  <c r="B23" i="82"/>
  <c r="B24" i="82"/>
  <c r="B25" i="82"/>
  <c r="B26" i="82"/>
  <c r="B27" i="82"/>
  <c r="B28" i="82"/>
  <c r="B29" i="82"/>
  <c r="B30" i="82"/>
  <c r="B31" i="82"/>
  <c r="B32" i="82"/>
  <c r="B33" i="82"/>
  <c r="B34" i="82"/>
  <c r="B35" i="82"/>
  <c r="B36" i="82"/>
  <c r="B37" i="82"/>
  <c r="B38" i="82"/>
  <c r="B39" i="82"/>
  <c r="B40" i="82"/>
  <c r="B41" i="82"/>
  <c r="B42" i="82"/>
  <c r="B43" i="82"/>
  <c r="B44" i="82"/>
  <c r="B45" i="82"/>
  <c r="B46" i="82"/>
  <c r="B47" i="82"/>
  <c r="B48" i="82"/>
  <c r="B49" i="82"/>
  <c r="B50" i="82"/>
  <c r="B51" i="82"/>
  <c r="B52" i="82"/>
  <c r="B53" i="82"/>
  <c r="B54" i="82"/>
  <c r="B55" i="82"/>
  <c r="B56" i="82"/>
  <c r="B57" i="82"/>
  <c r="B58" i="82"/>
  <c r="B59" i="82"/>
  <c r="B60" i="82"/>
  <c r="B61" i="82"/>
  <c r="B62" i="82"/>
  <c r="B63" i="82"/>
  <c r="B64" i="82"/>
  <c r="B65" i="82"/>
  <c r="B66" i="82"/>
  <c r="B67" i="82"/>
  <c r="B68" i="82"/>
  <c r="B69" i="82"/>
  <c r="B70" i="82"/>
  <c r="C1" i="81"/>
  <c r="C2" i="81"/>
  <c r="C3" i="81"/>
  <c r="C4" i="81"/>
  <c r="C5" i="81"/>
  <c r="C6" i="81"/>
  <c r="C7" i="81"/>
  <c r="C8" i="81"/>
  <c r="C9" i="81"/>
  <c r="C10" i="81"/>
  <c r="C11" i="81"/>
  <c r="C12" i="81"/>
  <c r="C13" i="81"/>
  <c r="C14" i="81"/>
  <c r="C15" i="81"/>
  <c r="C16" i="81"/>
  <c r="C17" i="81"/>
  <c r="C18" i="81"/>
  <c r="C19" i="81"/>
  <c r="C20" i="81"/>
  <c r="C21" i="81"/>
  <c r="C22" i="81"/>
  <c r="C23" i="81"/>
  <c r="C24" i="81"/>
  <c r="C25" i="81"/>
  <c r="C26" i="81"/>
  <c r="C27" i="81"/>
  <c r="C28" i="81"/>
  <c r="C29" i="81"/>
  <c r="C30" i="81"/>
  <c r="C31" i="81"/>
  <c r="C32" i="81"/>
  <c r="C33" i="81"/>
  <c r="C34" i="81"/>
  <c r="C35" i="81"/>
  <c r="C36" i="81"/>
  <c r="C37" i="81"/>
  <c r="C38" i="81"/>
  <c r="C39" i="81"/>
  <c r="C40" i="81"/>
  <c r="C41" i="81"/>
  <c r="C42" i="81"/>
  <c r="C43" i="81"/>
  <c r="C44" i="81"/>
  <c r="C45" i="81"/>
  <c r="C46" i="81"/>
  <c r="C47" i="81"/>
  <c r="C48" i="81"/>
  <c r="C49" i="81"/>
  <c r="C50" i="81"/>
  <c r="C51" i="81"/>
  <c r="C52" i="81"/>
  <c r="C53" i="81"/>
  <c r="C54" i="81"/>
  <c r="C55" i="81"/>
  <c r="C56" i="81"/>
  <c r="C57" i="81"/>
  <c r="C58" i="81"/>
  <c r="C59" i="81"/>
  <c r="C60" i="81"/>
  <c r="C61" i="81"/>
  <c r="C62" i="81"/>
  <c r="C63" i="81"/>
  <c r="C64" i="81"/>
  <c r="C65" i="81"/>
  <c r="C66" i="81"/>
  <c r="C67" i="81"/>
  <c r="C68" i="81"/>
  <c r="C69" i="81"/>
  <c r="C70" i="81"/>
  <c r="C71" i="81"/>
  <c r="C72" i="81"/>
  <c r="C73" i="81"/>
  <c r="C74" i="81"/>
  <c r="C75" i="81"/>
  <c r="C76" i="81"/>
  <c r="C77" i="81"/>
  <c r="C78" i="81"/>
  <c r="C79" i="81"/>
  <c r="C80" i="81"/>
  <c r="C81" i="81"/>
  <c r="C82" i="81"/>
  <c r="C83" i="81"/>
  <c r="C84" i="81"/>
  <c r="C85" i="81"/>
  <c r="C86" i="81"/>
  <c r="C87" i="81"/>
  <c r="C88" i="81"/>
  <c r="C89" i="81"/>
  <c r="C90" i="81"/>
  <c r="C91" i="81"/>
  <c r="C92" i="81"/>
  <c r="C93" i="81"/>
  <c r="C94" i="81"/>
  <c r="C95" i="81"/>
  <c r="C96" i="81"/>
  <c r="C97" i="81"/>
  <c r="C98" i="81"/>
  <c r="C99" i="81"/>
  <c r="C100" i="81"/>
  <c r="B1" i="81"/>
  <c r="B2" i="81"/>
  <c r="B3" i="81"/>
  <c r="B4" i="81"/>
  <c r="B5" i="81"/>
  <c r="B6" i="81"/>
  <c r="B7" i="81"/>
  <c r="B8" i="81"/>
  <c r="B9" i="81"/>
  <c r="B10" i="81"/>
  <c r="B11" i="81"/>
  <c r="B12" i="81"/>
  <c r="B13" i="81"/>
  <c r="B14" i="81"/>
  <c r="B15" i="81"/>
  <c r="B16" i="81"/>
  <c r="B17" i="81"/>
  <c r="B18" i="81"/>
  <c r="B19" i="81"/>
  <c r="B20" i="81"/>
  <c r="B21" i="81"/>
  <c r="B22" i="81"/>
  <c r="B23" i="81"/>
  <c r="B24" i="81"/>
  <c r="B25" i="81"/>
  <c r="B26" i="81"/>
  <c r="B27" i="81"/>
  <c r="B28" i="81"/>
  <c r="B29" i="81"/>
  <c r="B30" i="81"/>
  <c r="B31" i="81"/>
  <c r="B32" i="81"/>
  <c r="B33" i="81"/>
  <c r="B34" i="81"/>
  <c r="B35" i="81"/>
  <c r="B36" i="81"/>
  <c r="B37" i="81"/>
  <c r="B38" i="81"/>
  <c r="B39" i="81"/>
  <c r="B40" i="81"/>
  <c r="B41" i="81"/>
  <c r="B42" i="81"/>
  <c r="B43" i="81"/>
  <c r="B44" i="81"/>
  <c r="B45" i="81"/>
  <c r="B46" i="81"/>
  <c r="B47" i="81"/>
  <c r="B48" i="81"/>
  <c r="B49" i="81"/>
  <c r="B50" i="81"/>
  <c r="B51" i="81"/>
  <c r="B52" i="81"/>
  <c r="B53" i="81"/>
  <c r="B54" i="81"/>
  <c r="B55" i="81"/>
  <c r="B56" i="81"/>
  <c r="B57" i="81"/>
  <c r="B58" i="81"/>
  <c r="B59" i="81"/>
  <c r="B60" i="81"/>
  <c r="B61" i="81"/>
  <c r="B62" i="81"/>
  <c r="B63" i="81"/>
  <c r="B64" i="81"/>
  <c r="B65" i="81"/>
  <c r="B66" i="81"/>
  <c r="B67" i="81"/>
  <c r="B68" i="81"/>
  <c r="B69" i="81"/>
  <c r="B70" i="81"/>
  <c r="B71" i="81"/>
  <c r="B72" i="81"/>
  <c r="B73" i="81"/>
  <c r="B74" i="81"/>
  <c r="B75" i="81"/>
  <c r="B76" i="81"/>
  <c r="B77" i="81"/>
  <c r="B78" i="81"/>
  <c r="B79" i="81"/>
  <c r="B80" i="81"/>
  <c r="B81" i="81"/>
  <c r="B82" i="81"/>
  <c r="B83" i="81"/>
  <c r="B84" i="81"/>
  <c r="B85" i="81"/>
  <c r="B86" i="81"/>
  <c r="B87" i="81"/>
  <c r="B88" i="81"/>
  <c r="B89" i="81"/>
  <c r="B90" i="81"/>
  <c r="B91" i="81"/>
  <c r="B92" i="81"/>
  <c r="B93" i="81"/>
  <c r="B94" i="81"/>
  <c r="B95" i="81"/>
  <c r="B96" i="81"/>
  <c r="B97" i="81"/>
  <c r="B98" i="81"/>
  <c r="B99" i="81"/>
  <c r="B100" i="81"/>
  <c r="C1" i="80"/>
  <c r="C2" i="80"/>
  <c r="C3" i="80"/>
  <c r="C4" i="80"/>
  <c r="C5" i="80"/>
  <c r="C6" i="80"/>
  <c r="C7" i="80"/>
  <c r="C8" i="80"/>
  <c r="C9" i="80"/>
  <c r="C10" i="80"/>
  <c r="C11" i="80"/>
  <c r="C12" i="80"/>
  <c r="C13" i="80"/>
  <c r="C14" i="80"/>
  <c r="C15" i="80"/>
  <c r="C16" i="80"/>
  <c r="C17" i="80"/>
  <c r="C18" i="80"/>
  <c r="C19" i="80"/>
  <c r="C20" i="80"/>
  <c r="C21" i="80"/>
  <c r="C22" i="80"/>
  <c r="C23" i="80"/>
  <c r="C24" i="80"/>
  <c r="C25" i="80"/>
  <c r="C26" i="80"/>
  <c r="C27" i="80"/>
  <c r="C28" i="80"/>
  <c r="C29" i="80"/>
  <c r="C30" i="80"/>
  <c r="C31" i="80"/>
  <c r="C32" i="80"/>
  <c r="C33" i="80"/>
  <c r="C34" i="80"/>
  <c r="C35" i="80"/>
  <c r="C36" i="80"/>
  <c r="C37" i="80"/>
  <c r="C38" i="80"/>
  <c r="C39" i="80"/>
  <c r="C40" i="80"/>
  <c r="C41" i="80"/>
  <c r="C42" i="80"/>
  <c r="C43" i="80"/>
  <c r="C44" i="80"/>
  <c r="C45" i="80"/>
  <c r="C46" i="80"/>
  <c r="C47" i="80"/>
  <c r="C48" i="80"/>
  <c r="C49" i="80"/>
  <c r="C50" i="80"/>
  <c r="C51" i="80"/>
  <c r="C52" i="80"/>
  <c r="C53" i="80"/>
  <c r="C54" i="80"/>
  <c r="C55" i="80"/>
  <c r="C56" i="80"/>
  <c r="C57" i="80"/>
  <c r="C58" i="80"/>
  <c r="C59" i="80"/>
  <c r="C60" i="80"/>
  <c r="C61" i="80"/>
  <c r="C62" i="80"/>
  <c r="C63" i="80"/>
  <c r="C64" i="80"/>
  <c r="C65" i="80"/>
  <c r="C66" i="80"/>
  <c r="C67" i="80"/>
  <c r="C68" i="80"/>
  <c r="C69" i="80"/>
  <c r="C70" i="80"/>
  <c r="C71" i="80"/>
  <c r="C72" i="80"/>
  <c r="C73" i="80"/>
  <c r="C74" i="80"/>
  <c r="C75" i="80"/>
  <c r="C76" i="80"/>
  <c r="C77" i="80"/>
  <c r="C78" i="80"/>
  <c r="C79" i="80"/>
  <c r="C80" i="80"/>
  <c r="C81" i="80"/>
  <c r="C82" i="80"/>
  <c r="C83" i="80"/>
  <c r="C84" i="80"/>
  <c r="C85" i="80"/>
  <c r="C86" i="80"/>
  <c r="C87" i="80"/>
  <c r="C88" i="80"/>
  <c r="C89" i="80"/>
  <c r="C90" i="80"/>
  <c r="C91" i="80"/>
  <c r="C92" i="80"/>
  <c r="C93" i="80"/>
  <c r="C94" i="80"/>
  <c r="C95" i="80"/>
  <c r="C96" i="80"/>
  <c r="C97" i="80"/>
  <c r="C98" i="80"/>
  <c r="C99" i="80"/>
  <c r="C100" i="80"/>
  <c r="B1" i="80"/>
  <c r="B2" i="80"/>
  <c r="B3" i="80"/>
  <c r="B4" i="80"/>
  <c r="B5" i="80"/>
  <c r="B6" i="80"/>
  <c r="B7" i="80"/>
  <c r="B8" i="80"/>
  <c r="B9" i="80"/>
  <c r="B10" i="80"/>
  <c r="B11" i="80"/>
  <c r="B12" i="80"/>
  <c r="B13" i="80"/>
  <c r="B14" i="80"/>
  <c r="B15" i="80"/>
  <c r="B16" i="80"/>
  <c r="B17" i="80"/>
  <c r="B18" i="80"/>
  <c r="B19" i="80"/>
  <c r="B20" i="80"/>
  <c r="B21" i="80"/>
  <c r="B22" i="80"/>
  <c r="B23" i="80"/>
  <c r="B24" i="80"/>
  <c r="B25" i="80"/>
  <c r="B26" i="80"/>
  <c r="B27" i="80"/>
  <c r="B28" i="80"/>
  <c r="B29" i="80"/>
  <c r="B30" i="80"/>
  <c r="B31" i="80"/>
  <c r="B32" i="80"/>
  <c r="B33" i="80"/>
  <c r="B34" i="80"/>
  <c r="B35" i="80"/>
  <c r="B36" i="80"/>
  <c r="B37" i="80"/>
  <c r="B38" i="80"/>
  <c r="B39" i="80"/>
  <c r="B40" i="80"/>
  <c r="B41" i="80"/>
  <c r="B42" i="80"/>
  <c r="B43" i="80"/>
  <c r="B44" i="80"/>
  <c r="B45" i="80"/>
  <c r="B46" i="80"/>
  <c r="B47" i="80"/>
  <c r="B48" i="80"/>
  <c r="B49" i="80"/>
  <c r="B50" i="80"/>
  <c r="B51" i="80"/>
  <c r="B52" i="80"/>
  <c r="B53" i="80"/>
  <c r="B54" i="80"/>
  <c r="B55" i="80"/>
  <c r="B56" i="80"/>
  <c r="B57" i="80"/>
  <c r="B58" i="80"/>
  <c r="B59" i="80"/>
  <c r="B60" i="80"/>
  <c r="B61" i="80"/>
  <c r="B62" i="80"/>
  <c r="B63" i="80"/>
  <c r="B64" i="80"/>
  <c r="B65" i="80"/>
  <c r="B66" i="80"/>
  <c r="B67" i="80"/>
  <c r="B68" i="80"/>
  <c r="B69" i="80"/>
  <c r="B70" i="80"/>
  <c r="B71" i="80"/>
  <c r="B72" i="80"/>
  <c r="B73" i="80"/>
  <c r="B74" i="80"/>
  <c r="B75" i="80"/>
  <c r="B76" i="80"/>
  <c r="B77" i="80"/>
  <c r="B78" i="80"/>
  <c r="B79" i="80"/>
  <c r="B80" i="80"/>
  <c r="B81" i="80"/>
  <c r="B82" i="80"/>
  <c r="B83" i="80"/>
  <c r="B84" i="80"/>
  <c r="B85" i="80"/>
  <c r="B86" i="80"/>
  <c r="B87" i="80"/>
  <c r="B88" i="80"/>
  <c r="B89" i="80"/>
  <c r="B90" i="80"/>
  <c r="B91" i="80"/>
  <c r="B92" i="80"/>
  <c r="B93" i="80"/>
  <c r="B94" i="80"/>
  <c r="B95" i="80"/>
  <c r="B96" i="80"/>
  <c r="B97" i="80"/>
  <c r="B98" i="80"/>
  <c r="B99" i="80"/>
  <c r="B100" i="80"/>
  <c r="C1" i="79"/>
  <c r="C2" i="79"/>
  <c r="C3" i="79"/>
  <c r="C4" i="79"/>
  <c r="C5" i="79"/>
  <c r="C6" i="79"/>
  <c r="C7" i="79"/>
  <c r="C8" i="79"/>
  <c r="C9" i="79"/>
  <c r="C10" i="79"/>
  <c r="C11" i="79"/>
  <c r="C12" i="79"/>
  <c r="C13" i="79"/>
  <c r="C14" i="79"/>
  <c r="C15" i="79"/>
  <c r="C16" i="79"/>
  <c r="C17" i="79"/>
  <c r="C18" i="79"/>
  <c r="C19" i="79"/>
  <c r="C20" i="79"/>
  <c r="C21" i="79"/>
  <c r="C22" i="79"/>
  <c r="C23" i="79"/>
  <c r="C24" i="79"/>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B1" i="79"/>
  <c r="B2" i="79"/>
  <c r="B3" i="79"/>
  <c r="B4" i="79"/>
  <c r="B5" i="79"/>
  <c r="B6" i="79"/>
  <c r="B7" i="79"/>
  <c r="B8" i="79"/>
  <c r="B9" i="79"/>
  <c r="B10" i="79"/>
  <c r="B11" i="79"/>
  <c r="B12" i="79"/>
  <c r="B13" i="79"/>
  <c r="B14" i="79"/>
  <c r="B15" i="79"/>
  <c r="B16" i="79"/>
  <c r="B17" i="79"/>
  <c r="B18" i="79"/>
  <c r="B19" i="79"/>
  <c r="B20" i="79"/>
  <c r="B21" i="79"/>
  <c r="B22" i="79"/>
  <c r="B23" i="79"/>
  <c r="B24" i="79"/>
  <c r="B25" i="79"/>
  <c r="B26" i="79"/>
  <c r="B27" i="79"/>
  <c r="B28" i="79"/>
  <c r="B29" i="79"/>
  <c r="B30" i="79"/>
  <c r="B31" i="79"/>
  <c r="B32" i="79"/>
  <c r="B33" i="79"/>
  <c r="B34" i="79"/>
  <c r="B35" i="79"/>
  <c r="B36" i="79"/>
  <c r="B37" i="79"/>
  <c r="B38" i="79"/>
  <c r="B39" i="79"/>
  <c r="B40" i="79"/>
  <c r="B41" i="79"/>
  <c r="B42" i="79"/>
  <c r="B43" i="79"/>
  <c r="B44" i="79"/>
  <c r="B45" i="79"/>
  <c r="B46" i="79"/>
  <c r="B47" i="79"/>
  <c r="B48" i="79"/>
  <c r="B49" i="79"/>
  <c r="B50" i="79"/>
  <c r="B51" i="79"/>
  <c r="B52" i="79"/>
  <c r="B53" i="79"/>
  <c r="B54" i="79"/>
  <c r="B55" i="79"/>
  <c r="B56" i="79"/>
  <c r="B57" i="79"/>
  <c r="B58" i="79"/>
  <c r="B59" i="79"/>
  <c r="B60" i="79"/>
  <c r="B61" i="79"/>
  <c r="B62" i="79"/>
  <c r="B63" i="79"/>
  <c r="B64" i="79"/>
  <c r="B65" i="79"/>
  <c r="B66" i="79"/>
  <c r="B67" i="79"/>
  <c r="B68" i="79"/>
  <c r="B69" i="79"/>
  <c r="B70" i="79"/>
  <c r="C1" i="78"/>
  <c r="C2" i="78"/>
  <c r="C3" i="78"/>
  <c r="C4" i="78"/>
  <c r="C5" i="78"/>
  <c r="C6" i="78"/>
  <c r="C7" i="78"/>
  <c r="C8" i="78"/>
  <c r="C9" i="78"/>
  <c r="C10" i="78"/>
  <c r="C11" i="78"/>
  <c r="C12" i="78"/>
  <c r="C13" i="78"/>
  <c r="C14" i="78"/>
  <c r="C15" i="78"/>
  <c r="C16" i="78"/>
  <c r="C17" i="78"/>
  <c r="C18" i="78"/>
  <c r="C19" i="78"/>
  <c r="C20" i="78"/>
  <c r="C21" i="78"/>
  <c r="C22" i="78"/>
  <c r="C23" i="78"/>
  <c r="C24" i="78"/>
  <c r="C25"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B1" i="78"/>
  <c r="B2" i="78"/>
  <c r="B3" i="78"/>
  <c r="B4" i="78"/>
  <c r="B5" i="78"/>
  <c r="B6" i="78"/>
  <c r="B7" i="78"/>
  <c r="B8" i="78"/>
  <c r="B9" i="78"/>
  <c r="B10" i="78"/>
  <c r="B11" i="78"/>
  <c r="B12" i="78"/>
  <c r="B13" i="78"/>
  <c r="B14" i="78"/>
  <c r="B15" i="78"/>
  <c r="B16" i="78"/>
  <c r="B17" i="78"/>
  <c r="B18" i="78"/>
  <c r="B19" i="78"/>
  <c r="B20" i="78"/>
  <c r="B21" i="78"/>
  <c r="B22" i="78"/>
  <c r="B23" i="78"/>
  <c r="B24" i="78"/>
  <c r="B25" i="78"/>
  <c r="B26" i="78"/>
  <c r="B27" i="78"/>
  <c r="B28" i="78"/>
  <c r="B29" i="78"/>
  <c r="B30" i="78"/>
  <c r="B31" i="78"/>
  <c r="B32" i="78"/>
  <c r="B33" i="78"/>
  <c r="B34" i="78"/>
  <c r="B35" i="78"/>
  <c r="B36" i="78"/>
  <c r="B37" i="78"/>
  <c r="B38" i="78"/>
  <c r="B39" i="78"/>
  <c r="B40" i="78"/>
  <c r="B41" i="78"/>
  <c r="B42" i="78"/>
  <c r="B43" i="78"/>
  <c r="B44" i="78"/>
  <c r="B45" i="78"/>
  <c r="B46" i="78"/>
  <c r="B47" i="78"/>
  <c r="B48" i="78"/>
  <c r="B49" i="78"/>
  <c r="B50" i="78"/>
  <c r="B51" i="78"/>
  <c r="B52" i="78"/>
  <c r="B53" i="78"/>
  <c r="B54" i="78"/>
  <c r="B55" i="78"/>
  <c r="B56" i="78"/>
  <c r="B57" i="78"/>
  <c r="B58" i="78"/>
  <c r="B59" i="78"/>
  <c r="B60" i="78"/>
  <c r="B61" i="78"/>
  <c r="B62" i="78"/>
  <c r="B63" i="78"/>
  <c r="B64" i="78"/>
  <c r="B65" i="78"/>
  <c r="B66" i="78"/>
  <c r="B67" i="78"/>
  <c r="B68" i="78"/>
  <c r="B69" i="78"/>
  <c r="B70" i="78"/>
  <c r="C1" i="74"/>
  <c r="C2" i="74"/>
  <c r="C3" i="74"/>
  <c r="C4" i="74"/>
  <c r="C5" i="74"/>
  <c r="C6" i="74"/>
  <c r="C7" i="74"/>
  <c r="C8" i="74"/>
  <c r="C9" i="74"/>
  <c r="C10" i="74"/>
  <c r="C11" i="74"/>
  <c r="C12" i="74"/>
  <c r="C13" i="74"/>
  <c r="C14" i="74"/>
  <c r="C15" i="74"/>
  <c r="C16" i="74"/>
  <c r="C17"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C69" i="74"/>
  <c r="C70" i="74"/>
  <c r="B1" i="74"/>
  <c r="B2" i="74"/>
  <c r="B3" i="74"/>
  <c r="B4" i="74"/>
  <c r="B5" i="74"/>
  <c r="B6" i="74"/>
  <c r="B7" i="74"/>
  <c r="B8" i="74"/>
  <c r="B9" i="74"/>
  <c r="B10" i="74"/>
  <c r="B11" i="74"/>
  <c r="B12" i="74"/>
  <c r="B13" i="74"/>
  <c r="B14" i="74"/>
  <c r="B15" i="74"/>
  <c r="B16" i="74"/>
  <c r="B17" i="74"/>
  <c r="B18" i="74"/>
  <c r="B19" i="74"/>
  <c r="B20" i="74"/>
  <c r="B21" i="74"/>
  <c r="B22" i="74"/>
  <c r="B23" i="74"/>
  <c r="B24" i="74"/>
  <c r="B25" i="74"/>
  <c r="B26" i="74"/>
  <c r="B27" i="74"/>
  <c r="B28" i="74"/>
  <c r="B29" i="74"/>
  <c r="B30" i="74"/>
  <c r="B31" i="74"/>
  <c r="B32" i="74"/>
  <c r="B33" i="74"/>
  <c r="B34" i="74"/>
  <c r="B35" i="74"/>
  <c r="B36" i="74"/>
  <c r="B37" i="74"/>
  <c r="B38" i="74"/>
  <c r="B39" i="74"/>
  <c r="B40" i="74"/>
  <c r="B41" i="74"/>
  <c r="B42" i="74"/>
  <c r="B43" i="74"/>
  <c r="B44" i="74"/>
  <c r="B45" i="74"/>
  <c r="B46" i="74"/>
  <c r="B47" i="74"/>
  <c r="B48" i="74"/>
  <c r="B49" i="74"/>
  <c r="B50" i="74"/>
  <c r="B51" i="74"/>
  <c r="B52" i="74"/>
  <c r="B53" i="74"/>
  <c r="B54" i="74"/>
  <c r="B55" i="74"/>
  <c r="B56" i="74"/>
  <c r="B57" i="74"/>
  <c r="B58" i="74"/>
  <c r="B59" i="74"/>
  <c r="B60" i="74"/>
  <c r="B61" i="74"/>
  <c r="B62" i="74"/>
  <c r="B63" i="74"/>
  <c r="B64" i="74"/>
  <c r="B65" i="74"/>
  <c r="B66" i="74"/>
  <c r="B67" i="74"/>
  <c r="B68" i="74"/>
  <c r="B69" i="74"/>
  <c r="B70" i="74"/>
  <c r="C1" i="73"/>
  <c r="C2" i="73"/>
  <c r="C3" i="73"/>
  <c r="C4" i="73"/>
  <c r="C5" i="73"/>
  <c r="C6" i="73"/>
  <c r="C7" i="73"/>
  <c r="C8" i="73"/>
  <c r="C9" i="73"/>
  <c r="C10" i="73"/>
  <c r="C11" i="73"/>
  <c r="C12" i="73"/>
  <c r="C13" i="73"/>
  <c r="C14" i="73"/>
  <c r="C15" i="73"/>
  <c r="C16" i="73"/>
  <c r="C17" i="73"/>
  <c r="C18" i="73"/>
  <c r="C19" i="73"/>
  <c r="C20" i="73"/>
  <c r="C21" i="73"/>
  <c r="C22" i="73"/>
  <c r="C23" i="73"/>
  <c r="C24" i="73"/>
  <c r="C25" i="73"/>
  <c r="C26" i="73"/>
  <c r="C27" i="73"/>
  <c r="C28" i="73"/>
  <c r="C29" i="73"/>
  <c r="C30" i="73"/>
  <c r="C31" i="73"/>
  <c r="C32" i="73"/>
  <c r="C33" i="73"/>
  <c r="C34" i="73"/>
  <c r="C35" i="73"/>
  <c r="C36" i="73"/>
  <c r="C37" i="73"/>
  <c r="C38" i="73"/>
  <c r="C39" i="73"/>
  <c r="C40" i="73"/>
  <c r="C41" i="73"/>
  <c r="C42" i="73"/>
  <c r="C43" i="73"/>
  <c r="C44" i="73"/>
  <c r="C45" i="73"/>
  <c r="C46" i="73"/>
  <c r="C47" i="73"/>
  <c r="C48" i="73"/>
  <c r="C49" i="73"/>
  <c r="C50" i="73"/>
  <c r="C51" i="73"/>
  <c r="C52" i="73"/>
  <c r="C53" i="73"/>
  <c r="C54" i="73"/>
  <c r="C55" i="73"/>
  <c r="C56" i="73"/>
  <c r="C57" i="73"/>
  <c r="C58" i="73"/>
  <c r="C59" i="73"/>
  <c r="C60" i="73"/>
  <c r="C61" i="73"/>
  <c r="C62" i="73"/>
  <c r="C63" i="73"/>
  <c r="C64" i="73"/>
  <c r="C65" i="73"/>
  <c r="C66" i="73"/>
  <c r="C67" i="73"/>
  <c r="C68" i="73"/>
  <c r="C69" i="73"/>
  <c r="C70" i="73"/>
  <c r="B1" i="73"/>
  <c r="B2" i="73"/>
  <c r="B3" i="73"/>
  <c r="B4" i="73"/>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41" i="73"/>
  <c r="B42" i="73"/>
  <c r="B43" i="73"/>
  <c r="B44" i="73"/>
  <c r="B45" i="73"/>
  <c r="B46" i="73"/>
  <c r="B47" i="73"/>
  <c r="B48" i="73"/>
  <c r="B49" i="73"/>
  <c r="B50" i="73"/>
  <c r="B51" i="73"/>
  <c r="B52" i="73"/>
  <c r="B53" i="73"/>
  <c r="B54" i="73"/>
  <c r="B55" i="73"/>
  <c r="B56" i="73"/>
  <c r="B57" i="73"/>
  <c r="B58" i="73"/>
  <c r="B59" i="73"/>
  <c r="B60" i="73"/>
  <c r="B61" i="73"/>
  <c r="B62" i="73"/>
  <c r="B63" i="73"/>
  <c r="B64" i="73"/>
  <c r="B65" i="73"/>
  <c r="B66" i="73"/>
  <c r="B67" i="73"/>
  <c r="B68" i="73"/>
  <c r="B69" i="73"/>
  <c r="B70" i="73"/>
  <c r="C1" i="71"/>
  <c r="C2" i="71"/>
  <c r="C3" i="71"/>
  <c r="C4" i="71"/>
  <c r="C5" i="71"/>
  <c r="C6" i="71"/>
  <c r="C7" i="71"/>
  <c r="C8" i="71"/>
  <c r="C9" i="71"/>
  <c r="C10" i="71"/>
  <c r="C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B1" i="71"/>
  <c r="B2" i="71"/>
  <c r="B3" i="71"/>
  <c r="B4" i="71"/>
  <c r="B5" i="71"/>
  <c r="B6" i="71"/>
  <c r="B7" i="71"/>
  <c r="B8" i="71"/>
  <c r="B9" i="71"/>
  <c r="B10" i="71"/>
  <c r="B11" i="71"/>
  <c r="B12" i="71"/>
  <c r="B13" i="71"/>
  <c r="B14" i="71"/>
  <c r="B15" i="71"/>
  <c r="B16" i="71"/>
  <c r="B17" i="71"/>
  <c r="B18" i="71"/>
  <c r="B19" i="71"/>
  <c r="B20" i="71"/>
  <c r="B21" i="71"/>
  <c r="B22" i="71"/>
  <c r="B23" i="71"/>
  <c r="B24" i="71"/>
  <c r="B25" i="71"/>
  <c r="B26" i="71"/>
  <c r="B27" i="71"/>
  <c r="B28" i="71"/>
  <c r="B29" i="71"/>
  <c r="B30" i="71"/>
  <c r="B31" i="71"/>
  <c r="B32" i="71"/>
  <c r="B33" i="71"/>
  <c r="B34" i="71"/>
  <c r="B35" i="71"/>
  <c r="B36" i="71"/>
  <c r="B37" i="71"/>
  <c r="B38" i="71"/>
  <c r="B39" i="71"/>
  <c r="B40" i="71"/>
  <c r="B41" i="71"/>
  <c r="B42" i="71"/>
  <c r="B43" i="71"/>
  <c r="B44" i="71"/>
  <c r="B45" i="71"/>
  <c r="B46" i="71"/>
  <c r="B47" i="71"/>
  <c r="B48" i="71"/>
  <c r="B49" i="71"/>
  <c r="B50" i="71"/>
  <c r="B51" i="71"/>
  <c r="B52" i="71"/>
  <c r="B53" i="71"/>
  <c r="B54" i="71"/>
  <c r="B55" i="71"/>
  <c r="B56" i="71"/>
  <c r="B57" i="71"/>
  <c r="B58" i="71"/>
  <c r="B59" i="71"/>
  <c r="B60" i="71"/>
  <c r="B61" i="71"/>
  <c r="B62" i="71"/>
  <c r="B63" i="71"/>
  <c r="B64" i="71"/>
  <c r="B65" i="71"/>
  <c r="B66" i="71"/>
  <c r="B67" i="71"/>
  <c r="B68" i="71"/>
  <c r="B69" i="71"/>
  <c r="B70" i="71"/>
  <c r="C1" i="70"/>
  <c r="C2" i="70"/>
  <c r="C3" i="70"/>
  <c r="C4" i="70"/>
  <c r="C5" i="70"/>
  <c r="C6" i="70"/>
  <c r="C7" i="70"/>
  <c r="C8" i="70"/>
  <c r="C9" i="70"/>
  <c r="C10" i="70"/>
  <c r="C11" i="70"/>
  <c r="C12" i="70"/>
  <c r="C13" i="70"/>
  <c r="C14" i="70"/>
  <c r="C15" i="70"/>
  <c r="C16" i="70"/>
  <c r="C17" i="70"/>
  <c r="C18" i="70"/>
  <c r="C19" i="70"/>
  <c r="C20" i="70"/>
  <c r="C21" i="70"/>
  <c r="C22" i="70"/>
  <c r="C23" i="70"/>
  <c r="C24" i="70"/>
  <c r="C25" i="70"/>
  <c r="C26" i="70"/>
  <c r="C27" i="70"/>
  <c r="C28" i="70"/>
  <c r="C29" i="70"/>
  <c r="C30" i="70"/>
  <c r="C31" i="70"/>
  <c r="C32" i="70"/>
  <c r="C33" i="70"/>
  <c r="C34" i="70"/>
  <c r="C35" i="70"/>
  <c r="C36" i="70"/>
  <c r="C37" i="70"/>
  <c r="C38" i="70"/>
  <c r="C39" i="70"/>
  <c r="C40" i="70"/>
  <c r="C41" i="70"/>
  <c r="C42" i="70"/>
  <c r="C43" i="70"/>
  <c r="C44" i="70"/>
  <c r="C45" i="70"/>
  <c r="C46" i="70"/>
  <c r="C47" i="70"/>
  <c r="C48" i="70"/>
  <c r="C49" i="70"/>
  <c r="C50" i="70"/>
  <c r="C51" i="70"/>
  <c r="C52" i="70"/>
  <c r="C53" i="70"/>
  <c r="C54" i="70"/>
  <c r="C55" i="70"/>
  <c r="C56" i="70"/>
  <c r="C57" i="70"/>
  <c r="C58" i="70"/>
  <c r="C59" i="70"/>
  <c r="C60" i="70"/>
  <c r="C61" i="70"/>
  <c r="C62" i="70"/>
  <c r="C63" i="70"/>
  <c r="C64" i="70"/>
  <c r="C65" i="70"/>
  <c r="C66" i="70"/>
  <c r="C67" i="70"/>
  <c r="C68" i="70"/>
  <c r="C69" i="70"/>
  <c r="C70" i="70"/>
  <c r="B1" i="70"/>
  <c r="B2" i="70"/>
  <c r="B3" i="70"/>
  <c r="B4" i="70"/>
  <c r="B5" i="70"/>
  <c r="B6" i="70"/>
  <c r="B7" i="70"/>
  <c r="B8" i="70"/>
  <c r="B9" i="70"/>
  <c r="B10" i="70"/>
  <c r="B11" i="70"/>
  <c r="B12" i="70"/>
  <c r="B13" i="70"/>
  <c r="B14" i="70"/>
  <c r="B1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43" i="70"/>
  <c r="B44" i="70"/>
  <c r="B45" i="70"/>
  <c r="B46" i="70"/>
  <c r="B47" i="70"/>
  <c r="B48" i="70"/>
  <c r="B49" i="70"/>
  <c r="B50" i="70"/>
  <c r="B51" i="70"/>
  <c r="B52" i="70"/>
  <c r="B53" i="70"/>
  <c r="B54" i="70"/>
  <c r="B55" i="70"/>
  <c r="B56" i="70"/>
  <c r="B57" i="70"/>
  <c r="B58" i="70"/>
  <c r="B59" i="70"/>
  <c r="B60" i="70"/>
  <c r="B61" i="70"/>
  <c r="B62" i="70"/>
  <c r="B63" i="70"/>
  <c r="B64" i="70"/>
  <c r="B65" i="70"/>
  <c r="B66" i="70"/>
  <c r="B67" i="70"/>
  <c r="B68" i="70"/>
  <c r="B69" i="70"/>
  <c r="B70" i="70"/>
  <c r="C1" i="67"/>
  <c r="C2" i="67"/>
  <c r="C3" i="67"/>
  <c r="C4" i="67"/>
  <c r="C5" i="67"/>
  <c r="C6" i="67"/>
  <c r="C7" i="67"/>
  <c r="C8" i="67"/>
  <c r="C9" i="67"/>
  <c r="C10" i="67"/>
  <c r="C11" i="67"/>
  <c r="C12" i="67"/>
  <c r="C13" i="67"/>
  <c r="C14" i="67"/>
  <c r="C15" i="67"/>
  <c r="C16" i="67"/>
  <c r="C17" i="67"/>
  <c r="C18" i="67"/>
  <c r="C19" i="67"/>
  <c r="C20" i="67"/>
  <c r="C21" i="67"/>
  <c r="C22" i="67"/>
  <c r="C23" i="67"/>
  <c r="C24" i="67"/>
  <c r="C25" i="67"/>
  <c r="C26" i="67"/>
  <c r="C27" i="67"/>
  <c r="C28" i="67"/>
  <c r="C29" i="67"/>
  <c r="C30" i="67"/>
  <c r="C31" i="67"/>
  <c r="C32" i="67"/>
  <c r="C33" i="67"/>
  <c r="C34" i="67"/>
  <c r="C35" i="67"/>
  <c r="C36" i="67"/>
  <c r="C37" i="67"/>
  <c r="C38" i="67"/>
  <c r="C39" i="67"/>
  <c r="C40" i="67"/>
  <c r="C41" i="67"/>
  <c r="C42" i="67"/>
  <c r="C43" i="67"/>
  <c r="C44" i="67"/>
  <c r="C45" i="67"/>
  <c r="C46" i="67"/>
  <c r="C47" i="67"/>
  <c r="C48" i="67"/>
  <c r="C49" i="67"/>
  <c r="C50" i="67"/>
  <c r="C51" i="67"/>
  <c r="C52" i="67"/>
  <c r="C53" i="67"/>
  <c r="C54" i="67"/>
  <c r="C55" i="67"/>
  <c r="C56" i="67"/>
  <c r="C57" i="67"/>
  <c r="C58" i="67"/>
  <c r="C59" i="67"/>
  <c r="C60" i="67"/>
  <c r="C61" i="67"/>
  <c r="C62" i="67"/>
  <c r="C63" i="67"/>
  <c r="C64" i="67"/>
  <c r="C65" i="67"/>
  <c r="C66" i="67"/>
  <c r="C67" i="67"/>
  <c r="C68" i="67"/>
  <c r="C69" i="67"/>
  <c r="C70" i="67"/>
  <c r="B1" i="67"/>
  <c r="B2" i="67"/>
  <c r="B3" i="67"/>
  <c r="B4" i="67"/>
  <c r="B5" i="67"/>
  <c r="B6" i="67"/>
  <c r="B7" i="67"/>
  <c r="B8" i="67"/>
  <c r="B9" i="67"/>
  <c r="B10" i="67"/>
  <c r="B11" i="67"/>
  <c r="B12" i="67"/>
  <c r="B13" i="67"/>
  <c r="B14" i="67"/>
  <c r="B15" i="67"/>
  <c r="B16" i="67"/>
  <c r="B17" i="67"/>
  <c r="B18" i="67"/>
  <c r="B19" i="67"/>
  <c r="B20" i="67"/>
  <c r="B21" i="67"/>
  <c r="B22" i="67"/>
  <c r="B23" i="67"/>
  <c r="B24" i="67"/>
  <c r="B25" i="67"/>
  <c r="B26" i="67"/>
  <c r="B27" i="67"/>
  <c r="B28" i="67"/>
  <c r="B29" i="67"/>
  <c r="B30" i="67"/>
  <c r="B31" i="67"/>
  <c r="B32" i="67"/>
  <c r="B33" i="67"/>
  <c r="B34" i="67"/>
  <c r="B35" i="67"/>
  <c r="B36" i="67"/>
  <c r="B37" i="67"/>
  <c r="B38" i="67"/>
  <c r="B39" i="67"/>
  <c r="B40" i="67"/>
  <c r="B41" i="67"/>
  <c r="B42" i="67"/>
  <c r="B43" i="67"/>
  <c r="B44" i="67"/>
  <c r="B45" i="67"/>
  <c r="B46" i="67"/>
  <c r="B47" i="67"/>
  <c r="B48" i="67"/>
  <c r="B49" i="67"/>
  <c r="B50" i="67"/>
  <c r="B51" i="67"/>
  <c r="B52" i="67"/>
  <c r="B53" i="67"/>
  <c r="B54" i="67"/>
  <c r="B55" i="67"/>
  <c r="B56" i="67"/>
  <c r="B57" i="67"/>
  <c r="B58" i="67"/>
  <c r="B59" i="67"/>
  <c r="B60" i="67"/>
  <c r="B61" i="67"/>
  <c r="B62" i="67"/>
  <c r="B63" i="67"/>
  <c r="B64" i="67"/>
  <c r="B65" i="67"/>
  <c r="B66" i="67"/>
  <c r="B67" i="67"/>
  <c r="B68" i="67"/>
  <c r="B69" i="67"/>
  <c r="B70" i="67"/>
  <c r="C1" i="66"/>
  <c r="C2" i="66"/>
  <c r="C3" i="66"/>
  <c r="C4" i="66"/>
  <c r="C5" i="66"/>
  <c r="C6" i="66"/>
  <c r="C7" i="66"/>
  <c r="C8" i="66"/>
  <c r="C9" i="66"/>
  <c r="C10" i="66"/>
  <c r="C11" i="66"/>
  <c r="C12" i="66"/>
  <c r="C13" i="66"/>
  <c r="C14" i="66"/>
  <c r="C15" i="66"/>
  <c r="C16" i="66"/>
  <c r="C17" i="66"/>
  <c r="C18" i="66"/>
  <c r="C19" i="66"/>
  <c r="C20" i="66"/>
  <c r="C21" i="66"/>
  <c r="C22" i="66"/>
  <c r="C23" i="66"/>
  <c r="C24" i="66"/>
  <c r="C25" i="66"/>
  <c r="C26" i="66"/>
  <c r="C27" i="66"/>
  <c r="C28" i="66"/>
  <c r="C29" i="66"/>
  <c r="C30" i="66"/>
  <c r="C31" i="66"/>
  <c r="C32" i="66"/>
  <c r="C33" i="66"/>
  <c r="C34" i="66"/>
  <c r="C35" i="66"/>
  <c r="C36" i="66"/>
  <c r="C37" i="66"/>
  <c r="C38" i="66"/>
  <c r="C39" i="66"/>
  <c r="C40" i="66"/>
  <c r="C41" i="66"/>
  <c r="C42" i="66"/>
  <c r="C43" i="66"/>
  <c r="C44" i="66"/>
  <c r="C45" i="66"/>
  <c r="C46" i="66"/>
  <c r="C47" i="66"/>
  <c r="C48" i="66"/>
  <c r="C49" i="66"/>
  <c r="C50" i="66"/>
  <c r="C51" i="66"/>
  <c r="C52" i="66"/>
  <c r="C53" i="66"/>
  <c r="C54" i="66"/>
  <c r="C55" i="66"/>
  <c r="C56" i="66"/>
  <c r="C57" i="66"/>
  <c r="C58" i="66"/>
  <c r="C59" i="66"/>
  <c r="C60" i="66"/>
  <c r="C61" i="66"/>
  <c r="C62" i="66"/>
  <c r="C63" i="66"/>
  <c r="C64" i="66"/>
  <c r="C65" i="66"/>
  <c r="C66" i="66"/>
  <c r="C67" i="66"/>
  <c r="C68" i="66"/>
  <c r="C69" i="66"/>
  <c r="C70" i="66"/>
  <c r="B1" i="66"/>
  <c r="B2" i="66"/>
  <c r="B3" i="66"/>
  <c r="B4" i="66"/>
  <c r="B5" i="66"/>
  <c r="B6" i="66"/>
  <c r="B7" i="66"/>
  <c r="B8" i="66"/>
  <c r="B9" i="66"/>
  <c r="B10" i="66"/>
  <c r="B11" i="66"/>
  <c r="B12" i="66"/>
  <c r="B13" i="66"/>
  <c r="B14" i="66"/>
  <c r="B15" i="66"/>
  <c r="B16" i="66"/>
  <c r="B17" i="66"/>
  <c r="B18" i="66"/>
  <c r="B19" i="66"/>
  <c r="B20" i="66"/>
  <c r="B21" i="66"/>
  <c r="B22" i="66"/>
  <c r="B23" i="66"/>
  <c r="B24" i="66"/>
  <c r="B25" i="66"/>
  <c r="B26" i="66"/>
  <c r="B27" i="66"/>
  <c r="B28" i="66"/>
  <c r="B29" i="66"/>
  <c r="B30" i="66"/>
  <c r="B31" i="66"/>
  <c r="B32" i="66"/>
  <c r="B33" i="66"/>
  <c r="B34" i="66"/>
  <c r="B35" i="66"/>
  <c r="B36" i="66"/>
  <c r="B37" i="66"/>
  <c r="B38" i="66"/>
  <c r="B39" i="66"/>
  <c r="B40" i="66"/>
  <c r="B41" i="66"/>
  <c r="B42" i="66"/>
  <c r="B43" i="66"/>
  <c r="B44" i="66"/>
  <c r="B45" i="66"/>
  <c r="B46" i="66"/>
  <c r="B47" i="66"/>
  <c r="B48" i="66"/>
  <c r="B49" i="66"/>
  <c r="B50" i="66"/>
  <c r="B51" i="66"/>
  <c r="B52" i="66"/>
  <c r="B53" i="66"/>
  <c r="B54" i="66"/>
  <c r="B55" i="66"/>
  <c r="B56" i="66"/>
  <c r="B57" i="66"/>
  <c r="B58" i="66"/>
  <c r="B59" i="66"/>
  <c r="B60" i="66"/>
  <c r="B61" i="66"/>
  <c r="B62" i="66"/>
  <c r="B63" i="66"/>
  <c r="B64" i="66"/>
  <c r="B65" i="66"/>
  <c r="B66" i="66"/>
  <c r="B67" i="66"/>
  <c r="B68" i="66"/>
  <c r="B69" i="66"/>
  <c r="B70" i="66"/>
  <c r="C1" i="65"/>
  <c r="C2" i="65"/>
  <c r="C3" i="65"/>
  <c r="C4" i="65"/>
  <c r="C5" i="65"/>
  <c r="C6" i="65"/>
  <c r="C7" i="65"/>
  <c r="C8" i="65"/>
  <c r="C9" i="65"/>
  <c r="C10" i="65"/>
  <c r="C11" i="65"/>
  <c r="C12" i="65"/>
  <c r="C13" i="65"/>
  <c r="C14" i="65"/>
  <c r="C15" i="65"/>
  <c r="C16" i="65"/>
  <c r="C17" i="65"/>
  <c r="C18" i="65"/>
  <c r="C19" i="65"/>
  <c r="C20" i="65"/>
  <c r="C21" i="65"/>
  <c r="C22" i="65"/>
  <c r="C23" i="65"/>
  <c r="C24" i="65"/>
  <c r="C25" i="65"/>
  <c r="C26" i="65"/>
  <c r="C27" i="65"/>
  <c r="C28" i="65"/>
  <c r="C29" i="65"/>
  <c r="C30" i="65"/>
  <c r="C31" i="65"/>
  <c r="C32" i="65"/>
  <c r="C33" i="65"/>
  <c r="C34" i="65"/>
  <c r="C35" i="65"/>
  <c r="C36" i="65"/>
  <c r="C37" i="65"/>
  <c r="C38" i="65"/>
  <c r="C39" i="65"/>
  <c r="C40" i="65"/>
  <c r="C41" i="65"/>
  <c r="C42" i="65"/>
  <c r="C43" i="65"/>
  <c r="C44" i="65"/>
  <c r="C45" i="65"/>
  <c r="C46" i="65"/>
  <c r="C47" i="65"/>
  <c r="C48" i="65"/>
  <c r="C49" i="65"/>
  <c r="C50" i="65"/>
  <c r="C51" i="65"/>
  <c r="C52" i="65"/>
  <c r="C53" i="65"/>
  <c r="C54" i="65"/>
  <c r="C55" i="65"/>
  <c r="C56" i="65"/>
  <c r="C57" i="65"/>
  <c r="C58" i="65"/>
  <c r="C59" i="65"/>
  <c r="C60" i="65"/>
  <c r="C61" i="65"/>
  <c r="C62" i="65"/>
  <c r="C63" i="65"/>
  <c r="C64" i="65"/>
  <c r="C65" i="65"/>
  <c r="C66" i="65"/>
  <c r="C67" i="65"/>
  <c r="C68" i="65"/>
  <c r="C69" i="65"/>
  <c r="C70" i="65"/>
  <c r="C71" i="65"/>
  <c r="C72" i="65"/>
  <c r="C73" i="65"/>
  <c r="C74" i="65"/>
  <c r="C75" i="65"/>
  <c r="C76" i="65"/>
  <c r="C77" i="65"/>
  <c r="C78" i="65"/>
  <c r="C79" i="65"/>
  <c r="C80" i="65"/>
  <c r="C81" i="65"/>
  <c r="C82" i="65"/>
  <c r="C83" i="65"/>
  <c r="C84" i="65"/>
  <c r="C85" i="65"/>
  <c r="C86" i="65"/>
  <c r="C87" i="65"/>
  <c r="C88" i="65"/>
  <c r="C89" i="65"/>
  <c r="C90" i="65"/>
  <c r="C91" i="65"/>
  <c r="C92" i="65"/>
  <c r="C93" i="65"/>
  <c r="C94" i="65"/>
  <c r="C95" i="65"/>
  <c r="C96" i="65"/>
  <c r="C97" i="65"/>
  <c r="C98" i="65"/>
  <c r="C99" i="65"/>
  <c r="C100" i="65"/>
  <c r="B1" i="65"/>
  <c r="B2" i="65"/>
  <c r="B3" i="65"/>
  <c r="B4" i="65"/>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47" i="65"/>
  <c r="B48" i="65"/>
  <c r="B49" i="65"/>
  <c r="B50" i="65"/>
  <c r="B51" i="65"/>
  <c r="B52" i="65"/>
  <c r="B53" i="65"/>
  <c r="B54" i="65"/>
  <c r="B55" i="65"/>
  <c r="B56" i="65"/>
  <c r="B57" i="65"/>
  <c r="B58" i="65"/>
  <c r="B59" i="65"/>
  <c r="B60" i="65"/>
  <c r="B61" i="65"/>
  <c r="B62" i="65"/>
  <c r="B63" i="65"/>
  <c r="B64" i="65"/>
  <c r="B65" i="65"/>
  <c r="B66" i="65"/>
  <c r="B67" i="65"/>
  <c r="B68" i="65"/>
  <c r="B69" i="65"/>
  <c r="B70" i="65"/>
  <c r="B71" i="65"/>
  <c r="B72" i="65"/>
  <c r="B73" i="65"/>
  <c r="B74" i="65"/>
  <c r="B75" i="65"/>
  <c r="B76" i="65"/>
  <c r="B77" i="65"/>
  <c r="B78" i="65"/>
  <c r="B79" i="65"/>
  <c r="B80" i="65"/>
  <c r="B81" i="65"/>
  <c r="B82" i="65"/>
  <c r="B83" i="65"/>
  <c r="B84" i="65"/>
  <c r="B85" i="65"/>
  <c r="B86" i="65"/>
  <c r="B87" i="65"/>
  <c r="B88" i="65"/>
  <c r="B89" i="65"/>
  <c r="B90" i="65"/>
  <c r="B91" i="65"/>
  <c r="B92" i="65"/>
  <c r="B93" i="65"/>
  <c r="B94" i="65"/>
  <c r="B95" i="65"/>
  <c r="B96" i="65"/>
  <c r="B97" i="65"/>
  <c r="B98" i="65"/>
  <c r="B99" i="65"/>
  <c r="B100" i="65"/>
  <c r="C1" i="64"/>
  <c r="C2" i="64"/>
  <c r="C3" i="64"/>
  <c r="C4" i="64"/>
  <c r="C5" i="64"/>
  <c r="C6"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47" i="64"/>
  <c r="C48" i="64"/>
  <c r="C49" i="64"/>
  <c r="C50" i="64"/>
  <c r="C51" i="64"/>
  <c r="C52" i="64"/>
  <c r="C53" i="64"/>
  <c r="C54" i="64"/>
  <c r="C55" i="64"/>
  <c r="C56" i="64"/>
  <c r="C57" i="64"/>
  <c r="C58" i="64"/>
  <c r="C59" i="64"/>
  <c r="C60" i="64"/>
  <c r="C61" i="64"/>
  <c r="C62" i="64"/>
  <c r="C63" i="64"/>
  <c r="C64" i="64"/>
  <c r="C65" i="64"/>
  <c r="C66" i="64"/>
  <c r="C67" i="64"/>
  <c r="C68" i="64"/>
  <c r="C69" i="64"/>
  <c r="C70" i="64"/>
  <c r="C71" i="64"/>
  <c r="C72" i="64"/>
  <c r="C73" i="64"/>
  <c r="C74" i="64"/>
  <c r="C75" i="64"/>
  <c r="C76" i="64"/>
  <c r="C77" i="64"/>
  <c r="C78" i="64"/>
  <c r="C79" i="64"/>
  <c r="C80" i="64"/>
  <c r="C81" i="64"/>
  <c r="C82" i="64"/>
  <c r="C83" i="64"/>
  <c r="C84" i="64"/>
  <c r="C85" i="64"/>
  <c r="C86" i="64"/>
  <c r="C87" i="64"/>
  <c r="C88" i="64"/>
  <c r="C89" i="64"/>
  <c r="C90" i="64"/>
  <c r="C91" i="64"/>
  <c r="C92" i="64"/>
  <c r="C93" i="64"/>
  <c r="C94" i="64"/>
  <c r="C95" i="64"/>
  <c r="C96" i="64"/>
  <c r="C97" i="64"/>
  <c r="C98" i="64"/>
  <c r="C99" i="64"/>
  <c r="C100" i="64"/>
  <c r="B1" i="64"/>
  <c r="B2" i="64"/>
  <c r="B3" i="64"/>
  <c r="B4" i="64"/>
  <c r="B5" i="64"/>
  <c r="B6" i="64"/>
  <c r="B7" i="64"/>
  <c r="B8" i="64"/>
  <c r="B9" i="64"/>
  <c r="B10" i="64"/>
  <c r="B11" i="64"/>
  <c r="B12" i="64"/>
  <c r="B13" i="64"/>
  <c r="B14" i="64"/>
  <c r="B15" i="64"/>
  <c r="B16" i="64"/>
  <c r="B17" i="64"/>
  <c r="B18" i="64"/>
  <c r="B19" i="64"/>
  <c r="B20" i="64"/>
  <c r="B21" i="64"/>
  <c r="B22" i="64"/>
  <c r="B23" i="64"/>
  <c r="B24" i="64"/>
  <c r="B25" i="64"/>
  <c r="B26" i="64"/>
  <c r="B27" i="64"/>
  <c r="B28" i="64"/>
  <c r="B29" i="64"/>
  <c r="B30" i="64"/>
  <c r="B31" i="64"/>
  <c r="B32" i="64"/>
  <c r="B33" i="64"/>
  <c r="B34" i="64"/>
  <c r="B35" i="64"/>
  <c r="B36" i="64"/>
  <c r="B37" i="64"/>
  <c r="B38" i="64"/>
  <c r="B39" i="64"/>
  <c r="B40" i="64"/>
  <c r="B41" i="64"/>
  <c r="B42" i="64"/>
  <c r="B43" i="64"/>
  <c r="B44" i="64"/>
  <c r="B45" i="64"/>
  <c r="B46" i="64"/>
  <c r="B47" i="64"/>
  <c r="B48" i="64"/>
  <c r="B49" i="64"/>
  <c r="B50" i="64"/>
  <c r="B51" i="64"/>
  <c r="B52" i="64"/>
  <c r="B53" i="64"/>
  <c r="B54" i="64"/>
  <c r="B55" i="64"/>
  <c r="B56" i="64"/>
  <c r="B57" i="64"/>
  <c r="B58" i="64"/>
  <c r="B59" i="64"/>
  <c r="B60" i="64"/>
  <c r="B61" i="64"/>
  <c r="B62" i="64"/>
  <c r="B63" i="64"/>
  <c r="B64" i="64"/>
  <c r="B65" i="64"/>
  <c r="B66" i="64"/>
  <c r="B67" i="64"/>
  <c r="B68" i="64"/>
  <c r="B69" i="64"/>
  <c r="B70" i="64"/>
  <c r="B71" i="64"/>
  <c r="B72" i="64"/>
  <c r="B73" i="64"/>
  <c r="B74" i="64"/>
  <c r="B75" i="64"/>
  <c r="B76" i="64"/>
  <c r="B77" i="64"/>
  <c r="B78" i="64"/>
  <c r="B79" i="64"/>
  <c r="B80" i="64"/>
  <c r="B81" i="64"/>
  <c r="B82" i="64"/>
  <c r="B83" i="64"/>
  <c r="B84" i="64"/>
  <c r="B85" i="64"/>
  <c r="B86" i="64"/>
  <c r="B87" i="64"/>
  <c r="B88" i="64"/>
  <c r="B89" i="64"/>
  <c r="B90" i="64"/>
  <c r="B91" i="64"/>
  <c r="B92" i="64"/>
  <c r="B93" i="64"/>
  <c r="B94" i="64"/>
  <c r="B95" i="64"/>
  <c r="B96" i="64"/>
  <c r="B97" i="64"/>
  <c r="B98" i="64"/>
  <c r="B99" i="64"/>
  <c r="B100" i="64"/>
  <c r="C1" i="63"/>
  <c r="C2" i="63"/>
  <c r="C3" i="63"/>
  <c r="C4" i="63"/>
  <c r="C5" i="63"/>
  <c r="C6" i="63"/>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C66" i="63"/>
  <c r="C67" i="63"/>
  <c r="C68" i="63"/>
  <c r="C69" i="63"/>
  <c r="C70" i="63"/>
  <c r="B1" i="63"/>
  <c r="B2" i="63"/>
  <c r="B3" i="63"/>
  <c r="B4" i="63"/>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B61" i="63"/>
  <c r="B62" i="63"/>
  <c r="B63" i="63"/>
  <c r="B64" i="63"/>
  <c r="B65" i="63"/>
  <c r="B66" i="63"/>
  <c r="B67" i="63"/>
  <c r="B68" i="63"/>
  <c r="B69" i="63"/>
  <c r="B70" i="63"/>
  <c r="C1" i="62"/>
  <c r="C2" i="62"/>
  <c r="C3" i="62"/>
  <c r="C4" i="62"/>
  <c r="C5" i="62"/>
  <c r="C6" i="62"/>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49" i="62"/>
  <c r="C50" i="62"/>
  <c r="C51" i="62"/>
  <c r="C52" i="62"/>
  <c r="C53" i="62"/>
  <c r="C54" i="62"/>
  <c r="C55" i="62"/>
  <c r="C56" i="62"/>
  <c r="C57" i="62"/>
  <c r="C58" i="62"/>
  <c r="C59" i="62"/>
  <c r="C60" i="62"/>
  <c r="C61" i="62"/>
  <c r="C62" i="62"/>
  <c r="C63" i="62"/>
  <c r="C64" i="62"/>
  <c r="C65" i="62"/>
  <c r="C66" i="62"/>
  <c r="C67" i="62"/>
  <c r="C68" i="62"/>
  <c r="C69" i="62"/>
  <c r="C70" i="62"/>
  <c r="B1" i="62"/>
  <c r="B2" i="62"/>
  <c r="B3" i="62"/>
  <c r="B4" i="62"/>
  <c r="B5" i="62"/>
  <c r="B6" i="62"/>
  <c r="B7" i="62"/>
  <c r="B8" i="62"/>
  <c r="B9" i="62"/>
  <c r="B10" i="62"/>
  <c r="B11" i="62"/>
  <c r="B12" i="62"/>
  <c r="B13" i="62"/>
  <c r="B14" i="62"/>
  <c r="B15" i="62"/>
  <c r="B16" i="62"/>
  <c r="B17" i="62"/>
  <c r="B18" i="62"/>
  <c r="B19" i="62"/>
  <c r="B20" i="62"/>
  <c r="B21" i="62"/>
  <c r="B22" i="62"/>
  <c r="B23" i="62"/>
  <c r="B24" i="62"/>
  <c r="B25" i="62"/>
  <c r="B26" i="62"/>
  <c r="B27" i="62"/>
  <c r="B28" i="62"/>
  <c r="B29" i="62"/>
  <c r="B30" i="62"/>
  <c r="B31" i="62"/>
  <c r="B32" i="62"/>
  <c r="B33" i="62"/>
  <c r="B34" i="62"/>
  <c r="B35" i="62"/>
  <c r="B36" i="62"/>
  <c r="B37" i="62"/>
  <c r="B38" i="62"/>
  <c r="B39" i="62"/>
  <c r="B40" i="62"/>
  <c r="B41" i="62"/>
  <c r="B42" i="62"/>
  <c r="B43" i="62"/>
  <c r="B44" i="62"/>
  <c r="B45" i="62"/>
  <c r="B46" i="62"/>
  <c r="B47" i="62"/>
  <c r="B48" i="62"/>
  <c r="B49" i="62"/>
  <c r="B50" i="62"/>
  <c r="B51" i="62"/>
  <c r="B52" i="62"/>
  <c r="B53" i="62"/>
  <c r="B54" i="62"/>
  <c r="B55" i="62"/>
  <c r="B56" i="62"/>
  <c r="B57" i="62"/>
  <c r="B58" i="62"/>
  <c r="B59" i="62"/>
  <c r="B60" i="62"/>
  <c r="B61" i="62"/>
  <c r="B62" i="62"/>
  <c r="B63" i="62"/>
  <c r="B64" i="62"/>
  <c r="B65" i="62"/>
  <c r="B66" i="62"/>
  <c r="B67" i="62"/>
  <c r="B68" i="62"/>
  <c r="B69" i="62"/>
  <c r="B70" i="62"/>
  <c r="C1" i="60"/>
  <c r="C2" i="60"/>
  <c r="C3" i="60"/>
  <c r="C4" i="60"/>
  <c r="C5" i="60"/>
  <c r="C6" i="60"/>
  <c r="C7" i="60"/>
  <c r="C8" i="60"/>
  <c r="C9" i="60"/>
  <c r="C10" i="60"/>
  <c r="C11" i="60"/>
  <c r="C12" i="60"/>
  <c r="C13" i="60"/>
  <c r="C14" i="60"/>
  <c r="C15" i="60"/>
  <c r="C16" i="60"/>
  <c r="C17" i="60"/>
  <c r="C18" i="60"/>
  <c r="C19" i="60"/>
  <c r="C20" i="60"/>
  <c r="C21" i="60"/>
  <c r="C22" i="60"/>
  <c r="C23" i="60"/>
  <c r="C24" i="60"/>
  <c r="C25" i="60"/>
  <c r="C26" i="60"/>
  <c r="C27" i="60"/>
  <c r="C28" i="60"/>
  <c r="C29" i="60"/>
  <c r="C30" i="60"/>
  <c r="C31" i="60"/>
  <c r="C32" i="60"/>
  <c r="C33" i="60"/>
  <c r="C34" i="60"/>
  <c r="C35" i="60"/>
  <c r="C36" i="60"/>
  <c r="C37" i="60"/>
  <c r="C38" i="60"/>
  <c r="C39" i="60"/>
  <c r="C40" i="60"/>
  <c r="C41" i="60"/>
  <c r="C42" i="60"/>
  <c r="C43" i="60"/>
  <c r="C44" i="60"/>
  <c r="C45" i="60"/>
  <c r="C46" i="60"/>
  <c r="C47" i="60"/>
  <c r="C48" i="60"/>
  <c r="C49" i="60"/>
  <c r="C50" i="60"/>
  <c r="C51" i="60"/>
  <c r="C52" i="60"/>
  <c r="C53" i="60"/>
  <c r="C54" i="60"/>
  <c r="C55" i="60"/>
  <c r="C56" i="60"/>
  <c r="C57" i="60"/>
  <c r="C58" i="60"/>
  <c r="C59" i="60"/>
  <c r="C60" i="60"/>
  <c r="C61" i="60"/>
  <c r="C62" i="60"/>
  <c r="C63" i="60"/>
  <c r="C64" i="60"/>
  <c r="C65" i="60"/>
  <c r="C66" i="60"/>
  <c r="C67" i="60"/>
  <c r="C68" i="60"/>
  <c r="C69" i="60"/>
  <c r="C70" i="60"/>
  <c r="B1" i="60"/>
  <c r="B2" i="60"/>
  <c r="B3" i="60"/>
  <c r="B4" i="60"/>
  <c r="B5" i="60"/>
  <c r="B6" i="60"/>
  <c r="B7" i="60"/>
  <c r="B8" i="60"/>
  <c r="B9" i="60"/>
  <c r="B10" i="60"/>
  <c r="B11" i="60"/>
  <c r="B12" i="60"/>
  <c r="B13" i="60"/>
  <c r="B14" i="60"/>
  <c r="B15" i="60"/>
  <c r="B16" i="60"/>
  <c r="B17" i="60"/>
  <c r="B18" i="60"/>
  <c r="B19" i="60"/>
  <c r="B20" i="60"/>
  <c r="B21" i="60"/>
  <c r="B22" i="60"/>
  <c r="B23" i="60"/>
  <c r="B24" i="60"/>
  <c r="B25" i="60"/>
  <c r="B26" i="60"/>
  <c r="B27"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C1" i="59"/>
  <c r="C2" i="59"/>
  <c r="C3" i="59"/>
  <c r="C4" i="59"/>
  <c r="C5" i="59"/>
  <c r="C6" i="59"/>
  <c r="C7" i="59"/>
  <c r="C8" i="59"/>
  <c r="C9" i="59"/>
  <c r="C10"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67" i="59"/>
  <c r="C68" i="59"/>
  <c r="C69" i="59"/>
  <c r="C70" i="59"/>
  <c r="B1" i="59"/>
  <c r="B2" i="59"/>
  <c r="B3" i="59"/>
  <c r="B4" i="59"/>
  <c r="B5" i="59"/>
  <c r="B6" i="59"/>
  <c r="B7" i="59"/>
  <c r="B8" i="59"/>
  <c r="B9" i="59"/>
  <c r="B10" i="59"/>
  <c r="B11" i="59"/>
  <c r="B12" i="59"/>
  <c r="B13" i="59"/>
  <c r="B14" i="59"/>
  <c r="B15" i="59"/>
  <c r="B16" i="59"/>
  <c r="B17" i="59"/>
  <c r="B18" i="59"/>
  <c r="B19" i="59"/>
  <c r="B20" i="59"/>
  <c r="B21" i="59"/>
  <c r="B22" i="59"/>
  <c r="B23" i="59"/>
  <c r="B24" i="59"/>
  <c r="B25" i="59"/>
  <c r="B26" i="59"/>
  <c r="B27" i="59"/>
  <c r="B28" i="59"/>
  <c r="B29" i="59"/>
  <c r="B30" i="59"/>
  <c r="B31" i="59"/>
  <c r="B32" i="59"/>
  <c r="B33" i="59"/>
  <c r="B34" i="59"/>
  <c r="B35" i="59"/>
  <c r="B36" i="59"/>
  <c r="B37" i="59"/>
  <c r="B38" i="59"/>
  <c r="B39" i="59"/>
  <c r="B40" i="59"/>
  <c r="B41" i="59"/>
  <c r="B42" i="59"/>
  <c r="B43" i="59"/>
  <c r="B44" i="59"/>
  <c r="B45" i="59"/>
  <c r="B46" i="59"/>
  <c r="B47" i="59"/>
  <c r="B48" i="59"/>
  <c r="B49" i="59"/>
  <c r="B50" i="59"/>
  <c r="B51" i="59"/>
  <c r="B52" i="59"/>
  <c r="B53" i="59"/>
  <c r="B54" i="59"/>
  <c r="B55" i="59"/>
  <c r="B56" i="59"/>
  <c r="B57" i="59"/>
  <c r="B58" i="59"/>
  <c r="B59" i="59"/>
  <c r="B60" i="59"/>
  <c r="B61" i="59"/>
  <c r="B62" i="59"/>
  <c r="B63" i="59"/>
  <c r="B64" i="59"/>
  <c r="B65" i="59"/>
  <c r="B66" i="59"/>
  <c r="B67" i="59"/>
  <c r="B68" i="59"/>
  <c r="B69" i="59"/>
  <c r="B70" i="59"/>
  <c r="C1" i="58"/>
  <c r="C2" i="58"/>
  <c r="C3" i="58"/>
  <c r="C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55" i="58"/>
  <c r="C56" i="58"/>
  <c r="C57" i="58"/>
  <c r="C58" i="58"/>
  <c r="C59" i="58"/>
  <c r="C60" i="58"/>
  <c r="C61" i="58"/>
  <c r="C62" i="58"/>
  <c r="C63" i="58"/>
  <c r="C64" i="58"/>
  <c r="C65" i="58"/>
  <c r="C66" i="58"/>
  <c r="C67" i="58"/>
  <c r="C68" i="58"/>
  <c r="C69" i="58"/>
  <c r="C70" i="58"/>
  <c r="C71" i="58"/>
  <c r="C72" i="58"/>
  <c r="C73" i="58"/>
  <c r="C74" i="58"/>
  <c r="C75" i="58"/>
  <c r="C76" i="58"/>
  <c r="C77" i="58"/>
  <c r="C78" i="58"/>
  <c r="C79" i="58"/>
  <c r="C80" i="58"/>
  <c r="C81" i="58"/>
  <c r="C82" i="58"/>
  <c r="C83" i="58"/>
  <c r="C84" i="58"/>
  <c r="C85" i="58"/>
  <c r="C86" i="58"/>
  <c r="C87" i="58"/>
  <c r="C88" i="58"/>
  <c r="C89" i="58"/>
  <c r="C90" i="58"/>
  <c r="C91" i="58"/>
  <c r="C92" i="58"/>
  <c r="C93" i="58"/>
  <c r="C94" i="58"/>
  <c r="C95" i="58"/>
  <c r="C96" i="58"/>
  <c r="C97" i="58"/>
  <c r="C98" i="58"/>
  <c r="C99" i="58"/>
  <c r="C100" i="58"/>
  <c r="B1" i="58"/>
  <c r="B2" i="58"/>
  <c r="B3" i="58"/>
  <c r="B4" i="58"/>
  <c r="B5" i="58"/>
  <c r="B6" i="58"/>
  <c r="B7" i="58"/>
  <c r="B8" i="58"/>
  <c r="B9" i="58"/>
  <c r="B10" i="58"/>
  <c r="B11" i="58"/>
  <c r="B12" i="58"/>
  <c r="B13" i="58"/>
  <c r="B14" i="58"/>
  <c r="B15" i="58"/>
  <c r="B16" i="58"/>
  <c r="B17" i="58"/>
  <c r="B18" i="58"/>
  <c r="B19" i="58"/>
  <c r="B20" i="58"/>
  <c r="B21" i="58"/>
  <c r="B22" i="58"/>
  <c r="B23" i="58"/>
  <c r="B24" i="58"/>
  <c r="B25" i="58"/>
  <c r="B26" i="58"/>
  <c r="B27" i="58"/>
  <c r="B28" i="58"/>
  <c r="B29" i="58"/>
  <c r="B30" i="58"/>
  <c r="B31" i="58"/>
  <c r="B32" i="58"/>
  <c r="B33" i="58"/>
  <c r="B34" i="58"/>
  <c r="B35" i="58"/>
  <c r="B36" i="58"/>
  <c r="B37" i="58"/>
  <c r="B38" i="58"/>
  <c r="B39" i="58"/>
  <c r="B40" i="58"/>
  <c r="B41" i="58"/>
  <c r="B42" i="58"/>
  <c r="B43" i="58"/>
  <c r="B44" i="58"/>
  <c r="B45" i="58"/>
  <c r="B46" i="58"/>
  <c r="B47" i="58"/>
  <c r="B48" i="58"/>
  <c r="B49" i="58"/>
  <c r="B50" i="58"/>
  <c r="B51" i="58"/>
  <c r="B52" i="58"/>
  <c r="B53" i="58"/>
  <c r="B54" i="58"/>
  <c r="B55" i="58"/>
  <c r="B56" i="58"/>
  <c r="B57" i="58"/>
  <c r="B58" i="58"/>
  <c r="B59" i="58"/>
  <c r="B60" i="58"/>
  <c r="B61" i="58"/>
  <c r="B62" i="58"/>
  <c r="B63" i="58"/>
  <c r="B64" i="58"/>
  <c r="B65" i="58"/>
  <c r="B66" i="58"/>
  <c r="B67" i="58"/>
  <c r="B68" i="58"/>
  <c r="B69" i="58"/>
  <c r="B70" i="58"/>
  <c r="B71" i="58"/>
  <c r="B72" i="58"/>
  <c r="B73" i="58"/>
  <c r="B74" i="58"/>
  <c r="B75" i="58"/>
  <c r="B76" i="58"/>
  <c r="B77" i="58"/>
  <c r="B78" i="58"/>
  <c r="B79" i="58"/>
  <c r="B80" i="58"/>
  <c r="B81" i="58"/>
  <c r="B82" i="58"/>
  <c r="B83" i="58"/>
  <c r="B84" i="58"/>
  <c r="B85" i="58"/>
  <c r="B86" i="58"/>
  <c r="B87" i="58"/>
  <c r="B88" i="58"/>
  <c r="B89" i="58"/>
  <c r="B90" i="58"/>
  <c r="B91" i="58"/>
  <c r="B92" i="58"/>
  <c r="B93" i="58"/>
  <c r="B94" i="58"/>
  <c r="B95" i="58"/>
  <c r="B96" i="58"/>
  <c r="B97" i="58"/>
  <c r="B98" i="58"/>
  <c r="B99" i="58"/>
  <c r="B100" i="58"/>
  <c r="C1" i="57"/>
  <c r="C2" i="57"/>
  <c r="C3" i="57"/>
  <c r="C4" i="57"/>
  <c r="C5" i="57"/>
  <c r="C6" i="57"/>
  <c r="C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B1" i="57"/>
  <c r="B2" i="57"/>
  <c r="B3" i="57"/>
  <c r="B4" i="57"/>
  <c r="B5" i="57"/>
  <c r="B6" i="57"/>
  <c r="B7" i="57"/>
  <c r="B8" i="57"/>
  <c r="B9" i="57"/>
  <c r="B10" i="57"/>
  <c r="B11" i="57"/>
  <c r="B12" i="57"/>
  <c r="B13" i="57"/>
  <c r="B14" i="57"/>
  <c r="B15" i="57"/>
  <c r="B16" i="57"/>
  <c r="B17" i="57"/>
  <c r="B18" i="57"/>
  <c r="B19" i="57"/>
  <c r="B20" i="57"/>
  <c r="B21" i="57"/>
  <c r="B22" i="57"/>
  <c r="B23" i="57"/>
  <c r="B24" i="57"/>
  <c r="B25" i="57"/>
  <c r="B26" i="57"/>
  <c r="B27" i="57"/>
  <c r="B28" i="57"/>
  <c r="B29" i="57"/>
  <c r="B30" i="57"/>
  <c r="B31" i="57"/>
  <c r="B32" i="57"/>
  <c r="B33" i="57"/>
  <c r="B34" i="57"/>
  <c r="B35" i="57"/>
  <c r="B36" i="57"/>
  <c r="B37" i="57"/>
  <c r="B38" i="57"/>
  <c r="B39" i="57"/>
  <c r="B40" i="57"/>
  <c r="B41" i="57"/>
  <c r="B42" i="57"/>
  <c r="B43" i="57"/>
  <c r="B44" i="57"/>
  <c r="B45" i="57"/>
  <c r="B46" i="57"/>
  <c r="B47" i="57"/>
  <c r="B48" i="57"/>
  <c r="B49" i="57"/>
  <c r="B50" i="57"/>
  <c r="B51" i="57"/>
  <c r="B52" i="57"/>
  <c r="B53" i="57"/>
  <c r="B54" i="57"/>
  <c r="B55" i="57"/>
  <c r="B56" i="57"/>
  <c r="B57" i="57"/>
  <c r="B58" i="57"/>
  <c r="B59" i="57"/>
  <c r="B60" i="57"/>
  <c r="B61" i="57"/>
  <c r="B62" i="57"/>
  <c r="B63" i="57"/>
  <c r="B64" i="57"/>
  <c r="B65" i="57"/>
  <c r="B66" i="57"/>
  <c r="B67" i="57"/>
  <c r="B68" i="57"/>
  <c r="B69" i="57"/>
  <c r="B70" i="57"/>
  <c r="B71" i="57"/>
  <c r="B72" i="57"/>
  <c r="B73" i="57"/>
  <c r="B74" i="57"/>
  <c r="B75" i="57"/>
  <c r="B76" i="57"/>
  <c r="B77" i="57"/>
  <c r="B78" i="57"/>
  <c r="B79" i="57"/>
  <c r="B80" i="57"/>
  <c r="B81" i="57"/>
  <c r="B82" i="57"/>
  <c r="B83" i="57"/>
  <c r="B84" i="57"/>
  <c r="B85" i="57"/>
  <c r="B86" i="57"/>
  <c r="B87" i="57"/>
  <c r="B88" i="57"/>
  <c r="B89" i="57"/>
  <c r="B90" i="57"/>
  <c r="B91" i="57"/>
  <c r="B92" i="57"/>
  <c r="B93" i="57"/>
  <c r="B94" i="57"/>
  <c r="B95" i="57"/>
  <c r="B96" i="57"/>
  <c r="B97" i="57"/>
  <c r="B98" i="57"/>
  <c r="B99" i="57"/>
  <c r="B100" i="57"/>
  <c r="C1" i="56"/>
  <c r="C2" i="56"/>
  <c r="C3" i="56"/>
  <c r="C4" i="56"/>
  <c r="C5" i="56"/>
  <c r="C6" i="56"/>
  <c r="C7" i="56"/>
  <c r="C8" i="56"/>
  <c r="C9" i="56"/>
  <c r="C10" i="56"/>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43" i="56"/>
  <c r="C44" i="56"/>
  <c r="C45" i="56"/>
  <c r="C46" i="56"/>
  <c r="C47" i="56"/>
  <c r="C48" i="56"/>
  <c r="C49" i="56"/>
  <c r="C50" i="56"/>
  <c r="C51" i="56"/>
  <c r="C52" i="56"/>
  <c r="C53" i="56"/>
  <c r="C54" i="56"/>
  <c r="C55" i="56"/>
  <c r="C56" i="56"/>
  <c r="C57" i="56"/>
  <c r="C58" i="56"/>
  <c r="C59" i="56"/>
  <c r="C60" i="56"/>
  <c r="C61" i="56"/>
  <c r="C62" i="56"/>
  <c r="C63" i="56"/>
  <c r="C64" i="56"/>
  <c r="C65" i="56"/>
  <c r="C66" i="56"/>
  <c r="C67" i="56"/>
  <c r="C68" i="56"/>
  <c r="C69" i="56"/>
  <c r="C70" i="56"/>
  <c r="B1" i="56"/>
  <c r="B2" i="56"/>
  <c r="B3" i="56"/>
  <c r="B4" i="56"/>
  <c r="B5" i="56"/>
  <c r="B6" i="56"/>
  <c r="B7" i="56"/>
  <c r="B8" i="56"/>
  <c r="B9" i="56"/>
  <c r="B10" i="56"/>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0"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0" i="56"/>
  <c r="C1" i="55"/>
  <c r="C2" i="55"/>
  <c r="C3" i="55"/>
  <c r="C4" i="55"/>
  <c r="C5" i="55"/>
  <c r="C6" i="55"/>
  <c r="C7" i="55"/>
  <c r="C8" i="55"/>
  <c r="C9"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C59" i="55"/>
  <c r="C60" i="55"/>
  <c r="C61" i="55"/>
  <c r="C62" i="55"/>
  <c r="C63" i="55"/>
  <c r="C64" i="55"/>
  <c r="C65" i="55"/>
  <c r="C66" i="55"/>
  <c r="C67" i="55"/>
  <c r="C68" i="55"/>
  <c r="C69" i="55"/>
  <c r="C70" i="55"/>
  <c r="B1" i="55"/>
  <c r="B2" i="55"/>
  <c r="B3" i="55"/>
  <c r="B4" i="55"/>
  <c r="B5" i="55"/>
  <c r="B6" i="55"/>
  <c r="B7" i="55"/>
  <c r="B8" i="55"/>
  <c r="B9" i="55"/>
  <c r="B10" i="55"/>
  <c r="B11" i="55"/>
  <c r="B12" i="55"/>
  <c r="B13" i="55"/>
  <c r="B14" i="55"/>
  <c r="B15" i="55"/>
  <c r="B16" i="55"/>
  <c r="B17" i="55"/>
  <c r="B18" i="55"/>
  <c r="B19" i="55"/>
  <c r="B20" i="55"/>
  <c r="B21" i="55"/>
  <c r="B22" i="55"/>
  <c r="B23" i="55"/>
  <c r="B24" i="55"/>
  <c r="B25" i="55"/>
  <c r="B26" i="55"/>
  <c r="B27" i="55"/>
  <c r="B28" i="55"/>
  <c r="B29" i="55"/>
  <c r="B30" i="55"/>
  <c r="B31" i="55"/>
  <c r="B32" i="55"/>
  <c r="B33" i="55"/>
  <c r="B34" i="55"/>
  <c r="B35" i="55"/>
  <c r="B36" i="55"/>
  <c r="B37" i="55"/>
  <c r="B38" i="55"/>
  <c r="B39" i="55"/>
  <c r="B40" i="55"/>
  <c r="B41" i="55"/>
  <c r="B42" i="55"/>
  <c r="B43" i="55"/>
  <c r="B44" i="55"/>
  <c r="B45" i="55"/>
  <c r="B46" i="55"/>
  <c r="B47" i="55"/>
  <c r="B48" i="55"/>
  <c r="B49" i="55"/>
  <c r="B50" i="55"/>
  <c r="B51" i="55"/>
  <c r="B52" i="55"/>
  <c r="B53" i="55"/>
  <c r="B54" i="55"/>
  <c r="B55" i="55"/>
  <c r="B56" i="55"/>
  <c r="B57" i="55"/>
  <c r="B58" i="55"/>
  <c r="B59" i="55"/>
  <c r="B60" i="55"/>
  <c r="B61" i="55"/>
  <c r="B62" i="55"/>
  <c r="B63" i="55"/>
  <c r="B64" i="55"/>
  <c r="B65" i="55"/>
  <c r="B66" i="55"/>
  <c r="B67" i="55"/>
  <c r="B68" i="55"/>
  <c r="B69" i="55"/>
  <c r="B70" i="55"/>
  <c r="C1" i="53"/>
  <c r="C2" i="53"/>
  <c r="C3" i="53"/>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B1" i="53"/>
  <c r="B2" i="53"/>
  <c r="B3" i="53"/>
  <c r="B4" i="53"/>
  <c r="B5" i="53"/>
  <c r="B6" i="53"/>
  <c r="B7" i="53"/>
  <c r="B8" i="53"/>
  <c r="B9" i="53"/>
  <c r="B10" i="53"/>
  <c r="B11" i="53"/>
  <c r="B12" i="53"/>
  <c r="B13" i="53"/>
  <c r="B14" i="53"/>
  <c r="B15" i="53"/>
  <c r="B16" i="53"/>
  <c r="B17" i="53"/>
  <c r="B18" i="53"/>
  <c r="B19" i="53"/>
  <c r="B20" i="53"/>
  <c r="B21" i="53"/>
  <c r="B22" i="53"/>
  <c r="B23" i="53"/>
  <c r="B24" i="53"/>
  <c r="B25" i="53"/>
  <c r="B26" i="53"/>
  <c r="B27" i="53"/>
  <c r="B28" i="53"/>
  <c r="B29" i="53"/>
  <c r="B30" i="53"/>
  <c r="B31" i="53"/>
  <c r="B32" i="53"/>
  <c r="B33" i="53"/>
  <c r="B34" i="53"/>
  <c r="B35" i="53"/>
  <c r="B36" i="53"/>
  <c r="B37" i="53"/>
  <c r="B38" i="53"/>
  <c r="B39" i="53"/>
  <c r="B40" i="53"/>
  <c r="B41" i="53"/>
  <c r="B42" i="53"/>
  <c r="B43" i="53"/>
  <c r="B44" i="53"/>
  <c r="B45" i="53"/>
  <c r="B46" i="53"/>
  <c r="B47" i="53"/>
  <c r="B48" i="53"/>
  <c r="B49" i="53"/>
  <c r="B50" i="53"/>
  <c r="B51" i="53"/>
  <c r="B52" i="53"/>
  <c r="B53" i="53"/>
  <c r="B54" i="53"/>
  <c r="B55" i="53"/>
  <c r="B56" i="53"/>
  <c r="B57" i="53"/>
  <c r="B58" i="53"/>
  <c r="B59" i="53"/>
  <c r="B60" i="53"/>
  <c r="B61" i="53"/>
  <c r="B62" i="53"/>
  <c r="B63" i="53"/>
  <c r="B64" i="53"/>
  <c r="B65" i="53"/>
  <c r="B66" i="53"/>
  <c r="B67" i="53"/>
  <c r="B68" i="53"/>
  <c r="B69" i="53"/>
  <c r="B70" i="53"/>
  <c r="C1" i="52"/>
  <c r="C2" i="52"/>
  <c r="C3" i="52"/>
  <c r="C4" i="52"/>
  <c r="C5" i="52"/>
  <c r="C6" i="52"/>
  <c r="C7" i="52"/>
  <c r="C8" i="52"/>
  <c r="C9" i="52"/>
  <c r="C10" i="52"/>
  <c r="C11" i="52"/>
  <c r="C12" i="52"/>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68" i="52"/>
  <c r="C69" i="52"/>
  <c r="C70" i="52"/>
  <c r="B1" i="52"/>
  <c r="B2" i="52"/>
  <c r="B3" i="52"/>
  <c r="B4" i="52"/>
  <c r="B5" i="52"/>
  <c r="B6" i="52"/>
  <c r="B7" i="52"/>
  <c r="B8" i="52"/>
  <c r="B9" i="52"/>
  <c r="B10" i="52"/>
  <c r="B11" i="52"/>
  <c r="B12" i="52"/>
  <c r="B13" i="52"/>
  <c r="B14" i="52"/>
  <c r="B15" i="52"/>
  <c r="B16" i="52"/>
  <c r="B17" i="52"/>
  <c r="B18" i="52"/>
  <c r="B19" i="52"/>
  <c r="B20" i="52"/>
  <c r="B21" i="52"/>
  <c r="B22" i="52"/>
  <c r="B23" i="52"/>
  <c r="B24" i="52"/>
  <c r="B25" i="52"/>
  <c r="B26" i="52"/>
  <c r="B27" i="52"/>
  <c r="B28" i="52"/>
  <c r="B29" i="52"/>
  <c r="B30" i="52"/>
  <c r="B31" i="52"/>
  <c r="B32" i="52"/>
  <c r="B33" i="52"/>
  <c r="B34" i="52"/>
  <c r="B35" i="52"/>
  <c r="B36" i="52"/>
  <c r="B37" i="52"/>
  <c r="B38" i="52"/>
  <c r="B39" i="52"/>
  <c r="B40" i="52"/>
  <c r="B41" i="52"/>
  <c r="B42" i="52"/>
  <c r="B43" i="52"/>
  <c r="B44" i="52"/>
  <c r="B45" i="52"/>
  <c r="B46" i="52"/>
  <c r="B47" i="52"/>
  <c r="B48" i="52"/>
  <c r="B49" i="52"/>
  <c r="B50" i="52"/>
  <c r="B51" i="52"/>
  <c r="B52" i="52"/>
  <c r="B53" i="52"/>
  <c r="B54" i="52"/>
  <c r="B55" i="52"/>
  <c r="B56" i="52"/>
  <c r="B57" i="52"/>
  <c r="B58" i="52"/>
  <c r="B59" i="52"/>
  <c r="B60" i="52"/>
  <c r="B61" i="52"/>
  <c r="B62" i="52"/>
  <c r="B63" i="52"/>
  <c r="B64" i="52"/>
  <c r="B65" i="52"/>
  <c r="B66" i="52"/>
  <c r="B67" i="52"/>
  <c r="B68" i="52"/>
  <c r="B69" i="52"/>
  <c r="B70" i="52"/>
  <c r="C1" i="51"/>
  <c r="C2" i="51"/>
  <c r="C3" i="51"/>
  <c r="C4" i="51"/>
  <c r="C5" i="51"/>
  <c r="C6" i="51"/>
  <c r="C7" i="51"/>
  <c r="C8" i="51"/>
  <c r="C9" i="51"/>
  <c r="C10" i="51"/>
  <c r="C11" i="51"/>
  <c r="C12" i="51"/>
  <c r="C13" i="51"/>
  <c r="C14" i="51"/>
  <c r="C15" i="51"/>
  <c r="C16" i="51"/>
  <c r="C17" i="51"/>
  <c r="C18" i="51"/>
  <c r="C19" i="51"/>
  <c r="C20" i="51"/>
  <c r="C21" i="51"/>
  <c r="C22" i="51"/>
  <c r="C23" i="51"/>
  <c r="C24" i="51"/>
  <c r="C25" i="51"/>
  <c r="C26" i="51"/>
  <c r="C27" i="51"/>
  <c r="C28" i="51"/>
  <c r="C29" i="51"/>
  <c r="C30" i="51"/>
  <c r="C31" i="51"/>
  <c r="C32" i="51"/>
  <c r="C33" i="51"/>
  <c r="C34" i="51"/>
  <c r="C35" i="51"/>
  <c r="C36" i="51"/>
  <c r="C37" i="51"/>
  <c r="C38" i="51"/>
  <c r="C39" i="51"/>
  <c r="C40" i="51"/>
  <c r="C41" i="51"/>
  <c r="C42" i="51"/>
  <c r="C43" i="51"/>
  <c r="C44" i="51"/>
  <c r="C45" i="51"/>
  <c r="C46" i="51"/>
  <c r="C47" i="51"/>
  <c r="C48" i="51"/>
  <c r="C49" i="51"/>
  <c r="C50" i="51"/>
  <c r="C51" i="51"/>
  <c r="C52" i="51"/>
  <c r="C53" i="51"/>
  <c r="C54" i="51"/>
  <c r="C55" i="51"/>
  <c r="C56" i="51"/>
  <c r="C57" i="51"/>
  <c r="C58" i="51"/>
  <c r="C59" i="51"/>
  <c r="C60" i="51"/>
  <c r="C61" i="51"/>
  <c r="C62" i="51"/>
  <c r="C63" i="51"/>
  <c r="C64" i="51"/>
  <c r="C65" i="51"/>
  <c r="C66" i="51"/>
  <c r="C67" i="51"/>
  <c r="C68" i="51"/>
  <c r="C69" i="51"/>
  <c r="C70" i="51"/>
  <c r="C71" i="51"/>
  <c r="C72" i="51"/>
  <c r="C73" i="51"/>
  <c r="C74" i="51"/>
  <c r="C75" i="51"/>
  <c r="C76" i="51"/>
  <c r="C77" i="51"/>
  <c r="C78" i="51"/>
  <c r="C79" i="51"/>
  <c r="C80" i="51"/>
  <c r="C81" i="51"/>
  <c r="C82" i="51"/>
  <c r="C83" i="51"/>
  <c r="C84" i="51"/>
  <c r="C85" i="51"/>
  <c r="C86" i="51"/>
  <c r="C87" i="51"/>
  <c r="C88" i="51"/>
  <c r="C89" i="51"/>
  <c r="C90" i="51"/>
  <c r="C91" i="51"/>
  <c r="C92" i="51"/>
  <c r="C93" i="51"/>
  <c r="C94" i="51"/>
  <c r="C95" i="51"/>
  <c r="C96" i="51"/>
  <c r="C97" i="51"/>
  <c r="C98" i="51"/>
  <c r="C99" i="51"/>
  <c r="C100" i="51"/>
  <c r="B1" i="51"/>
  <c r="B2" i="51"/>
  <c r="B3" i="51"/>
  <c r="B4" i="51"/>
  <c r="B5" i="51"/>
  <c r="B6" i="51"/>
  <c r="B7" i="51"/>
  <c r="B8" i="51"/>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35" i="51"/>
  <c r="B36" i="51"/>
  <c r="B37" i="51"/>
  <c r="B38" i="51"/>
  <c r="B39" i="51"/>
  <c r="B40" i="51"/>
  <c r="B41" i="51"/>
  <c r="B42" i="51"/>
  <c r="B43" i="51"/>
  <c r="B44" i="51"/>
  <c r="B45" i="51"/>
  <c r="B46" i="51"/>
  <c r="B47" i="51"/>
  <c r="B48" i="51"/>
  <c r="B49" i="51"/>
  <c r="B50" i="51"/>
  <c r="B51" i="51"/>
  <c r="B52" i="51"/>
  <c r="B53" i="51"/>
  <c r="B54" i="51"/>
  <c r="B55" i="51"/>
  <c r="B56" i="51"/>
  <c r="B57" i="51"/>
  <c r="B58" i="51"/>
  <c r="B59" i="51"/>
  <c r="B60" i="51"/>
  <c r="B61" i="51"/>
  <c r="B62" i="51"/>
  <c r="B63" i="51"/>
  <c r="B64" i="51"/>
  <c r="B65" i="51"/>
  <c r="B66" i="51"/>
  <c r="B67" i="51"/>
  <c r="B68" i="51"/>
  <c r="B69" i="51"/>
  <c r="B70" i="51"/>
  <c r="B71" i="51"/>
  <c r="B72" i="51"/>
  <c r="B73" i="51"/>
  <c r="B74" i="51"/>
  <c r="B75" i="51"/>
  <c r="B76" i="51"/>
  <c r="B77" i="51"/>
  <c r="B78" i="51"/>
  <c r="B79" i="51"/>
  <c r="B80" i="51"/>
  <c r="B81" i="51"/>
  <c r="B82" i="51"/>
  <c r="B83" i="51"/>
  <c r="B84" i="51"/>
  <c r="B85" i="51"/>
  <c r="B86" i="51"/>
  <c r="B87" i="51"/>
  <c r="B88" i="51"/>
  <c r="B89" i="51"/>
  <c r="B90" i="51"/>
  <c r="B91" i="51"/>
  <c r="B92" i="51"/>
  <c r="B93" i="51"/>
  <c r="B94" i="51"/>
  <c r="B95" i="51"/>
  <c r="B96" i="51"/>
  <c r="B97" i="51"/>
  <c r="B98" i="51"/>
  <c r="B99" i="51"/>
  <c r="B100" i="51"/>
  <c r="C1" i="50"/>
  <c r="C2" i="50"/>
  <c r="C3" i="50"/>
  <c r="C4" i="50"/>
  <c r="C5" i="50"/>
  <c r="C6" i="50"/>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4" i="50"/>
  <c r="C65" i="50"/>
  <c r="C66" i="50"/>
  <c r="C67" i="50"/>
  <c r="C68" i="50"/>
  <c r="C69" i="50"/>
  <c r="C70" i="50"/>
  <c r="C71" i="50"/>
  <c r="C72" i="50"/>
  <c r="C73" i="50"/>
  <c r="C74" i="50"/>
  <c r="C75" i="50"/>
  <c r="C76" i="50"/>
  <c r="C77" i="50"/>
  <c r="C78" i="50"/>
  <c r="C79" i="50"/>
  <c r="C80" i="50"/>
  <c r="C81" i="50"/>
  <c r="C82" i="50"/>
  <c r="C83" i="50"/>
  <c r="C84" i="50"/>
  <c r="C85" i="50"/>
  <c r="C86" i="50"/>
  <c r="C87" i="50"/>
  <c r="C88" i="50"/>
  <c r="C89" i="50"/>
  <c r="C90" i="50"/>
  <c r="C91" i="50"/>
  <c r="C92" i="50"/>
  <c r="C93" i="50"/>
  <c r="C94" i="50"/>
  <c r="C95" i="50"/>
  <c r="C96" i="50"/>
  <c r="C97" i="50"/>
  <c r="C98" i="50"/>
  <c r="C99" i="50"/>
  <c r="C100" i="50"/>
  <c r="B1"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29" i="50"/>
  <c r="B30" i="50"/>
  <c r="B31" i="50"/>
  <c r="B32" i="50"/>
  <c r="B33" i="50"/>
  <c r="B34" i="50"/>
  <c r="B35" i="50"/>
  <c r="B36" i="50"/>
  <c r="B37" i="50"/>
  <c r="B38" i="50"/>
  <c r="B39" i="50"/>
  <c r="B40" i="50"/>
  <c r="B41" i="50"/>
  <c r="B42" i="50"/>
  <c r="B43" i="50"/>
  <c r="B44" i="50"/>
  <c r="B45" i="50"/>
  <c r="B46" i="50"/>
  <c r="B47" i="50"/>
  <c r="B48" i="50"/>
  <c r="B49" i="50"/>
  <c r="B50" i="50"/>
  <c r="B51" i="50"/>
  <c r="B52" i="50"/>
  <c r="B53" i="50"/>
  <c r="B54" i="50"/>
  <c r="B55" i="50"/>
  <c r="B56" i="50"/>
  <c r="B57" i="50"/>
  <c r="B58" i="50"/>
  <c r="B59" i="50"/>
  <c r="B60" i="50"/>
  <c r="B61" i="50"/>
  <c r="B62" i="50"/>
  <c r="B63" i="50"/>
  <c r="B64" i="50"/>
  <c r="B65" i="50"/>
  <c r="B66" i="50"/>
  <c r="B67" i="50"/>
  <c r="B68" i="50"/>
  <c r="B69" i="50"/>
  <c r="B70" i="50"/>
  <c r="B71" i="50"/>
  <c r="B72" i="50"/>
  <c r="B73" i="50"/>
  <c r="B74" i="50"/>
  <c r="B75" i="50"/>
  <c r="B76" i="50"/>
  <c r="B77" i="50"/>
  <c r="B78" i="50"/>
  <c r="B79" i="50"/>
  <c r="B80" i="50"/>
  <c r="B81" i="50"/>
  <c r="B82" i="50"/>
  <c r="B83" i="50"/>
  <c r="B84" i="50"/>
  <c r="B85" i="50"/>
  <c r="B86" i="50"/>
  <c r="B87" i="50"/>
  <c r="B88" i="50"/>
  <c r="B89" i="50"/>
  <c r="B90" i="50"/>
  <c r="B91" i="50"/>
  <c r="B92" i="50"/>
  <c r="B93" i="50"/>
  <c r="B94" i="50"/>
  <c r="B95" i="50"/>
  <c r="B96" i="50"/>
  <c r="B97" i="50"/>
  <c r="B98" i="50"/>
  <c r="B99" i="50"/>
  <c r="B100" i="50"/>
  <c r="C1" i="49"/>
  <c r="C2" i="49"/>
  <c r="C3" i="49"/>
  <c r="C4" i="49"/>
  <c r="C5" i="49"/>
  <c r="C6" i="49"/>
  <c r="C7" i="49"/>
  <c r="C8" i="49"/>
  <c r="C9" i="49"/>
  <c r="C10" i="49"/>
  <c r="C11" i="49"/>
  <c r="C12" i="49"/>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68" i="49"/>
  <c r="C69" i="49"/>
  <c r="C70" i="49"/>
  <c r="B1" i="49"/>
  <c r="B2" i="49"/>
  <c r="B3" i="49"/>
  <c r="B4" i="49"/>
  <c r="B5" i="49"/>
  <c r="B6" i="49"/>
  <c r="B7" i="49"/>
  <c r="B8" i="49"/>
  <c r="B9" i="49"/>
  <c r="B10" i="49"/>
  <c r="B11" i="49"/>
  <c r="B12" i="49"/>
  <c r="B13" i="49"/>
  <c r="B14" i="49"/>
  <c r="B15" i="49"/>
  <c r="B16" i="49"/>
  <c r="B17" i="49"/>
  <c r="B18" i="49"/>
  <c r="B19" i="49"/>
  <c r="B20" i="49"/>
  <c r="B21" i="49"/>
  <c r="B22" i="49"/>
  <c r="B23" i="49"/>
  <c r="B24" i="49"/>
  <c r="B25" i="49"/>
  <c r="B26" i="49"/>
  <c r="B27" i="49"/>
  <c r="B28" i="49"/>
  <c r="B29" i="49"/>
  <c r="B30" i="49"/>
  <c r="B31" i="49"/>
  <c r="B32" i="49"/>
  <c r="B33" i="49"/>
  <c r="B34" i="49"/>
  <c r="B35" i="49"/>
  <c r="B36" i="49"/>
  <c r="B37" i="49"/>
  <c r="B38" i="49"/>
  <c r="B39" i="49"/>
  <c r="B40" i="49"/>
  <c r="B41" i="49"/>
  <c r="B42" i="49"/>
  <c r="B43" i="49"/>
  <c r="B44" i="49"/>
  <c r="B45" i="49"/>
  <c r="B46" i="49"/>
  <c r="B47" i="49"/>
  <c r="B48" i="49"/>
  <c r="B49" i="49"/>
  <c r="B50" i="49"/>
  <c r="B51" i="49"/>
  <c r="B52" i="49"/>
  <c r="B53" i="49"/>
  <c r="B54" i="49"/>
  <c r="B55" i="49"/>
  <c r="B56" i="49"/>
  <c r="B57" i="49"/>
  <c r="B58" i="49"/>
  <c r="B59" i="49"/>
  <c r="B60" i="49"/>
  <c r="B61" i="49"/>
  <c r="B62" i="49"/>
  <c r="B63" i="49"/>
  <c r="B64" i="49"/>
  <c r="B65" i="49"/>
  <c r="B66" i="49"/>
  <c r="B67" i="49"/>
  <c r="B68" i="49"/>
  <c r="B69" i="49"/>
  <c r="B70" i="49"/>
  <c r="C1" i="48"/>
  <c r="C2" i="48"/>
  <c r="C3" i="48"/>
  <c r="C4" i="48"/>
  <c r="C5" i="48"/>
  <c r="C6" i="48"/>
  <c r="C7" i="48"/>
  <c r="C8" i="48"/>
  <c r="C9" i="48"/>
  <c r="C10" i="48"/>
  <c r="C11" i="48"/>
  <c r="C12" i="48"/>
  <c r="C13" i="48"/>
  <c r="C14" i="48"/>
  <c r="C15" i="48"/>
  <c r="C16" i="48"/>
  <c r="C17" i="48"/>
  <c r="C18" i="48"/>
  <c r="C19" i="48"/>
  <c r="C20" i="48"/>
  <c r="C21" i="48"/>
  <c r="C22" i="48"/>
  <c r="C23" i="48"/>
  <c r="C24" i="48"/>
  <c r="C25" i="48"/>
  <c r="C26" i="48"/>
  <c r="C27" i="48"/>
  <c r="C28" i="48"/>
  <c r="C29" i="48"/>
  <c r="C30" i="48"/>
  <c r="C31" i="48"/>
  <c r="C32" i="48"/>
  <c r="C33" i="48"/>
  <c r="C34" i="48"/>
  <c r="C35" i="48"/>
  <c r="C36" i="48"/>
  <c r="C37" i="48"/>
  <c r="C38" i="48"/>
  <c r="C39" i="48"/>
  <c r="C40" i="48"/>
  <c r="C41" i="48"/>
  <c r="C42" i="48"/>
  <c r="C43" i="48"/>
  <c r="C44" i="48"/>
  <c r="C45" i="48"/>
  <c r="C46" i="48"/>
  <c r="C47" i="48"/>
  <c r="C48" i="48"/>
  <c r="C49" i="48"/>
  <c r="C50" i="48"/>
  <c r="C51" i="48"/>
  <c r="C52" i="48"/>
  <c r="C53" i="48"/>
  <c r="C54" i="48"/>
  <c r="C55" i="48"/>
  <c r="C56" i="48"/>
  <c r="C57" i="48"/>
  <c r="C58" i="48"/>
  <c r="C59" i="48"/>
  <c r="C60" i="48"/>
  <c r="C61" i="48"/>
  <c r="C62" i="48"/>
  <c r="C63" i="48"/>
  <c r="C64" i="48"/>
  <c r="C65" i="48"/>
  <c r="C66" i="48"/>
  <c r="C67" i="48"/>
  <c r="C68" i="48"/>
  <c r="C69" i="48"/>
  <c r="C70" i="48"/>
  <c r="B1" i="48"/>
  <c r="B2" i="48"/>
  <c r="B3" i="48"/>
  <c r="B4" i="48"/>
  <c r="B5" i="48"/>
  <c r="B6" i="48"/>
  <c r="B7" i="48"/>
  <c r="B8" i="48"/>
  <c r="B9" i="48"/>
  <c r="B10" i="48"/>
  <c r="B11" i="48"/>
  <c r="B12" i="48"/>
  <c r="B13" i="48"/>
  <c r="B14" i="48"/>
  <c r="B15" i="48"/>
  <c r="B16" i="48"/>
  <c r="B17" i="48"/>
  <c r="B18" i="48"/>
  <c r="B19" i="48"/>
  <c r="B20" i="48"/>
  <c r="B21" i="48"/>
  <c r="B22" i="48"/>
  <c r="B23" i="48"/>
  <c r="B24" i="48"/>
  <c r="B25" i="48"/>
  <c r="B26" i="48"/>
  <c r="B27" i="48"/>
  <c r="B28" i="48"/>
  <c r="B29" i="48"/>
  <c r="B30" i="48"/>
  <c r="B31" i="48"/>
  <c r="B32" i="48"/>
  <c r="B33" i="48"/>
  <c r="B34" i="48"/>
  <c r="B35" i="48"/>
  <c r="B36" i="48"/>
  <c r="B37" i="48"/>
  <c r="B38" i="48"/>
  <c r="B39" i="48"/>
  <c r="B40" i="48"/>
  <c r="B41" i="48"/>
  <c r="B42" i="48"/>
  <c r="B43" i="48"/>
  <c r="B44" i="48"/>
  <c r="B45" i="48"/>
  <c r="B46" i="48"/>
  <c r="B47" i="48"/>
  <c r="B48" i="48"/>
  <c r="B49" i="48"/>
  <c r="B50" i="48"/>
  <c r="B51" i="48"/>
  <c r="B52" i="48"/>
  <c r="B53" i="48"/>
  <c r="B54" i="48"/>
  <c r="B55" i="48"/>
  <c r="B56" i="48"/>
  <c r="B57" i="48"/>
  <c r="B58" i="48"/>
  <c r="B59" i="48"/>
  <c r="B60" i="48"/>
  <c r="B61" i="48"/>
  <c r="B62" i="48"/>
  <c r="B63" i="48"/>
  <c r="B64" i="48"/>
  <c r="B65" i="48"/>
  <c r="B66" i="48"/>
  <c r="B67" i="48"/>
  <c r="B68" i="48"/>
  <c r="B69" i="48"/>
  <c r="B70" i="48"/>
  <c r="C1" i="46"/>
  <c r="C2" i="46"/>
  <c r="C3" i="46"/>
  <c r="C4" i="46"/>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B1" i="46"/>
  <c r="B2" i="46"/>
  <c r="B3" i="46"/>
  <c r="B4" i="46"/>
  <c r="B5" i="46"/>
  <c r="B6" i="46"/>
  <c r="B7" i="46"/>
  <c r="B8" i="46"/>
  <c r="B9" i="46"/>
  <c r="B10" i="46"/>
  <c r="B11" i="46"/>
  <c r="B12" i="46"/>
  <c r="B13" i="46"/>
  <c r="B14" i="46"/>
  <c r="B15" i="46"/>
  <c r="B16" i="46"/>
  <c r="B17" i="46"/>
  <c r="B18" i="46"/>
  <c r="B19" i="46"/>
  <c r="B20" i="46"/>
  <c r="B21" i="46"/>
  <c r="B22" i="46"/>
  <c r="B23" i="46"/>
  <c r="B24" i="46"/>
  <c r="B25" i="46"/>
  <c r="B26" i="46"/>
  <c r="B27" i="46"/>
  <c r="B28" i="46"/>
  <c r="B29" i="46"/>
  <c r="B30" i="46"/>
  <c r="B31" i="46"/>
  <c r="B32" i="46"/>
  <c r="B33" i="46"/>
  <c r="B34" i="46"/>
  <c r="B35" i="46"/>
  <c r="B36" i="46"/>
  <c r="B37" i="46"/>
  <c r="B38" i="46"/>
  <c r="B39" i="46"/>
  <c r="B40" i="46"/>
  <c r="B41" i="46"/>
  <c r="B42" i="46"/>
  <c r="B43" i="46"/>
  <c r="B44" i="46"/>
  <c r="B45" i="46"/>
  <c r="B46" i="46"/>
  <c r="B47" i="46"/>
  <c r="B48" i="46"/>
  <c r="B49" i="46"/>
  <c r="B50" i="46"/>
  <c r="B51" i="46"/>
  <c r="B52" i="46"/>
  <c r="B53" i="46"/>
  <c r="B54" i="46"/>
  <c r="B55" i="46"/>
  <c r="B56" i="46"/>
  <c r="B57" i="46"/>
  <c r="B58" i="46"/>
  <c r="B59" i="46"/>
  <c r="B60" i="46"/>
  <c r="B61" i="46"/>
  <c r="B62" i="46"/>
  <c r="B63" i="46"/>
  <c r="B64" i="46"/>
  <c r="B65" i="46"/>
  <c r="B66" i="46"/>
  <c r="B67" i="46"/>
  <c r="B68" i="46"/>
  <c r="B69" i="46"/>
  <c r="B70" i="46"/>
  <c r="C1" i="45"/>
  <c r="C2" i="45"/>
  <c r="C3" i="45"/>
  <c r="C4" i="45"/>
  <c r="C5" i="45"/>
  <c r="C6" i="45"/>
  <c r="C7" i="45"/>
  <c r="C8" i="45"/>
  <c r="C9" i="45"/>
  <c r="C10" i="45"/>
  <c r="C11" i="45"/>
  <c r="C12" i="45"/>
  <c r="C13"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B1" i="45"/>
  <c r="B2" i="45"/>
  <c r="B3" i="45"/>
  <c r="B4" i="45"/>
  <c r="B5" i="45"/>
  <c r="B6" i="45"/>
  <c r="B7" i="45"/>
  <c r="B8" i="45"/>
  <c r="B9" i="45"/>
  <c r="B10" i="45"/>
  <c r="B11" i="45"/>
  <c r="B12" i="45"/>
  <c r="B13" i="45"/>
  <c r="B14" i="45"/>
  <c r="B15" i="45"/>
  <c r="B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49" i="45"/>
  <c r="B50" i="45"/>
  <c r="B51" i="45"/>
  <c r="B52" i="45"/>
  <c r="B53" i="45"/>
  <c r="B54" i="45"/>
  <c r="B55" i="45"/>
  <c r="B56" i="45"/>
  <c r="B57" i="45"/>
  <c r="B58" i="45"/>
  <c r="B59" i="45"/>
  <c r="B60" i="45"/>
  <c r="B61" i="45"/>
  <c r="B62" i="45"/>
  <c r="B63" i="45"/>
  <c r="B64" i="45"/>
  <c r="B65" i="45"/>
  <c r="B66" i="45"/>
  <c r="B67" i="45"/>
  <c r="B68" i="45"/>
  <c r="B69" i="45"/>
  <c r="B70" i="45"/>
  <c r="C1" i="44"/>
  <c r="C2" i="44"/>
  <c r="C3" i="44"/>
  <c r="C4" i="44"/>
  <c r="C5" i="44"/>
  <c r="C6" i="44"/>
  <c r="C7" i="44"/>
  <c r="C8" i="44"/>
  <c r="C9" i="44"/>
  <c r="C10" i="44"/>
  <c r="C11" i="44"/>
  <c r="C12" i="44"/>
  <c r="C13" i="44"/>
  <c r="C14" i="44"/>
  <c r="C15" i="44"/>
  <c r="C16" i="44"/>
  <c r="C17" i="44"/>
  <c r="C18" i="44"/>
  <c r="C19" i="44"/>
  <c r="C20" i="44"/>
  <c r="C21" i="44"/>
  <c r="C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B1" i="44"/>
  <c r="B2" i="44"/>
  <c r="B3" i="44"/>
  <c r="B4" i="44"/>
  <c r="B5" i="44"/>
  <c r="B6" i="44"/>
  <c r="B7" i="44"/>
  <c r="B8" i="44"/>
  <c r="B9" i="44"/>
  <c r="B10" i="44"/>
  <c r="B11" i="44"/>
  <c r="B12" i="44"/>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C1" i="43"/>
  <c r="C2" i="43"/>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B1" i="43"/>
  <c r="B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C1" i="42"/>
  <c r="C2" i="42"/>
  <c r="C3" i="42"/>
  <c r="C4" i="42"/>
  <c r="C5" i="42"/>
  <c r="C6" i="42"/>
  <c r="C7" i="42"/>
  <c r="C8" i="42"/>
  <c r="C9" i="42"/>
  <c r="C10" i="42"/>
  <c r="C11" i="42"/>
  <c r="C12" i="42"/>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68" i="42"/>
  <c r="C69" i="42"/>
  <c r="C70" i="42"/>
  <c r="B1" i="42"/>
  <c r="B2" i="42"/>
  <c r="B3" i="42"/>
  <c r="B4" i="42"/>
  <c r="B5" i="42"/>
  <c r="B6" i="42"/>
  <c r="B7" i="42"/>
  <c r="B8" i="42"/>
  <c r="B9" i="42"/>
  <c r="B10" i="42"/>
  <c r="B11" i="42"/>
  <c r="B12" i="42"/>
  <c r="B13" i="42"/>
  <c r="B14" i="42"/>
  <c r="B15" i="42"/>
  <c r="B16" i="42"/>
  <c r="B17" i="42"/>
  <c r="B18" i="42"/>
  <c r="B19" i="42"/>
  <c r="B20" i="42"/>
  <c r="B21" i="42"/>
  <c r="B22" i="42"/>
  <c r="B23" i="42"/>
  <c r="B24" i="42"/>
  <c r="B25" i="42"/>
  <c r="B26" i="42"/>
  <c r="B27" i="42"/>
  <c r="B28" i="42"/>
  <c r="B29" i="42"/>
  <c r="B30" i="42"/>
  <c r="B31" i="42"/>
  <c r="B32" i="42"/>
  <c r="B33" i="42"/>
  <c r="B34" i="42"/>
  <c r="B35" i="42"/>
  <c r="B36" i="42"/>
  <c r="B37" i="42"/>
  <c r="B38" i="42"/>
  <c r="B39" i="42"/>
  <c r="B40" i="42"/>
  <c r="B41" i="42"/>
  <c r="B42" i="42"/>
  <c r="B43" i="42"/>
  <c r="B44" i="42"/>
  <c r="B45" i="42"/>
  <c r="B46" i="42"/>
  <c r="B47" i="42"/>
  <c r="B48" i="42"/>
  <c r="B49" i="42"/>
  <c r="B50" i="42"/>
  <c r="B51" i="42"/>
  <c r="B52" i="42"/>
  <c r="B53" i="42"/>
  <c r="B54" i="42"/>
  <c r="B55" i="42"/>
  <c r="B56" i="42"/>
  <c r="B57" i="42"/>
  <c r="B58" i="42"/>
  <c r="B59" i="42"/>
  <c r="B60" i="42"/>
  <c r="B61" i="42"/>
  <c r="B62" i="42"/>
  <c r="B63" i="42"/>
  <c r="B64" i="42"/>
  <c r="B65" i="42"/>
  <c r="B66" i="42"/>
  <c r="B67" i="42"/>
  <c r="B68" i="42"/>
  <c r="B69" i="42"/>
  <c r="B70" i="42"/>
  <c r="C1" i="41"/>
  <c r="C2" i="41"/>
  <c r="C3" i="41"/>
  <c r="C4" i="41"/>
  <c r="C5" i="41"/>
  <c r="C6" i="41"/>
  <c r="C7" i="41"/>
  <c r="C8" i="41"/>
  <c r="C9" i="41"/>
  <c r="C10" i="41"/>
  <c r="C11" i="41"/>
  <c r="C12" i="41"/>
  <c r="C13" i="41"/>
  <c r="C14" i="41"/>
  <c r="C15" i="41"/>
  <c r="C16" i="41"/>
  <c r="C17" i="41"/>
  <c r="C18" i="41"/>
  <c r="C19" i="41"/>
  <c r="C20" i="41"/>
  <c r="C21" i="41"/>
  <c r="C22" i="41"/>
  <c r="C23" i="41"/>
  <c r="C24" i="41"/>
  <c r="C25" i="41"/>
  <c r="C26" i="41"/>
  <c r="C27" i="41"/>
  <c r="C28" i="41"/>
  <c r="C29" i="41"/>
  <c r="C30" i="41"/>
  <c r="C31" i="41"/>
  <c r="C32" i="41"/>
  <c r="C33" i="41"/>
  <c r="C34" i="41"/>
  <c r="C35" i="41"/>
  <c r="C36" i="41"/>
  <c r="C37" i="41"/>
  <c r="C38" i="41"/>
  <c r="C39" i="41"/>
  <c r="C40" i="41"/>
  <c r="C41" i="41"/>
  <c r="C42" i="41"/>
  <c r="C43" i="41"/>
  <c r="C44" i="41"/>
  <c r="C45" i="41"/>
  <c r="C46" i="41"/>
  <c r="C47" i="41"/>
  <c r="C48" i="41"/>
  <c r="C49" i="41"/>
  <c r="C50" i="41"/>
  <c r="C51" i="41"/>
  <c r="C52" i="41"/>
  <c r="C53" i="41"/>
  <c r="C54" i="41"/>
  <c r="C55" i="41"/>
  <c r="C56" i="41"/>
  <c r="C57" i="41"/>
  <c r="C58" i="41"/>
  <c r="C59" i="41"/>
  <c r="C60" i="41"/>
  <c r="C61" i="41"/>
  <c r="C62" i="41"/>
  <c r="C63" i="41"/>
  <c r="C64" i="41"/>
  <c r="C65" i="41"/>
  <c r="C66" i="41"/>
  <c r="C67" i="41"/>
  <c r="C68" i="41"/>
  <c r="C69" i="41"/>
  <c r="C70" i="41"/>
  <c r="B1" i="41"/>
  <c r="B2" i="41"/>
  <c r="B3" i="41"/>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0" i="41"/>
  <c r="B31" i="41"/>
  <c r="B32" i="41"/>
  <c r="B33" i="41"/>
  <c r="B34" i="41"/>
  <c r="B35" i="41"/>
  <c r="B36" i="41"/>
  <c r="B37" i="41"/>
  <c r="B38" i="41"/>
  <c r="B39" i="41"/>
  <c r="B40" i="41"/>
  <c r="B41" i="41"/>
  <c r="B42" i="41"/>
  <c r="B43" i="41"/>
  <c r="B44" i="41"/>
  <c r="B45" i="41"/>
  <c r="B46" i="41"/>
  <c r="B47" i="41"/>
  <c r="B48" i="41"/>
  <c r="B49" i="41"/>
  <c r="B50" i="41"/>
  <c r="B51" i="41"/>
  <c r="B52" i="41"/>
  <c r="B53" i="41"/>
  <c r="B54" i="41"/>
  <c r="B55" i="41"/>
  <c r="B56" i="41"/>
  <c r="B57" i="41"/>
  <c r="B58" i="41"/>
  <c r="B59" i="41"/>
  <c r="B60" i="41"/>
  <c r="B61" i="41"/>
  <c r="B62" i="41"/>
  <c r="B63" i="41"/>
  <c r="B64" i="41"/>
  <c r="B65" i="41"/>
  <c r="B66" i="41"/>
  <c r="B67" i="41"/>
  <c r="B68" i="41"/>
  <c r="B69" i="41"/>
  <c r="B70" i="41"/>
  <c r="C1" i="39"/>
  <c r="C2" i="39"/>
  <c r="C3" i="39"/>
  <c r="C4" i="39"/>
  <c r="C5" i="39"/>
  <c r="C6" i="39"/>
  <c r="C7" i="39"/>
  <c r="C8" i="39"/>
  <c r="C9" i="39"/>
  <c r="C10" i="39"/>
  <c r="C11" i="39"/>
  <c r="C12" i="39"/>
  <c r="C13" i="39"/>
  <c r="C14" i="39"/>
  <c r="C15" i="39"/>
  <c r="C16" i="39"/>
  <c r="C17" i="39"/>
  <c r="C18" i="39"/>
  <c r="C19" i="39"/>
  <c r="C20" i="39"/>
  <c r="C21" i="39"/>
  <c r="C22" i="39"/>
  <c r="C23" i="39"/>
  <c r="C24" i="39"/>
  <c r="C25" i="39"/>
  <c r="C26" i="39"/>
  <c r="C27" i="39"/>
  <c r="C28" i="39"/>
  <c r="C29" i="39"/>
  <c r="C30"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C65" i="39"/>
  <c r="C66" i="39"/>
  <c r="C67" i="39"/>
  <c r="C68" i="39"/>
  <c r="C69" i="39"/>
  <c r="C70" i="39"/>
  <c r="B1" i="39"/>
  <c r="B2" i="39"/>
  <c r="B3" i="39"/>
  <c r="B4" i="39"/>
  <c r="B5" i="39"/>
  <c r="B6" i="39"/>
  <c r="B7" i="39"/>
  <c r="B8"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B58" i="39"/>
  <c r="B59" i="39"/>
  <c r="B60" i="39"/>
  <c r="B61" i="39"/>
  <c r="B62" i="39"/>
  <c r="B63" i="39"/>
  <c r="B64" i="39"/>
  <c r="B65" i="39"/>
  <c r="B66" i="39"/>
  <c r="B67" i="39"/>
  <c r="B68" i="39"/>
  <c r="B69" i="39"/>
  <c r="B70" i="39"/>
  <c r="C1" i="38"/>
  <c r="C2" i="38"/>
  <c r="C3" i="38"/>
  <c r="C4" i="38"/>
  <c r="C5" i="38"/>
  <c r="C6" i="38"/>
  <c r="C7" i="38"/>
  <c r="C8" i="38"/>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47" i="38"/>
  <c r="C48" i="38"/>
  <c r="C49" i="38"/>
  <c r="C50" i="38"/>
  <c r="C51" i="38"/>
  <c r="C52" i="38"/>
  <c r="C53" i="38"/>
  <c r="C54" i="38"/>
  <c r="C55" i="38"/>
  <c r="C56" i="38"/>
  <c r="C57" i="38"/>
  <c r="C58" i="38"/>
  <c r="C59" i="38"/>
  <c r="C60" i="38"/>
  <c r="C61" i="38"/>
  <c r="C62" i="38"/>
  <c r="C63" i="38"/>
  <c r="C64" i="38"/>
  <c r="C65" i="38"/>
  <c r="C66" i="38"/>
  <c r="C67" i="38"/>
  <c r="C68" i="38"/>
  <c r="C69" i="38"/>
  <c r="C70" i="38"/>
  <c r="B1" i="38"/>
  <c r="B2" i="38"/>
  <c r="B3" i="38"/>
  <c r="B4" i="38"/>
  <c r="B5" i="38"/>
  <c r="B6" i="38"/>
  <c r="B7" i="38"/>
  <c r="B8" i="38"/>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B36" i="38"/>
  <c r="B37" i="38"/>
  <c r="B38" i="38"/>
  <c r="B39" i="38"/>
  <c r="B40" i="38"/>
  <c r="B41" i="38"/>
  <c r="B42" i="38"/>
  <c r="B43" i="38"/>
  <c r="B44" i="38"/>
  <c r="B45" i="38"/>
  <c r="B46" i="38"/>
  <c r="B47" i="38"/>
  <c r="B48" i="38"/>
  <c r="B49" i="38"/>
  <c r="B50" i="38"/>
  <c r="B51" i="38"/>
  <c r="B52" i="38"/>
  <c r="B53" i="38"/>
  <c r="B54" i="38"/>
  <c r="B55" i="38"/>
  <c r="B56" i="38"/>
  <c r="B57" i="38"/>
  <c r="B58" i="38"/>
  <c r="B59" i="38"/>
  <c r="B60" i="38"/>
  <c r="B61" i="38"/>
  <c r="B62" i="38"/>
  <c r="B63" i="38"/>
  <c r="B64" i="38"/>
  <c r="B65" i="38"/>
  <c r="B66" i="38"/>
  <c r="B67" i="38"/>
  <c r="B68" i="38"/>
  <c r="B69" i="38"/>
  <c r="B70" i="38"/>
  <c r="C1" i="33"/>
  <c r="C2" i="33"/>
  <c r="C3" i="33"/>
  <c r="C4" i="33"/>
  <c r="C5" i="33"/>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B1" i="33"/>
  <c r="B2" i="33"/>
  <c r="B3" i="33"/>
  <c r="B4" i="33"/>
  <c r="B5" i="33"/>
  <c r="B6" i="33"/>
  <c r="B7" i="33"/>
  <c r="B8" i="33"/>
  <c r="B9" i="33"/>
  <c r="B10" i="33"/>
  <c r="B11" i="33"/>
  <c r="B12" i="33"/>
  <c r="B13" i="33"/>
  <c r="B14" i="33"/>
  <c r="B15"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C1" i="32"/>
  <c r="C2" i="32"/>
  <c r="C3" i="32"/>
  <c r="C4" i="32"/>
  <c r="C5" i="32"/>
  <c r="C6" i="32"/>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B1" i="32"/>
  <c r="B2" i="32"/>
  <c r="B3" i="32"/>
  <c r="B4" i="32"/>
  <c r="B5" i="32"/>
  <c r="B6" i="3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C1" i="31"/>
  <c r="C2" i="31"/>
  <c r="C3" i="31"/>
  <c r="C4" i="31"/>
  <c r="C5" i="31"/>
  <c r="C6" i="31"/>
  <c r="C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B1" i="31"/>
  <c r="B2" i="31"/>
  <c r="B3" i="31"/>
  <c r="B4" i="31"/>
  <c r="B5" i="31"/>
  <c r="B6" i="31"/>
  <c r="B7" i="31"/>
  <c r="B8" i="31"/>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C1" i="30"/>
  <c r="C2" i="30"/>
  <c r="C3" i="30"/>
  <c r="C4" i="30"/>
  <c r="C5"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B1" i="30"/>
  <c r="B2" i="30"/>
  <c r="B3" i="30"/>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C1" i="29"/>
  <c r="C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B1" i="29"/>
  <c r="B2" i="29"/>
  <c r="B3" i="29"/>
  <c r="B4" i="29"/>
  <c r="B5" i="29"/>
  <c r="B6" i="29"/>
  <c r="B7" i="29"/>
  <c r="B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C1" i="28"/>
  <c r="C2" i="28"/>
  <c r="C3" i="28"/>
  <c r="C4" i="28"/>
  <c r="C5" i="28"/>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B1" i="28"/>
  <c r="B2" i="28"/>
  <c r="B3" i="28"/>
  <c r="B4" i="28"/>
  <c r="B5" i="28"/>
  <c r="B6" i="28"/>
  <c r="B7" i="28"/>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C1" i="26"/>
  <c r="C2" i="26"/>
  <c r="C3" i="26"/>
  <c r="C4" i="26"/>
  <c r="C5" i="26"/>
  <c r="C6" i="26"/>
  <c r="C7" i="26"/>
  <c r="C8" i="26"/>
  <c r="C9" i="26"/>
  <c r="C10" i="26"/>
  <c r="C11" i="26"/>
  <c r="C12" i="26"/>
  <c r="C13" i="26"/>
  <c r="C14" i="26"/>
  <c r="C15" i="26"/>
  <c r="C16" i="26"/>
  <c r="C17" i="26"/>
  <c r="C18" i="26"/>
  <c r="C19" i="26"/>
  <c r="C20" i="26"/>
  <c r="C21" i="26"/>
  <c r="C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C54" i="26"/>
  <c r="C55" i="26"/>
  <c r="C56" i="26"/>
  <c r="C57" i="26"/>
  <c r="C58" i="26"/>
  <c r="C59" i="26"/>
  <c r="C60" i="26"/>
  <c r="C61" i="26"/>
  <c r="C62" i="26"/>
  <c r="C63" i="26"/>
  <c r="C64" i="26"/>
  <c r="C65" i="26"/>
  <c r="C66" i="26"/>
  <c r="C67" i="26"/>
  <c r="C68" i="26"/>
  <c r="C69" i="26"/>
  <c r="C70" i="26"/>
  <c r="B1" i="26"/>
  <c r="B2" i="26"/>
  <c r="B3" i="26"/>
  <c r="B4" i="26"/>
  <c r="B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C1" i="25"/>
  <c r="C2" i="25"/>
  <c r="C3"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B1" i="25"/>
  <c r="B2" i="25"/>
  <c r="B3" i="25"/>
  <c r="B4" i="25"/>
  <c r="B5" i="25"/>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C1" i="23"/>
  <c r="C2" i="23"/>
  <c r="C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B1" i="23"/>
  <c r="B2" i="23"/>
  <c r="B3"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C1" i="22"/>
  <c r="C2" i="22"/>
  <c r="C3" i="22"/>
  <c r="C4" i="22"/>
  <c r="C5" i="22"/>
  <c r="C6" i="22"/>
  <c r="C7" i="22"/>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B1" i="22"/>
  <c r="B2" i="22"/>
  <c r="B3" i="22"/>
  <c r="B4"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C1" i="20"/>
  <c r="C2" i="20"/>
  <c r="C3" i="20"/>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B1" i="20"/>
  <c r="B2" i="20"/>
  <c r="B3" i="20"/>
  <c r="B4" i="20"/>
  <c r="B5" i="20"/>
  <c r="B6" i="20"/>
  <c r="B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C1" i="19"/>
  <c r="C2"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B1" i="19"/>
  <c r="B2" i="19"/>
  <c r="B3" i="19"/>
  <c r="B4" i="19"/>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C1" i="15"/>
  <c r="C2" i="15"/>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B1" i="15"/>
  <c r="B2" i="15"/>
  <c r="B3" i="15"/>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C1" i="14"/>
  <c r="C2" i="14"/>
  <c r="C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B1" i="14"/>
  <c r="B2" i="14"/>
  <c r="B3" i="14"/>
  <c r="B4" i="14"/>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C1" i="12"/>
  <c r="C2" i="12"/>
  <c r="C3"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B1" i="12"/>
  <c r="B2" i="12"/>
  <c r="B3" i="12"/>
  <c r="B4"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C1" i="11"/>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B1" i="11"/>
  <c r="B2" i="11"/>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C1" i="9"/>
  <c r="C2" i="9"/>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B1" i="9"/>
  <c r="B2"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C1" i="8"/>
  <c r="C2" i="8"/>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B1" i="8"/>
  <c r="B2" i="8"/>
  <c r="B3" i="8"/>
  <c r="B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C1" i="7"/>
  <c r="C2"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B1" i="7"/>
  <c r="B2" i="7"/>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C1" i="6"/>
  <c r="C2"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B1" i="6"/>
  <c r="B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C1" i="5"/>
  <c r="C2" i="5"/>
  <c r="C3"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B1" i="5"/>
  <c r="B2" i="5"/>
  <c r="B3" i="5"/>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C1" i="4"/>
  <c r="C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B1" i="4"/>
  <c r="B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alcChain>
</file>

<file path=xl/sharedStrings.xml><?xml version="1.0" encoding="utf-8"?>
<sst xmlns="http://schemas.openxmlformats.org/spreadsheetml/2006/main" count="21930" uniqueCount="4486">
  <si>
    <t>Brazil 2013/Q1</t>
  </si>
  <si>
    <t>Brazil 2013/Q2</t>
  </si>
  <si>
    <t>Brazil 2013/Q3</t>
  </si>
  <si>
    <t>Brazil 2013/Q4</t>
  </si>
  <si>
    <t>Brazil 2014/Q1</t>
  </si>
  <si>
    <t>Brazil 2014/Q2</t>
  </si>
  <si>
    <t>Brazil 2014/Q3</t>
  </si>
  <si>
    <t>Brazil 2014/Q4</t>
  </si>
  <si>
    <t>Brazil 2015/Q1</t>
  </si>
  <si>
    <t>Brazil 2015/Q2</t>
  </si>
  <si>
    <t>Brazil 2015/Q3</t>
  </si>
  <si>
    <t>Brazil 2015/Q4</t>
  </si>
  <si>
    <t>Brazil 2016/Q1</t>
  </si>
  <si>
    <t>Brazil 2016/Q2</t>
  </si>
  <si>
    <t>Brazil 2016/Q3</t>
  </si>
  <si>
    <t>Brazil 2016/Q4</t>
  </si>
  <si>
    <t>Brazil 2017/Q1</t>
  </si>
  <si>
    <t>Brazil 2017/Q2</t>
  </si>
  <si>
    <t>Brazil 2017/Q3</t>
  </si>
  <si>
    <t>Argentina 2013/Q2</t>
  </si>
  <si>
    <t>Argentina 2013/Q3</t>
  </si>
  <si>
    <t>Argentina 2013/Q4</t>
  </si>
  <si>
    <t>Argentina 2014/Q1</t>
  </si>
  <si>
    <t>Argentina 2014/Q3</t>
  </si>
  <si>
    <t>Argentina 2014/Q2</t>
  </si>
  <si>
    <t>Argentina 2014/Q4</t>
  </si>
  <si>
    <t>Argentina 2015 /Q1</t>
  </si>
  <si>
    <t>Argentina 2015/Q2</t>
  </si>
  <si>
    <t>Argentina 2015/Q3</t>
  </si>
  <si>
    <t>Argentina 2015/Q4</t>
  </si>
  <si>
    <t>Argentina 2016/Q1</t>
  </si>
  <si>
    <t>Argentina 2016/Q2</t>
  </si>
  <si>
    <t>Argentina 2016/Q3</t>
  </si>
  <si>
    <t>Argentina 2016/Q4</t>
  </si>
  <si>
    <t>Argentina 2017/Q1</t>
  </si>
  <si>
    <t>Argentina 2017/Q2</t>
  </si>
  <si>
    <t>Argentina 2017/Q3</t>
  </si>
  <si>
    <t>Chile 2013/Q1</t>
  </si>
  <si>
    <t>Chile 2013/Q2</t>
  </si>
  <si>
    <t>Chile 2013/Q3</t>
  </si>
  <si>
    <t>Chile 2013/Q4</t>
  </si>
  <si>
    <t>Chile 2014/Q1</t>
  </si>
  <si>
    <t>Chile 2014/Q2</t>
  </si>
  <si>
    <t>Chile 2014/Q3</t>
  </si>
  <si>
    <t>Chile 2014/Q4</t>
  </si>
  <si>
    <t>Chile 2015/Q1</t>
  </si>
  <si>
    <t>Chile 2015/Q2</t>
  </si>
  <si>
    <t>Chile 2015/Q3</t>
  </si>
  <si>
    <t>Chile 2015/Q4</t>
  </si>
  <si>
    <t>Chile 2016/Q1</t>
  </si>
  <si>
    <t>Chile 2016/Q2</t>
  </si>
  <si>
    <t>Chile 2016/Q3</t>
  </si>
  <si>
    <t>Chile 2016/Q4</t>
  </si>
  <si>
    <t>Chile 2017/Q1</t>
  </si>
  <si>
    <t>Chile 2017/Q2</t>
  </si>
  <si>
    <t>Chile 2017/Q3</t>
  </si>
  <si>
    <t>Colombia 2013/Q1</t>
  </si>
  <si>
    <t>Colombia 2013/Q2</t>
  </si>
  <si>
    <t>Colombia 2013/Q3</t>
  </si>
  <si>
    <t>Colombia 2013/Q4</t>
  </si>
  <si>
    <t>Colombia 2014/Q1</t>
  </si>
  <si>
    <t>Colombia 2014/Q2</t>
  </si>
  <si>
    <t>Colombia 2014/Q4</t>
  </si>
  <si>
    <t>Colombia 2014/Q3</t>
  </si>
  <si>
    <t>Colombia 2015/Q1</t>
  </si>
  <si>
    <t>Colombia 2015/Q2</t>
  </si>
  <si>
    <t>Colombia 2015/Q3</t>
  </si>
  <si>
    <t>Colombia 2015/Q4</t>
  </si>
  <si>
    <t>Colombia 2016/Q1</t>
  </si>
  <si>
    <t>Colombia 2016/Q2</t>
  </si>
  <si>
    <t>Colombia 2016/Q3</t>
  </si>
  <si>
    <t>Colombia 2016/Q4</t>
  </si>
  <si>
    <t>Colombia 2017/Q1</t>
  </si>
  <si>
    <t>Colombia 2017/Q2</t>
  </si>
  <si>
    <t>Colombia 2017/Q3</t>
  </si>
  <si>
    <t>Ecuador 2013/Q1</t>
  </si>
  <si>
    <t>Ecuador 2013/Q2</t>
  </si>
  <si>
    <t>Ecuador 2013/Q3</t>
  </si>
  <si>
    <t>Ecuador 2013/Q4</t>
  </si>
  <si>
    <t>Ecuador 2014/Q1</t>
  </si>
  <si>
    <t>Ecuador 2014/Q2</t>
  </si>
  <si>
    <t>Ecuador 2014/Q3</t>
  </si>
  <si>
    <t>Ecuador 2014/Q4</t>
  </si>
  <si>
    <t>Ecuador 2015/Q1</t>
  </si>
  <si>
    <t>Ecuador 2015/Q2</t>
  </si>
  <si>
    <t>Ecuador 2015/Q3</t>
  </si>
  <si>
    <t>Ecuador 2015/Q4</t>
  </si>
  <si>
    <t>Ecuador 2016/Q1</t>
  </si>
  <si>
    <t>Ecuador 2016/Q2</t>
  </si>
  <si>
    <t>Ecuador 2016/Q3</t>
  </si>
  <si>
    <t>Ecuador 2016/Q4</t>
  </si>
  <si>
    <t>Ecuador 2017/Q1</t>
  </si>
  <si>
    <t>Ecuador 2017/Q2</t>
  </si>
  <si>
    <t>Ecuador 2017/Q3</t>
  </si>
  <si>
    <t>Mexico 2013/Q1</t>
  </si>
  <si>
    <t>Mexico 2013/Q2</t>
  </si>
  <si>
    <t>Mexico 2013/Q3</t>
  </si>
  <si>
    <t>Mexico 2013/Q4</t>
  </si>
  <si>
    <t>Mexico 2014/Q1</t>
  </si>
  <si>
    <t>Mexico 2014/Q2</t>
  </si>
  <si>
    <t>Mexico 2014/Q3</t>
  </si>
  <si>
    <t>Mexico 2014/Q4</t>
  </si>
  <si>
    <t>Mexico 2015/Q1</t>
  </si>
  <si>
    <t>Mexico 2015/Q2</t>
  </si>
  <si>
    <t>Mexico 2015/Q3</t>
  </si>
  <si>
    <t>Mexico 2015/Q4</t>
  </si>
  <si>
    <t>Mexico 2016/Q1</t>
  </si>
  <si>
    <t>Mexico 2016/Q2</t>
  </si>
  <si>
    <t>Mexico 2016/Q3</t>
  </si>
  <si>
    <t>Mexico 2016/Q4</t>
  </si>
  <si>
    <t>Mexico 2017/Q1</t>
  </si>
  <si>
    <t>Mexico 2017/Q2</t>
  </si>
  <si>
    <t>Mexico 2017/Q3</t>
  </si>
  <si>
    <t>Peru 2013/Q1</t>
  </si>
  <si>
    <t>Peru 2013/Q2</t>
  </si>
  <si>
    <t>Peru 2013/Q3</t>
  </si>
  <si>
    <t>Peru 2013/Q4</t>
  </si>
  <si>
    <t>Peru 2014/Q1</t>
  </si>
  <si>
    <t>Peru 2014/Q2</t>
  </si>
  <si>
    <t>Peru 2014/Q3</t>
  </si>
  <si>
    <t>Peru 2014/Q4</t>
  </si>
  <si>
    <t>Peru 2015/Q1</t>
  </si>
  <si>
    <t>Peru 2015/Q2</t>
  </si>
  <si>
    <t>Peru 2015/Q3</t>
  </si>
  <si>
    <t>Peru 2015/Q4</t>
  </si>
  <si>
    <t>Peru 2016/Q1</t>
  </si>
  <si>
    <t>Peru 2016/Q2</t>
  </si>
  <si>
    <t>Peru 2016/Q3</t>
  </si>
  <si>
    <t>Peru 2016/Q4</t>
  </si>
  <si>
    <t>Peru 2017/Q1</t>
  </si>
  <si>
    <t>Peru 2017/Q2</t>
  </si>
  <si>
    <t>Peru 2017/Q3</t>
  </si>
  <si>
    <t>Venezuela 2013/Q1</t>
  </si>
  <si>
    <t>Venezuela 2013/Q2</t>
  </si>
  <si>
    <t>Venezuela 2013/Q3</t>
  </si>
  <si>
    <t>Venezuela 2013/Q4</t>
  </si>
  <si>
    <t>Venezuela 2014/Q3</t>
  </si>
  <si>
    <t>Venezuela 2014/Q4</t>
  </si>
  <si>
    <t>Venezuela 2015/Q1</t>
  </si>
  <si>
    <t>Venezuela 2015/Q2</t>
  </si>
  <si>
    <t>Venezuela 2015/Q3</t>
  </si>
  <si>
    <t>Venezuela 2015/Q4</t>
  </si>
  <si>
    <t>Venezuela 2016/Q1</t>
  </si>
  <si>
    <t>Venezuela 2016/Q2</t>
  </si>
  <si>
    <t>Venezuela 2016/Q3</t>
  </si>
  <si>
    <t>Venezuela 2016/Q4</t>
  </si>
  <si>
    <t>Venezuela 2017/Q1</t>
  </si>
  <si>
    <t>Venezuela 2017/Q2</t>
  </si>
  <si>
    <t>Venezuela 2017/Q3</t>
  </si>
  <si>
    <t>Venezuela 2014/Q1</t>
  </si>
  <si>
    <t>Venezuela 2014/Q2</t>
  </si>
  <si>
    <t>No. M&amp;A</t>
  </si>
  <si>
    <t>Diese Ergebnisse wurden mit XLSTAT Free erzeugt. Sie würden sehr von den vielen weiteren Tools und Optionen einer Vollversion profitieren.</t>
  </si>
  <si>
    <t>Konfidenzintervall (%): 95</t>
  </si>
  <si>
    <t>Toleranz: 0,0001</t>
  </si>
  <si>
    <t>Deskriptive Statistiken:</t>
  </si>
  <si>
    <t>Variable</t>
  </si>
  <si>
    <t>Beobachtungen</t>
  </si>
  <si>
    <t>Beo. mit fehlender Daten</t>
  </si>
  <si>
    <t>Beo. ohne fehlender Daten</t>
  </si>
  <si>
    <t>Minimum</t>
  </si>
  <si>
    <t>Maximum</t>
  </si>
  <si>
    <t>Mittelwert</t>
  </si>
  <si>
    <t>Standardabweichung</t>
  </si>
  <si>
    <t>Korrelationsmatrix:</t>
  </si>
  <si>
    <t>Summe der Gewichte</t>
  </si>
  <si>
    <t>FG</t>
  </si>
  <si>
    <t>R²</t>
  </si>
  <si>
    <t>Angepasstes R²</t>
  </si>
  <si>
    <t>MSE</t>
  </si>
  <si>
    <t>RMSE</t>
  </si>
  <si>
    <t>MAPE</t>
  </si>
  <si>
    <t>DW</t>
  </si>
  <si>
    <t>Cp</t>
  </si>
  <si>
    <t>AIC</t>
  </si>
  <si>
    <t>SBC</t>
  </si>
  <si>
    <t>PC</t>
  </si>
  <si>
    <t>Quelle</t>
  </si>
  <si>
    <t>Summe der Quadratwerte</t>
  </si>
  <si>
    <t>Mittel der Quadratwerte</t>
  </si>
  <si>
    <t>F</t>
  </si>
  <si>
    <t>Pr &gt; F</t>
  </si>
  <si>
    <t>Modell</t>
  </si>
  <si>
    <t>Fehler</t>
  </si>
  <si>
    <t>Gesamt korrigiert</t>
  </si>
  <si>
    <t>Berechnet gegen Modell Y=Mean(Y)</t>
  </si>
  <si>
    <t>Wert</t>
  </si>
  <si>
    <t>Standardfehler</t>
  </si>
  <si>
    <t>t</t>
  </si>
  <si>
    <t>Pr &gt; |t|</t>
  </si>
  <si>
    <t>Untergrenze (95%)</t>
  </si>
  <si>
    <t>Obergrenze (95%)</t>
  </si>
  <si>
    <t>Achsenabschnitt</t>
  </si>
  <si>
    <t xml:space="preserve"> </t>
  </si>
  <si>
    <t>Beobachtung</t>
  </si>
  <si>
    <t>Gewicht</t>
  </si>
  <si>
    <t>Residuum</t>
  </si>
  <si>
    <t>Std. Residuum</t>
  </si>
  <si>
    <t>Std Abw. der Vorhersage (Mittelwert)</t>
  </si>
  <si>
    <t>Untergrenze 95% (Mittelwert)</t>
  </si>
  <si>
    <t>Obergrenze 95% (Mittelwert)</t>
  </si>
  <si>
    <t>Std Abw. der Vorhersage (Beobachtung)</t>
  </si>
  <si>
    <t>Untergrenze 95% (Beobachtung)</t>
  </si>
  <si>
    <t>Obergrenze 95% (Beobachtung)</t>
  </si>
  <si>
    <t>Multikollinearitätsstattistiken:</t>
  </si>
  <si>
    <t>Toleranz</t>
  </si>
  <si>
    <t>VIF</t>
  </si>
  <si>
    <t>Rating Quartal</t>
  </si>
  <si>
    <t>Argentina 2013/Q2 Agriculture</t>
  </si>
  <si>
    <t>Argentina 2013/Q2 Industry</t>
  </si>
  <si>
    <t>Argentina 2013/Q2 Services</t>
  </si>
  <si>
    <t>Argentina 2013/Q3 Agriculture</t>
  </si>
  <si>
    <t>Argentina 2013/Q3 Industry</t>
  </si>
  <si>
    <t>Argentina 2013/Q3 Services</t>
  </si>
  <si>
    <t>Argentina 2013/Q4 Agriculture</t>
  </si>
  <si>
    <t>Argentina 2013/Q4 Industry</t>
  </si>
  <si>
    <t>Argentina 2013/Q4 Services</t>
  </si>
  <si>
    <t>Argentina 2014/Q1 Agriculture</t>
  </si>
  <si>
    <t>Argentina 2014/Q1 Industry</t>
  </si>
  <si>
    <t>Argentina 2014/Q1 Services</t>
  </si>
  <si>
    <t>Argentina 2014/Q2 Agriculture</t>
  </si>
  <si>
    <t>Argentina 2014/Q3 Industry</t>
  </si>
  <si>
    <t>Argentina 2014/Q4 Services</t>
  </si>
  <si>
    <t>Argentina 2015/Q1 Agriculture</t>
  </si>
  <si>
    <t>Argentina 2015/Q1 Industry</t>
  </si>
  <si>
    <t>Argentina 2015/Q1 Services</t>
  </si>
  <si>
    <t>Argentina 2014/Q2 Industry</t>
  </si>
  <si>
    <t>Argentina 2014/Q2 Services</t>
  </si>
  <si>
    <t>Argentina 2014/Q3 Agriculture</t>
  </si>
  <si>
    <t>Argentina 2014/Q3 Services</t>
  </si>
  <si>
    <t>Argentina 2014/Q4 Agriculture</t>
  </si>
  <si>
    <t>Argentina 2014/Q4 Industry</t>
  </si>
  <si>
    <t>Argentina 2015/Q2 Industry</t>
  </si>
  <si>
    <t>Argentina 2015/Q2 Services</t>
  </si>
  <si>
    <t>Argentina 2015/Q2 Agriculture</t>
  </si>
  <si>
    <t>Argentina 2015/Q3 Industry</t>
  </si>
  <si>
    <t>Argentina 2015/Q3 Services</t>
  </si>
  <si>
    <t>Argentina 2015/Q4 Agriculture</t>
  </si>
  <si>
    <t>Argentina 2015/Q4 Industry</t>
  </si>
  <si>
    <t>Argentina 2015/Q4 Services</t>
  </si>
  <si>
    <t>Argentina 2015/Q3 Agriculture</t>
  </si>
  <si>
    <t>Argentina 2016/Q1 Agriculture</t>
  </si>
  <si>
    <t>Argentina 2016/Q1 Industry</t>
  </si>
  <si>
    <t>Argentina 2016/Q1 Services</t>
  </si>
  <si>
    <t>Argentina 2016/Q2 Agriculture</t>
  </si>
  <si>
    <t>Argentina 2016/Q2 Industry</t>
  </si>
  <si>
    <t>Argentina 2016/Q2 Services</t>
  </si>
  <si>
    <t>Argentina 2016/Q3 Agriculture</t>
  </si>
  <si>
    <t>Argentina 2016/Q3 Industry</t>
  </si>
  <si>
    <t>Argentina 2016/Q3 Services</t>
  </si>
  <si>
    <t>Argentina 2016/Q4 Agriculture</t>
  </si>
  <si>
    <t>Argentina 2016/Q4 Industry</t>
  </si>
  <si>
    <t>Argentina 2016/Q4 Services</t>
  </si>
  <si>
    <t>Argentina 2017/Q1 Agriculture</t>
  </si>
  <si>
    <t>Argentina 2017/Q1 Industry</t>
  </si>
  <si>
    <t>Argentina 2017/Q1 Services</t>
  </si>
  <si>
    <t>Argentina 2017/Q2 Agriculture</t>
  </si>
  <si>
    <t>Argentina 2017/Q2 Industry</t>
  </si>
  <si>
    <t>Argentina 2017/Q2 Services</t>
  </si>
  <si>
    <t>Argentina 2017/Q3 Agriculture</t>
  </si>
  <si>
    <t>Argentina 2017/Q3 Industry</t>
  </si>
  <si>
    <t>Argentina 2017/Q3 Services</t>
  </si>
  <si>
    <t>Brazil</t>
  </si>
  <si>
    <t>Venezuela</t>
  </si>
  <si>
    <t>Peru</t>
  </si>
  <si>
    <t>Mexico</t>
  </si>
  <si>
    <t>Ecuador</t>
  </si>
  <si>
    <t>Colombia</t>
  </si>
  <si>
    <t>Chile</t>
  </si>
  <si>
    <t>Argentina</t>
  </si>
  <si>
    <t>M&amp;A Intensity</t>
  </si>
  <si>
    <t>Regression der Variable M&amp;A Intensity:</t>
  </si>
  <si>
    <t>Anpassungskoeffizienten (M&amp;A Intensity):</t>
  </si>
  <si>
    <t>Varianzanalyse  (M&amp;A Intensity):</t>
  </si>
  <si>
    <t>Type I Sum of Squares Analyse (M&amp;A Intensity):</t>
  </si>
  <si>
    <t>Type III Sum of Squares Analyse (M&amp;A Intensity):</t>
  </si>
  <si>
    <t>Modellparameter (M&amp;A Intensity):</t>
  </si>
  <si>
    <t>Modellgleichung (M&amp;A Intensity):</t>
  </si>
  <si>
    <t>Standardisierte Koeffizienten (M&amp;A Intensity):</t>
  </si>
  <si>
    <t>Vorhersagen und Residuen (M&amp;A Intensity):</t>
  </si>
  <si>
    <t>Vorhersagen(M&amp;A Intensity)</t>
  </si>
  <si>
    <t>Beob1</t>
  </si>
  <si>
    <t>Beob2</t>
  </si>
  <si>
    <t>Beob3</t>
  </si>
  <si>
    <t>Beob4</t>
  </si>
  <si>
    <t>Beob5</t>
  </si>
  <si>
    <t>Beob6</t>
  </si>
  <si>
    <t>Beob7</t>
  </si>
  <si>
    <t>Beob8</t>
  </si>
  <si>
    <t>Beob9</t>
  </si>
  <si>
    <t>Beob10</t>
  </si>
  <si>
    <t>Beob11</t>
  </si>
  <si>
    <t>Beob12</t>
  </si>
  <si>
    <t>Beob13</t>
  </si>
  <si>
    <t>Beob14</t>
  </si>
  <si>
    <t>Beob15</t>
  </si>
  <si>
    <t>Beob16</t>
  </si>
  <si>
    <t>Beob17</t>
  </si>
  <si>
    <t>Beob18</t>
  </si>
  <si>
    <t>Beob19</t>
  </si>
  <si>
    <t>Beob20</t>
  </si>
  <si>
    <t>Beob21</t>
  </si>
  <si>
    <t>Beob22</t>
  </si>
  <si>
    <t>Beob23</t>
  </si>
  <si>
    <t>Beob24</t>
  </si>
  <si>
    <t>Beob25</t>
  </si>
  <si>
    <t>Beob26</t>
  </si>
  <si>
    <t>Beob27</t>
  </si>
  <si>
    <t>Beob28</t>
  </si>
  <si>
    <t>Beob29</t>
  </si>
  <si>
    <t>Beob30</t>
  </si>
  <si>
    <t>Beob31</t>
  </si>
  <si>
    <t>Beob32</t>
  </si>
  <si>
    <t>Beob33</t>
  </si>
  <si>
    <t>Beob34</t>
  </si>
  <si>
    <t>Beob35</t>
  </si>
  <si>
    <t>Beob36</t>
  </si>
  <si>
    <t>Beob37</t>
  </si>
  <si>
    <t>Beob38</t>
  </si>
  <si>
    <t>Beob39</t>
  </si>
  <si>
    <t>Beob40</t>
  </si>
  <si>
    <t>Beob41</t>
  </si>
  <si>
    <t>Beob42</t>
  </si>
  <si>
    <t>Beob43</t>
  </si>
  <si>
    <t>Beob44</t>
  </si>
  <si>
    <t>Beob45</t>
  </si>
  <si>
    <t>Beob46</t>
  </si>
  <si>
    <t>Beob47</t>
  </si>
  <si>
    <t>Beob48</t>
  </si>
  <si>
    <t>Beob49</t>
  </si>
  <si>
    <t>Beob50</t>
  </si>
  <si>
    <t>Beob51</t>
  </si>
  <si>
    <t>Beob52</t>
  </si>
  <si>
    <t>Beob53</t>
  </si>
  <si>
    <t>Beob54</t>
  </si>
  <si>
    <t>Beob55</t>
  </si>
  <si>
    <t>Beob56</t>
  </si>
  <si>
    <t>Beob57</t>
  </si>
  <si>
    <t>Beob58</t>
  </si>
  <si>
    <t>Beob59</t>
  </si>
  <si>
    <t>Beob60</t>
  </si>
  <si>
    <t>Beob61</t>
  </si>
  <si>
    <t>Beob62</t>
  </si>
  <si>
    <t>Beob63</t>
  </si>
  <si>
    <t>Beob64</t>
  </si>
  <si>
    <t>Beob65</t>
  </si>
  <si>
    <t>Beob66</t>
  </si>
  <si>
    <t>Beob67</t>
  </si>
  <si>
    <t>Beob68</t>
  </si>
  <si>
    <t>Beob69</t>
  </si>
  <si>
    <t>Beob70</t>
  </si>
  <si>
    <t>Beob71</t>
  </si>
  <si>
    <t>Beob72</t>
  </si>
  <si>
    <t>Beob73</t>
  </si>
  <si>
    <t>Beob74</t>
  </si>
  <si>
    <t>Beob75</t>
  </si>
  <si>
    <t>Beob76</t>
  </si>
  <si>
    <t>Beob77</t>
  </si>
  <si>
    <t>Beob78</t>
  </si>
  <si>
    <t>Beob79</t>
  </si>
  <si>
    <t>Beob80</t>
  </si>
  <si>
    <t>Beob81</t>
  </si>
  <si>
    <t>Beob82</t>
  </si>
  <si>
    <t>Beob83</t>
  </si>
  <si>
    <t>Beob84</t>
  </si>
  <si>
    <t>Beob85</t>
  </si>
  <si>
    <t>Beob86</t>
  </si>
  <si>
    <t>Beob87</t>
  </si>
  <si>
    <t>Beob88</t>
  </si>
  <si>
    <t>Beob89</t>
  </si>
  <si>
    <t>Beob90</t>
  </si>
  <si>
    <t>Beob91</t>
  </si>
  <si>
    <t>Beob92</t>
  </si>
  <si>
    <t>Beob93</t>
  </si>
  <si>
    <t>Beob94</t>
  </si>
  <si>
    <t>Beob95</t>
  </si>
  <si>
    <t>Beob96</t>
  </si>
  <si>
    <t>Beob97</t>
  </si>
  <si>
    <t>Beob98</t>
  </si>
  <si>
    <t>Beob99</t>
  </si>
  <si>
    <t>Beob100</t>
  </si>
  <si>
    <t>Beob101</t>
  </si>
  <si>
    <t>Beob102</t>
  </si>
  <si>
    <t>Beob103</t>
  </si>
  <si>
    <t>Beob104</t>
  </si>
  <si>
    <t>Beob105</t>
  </si>
  <si>
    <t>Beob106</t>
  </si>
  <si>
    <t>Beob107</t>
  </si>
  <si>
    <t>Beob108</t>
  </si>
  <si>
    <t>Beob109</t>
  </si>
  <si>
    <t>Beob110</t>
  </si>
  <si>
    <t>Beob111</t>
  </si>
  <si>
    <t>Beob112</t>
  </si>
  <si>
    <t>Beob113</t>
  </si>
  <si>
    <t>Beob114</t>
  </si>
  <si>
    <t>Beob115</t>
  </si>
  <si>
    <t>Beob116</t>
  </si>
  <si>
    <t>Beob117</t>
  </si>
  <si>
    <t>Beob118</t>
  </si>
  <si>
    <t>Beob119</t>
  </si>
  <si>
    <t>Beob120</t>
  </si>
  <si>
    <t>Beob121</t>
  </si>
  <si>
    <t>Beob122</t>
  </si>
  <si>
    <t>Beob123</t>
  </si>
  <si>
    <t>Beob124</t>
  </si>
  <si>
    <t>Beob125</t>
  </si>
  <si>
    <t>Beob126</t>
  </si>
  <si>
    <t>Beob127</t>
  </si>
  <si>
    <t>Beob128</t>
  </si>
  <si>
    <t>Beob129</t>
  </si>
  <si>
    <t>Beob130</t>
  </si>
  <si>
    <t>Beob131</t>
  </si>
  <si>
    <t>Beob132</t>
  </si>
  <si>
    <t>Beob133</t>
  </si>
  <si>
    <t>Beob134</t>
  </si>
  <si>
    <t>Beob135</t>
  </si>
  <si>
    <t>Beob136</t>
  </si>
  <si>
    <t>Beob137</t>
  </si>
  <si>
    <t>Beob138</t>
  </si>
  <si>
    <t>Beob139</t>
  </si>
  <si>
    <t>Beob140</t>
  </si>
  <si>
    <t>Beob141</t>
  </si>
  <si>
    <t>Beob142</t>
  </si>
  <si>
    <t>Beob143</t>
  </si>
  <si>
    <t>Beob144</t>
  </si>
  <si>
    <t>Beob145</t>
  </si>
  <si>
    <t>Beob146</t>
  </si>
  <si>
    <t>Beob147</t>
  </si>
  <si>
    <t>Beob148</t>
  </si>
  <si>
    <t>Beob149</t>
  </si>
  <si>
    <t>Beob150</t>
  </si>
  <si>
    <t>Beob151</t>
  </si>
  <si>
    <t>Beob152</t>
  </si>
  <si>
    <t>Voice &amp; Accountability</t>
  </si>
  <si>
    <t>Stability &amp; Violence</t>
  </si>
  <si>
    <t>Gov Effectiveness</t>
  </si>
  <si>
    <t>RQ</t>
  </si>
  <si>
    <t>Rule of Law</t>
  </si>
  <si>
    <t>Corruption</t>
  </si>
  <si>
    <t>Y / Abhängige Variablen: Arbeitsmappe = Aggregated.xlsx / Tabellenblatt = Country &amp; Quartal / Bereich = 'Country &amp; Quartal'!$D:$D / 152 Zie und 1 Sat</t>
  </si>
  <si>
    <t>X / Quantitative: Arbeitsmappe = Aggregated.xlsx / Tabellenblatt = Country &amp; Quartal / Bereich = 'Country &amp; Quartal'!$I:$N / 152 Zie und 6 Satn</t>
  </si>
  <si>
    <t>Venezuela 2017/Q3 Services</t>
  </si>
  <si>
    <t>Venezuela 2017/Q3 Industry</t>
  </si>
  <si>
    <t>Venezuela 2017/Q3 Agriculture</t>
  </si>
  <si>
    <t>Venezuela 2017/Q2 Services</t>
  </si>
  <si>
    <t>Venezuela 2017/Q2 Industry</t>
  </si>
  <si>
    <t>Venezuela 2017/Q2 Agriculture</t>
  </si>
  <si>
    <t>Venezuela 2017/Q1 Services</t>
  </si>
  <si>
    <t>Venezuela 2017/Q1 Industry</t>
  </si>
  <si>
    <t>Venezuela 2017/Q1 Agriculture</t>
  </si>
  <si>
    <t>Venezuela 2016/Q4 Services</t>
  </si>
  <si>
    <t>Venezuela 2016/Q4 Industry</t>
  </si>
  <si>
    <t>Venezuela 2016/Q4 Agriculture</t>
  </si>
  <si>
    <t>Venezuela 2016/Q3 Services</t>
  </si>
  <si>
    <t>Venezuela 2016/Q3 Industry</t>
  </si>
  <si>
    <t>Venezuela 2016/Q3 Agriculture</t>
  </si>
  <si>
    <t>Venezuela 2016/Q2 Services</t>
  </si>
  <si>
    <t>Venezuela 2016/Q2 Industry</t>
  </si>
  <si>
    <t>Venezuela 2016/Q2 Agriculture</t>
  </si>
  <si>
    <t>Venezuela 2016/Q1 Services</t>
  </si>
  <si>
    <t>Venezuela 2016/Q1 Industry</t>
  </si>
  <si>
    <t>Venezuela 2016/Q1 Agriculture</t>
  </si>
  <si>
    <t>Venezuela 2015/Q4 Services</t>
  </si>
  <si>
    <t>Venezuela 2015/Q4 Industry</t>
  </si>
  <si>
    <t>Venezuela 2015/Q4 Agriculture</t>
  </si>
  <si>
    <t>Venezuela 2015/Q3 Services</t>
  </si>
  <si>
    <t>Venezuela 2015/Q3 Industry</t>
  </si>
  <si>
    <t>Venezuela 2015/Q3 Agriculture</t>
  </si>
  <si>
    <t>Venezuela 2015/Q2 Services</t>
  </si>
  <si>
    <t>Venezuela 2015/Q2 Industry</t>
  </si>
  <si>
    <t>Venezuela 2015/Q1 Services</t>
  </si>
  <si>
    <t>Venezuela 2015/Q1 Industry</t>
  </si>
  <si>
    <t>Venezuela 2015/Q1 Agriculture</t>
  </si>
  <si>
    <t>Venezuela 2014/Q4 Services</t>
  </si>
  <si>
    <t>Venezuela 2014/Q4 Industry</t>
  </si>
  <si>
    <t>Venezuela 2014/Q4 Agriculture</t>
  </si>
  <si>
    <t>Venezuela 2014/Q3 Services</t>
  </si>
  <si>
    <t>Venezuela 2014/Q3 Industry</t>
  </si>
  <si>
    <t>Venezuela 2014/Q3 Agriculture</t>
  </si>
  <si>
    <t>Venezuela 2014/Q2 Services</t>
  </si>
  <si>
    <t>Venezuela 2014/Q2 Industry</t>
  </si>
  <si>
    <t>Venezuela 2014/Q2 Agriculture</t>
  </si>
  <si>
    <t>Venezuela 2014/Q1 Services</t>
  </si>
  <si>
    <t>Venezuela 2014/Q1 Industry</t>
  </si>
  <si>
    <t>Venezuela 2014/Q1 Agriculture</t>
  </si>
  <si>
    <t>Venezuela 2013/Q4 Services</t>
  </si>
  <si>
    <t>Venezuela 2013/Q4 Industry</t>
  </si>
  <si>
    <t>Venezuela 2013/Q4 Agriculture</t>
  </si>
  <si>
    <t>Venezuela 2013/Q3 Services</t>
  </si>
  <si>
    <t>Venezuela 2013/Q3 Industry</t>
  </si>
  <si>
    <t>Venezuela 2013/Q3 Agriculture</t>
  </si>
  <si>
    <t>Venezuela 2013/Q2 Services</t>
  </si>
  <si>
    <t>Venezuela 2013/Q2 Industry</t>
  </si>
  <si>
    <t>Venezuela 2013/Q2 Agriculture</t>
  </si>
  <si>
    <t>Peru 2017/Q3 Services</t>
  </si>
  <si>
    <t>Peru 2017/Q3 Industry</t>
  </si>
  <si>
    <t>Peru 2017/Q3 Agriculture</t>
  </si>
  <si>
    <t>Peru 2017/Q2 Services</t>
  </si>
  <si>
    <t>Peru 2017/Q2 Industry</t>
  </si>
  <si>
    <t>Peru 2017/Q2 Agriculture</t>
  </si>
  <si>
    <t>Peru 2017/Q1 Services</t>
  </si>
  <si>
    <t>Peru 2017/Q1 Industry</t>
  </si>
  <si>
    <t>Peru 2017/Q1 Agriculture</t>
  </si>
  <si>
    <t>Peru 2016/Q4 Services</t>
  </si>
  <si>
    <t>Peru 2016/Q4 Industry</t>
  </si>
  <si>
    <t>Peru 2016/Q4 Agriculture</t>
  </si>
  <si>
    <t>Peru 2016/Q3 Services</t>
  </si>
  <si>
    <t>Peru 2016/Q3 Industry</t>
  </si>
  <si>
    <t>Peru 2016/Q3 Agriculture</t>
  </si>
  <si>
    <t>Peru 2016/Q2 Services</t>
  </si>
  <si>
    <t>Peru 2016/Q2 Industry</t>
  </si>
  <si>
    <t>Peru 2016/Q2 Agriculture</t>
  </si>
  <si>
    <t>Peru 2016/Q1 Services</t>
  </si>
  <si>
    <t>Peru 2016/Q1 Industry</t>
  </si>
  <si>
    <t>Peru 2016/Q1 Agriculture</t>
  </si>
  <si>
    <t>Peru 2015/Q4 Services</t>
  </si>
  <si>
    <t>Peru 2015/Q4 Industry</t>
  </si>
  <si>
    <t>Peru 2015/Q4 Agriculture</t>
  </si>
  <si>
    <t>Peru 2015/Q3 Services</t>
  </si>
  <si>
    <t>Peru 2015/Q3 Industry</t>
  </si>
  <si>
    <t>Peru 2015/Q3 Agriculture</t>
  </si>
  <si>
    <t>Peru 2015/Q2 Services</t>
  </si>
  <si>
    <t>Peru 2015/Q2 Industry</t>
  </si>
  <si>
    <t>Peru 2015/Q2 Agriculture</t>
  </si>
  <si>
    <t>Peru 2015/Q1 Services</t>
  </si>
  <si>
    <t>Peru 2015/Q1 Industry</t>
  </si>
  <si>
    <t>Peru 2015/Q1 Agriculture</t>
  </si>
  <si>
    <t>Peru 2014/Q4 Services</t>
  </si>
  <si>
    <t>Peru 2014/Q4 Industry</t>
  </si>
  <si>
    <t>Peru 2014/Q4 Agriculture</t>
  </si>
  <si>
    <t>Peru 2014/Q3 Services</t>
  </si>
  <si>
    <t>Peru 2014/Q3 Industry</t>
  </si>
  <si>
    <t>Peru 2014/Q3 Agriculture</t>
  </si>
  <si>
    <t>Peru 2014/Q2 Services</t>
  </si>
  <si>
    <t>Peru 2014/Q2 Industry</t>
  </si>
  <si>
    <t>Peru 2014/Q2 Agriculture</t>
  </si>
  <si>
    <t>Peru 2014/Q1 Services</t>
  </si>
  <si>
    <t>Peru 2014/Q1 Industry</t>
  </si>
  <si>
    <t>Peru 2014/Q1 Agriculture</t>
  </si>
  <si>
    <t>Peru 2013/Q4 Services</t>
  </si>
  <si>
    <t>Peru 2013/Q4 Industry</t>
  </si>
  <si>
    <t>Peru 2013/Q4 Agriculture</t>
  </si>
  <si>
    <t>Peru 2013/Q3 Services</t>
  </si>
  <si>
    <t>Peru 2013/Q3 Industry</t>
  </si>
  <si>
    <t>Peru 2013/Q3 Agriculture</t>
  </si>
  <si>
    <t>Peru 2013/Q2 Services</t>
  </si>
  <si>
    <t>Peru 2013/Q2 Industry</t>
  </si>
  <si>
    <t>Peru 2013/Q2 Agriculture</t>
  </si>
  <si>
    <t>Mexico 2017/Q3 Services</t>
  </si>
  <si>
    <t>Mexico 2017/Q3 Industry</t>
  </si>
  <si>
    <t>Mexico 2017/Q3 Agriculture</t>
  </si>
  <si>
    <t>Mexico 2017/Q2 Services</t>
  </si>
  <si>
    <t>Mexico 2017/Q2 Industry</t>
  </si>
  <si>
    <t>Mexico 2017/Q2 Agriculture</t>
  </si>
  <si>
    <t>Mexico 2017/Q1 Services</t>
  </si>
  <si>
    <t>Mexico 2017/Q1 Industry</t>
  </si>
  <si>
    <t>Mexico 2017/Q1 Agriculture</t>
  </si>
  <si>
    <t>Mexico 2016/Q4 Services</t>
  </si>
  <si>
    <t>Mexico 2016/Q4 Industry</t>
  </si>
  <si>
    <t>Mexico 2016/Q4 Agriculture</t>
  </si>
  <si>
    <t>Mexico 2016/Q3 Services</t>
  </si>
  <si>
    <t>Mexico 2016/Q3 Industry</t>
  </si>
  <si>
    <t>Mexico 2016/Q3 Agriculture</t>
  </si>
  <si>
    <t>Mexico 2016/Q2 Services</t>
  </si>
  <si>
    <t>Mexico 2016/Q2 Industry</t>
  </si>
  <si>
    <t>Mexico 2016/Q2 Agriculture</t>
  </si>
  <si>
    <t>Mexico 2016/Q1 Services</t>
  </si>
  <si>
    <t>Mexico 2016/Q1 Industry</t>
  </si>
  <si>
    <t>Mexico 2016/Q1 Agriculture</t>
  </si>
  <si>
    <t>Mexico 2015/Q4 Services</t>
  </si>
  <si>
    <t>Mexico 2015/Q4 Industry</t>
  </si>
  <si>
    <t>Mexico 2015/Q4 Agriculture</t>
  </si>
  <si>
    <t>Mexico 2015/Q3 Services</t>
  </si>
  <si>
    <t>Mexico 2015/Q3 Industry</t>
  </si>
  <si>
    <t>Mexico 2015/Q3 Agriculture</t>
  </si>
  <si>
    <t>Mexico 2015/Q2 Services</t>
  </si>
  <si>
    <t>Mexico 2015/Q2 Industry</t>
  </si>
  <si>
    <t>Mexico 2015/Q2 Agriculture</t>
  </si>
  <si>
    <t>Mexico 2015/Q1 Services</t>
  </si>
  <si>
    <t>Mexico 2015/Q1 Industry</t>
  </si>
  <si>
    <t>Mexico 2015/Q1 Agriculture</t>
  </si>
  <si>
    <t>Mexico 2014/Q4 Services</t>
  </si>
  <si>
    <t>Mexico 2014/Q4 Industry</t>
  </si>
  <si>
    <t>Mexico 2014/Q4 Agriculture</t>
  </si>
  <si>
    <t>Mexico 2014/Q3 Services</t>
  </si>
  <si>
    <t>Mexico 2014/Q3 Industry</t>
  </si>
  <si>
    <t>Mexico 2014/Q3 Agriculture</t>
  </si>
  <si>
    <t>Mexico 2014/Q2 Services</t>
  </si>
  <si>
    <t>Mexico 2014/Q2 Industry</t>
  </si>
  <si>
    <t>Mexico 2014/Q2 Agriculture</t>
  </si>
  <si>
    <t>Mexico 2014/Q1 Services</t>
  </si>
  <si>
    <t>Mexico 2014/Q1 Industry</t>
  </si>
  <si>
    <t>Mexico 2014/Q1 Agriculture</t>
  </si>
  <si>
    <t>Mexico 2013/Q4 Services</t>
  </si>
  <si>
    <t>Mexico 2013/Q4 Industry</t>
  </si>
  <si>
    <t>Mexico 2013/Q4 Agriculture</t>
  </si>
  <si>
    <t>Mexico 2013/Q3 Services</t>
  </si>
  <si>
    <t>Mexico 2013/Q3 Industry</t>
  </si>
  <si>
    <t>Mexico 2013/Q3 Agriculture</t>
  </si>
  <si>
    <t>Mexico 2013/Q2 Services</t>
  </si>
  <si>
    <t>Mexico 2013/Q2 Industry</t>
  </si>
  <si>
    <t>Mexico 2013/Q2 Agriculture</t>
  </si>
  <si>
    <t>Ecuador 2017/Q3 Services</t>
  </si>
  <si>
    <t>Ecuador 2017/Q3 Industry</t>
  </si>
  <si>
    <t>Ecuador 2017/Q3 Agriculture</t>
  </si>
  <si>
    <t>Ecuador 2017/Q2 Services</t>
  </si>
  <si>
    <t>Ecuador 2017/Q2 Industry</t>
  </si>
  <si>
    <t>Ecuador 2017/Q2 Agriculture</t>
  </si>
  <si>
    <t>Ecuador 2017/Q1 Services</t>
  </si>
  <si>
    <t>Ecuador 2017/Q1 Industry</t>
  </si>
  <si>
    <t>Ecuador 2017/Q1 Agriculture</t>
  </si>
  <si>
    <t>Ecuador 2016/Q4 Services</t>
  </si>
  <si>
    <t>Ecuador 2016/Q4 Industry</t>
  </si>
  <si>
    <t>Ecuador 2016/Q4 Agriculture</t>
  </si>
  <si>
    <t>Ecuador 2016/Q3 Services</t>
  </si>
  <si>
    <t>Ecuador 2016/Q3 Industry</t>
  </si>
  <si>
    <t>Ecuador 2016/Q3 Agriculture</t>
  </si>
  <si>
    <t>Ecuador 2016/Q2 Services</t>
  </si>
  <si>
    <t>Ecuador 2016/Q2 Industry</t>
  </si>
  <si>
    <t>Ecuador 2016/Q2 Agriculture</t>
  </si>
  <si>
    <t>Ecuador 2016/Q1 Services</t>
  </si>
  <si>
    <t>Ecuador 2016/Q1 Industry</t>
  </si>
  <si>
    <t>Ecuador 2016/Q1 Agriculture</t>
  </si>
  <si>
    <t>Ecuador 2015/Q4 Services</t>
  </si>
  <si>
    <t>Ecuador 2015/Q4 Industry</t>
  </si>
  <si>
    <t>Ecuador 2015/Q4 Agriculture</t>
  </si>
  <si>
    <t>Ecuador 2015/Q3 Services</t>
  </si>
  <si>
    <t>Ecuador 2015/Q3 Industry</t>
  </si>
  <si>
    <t>Ecuador 2015/Q3 Agriculture</t>
  </si>
  <si>
    <t>Ecuador 2015/Q2 Services</t>
  </si>
  <si>
    <t>Ecuador 2015/Q2 Industry</t>
  </si>
  <si>
    <t>Ecuador 2015/Q2 Agriculture</t>
  </si>
  <si>
    <t>Ecuador 2015/Q1 Services</t>
  </si>
  <si>
    <t>Ecuador 2015/Q1 Industry</t>
  </si>
  <si>
    <t>Ecuador 2015/Q1 Agriculture</t>
  </si>
  <si>
    <t>Ecuador 2014/Q4 Services</t>
  </si>
  <si>
    <t>Ecuador 2014/Q4 Industry</t>
  </si>
  <si>
    <t>Ecuador 2014/Q4 Agriculture</t>
  </si>
  <si>
    <t>Ecuador 2014/Q3 Services</t>
  </si>
  <si>
    <t>Ecuador 2014/Q3 Industry</t>
  </si>
  <si>
    <t>Ecuador 2014/Q3 Agriculture</t>
  </si>
  <si>
    <t>Ecuador 2014/Q2 Services</t>
  </si>
  <si>
    <t>Ecuador 2014/Q2 Industry</t>
  </si>
  <si>
    <t>Ecuador 2014/Q2 Agriculture</t>
  </si>
  <si>
    <t>Ecuador 2014/Q1 Services</t>
  </si>
  <si>
    <t>Ecuador 2014/Q1 Industry</t>
  </si>
  <si>
    <t>Ecuador 2014/Q1 Agriculture</t>
  </si>
  <si>
    <t>Ecuador 2013/Q4 Services</t>
  </si>
  <si>
    <t>Ecuador 2013/Q4 Industry</t>
  </si>
  <si>
    <t>Ecuador 2013/Q4 Agriculture</t>
  </si>
  <si>
    <t>Ecuador 2013/Q3 Services</t>
  </si>
  <si>
    <t>Ecuador 2013/Q3 Industry</t>
  </si>
  <si>
    <t>Ecuador 2013/Q3 Agriculture</t>
  </si>
  <si>
    <t>Ecuador 2013/Q2 Services</t>
  </si>
  <si>
    <t>Ecuador 2013/Q2 Industry</t>
  </si>
  <si>
    <t>Ecuador 2013/Q2 Agriculture</t>
  </si>
  <si>
    <t>Colombia 2017/Q3 Services</t>
  </si>
  <si>
    <t>Colombia 2017/Q3 Industry</t>
  </si>
  <si>
    <t>Colombia 2017/Q3 Agriculture</t>
  </si>
  <si>
    <t>Colombia 2017/Q2 Services</t>
  </si>
  <si>
    <t>Colombia 2017/Q2 Industry</t>
  </si>
  <si>
    <t>Colombia 2017/Q2 Agriculture</t>
  </si>
  <si>
    <t>Colombia 2017/Q1 Services</t>
  </si>
  <si>
    <t>Colombia 2017/Q1 Industry</t>
  </si>
  <si>
    <t>Colombia 2017/Q1 Agriculture</t>
  </si>
  <si>
    <t>Colombia 2016/Q4 Services</t>
  </si>
  <si>
    <t>Colombia 2016/Q4 Industry</t>
  </si>
  <si>
    <t>Colombia 2016/Q4 Agriculture</t>
  </si>
  <si>
    <t>Colombia 2016/Q3 Services</t>
  </si>
  <si>
    <t>Colombia 2016/Q3 Industry</t>
  </si>
  <si>
    <t>Colombia 2016/Q3 Agriculture</t>
  </si>
  <si>
    <t>Colombia 2016/Q2 Services</t>
  </si>
  <si>
    <t>Colombia 2016/Q2 Industry</t>
  </si>
  <si>
    <t>Colombia 2016/Q2 Agriculture</t>
  </si>
  <si>
    <t>Colombia 2016/Q1 Services</t>
  </si>
  <si>
    <t>Colombia 2016/Q1 Industry</t>
  </si>
  <si>
    <t>Colombia 2016/Q1 Agriculture</t>
  </si>
  <si>
    <t>Colombia 2015/Q4 Services</t>
  </si>
  <si>
    <t>Colombia 2015/Q4 Industry</t>
  </si>
  <si>
    <t>Colombia 2015/Q4 Agriculture</t>
  </si>
  <si>
    <t>Colombia 2015/Q3 Services</t>
  </si>
  <si>
    <t>Colombia 2015/Q3 Industry</t>
  </si>
  <si>
    <t>Colombia 2015/Q3 Agriculture</t>
  </si>
  <si>
    <t>Colombia 2015/Q2 Services</t>
  </si>
  <si>
    <t>Colombia 2015/Q2 Industry</t>
  </si>
  <si>
    <t>Colombia 2015/Q2 Agriculture</t>
  </si>
  <si>
    <t>Colombia 2015/Q1 Services</t>
  </si>
  <si>
    <t>Colombia 2015/Q1 Industry</t>
  </si>
  <si>
    <t>Colombia 2015/Q1 Agriculture</t>
  </si>
  <si>
    <t>Colombia 2014/Q4 Services</t>
  </si>
  <si>
    <t>Colombia 2014/Q4 Industry</t>
  </si>
  <si>
    <t>Colombia 2014/Q4 Agriculture</t>
  </si>
  <si>
    <t>Colombia 2014/Q3 Services</t>
  </si>
  <si>
    <t>Colombia 2014/Q3 Industry</t>
  </si>
  <si>
    <t>Colombia 2014/Q3 Agriculture</t>
  </si>
  <si>
    <t>Colombia 2014/Q2 Services</t>
  </si>
  <si>
    <t>Colombia 2014/Q2 Industry</t>
  </si>
  <si>
    <t>Colombia 2014/Q2 Agriculture</t>
  </si>
  <si>
    <t>Colombia 2014/Q1 Services</t>
  </si>
  <si>
    <t>Colombia 2014/Q1 Industry</t>
  </si>
  <si>
    <t>Colombia 2014/Q1 Agriculture</t>
  </si>
  <si>
    <t>Colombia 2013/Q4 Services</t>
  </si>
  <si>
    <t>Colombia 2013/Q4 Industry</t>
  </si>
  <si>
    <t>Colombia 2013/Q4 Agriculture</t>
  </si>
  <si>
    <t>Colombia 2013/Q3 Services</t>
  </si>
  <si>
    <t>Colombia 2013/Q3 Industry</t>
  </si>
  <si>
    <t>Colombia 2013/Q3 Agriculture</t>
  </si>
  <si>
    <t>Colombia 2013/Q2 Services</t>
  </si>
  <si>
    <t>Colombia 2013/Q2 Industry</t>
  </si>
  <si>
    <t>Colombia 2013/Q2 Agriculture</t>
  </si>
  <si>
    <t>Chile 2017/Q3 Services</t>
  </si>
  <si>
    <t>Chile 2017/Q3 Industry</t>
  </si>
  <si>
    <t>Chile 2017/Q3 Agriculture</t>
  </si>
  <si>
    <t>Chile 2017/Q2 Services</t>
  </si>
  <si>
    <t>Chile 2017/Q2 Industry</t>
  </si>
  <si>
    <t>Chile 2017/Q2 Agriculture</t>
  </si>
  <si>
    <t>Chile 2017/Q1 Services</t>
  </si>
  <si>
    <t>Chile 2017/Q1 Industry</t>
  </si>
  <si>
    <t>Chile 2017/Q1 Agriculture</t>
  </si>
  <si>
    <t>Chile 2016/Q4 Services</t>
  </si>
  <si>
    <t>Chile 2016/Q4 Industry</t>
  </si>
  <si>
    <t>Chile 2016/Q4 Agriculture</t>
  </si>
  <si>
    <t>Chile 2016/Q3 Services</t>
  </si>
  <si>
    <t>Chile 2016/Q3 Industry</t>
  </si>
  <si>
    <t>Chile 2016/Q3 Agriculture</t>
  </si>
  <si>
    <t>Chile 2016/Q2 Services</t>
  </si>
  <si>
    <t>Chile 2016/Q2 Industry</t>
  </si>
  <si>
    <t>Chile 2016/Q2 Agriculture</t>
  </si>
  <si>
    <t>Chile 2016/Q1 Services</t>
  </si>
  <si>
    <t>Chile 2016/Q1 Industry</t>
  </si>
  <si>
    <t>Chile 2016/Q1 Agriculture</t>
  </si>
  <si>
    <t>Chile 2015/Q4 Services</t>
  </si>
  <si>
    <t>Chile 2015/Q4 Industry</t>
  </si>
  <si>
    <t>Chile 2015/Q4 Agriculture</t>
  </si>
  <si>
    <t>Chile 2015/Q3 Services</t>
  </si>
  <si>
    <t>Chile 2015/Q3 Industry</t>
  </si>
  <si>
    <t>Chile 2015/Q3 Agriculture</t>
  </si>
  <si>
    <t>Chile 2015/Q2 Services</t>
  </si>
  <si>
    <t>Chile 2015/Q2 Industry</t>
  </si>
  <si>
    <t>Chile 2015/Q2 Agriculture</t>
  </si>
  <si>
    <t>Chile 2015/Q1 Services</t>
  </si>
  <si>
    <t>Chile 2015/Q1 Industry</t>
  </si>
  <si>
    <t>Chile 2015/Q1 Agriculture</t>
  </si>
  <si>
    <t>Chile 2014/Q4 Services</t>
  </si>
  <si>
    <t>Chile 2014/Q4 Industry</t>
  </si>
  <si>
    <t>Chile 2014/Q4 Agriculture</t>
  </si>
  <si>
    <t>Chile 2014/Q3 Services</t>
  </si>
  <si>
    <t>Chile 2014/Q3 Industry</t>
  </si>
  <si>
    <t>Chile 2014/Q3 Agriculture</t>
  </si>
  <si>
    <t>Chile 2014/Q2 Services</t>
  </si>
  <si>
    <t>Chile 2014/Q2 Industry</t>
  </si>
  <si>
    <t>Chile 2014/Q2 Agriculture</t>
  </si>
  <si>
    <t>Chile 2014/Q1 Services</t>
  </si>
  <si>
    <t>Chile 2014/Q1 Industry</t>
  </si>
  <si>
    <t>Chile 2014/Q1 Agriculture</t>
  </si>
  <si>
    <t>Chile 2013/Q4 Services</t>
  </si>
  <si>
    <t>Chile 2013/Q4 Industry</t>
  </si>
  <si>
    <t>Chile 2013/Q4 Agriculture</t>
  </si>
  <si>
    <t>Chile 2013/Q3 Services</t>
  </si>
  <si>
    <t>Chile 2013/Q3 Industry</t>
  </si>
  <si>
    <t>Chile 2013/Q3 Agriculture</t>
  </si>
  <si>
    <t>Chile 2013/Q2 Services</t>
  </si>
  <si>
    <t>Chile 2013/Q2 Industry</t>
  </si>
  <si>
    <t>Chile 2013/Q2 Agriculture</t>
  </si>
  <si>
    <t>Brazil 2017/Q3 Services</t>
  </si>
  <si>
    <t>Brazil 2017/Q3 Industry</t>
  </si>
  <si>
    <t>Brazil 2017/Q3 Agriculture</t>
  </si>
  <si>
    <t>Brazil 2017/Q2 Services</t>
  </si>
  <si>
    <t>Brazil 2017/Q2 Industry</t>
  </si>
  <si>
    <t>Brazil 2017/Q2 Agriculture</t>
  </si>
  <si>
    <t>Brazil 2017/Q1 Services</t>
  </si>
  <si>
    <t>Brazil 2017/Q1 Industry</t>
  </si>
  <si>
    <t>Brazil 2017/Q1 Agriculture</t>
  </si>
  <si>
    <t>Brazil 2016/Q4 Services</t>
  </si>
  <si>
    <t>Brazil 2016/Q4 Industry</t>
  </si>
  <si>
    <t>Brazil 2016/Q4 Agriculture</t>
  </si>
  <si>
    <t>Brazil 2016/Q3 Services</t>
  </si>
  <si>
    <t>Brazil 2016/Q3 Industry</t>
  </si>
  <si>
    <t>Brazil 2016/Q3 Agriculture</t>
  </si>
  <si>
    <t>Brazil 2016/Q2 Services</t>
  </si>
  <si>
    <t>Brazil 2016/Q2 Industry</t>
  </si>
  <si>
    <t>Brazil 2016/Q2 Agriculture</t>
  </si>
  <si>
    <t>Brazil 2016/Q1 Services</t>
  </si>
  <si>
    <t>Brazil 2016/Q1 Industry</t>
  </si>
  <si>
    <t>Brazil 2016/Q1 Agriculture</t>
  </si>
  <si>
    <t>Brazil 2015/Q4 Services</t>
  </si>
  <si>
    <t>Brazil 2015/Q4 Industry</t>
  </si>
  <si>
    <t>Brazil 2015/Q4 Agriculture</t>
  </si>
  <si>
    <t>Brazil 2015/Q3 Services</t>
  </si>
  <si>
    <t>Brazil 2015/Q3 Industry</t>
  </si>
  <si>
    <t>Brazil 2015/Q3 Agriculture</t>
  </si>
  <si>
    <t>Brazil 2015/Q2 Services</t>
  </si>
  <si>
    <t>Brazil 2015/Q2 Industry</t>
  </si>
  <si>
    <t>Brazil 2015/Q2 Agriculture</t>
  </si>
  <si>
    <t>Brazil 2015/Q1 Services</t>
  </si>
  <si>
    <t>Brazil 2015/Q1 Industry</t>
  </si>
  <si>
    <t>Brazil 2015/Q1 Agriculture</t>
  </si>
  <si>
    <t>Brazil 2014/Q4 Services</t>
  </si>
  <si>
    <t>Brazil 2014/Q4 Industry</t>
  </si>
  <si>
    <t>Brazil 2014/Q4 Agriculture</t>
  </si>
  <si>
    <t>Brazil 2014/Q3 Services</t>
  </si>
  <si>
    <t>Brazil 2014/Q3 Industry</t>
  </si>
  <si>
    <t>Brazil 2014/Q3 Agriculture</t>
  </si>
  <si>
    <t>Brazil 2014/Q2 Services</t>
  </si>
  <si>
    <t>Brazil 2014/Q2 Industry</t>
  </si>
  <si>
    <t>Brazil 2014/Q2 Agriculture</t>
  </si>
  <si>
    <t>Brazil 2014/Q1 Services</t>
  </si>
  <si>
    <t>Brazil 2014/Q1 Industry</t>
  </si>
  <si>
    <t>Brazil 2014/Q1 Agriculture</t>
  </si>
  <si>
    <t>Brazil 2013/Q4 Services</t>
  </si>
  <si>
    <t>Brazil 2013/Q4 Industry</t>
  </si>
  <si>
    <t>Brazil 2013/Q4 Agriculture</t>
  </si>
  <si>
    <t>Brazil 2013/Q3 Services</t>
  </si>
  <si>
    <t>Brazil 2013/Q3 Industry</t>
  </si>
  <si>
    <t>Brazil 2013/Q3 Agriculture</t>
  </si>
  <si>
    <t>Brazil 2013/Q2 Services</t>
  </si>
  <si>
    <t>Brazil 2013/Q2 Industry</t>
  </si>
  <si>
    <t>Brazil 2013/Q2 Agriculture</t>
  </si>
  <si>
    <t>Political Risk</t>
  </si>
  <si>
    <t>Financial Risk</t>
  </si>
  <si>
    <t>Country Risk</t>
  </si>
  <si>
    <t>Services</t>
  </si>
  <si>
    <t>Industry</t>
  </si>
  <si>
    <t>Agriculture</t>
  </si>
  <si>
    <t>Venezuela (GDP)</t>
  </si>
  <si>
    <t>Peru (GDP)</t>
  </si>
  <si>
    <t>Mexico (GDP)</t>
  </si>
  <si>
    <t>Ecuador (GDP)</t>
  </si>
  <si>
    <t>Colombia (GDP)</t>
  </si>
  <si>
    <t>Chile (GDP)</t>
  </si>
  <si>
    <t>Brazil (GDP)</t>
  </si>
  <si>
    <t>Absolute</t>
  </si>
  <si>
    <t>% of GDP</t>
  </si>
  <si>
    <t>Venezuela 2015/Q2 Agriculture</t>
  </si>
  <si>
    <t>GDP Contribut.</t>
  </si>
  <si>
    <t>Observation</t>
  </si>
  <si>
    <t>Average</t>
  </si>
  <si>
    <t>M&amp;A Intensity = -0,044802310950222+5,14753430074761E-05*Voice &amp; Accountability+0,000767261789298763*Stability &amp; Violence+0,000152408612315076*Gov Effectiveness-9,04416461467834E-07*RQ+0,000180059756297933*Rule of Law-0,000361779232204278*Corruption</t>
  </si>
  <si>
    <r>
      <t>XLSTAT 2018.2.50384  - Lineare Regression - Startzeitpunkt: 23.04.18 um 15:10:12 / Endzeitpunkt: 23.04.18 um 15:10:25</t>
    </r>
    <r>
      <rPr>
        <sz val="12"/>
        <color rgb="FFFFFFFF"/>
        <rFont val="Calibri"/>
        <family val="2"/>
        <scheme val="minor"/>
      </rPr>
      <t xml:space="preserve"> / Microsoft Excel 15.3220609</t>
    </r>
  </si>
  <si>
    <t>Merger or not</t>
  </si>
  <si>
    <t>Argentina 2017/Q4</t>
  </si>
  <si>
    <t>Brazil 2017/Q4</t>
  </si>
  <si>
    <t>Chile 2017/Q4</t>
  </si>
  <si>
    <t>Colombia 2017/Q4</t>
  </si>
  <si>
    <t>Ecuador 2017/Q4</t>
  </si>
  <si>
    <t>Mexico 2017/Q4</t>
  </si>
  <si>
    <t>Peru 2017/Q4</t>
  </si>
  <si>
    <t>Venezuela 2017/Q4</t>
  </si>
  <si>
    <t>Rating Quarter</t>
  </si>
  <si>
    <t>Argentina 2017/Q4 Agriculture</t>
  </si>
  <si>
    <t>Argentina 2017/Q4 Industry</t>
  </si>
  <si>
    <t>Argentina 2017/Q4 Services</t>
  </si>
  <si>
    <t>Brazil 2017/Q4 Services</t>
  </si>
  <si>
    <t>Brazil 2017/Q4 Agriculture</t>
  </si>
  <si>
    <t>Brazil 2017/Q4 Industry</t>
  </si>
  <si>
    <t>Chile 2017/Q4 Agriculture</t>
  </si>
  <si>
    <t>Chile 2017/Q4 Industry</t>
  </si>
  <si>
    <t>Chile 2017/Q4 Services</t>
  </si>
  <si>
    <t>Colombia 2017/Q4 Agriculture</t>
  </si>
  <si>
    <t>Colombia 2017/Q4 Industry</t>
  </si>
  <si>
    <t>Colombia 2017/Q4 Services</t>
  </si>
  <si>
    <t>Ecuador 2017/Q4 Agriculture</t>
  </si>
  <si>
    <t>Ecuador 2017/Q4 Industry</t>
  </si>
  <si>
    <t>Ecuador 2017/Q4 Services</t>
  </si>
  <si>
    <t>Mexico 2017/Q4 Agriculture</t>
  </si>
  <si>
    <t>Mexico 2017/Q4 Industry</t>
  </si>
  <si>
    <t>Mexico 2017/Q4 Services</t>
  </si>
  <si>
    <t>Peru 2017/Q4 Agriculture</t>
  </si>
  <si>
    <t>Peru 2017/Q4 Industry</t>
  </si>
  <si>
    <t>Peru 2017/Q4 Services</t>
  </si>
  <si>
    <t>Venezuela 2017/Q4 Agriculture</t>
  </si>
  <si>
    <t>Venezuela 2017/Q4 Industry</t>
  </si>
  <si>
    <t>Venezuela 2017/Q4 Services</t>
  </si>
  <si>
    <t>Econ. Risk</t>
  </si>
  <si>
    <t>GDP growth</t>
  </si>
  <si>
    <t>GDP Growth</t>
  </si>
  <si>
    <t>Argentina 2013/Q1</t>
  </si>
  <si>
    <t>Argentina 2015/Q1</t>
  </si>
  <si>
    <t>Observation / M&amp;A Quarter</t>
  </si>
  <si>
    <t xml:space="preserve">Argentina 2016/Q4 </t>
  </si>
  <si>
    <t xml:space="preserve">Brazil 2013/Q3 </t>
  </si>
  <si>
    <t xml:space="preserve">Brazil 2014/Q4 </t>
  </si>
  <si>
    <t xml:space="preserve">Brazil 2015/Q2 </t>
  </si>
  <si>
    <t xml:space="preserve">Chile 2014/Q1 </t>
  </si>
  <si>
    <t>Acquiror Name</t>
  </si>
  <si>
    <t>Status</t>
  </si>
  <si>
    <t>Investor Group</t>
  </si>
  <si>
    <t>Investment &amp; Commodity Firms,Dealers,Exchanges</t>
  </si>
  <si>
    <t>United States</t>
  </si>
  <si>
    <t>Completed</t>
  </si>
  <si>
    <t>Machinery</t>
  </si>
  <si>
    <t>Ireland-Rep</t>
  </si>
  <si>
    <t>Pending</t>
  </si>
  <si>
    <t>Andes Energia PLC</t>
  </si>
  <si>
    <t>Oil and Gas; Petroleum Refining</t>
  </si>
  <si>
    <t>United Kingdom</t>
  </si>
  <si>
    <t>WPP PLC</t>
  </si>
  <si>
    <t>Advertising Services</t>
  </si>
  <si>
    <t>13-2</t>
  </si>
  <si>
    <t>Argentina 13-2</t>
  </si>
  <si>
    <t>Huntress(CI)Nominees Ltd</t>
  </si>
  <si>
    <t>Jersey</t>
  </si>
  <si>
    <t>Loro Piana SpA</t>
  </si>
  <si>
    <t>Textile and Apparel Products</t>
  </si>
  <si>
    <t>Italy</t>
  </si>
  <si>
    <t>Danone SA</t>
  </si>
  <si>
    <t>Food and Kindred Products</t>
  </si>
  <si>
    <t>France</t>
  </si>
  <si>
    <t>13-3</t>
  </si>
  <si>
    <t>Argentina 13-3</t>
  </si>
  <si>
    <t>Etex Group SA</t>
  </si>
  <si>
    <t>Stone, Clay, Glass, and Concrete Products</t>
  </si>
  <si>
    <t>Belgium</t>
  </si>
  <si>
    <t>Intended</t>
  </si>
  <si>
    <t>13-4</t>
  </si>
  <si>
    <t>Argentina 13-4</t>
  </si>
  <si>
    <t>Atala Resources Corp</t>
  </si>
  <si>
    <t>Mining</t>
  </si>
  <si>
    <t>Canada</t>
  </si>
  <si>
    <t>Russian Fed</t>
  </si>
  <si>
    <t>Ringo Holding LP</t>
  </si>
  <si>
    <t>The FinTech Group</t>
  </si>
  <si>
    <t>14-1</t>
  </si>
  <si>
    <t>Argentina 14-1</t>
  </si>
  <si>
    <t>GFL International Co Ltd</t>
  </si>
  <si>
    <t>China</t>
  </si>
  <si>
    <t>14-2</t>
  </si>
  <si>
    <t>Argentina 14-2</t>
  </si>
  <si>
    <t>Cohiba Minerals Ltd</t>
  </si>
  <si>
    <t>Australia</t>
  </si>
  <si>
    <t>Pan American Silver Corp</t>
  </si>
  <si>
    <t>Withdrawn</t>
  </si>
  <si>
    <t>34 South Media LLC</t>
  </si>
  <si>
    <t>Madalena Energy Inc</t>
  </si>
  <si>
    <t>Morgan Stanley &amp; Co LLC</t>
  </si>
  <si>
    <t>14-3</t>
  </si>
  <si>
    <t>Argentina 14-3</t>
  </si>
  <si>
    <t>Life Stem Genetics Inc</t>
  </si>
  <si>
    <t>Drugs</t>
  </si>
  <si>
    <t>Spain</t>
  </si>
  <si>
    <t>President Energy PLC</t>
  </si>
  <si>
    <t>14-4</t>
  </si>
  <si>
    <t>Argentina 14-4</t>
  </si>
  <si>
    <t>Sinochem Intl (Overseas) Pte</t>
  </si>
  <si>
    <t>Chemicals and Allied Products</t>
  </si>
  <si>
    <t>Singapore</t>
  </si>
  <si>
    <t>Century Casinos Inc</t>
  </si>
  <si>
    <t>Amusement and Recreation Services</t>
  </si>
  <si>
    <t>15-1</t>
  </si>
  <si>
    <t>Argentina 15-1</t>
  </si>
  <si>
    <t>Barrick Gold Corp</t>
  </si>
  <si>
    <t>15-2</t>
  </si>
  <si>
    <t>Argentina 15-2</t>
  </si>
  <si>
    <t>Mead Johnson Global Holdings</t>
  </si>
  <si>
    <t>Netherlands</t>
  </si>
  <si>
    <t>15-4</t>
  </si>
  <si>
    <t>Argentina 15-4</t>
  </si>
  <si>
    <t>Aberdeen International Inc</t>
  </si>
  <si>
    <t>STADA Arzneimittel AG</t>
  </si>
  <si>
    <t>Germany</t>
  </si>
  <si>
    <t>16-1</t>
  </si>
  <si>
    <t>Argentina 16-1</t>
  </si>
  <si>
    <t>Austral Gold Ltd</t>
  </si>
  <si>
    <t>Lithium X Energy Corp</t>
  </si>
  <si>
    <t>16-2</t>
  </si>
  <si>
    <t>Argentina 16-2</t>
  </si>
  <si>
    <t>Lake Resources NL</t>
  </si>
  <si>
    <t>Grupo Konectanet SL</t>
  </si>
  <si>
    <t>Business Services</t>
  </si>
  <si>
    <t>Harz Energy LLC</t>
  </si>
  <si>
    <t>16-3</t>
  </si>
  <si>
    <t>Argentina 16-3</t>
  </si>
  <si>
    <t>Millennial Lithium Corp</t>
  </si>
  <si>
    <t>Foresun Group</t>
  </si>
  <si>
    <t>CB Alliance Inc</t>
  </si>
  <si>
    <t>16-4</t>
  </si>
  <si>
    <t>Argentina 16-4</t>
  </si>
  <si>
    <t>Portola Resources Inc</t>
  </si>
  <si>
    <t>Energy Op Argentina LLC</t>
  </si>
  <si>
    <t>Advantage Lithium Corp</t>
  </si>
  <si>
    <t>Industria Macchine Automatiche</t>
  </si>
  <si>
    <t>Dark Horse Exploration Inc</t>
  </si>
  <si>
    <t>Trafigura AG</t>
  </si>
  <si>
    <t>Wholesale Trade-Nondurable Goods</t>
  </si>
  <si>
    <t>Switzerland</t>
  </si>
  <si>
    <t>Fairfax Financial Holdings Ltd</t>
  </si>
  <si>
    <t>Insurance</t>
  </si>
  <si>
    <t>Viacom Inc</t>
  </si>
  <si>
    <t>Motion Picture Production and Distribution</t>
  </si>
  <si>
    <t>17-1</t>
  </si>
  <si>
    <t>Argentina 17-1</t>
  </si>
  <si>
    <t>Centenera Mining Corp</t>
  </si>
  <si>
    <t>Simest SpA</t>
  </si>
  <si>
    <t>carsales.com Ltd</t>
  </si>
  <si>
    <t>LSC Lithium Corp</t>
  </si>
  <si>
    <t>PMI Resources Ltd</t>
  </si>
  <si>
    <t>Valdatana Servicios y Gestione</t>
  </si>
  <si>
    <t>17-2</t>
  </si>
  <si>
    <t>Argentina 17-2</t>
  </si>
  <si>
    <t>Flight Centre Travel Group Ltd</t>
  </si>
  <si>
    <t>Transportation and Shipping (except air)</t>
  </si>
  <si>
    <t>Brink's Co</t>
  </si>
  <si>
    <t>Shandong Gold Mining Co Ltd</t>
  </si>
  <si>
    <t>17-3</t>
  </si>
  <si>
    <t>Argentina 17-3</t>
  </si>
  <si>
    <t>AtmanCo Inc</t>
  </si>
  <si>
    <t>Capital Group Co Inc</t>
  </si>
  <si>
    <t>AbraPlata Resource Corp</t>
  </si>
  <si>
    <t>Egger Holzwerkstoffe Gmbh</t>
  </si>
  <si>
    <t>Wood Products, Furniture, and Fixtures</t>
  </si>
  <si>
    <t>Austria</t>
  </si>
  <si>
    <t>17-4</t>
  </si>
  <si>
    <t>Argentina 17-4</t>
  </si>
  <si>
    <t>Falcon Gold Corp</t>
  </si>
  <si>
    <t>NGEx Resources Inc</t>
  </si>
  <si>
    <t>Crown Point Energy Inc</t>
  </si>
  <si>
    <t>Craven House Capital PLC</t>
  </si>
  <si>
    <t>ION Geophysical Corp</t>
  </si>
  <si>
    <t>Measuring, Medical, Photo Equipment; Clocks</t>
  </si>
  <si>
    <t>Grupo Ezentis SA</t>
  </si>
  <si>
    <t>Telecommunications</t>
  </si>
  <si>
    <t>India</t>
  </si>
  <si>
    <t>Hong Kong</t>
  </si>
  <si>
    <t>Miscellaneous Retail Trade</t>
  </si>
  <si>
    <t>Utd Arab Em</t>
  </si>
  <si>
    <t>DD Brazil Holdings SARL</t>
  </si>
  <si>
    <t>Luxembourg</t>
  </si>
  <si>
    <t>Brazil 13-2</t>
  </si>
  <si>
    <t>Brazilian Gold Corp</t>
  </si>
  <si>
    <t>ISG PLC</t>
  </si>
  <si>
    <t>Construction Firms</t>
  </si>
  <si>
    <t>THN Corp</t>
  </si>
  <si>
    <t>Electronic and Electrical Equipment</t>
  </si>
  <si>
    <t>South Korea</t>
  </si>
  <si>
    <t>Kadant Inc</t>
  </si>
  <si>
    <t>Shenzhen Infinova Ltd</t>
  </si>
  <si>
    <t>Turner Broadcasting System Inc</t>
  </si>
  <si>
    <t>Radio and Television Broadcasting Stations</t>
  </si>
  <si>
    <t>International Finance Corp</t>
  </si>
  <si>
    <t>Santander AM Holdings SL SPV</t>
  </si>
  <si>
    <t>Brazil 13-3</t>
  </si>
  <si>
    <t>Radiancy Inc</t>
  </si>
  <si>
    <t>Mobility Systems Pte Ltd</t>
  </si>
  <si>
    <t>Paladin Labs Inc</t>
  </si>
  <si>
    <t>Petrominerales Ltd</t>
  </si>
  <si>
    <t>Pointer Telocation Ltd</t>
  </si>
  <si>
    <t>Communications Equipment</t>
  </si>
  <si>
    <t>Israel</t>
  </si>
  <si>
    <t>Search Minerals Inc</t>
  </si>
  <si>
    <t>AZ International Holdings SA</t>
  </si>
  <si>
    <t>Banco BIC SA</t>
  </si>
  <si>
    <t>Commercial Banks, Bank Holding Companies</t>
  </si>
  <si>
    <t>Angola</t>
  </si>
  <si>
    <t>Babcock International Group</t>
  </si>
  <si>
    <t>Avis Budget Group Inc</t>
  </si>
  <si>
    <t>Repair Services</t>
  </si>
  <si>
    <t>Ferrexpo PLC</t>
  </si>
  <si>
    <t>ACRON AG</t>
  </si>
  <si>
    <t>GIC Private Ltd</t>
  </si>
  <si>
    <t>Northwest Intl Healthcare Prop</t>
  </si>
  <si>
    <t>FleetCor Technologies Inc</t>
  </si>
  <si>
    <t>American Tower Corp</t>
  </si>
  <si>
    <t>Canada Pension Plan Investment</t>
  </si>
  <si>
    <t>EIG LLX Holdings Sarl</t>
  </si>
  <si>
    <t>Sinochem Grp</t>
  </si>
  <si>
    <t>Brazil 13-4</t>
  </si>
  <si>
    <t>Microban International Ltd</t>
  </si>
  <si>
    <t>Miba Sinter Holding GmbH &amp; Co</t>
  </si>
  <si>
    <t>Transportation Equipment</t>
  </si>
  <si>
    <t>Reply SpA</t>
  </si>
  <si>
    <t>Scytl Secure Electronic Voting</t>
  </si>
  <si>
    <t>Prepackaged Software</t>
  </si>
  <si>
    <t>Ezentis Brasil Telecom SL</t>
  </si>
  <si>
    <t>Riverwood Capital LLC</t>
  </si>
  <si>
    <t>MSD Brazil Investments BV</t>
  </si>
  <si>
    <t>SFX Entertainment Inc</t>
  </si>
  <si>
    <t>Swiss Re Direct Investments Co</t>
  </si>
  <si>
    <t>ONGC Videsh Ltd</t>
  </si>
  <si>
    <t>China Construction Bank Corp</t>
  </si>
  <si>
    <t>Pearson PLC</t>
  </si>
  <si>
    <t>Printing, Publishing, and Allied Services</t>
  </si>
  <si>
    <t>Brookfield Asset Mgmt Inc</t>
  </si>
  <si>
    <t>Brazil 14-1</t>
  </si>
  <si>
    <t>Lockwood Manufacturing Inc</t>
  </si>
  <si>
    <t>Suominen Oyj</t>
  </si>
  <si>
    <t>Finland</t>
  </si>
  <si>
    <t>MBC Europe Ltd</t>
  </si>
  <si>
    <t>Albioma Sa</t>
  </si>
  <si>
    <t>Electric, Gas, and Water Distribution</t>
  </si>
  <si>
    <t>Kuhn SA</t>
  </si>
  <si>
    <t>BPL Brazil Holding Co</t>
  </si>
  <si>
    <t>Julius Baer Group Ltd</t>
  </si>
  <si>
    <t>Alexander Otto</t>
  </si>
  <si>
    <t>Qatar Petroleum International</t>
  </si>
  <si>
    <t>Qatar</t>
  </si>
  <si>
    <t>Brazil 14-2</t>
  </si>
  <si>
    <t>Hoya Holdings NV</t>
  </si>
  <si>
    <t>Crusader Resources Ltd</t>
  </si>
  <si>
    <t>Fiabila International SA</t>
  </si>
  <si>
    <t>Soaps, Cosmetics, and Personal-Care Products</t>
  </si>
  <si>
    <t>Mossi &amp; Ghisolfi International</t>
  </si>
  <si>
    <t>Anderson Industrial Corp</t>
  </si>
  <si>
    <t>Taiwan</t>
  </si>
  <si>
    <t>Brenntag AG</t>
  </si>
  <si>
    <t>Sipcam-Oxon Group</t>
  </si>
  <si>
    <t>OCP International Cooperatieve</t>
  </si>
  <si>
    <t>Morocco</t>
  </si>
  <si>
    <t>CIE Automotive SA</t>
  </si>
  <si>
    <t>The Mosaic Co</t>
  </si>
  <si>
    <t>Cie Financiere Groupe Michelin</t>
  </si>
  <si>
    <t>Rubber and Miscellaneous Plastic Products</t>
  </si>
  <si>
    <t>Banco Santander SA</t>
  </si>
  <si>
    <t>Brazil 14-3</t>
  </si>
  <si>
    <t>Fabbriani Invest Fund SCA</t>
  </si>
  <si>
    <t>2433533 Ontario Inc</t>
  </si>
  <si>
    <t>Cancana Resources Corp</t>
  </si>
  <si>
    <t>Ciao Telecom Inc</t>
  </si>
  <si>
    <t>Vesuvius PLC</t>
  </si>
  <si>
    <t>Yara International Asa</t>
  </si>
  <si>
    <t>Norway</t>
  </si>
  <si>
    <t>Brazil 14-4</t>
  </si>
  <si>
    <t>Sinochem Crop Care Co Ltd</t>
  </si>
  <si>
    <t>SP Investments Corporation</t>
  </si>
  <si>
    <t>DuSolo Fertilizers Inc</t>
  </si>
  <si>
    <t>Dorel Industries Inc</t>
  </si>
  <si>
    <t>Edding AG</t>
  </si>
  <si>
    <t>Miscellaneous Manufacturing</t>
  </si>
  <si>
    <t>Prosegur Compania de Seguridad</t>
  </si>
  <si>
    <t>Undisclosed Acquiror</t>
  </si>
  <si>
    <t>Paladin Mairare Invs (Brazil)</t>
  </si>
  <si>
    <t>Evermt Ventures Inc</t>
  </si>
  <si>
    <t>Vistaprint NV</t>
  </si>
  <si>
    <t>Apollo Global Inc</t>
  </si>
  <si>
    <t>EDP Renovaveis SA</t>
  </si>
  <si>
    <t>Brodrene Hartmann A/S</t>
  </si>
  <si>
    <t>Paper and Allied Products</t>
  </si>
  <si>
    <t>Denmark</t>
  </si>
  <si>
    <t>Sheares Investments BV</t>
  </si>
  <si>
    <t>Brazil 15-1</t>
  </si>
  <si>
    <t>Brazil Minerals Inc</t>
  </si>
  <si>
    <t>Keywords Studios PLC</t>
  </si>
  <si>
    <t>Porto Editora Lda</t>
  </si>
  <si>
    <t>Portugal</t>
  </si>
  <si>
    <t>Omidyar Network Fund LLC</t>
  </si>
  <si>
    <t>Broad Street</t>
  </si>
  <si>
    <t>ABS Global Inc</t>
  </si>
  <si>
    <t>Agriculture, Forestry, and Fishing</t>
  </si>
  <si>
    <t>Queijo Holding Corp</t>
  </si>
  <si>
    <t>Potash Corp Of Saskatchewan</t>
  </si>
  <si>
    <t>Minor Continental Hldg (Lux)</t>
  </si>
  <si>
    <t>Hotels and Casinos</t>
  </si>
  <si>
    <t>Dufry AG</t>
  </si>
  <si>
    <t>Expedia Inc</t>
  </si>
  <si>
    <t>Brazil 15-2</t>
  </si>
  <si>
    <t>Para Resources Inc</t>
  </si>
  <si>
    <t>Cipla (EU) Ltd</t>
  </si>
  <si>
    <t>Maha Energy AB</t>
  </si>
  <si>
    <t>Sweden</t>
  </si>
  <si>
    <t>Apple Capital Inc</t>
  </si>
  <si>
    <t>Interpump Group SpA</t>
  </si>
  <si>
    <t>Amcor Ltd</t>
  </si>
  <si>
    <t>IEP Ferrous Brazil LLC</t>
  </si>
  <si>
    <t>TerraForm Global Inc</t>
  </si>
  <si>
    <t>Sonepar SA</t>
  </si>
  <si>
    <t>Wholesale Trade-Durable Goods</t>
  </si>
  <si>
    <t>XCMG (HK) Intl Corp Dvlp</t>
  </si>
  <si>
    <t>Fedrigoni SpA</t>
  </si>
  <si>
    <t>United Airlines Inc</t>
  </si>
  <si>
    <t>Air Transportation and Shipping</t>
  </si>
  <si>
    <t>Bank of Communications Co Ltd</t>
  </si>
  <si>
    <t>Participes en Brasil II SL</t>
  </si>
  <si>
    <t>Straumann Holding AG</t>
  </si>
  <si>
    <t>15-3</t>
  </si>
  <si>
    <t>Brazil 15-3</t>
  </si>
  <si>
    <t>Magellan Minerals Ltd</t>
  </si>
  <si>
    <t>Webedia SAS</t>
  </si>
  <si>
    <t>Opera Software ASA</t>
  </si>
  <si>
    <t>The Priceline Group Inc</t>
  </si>
  <si>
    <t>Fandango Media LLC</t>
  </si>
  <si>
    <t>Britvic PLC</t>
  </si>
  <si>
    <t>SunEdison Inc</t>
  </si>
  <si>
    <t>Telefonica SA</t>
  </si>
  <si>
    <t>Brazil 15-4</t>
  </si>
  <si>
    <t>Centaurus Metals Ltd</t>
  </si>
  <si>
    <t>Nubelo Solutions SL</t>
  </si>
  <si>
    <t>Hermes International SCA</t>
  </si>
  <si>
    <t>Daoming Optics &amp; Chem Co Ltd</t>
  </si>
  <si>
    <t>Capgemini SA</t>
  </si>
  <si>
    <t>GP Real Properties II C LLC</t>
  </si>
  <si>
    <t>Tereos Agro-Industrie SASU</t>
  </si>
  <si>
    <t>Global Digital Solutions Inc</t>
  </si>
  <si>
    <t>General Atlantic LLC</t>
  </si>
  <si>
    <t>Salic (UK) Ltd</t>
  </si>
  <si>
    <t>The Dow Chemical Co</t>
  </si>
  <si>
    <t>Ball International Holdings BV</t>
  </si>
  <si>
    <t>Hna Grp Co Ltd</t>
  </si>
  <si>
    <t>Cubico Sustainable Invests Ltd</t>
  </si>
  <si>
    <t>Igli SpA</t>
  </si>
  <si>
    <t>Coty Inc</t>
  </si>
  <si>
    <t>Letterone Technology (UK) LLP</t>
  </si>
  <si>
    <t>Brazil 16-1</t>
  </si>
  <si>
    <t>Hexagon Composites ASA</t>
  </si>
  <si>
    <t>Metal and Metal Products</t>
  </si>
  <si>
    <t>Global Environment Fund LP</t>
  </si>
  <si>
    <t>CCL Industries Inc</t>
  </si>
  <si>
    <t>Ag Growth International Inc</t>
  </si>
  <si>
    <t>Wirecard AG</t>
  </si>
  <si>
    <t>Smurfit Kappa Group PLC</t>
  </si>
  <si>
    <t>Brazil 16-2</t>
  </si>
  <si>
    <t>Alivira Animal Health Ltd</t>
  </si>
  <si>
    <t>Malaysia</t>
  </si>
  <si>
    <t>Clariant AG</t>
  </si>
  <si>
    <t>SEEK Ltd</t>
  </si>
  <si>
    <t>CNP Assurances SA</t>
  </si>
  <si>
    <t>CMOC Ltd</t>
  </si>
  <si>
    <t>Brazil 16-3</t>
  </si>
  <si>
    <t>Amplitude Surgical SA</t>
  </si>
  <si>
    <t>Fosun Intl Ltd</t>
  </si>
  <si>
    <t>Plasson Industries Ltd</t>
  </si>
  <si>
    <t>Karoon Gas Australia Ltd</t>
  </si>
  <si>
    <t>NorthWest Healthcare Ppty REIT</t>
  </si>
  <si>
    <t>Aspiracional LLC</t>
  </si>
  <si>
    <t>IMI FABI SpA</t>
  </si>
  <si>
    <t>L Catterton</t>
  </si>
  <si>
    <t>Titan Cement Co SA</t>
  </si>
  <si>
    <t>Greece</t>
  </si>
  <si>
    <t>Equity International Ppty Ltd</t>
  </si>
  <si>
    <t>Intervet Inc</t>
  </si>
  <si>
    <t>Brazil 16-4</t>
  </si>
  <si>
    <t>500 Startups Management Co</t>
  </si>
  <si>
    <t>Cordstrap BV</t>
  </si>
  <si>
    <t>Frutarom Industries Ltd</t>
  </si>
  <si>
    <t>ACG Pharmapack PVT Ltd</t>
  </si>
  <si>
    <t>Avanco Resources Ltd</t>
  </si>
  <si>
    <t>SC Johnson &amp; Son Inc</t>
  </si>
  <si>
    <t>China Three Gorges</t>
  </si>
  <si>
    <t>Jaguar Real Estate Partners LP</t>
  </si>
  <si>
    <t>China Commun Constr Co Ltd</t>
  </si>
  <si>
    <t>Dana Inc</t>
  </si>
  <si>
    <t>Tereos Participations SAS</t>
  </si>
  <si>
    <t>Swiss Re Corporate Solutions</t>
  </si>
  <si>
    <t>RHI AG</t>
  </si>
  <si>
    <t>Ontex Group NV</t>
  </si>
  <si>
    <t>Total SA</t>
  </si>
  <si>
    <t>Brazil 17-1</t>
  </si>
  <si>
    <t>Shanghai Pengxin Group Co Ltd</t>
  </si>
  <si>
    <t>Real Estate; Mortgage Bankers and Brokers</t>
  </si>
  <si>
    <t>Diamante Minerals Inc</t>
  </si>
  <si>
    <t>Indel B SpA</t>
  </si>
  <si>
    <t>Wipro Ltd</t>
  </si>
  <si>
    <t>LGT Impact Ventures</t>
  </si>
  <si>
    <t>Hong Kong Ctr Power Tech Co</t>
  </si>
  <si>
    <t>AGCO Corp</t>
  </si>
  <si>
    <t>Flughafen Zuerich AG</t>
  </si>
  <si>
    <t>Luxottica Group SpA</t>
  </si>
  <si>
    <t>Fraport AG</t>
  </si>
  <si>
    <t>Prologis Inc</t>
  </si>
  <si>
    <t>Huikai Clean Energy Sarl</t>
  </si>
  <si>
    <t>Vinci Airports SAS</t>
  </si>
  <si>
    <t>Brazil 17-2</t>
  </si>
  <si>
    <t>Orinoco Gold Ltd</t>
  </si>
  <si>
    <t>BP Energy</t>
  </si>
  <si>
    <t>Siemens AG</t>
  </si>
  <si>
    <t>KNOT Offshore Partners LP</t>
  </si>
  <si>
    <t>AINMT Intl Hldg BV</t>
  </si>
  <si>
    <t>Blackstone Group LP</t>
  </si>
  <si>
    <t>CJ CheilJedang Corp</t>
  </si>
  <si>
    <t>Bakmoon Investments Inc Ltd</t>
  </si>
  <si>
    <t>Cyprus</t>
  </si>
  <si>
    <t>Brazil 17-3</t>
  </si>
  <si>
    <t>Paladin YI Homes Invs</t>
  </si>
  <si>
    <t>Moringa SCA SICAR</t>
  </si>
  <si>
    <t>Trimble Inc</t>
  </si>
  <si>
    <t>Wisetech Global Ltd</t>
  </si>
  <si>
    <t>Cartesian Capital Group LLC</t>
  </si>
  <si>
    <t>Halma PLC</t>
  </si>
  <si>
    <t>Hainan HNA Infrastructure</t>
  </si>
  <si>
    <t>Glencore PLC</t>
  </si>
  <si>
    <t>Warburg Pincus LLC</t>
  </si>
  <si>
    <t>Fosun Property Holdings Ltd</t>
  </si>
  <si>
    <t>Hormel Foods Corp</t>
  </si>
  <si>
    <t>Kong Rise Development Ltd</t>
  </si>
  <si>
    <t>CITIC Agri Fund LP</t>
  </si>
  <si>
    <t>State Power Invest Overseas Co</t>
  </si>
  <si>
    <t>Brazil 17-4</t>
  </si>
  <si>
    <t>Horizonte Minerals PLC</t>
  </si>
  <si>
    <t>Hydro Extruded Solutions AS</t>
  </si>
  <si>
    <t>CCCC S America Region Co Ltd</t>
  </si>
  <si>
    <t>TPG Capital LP</t>
  </si>
  <si>
    <t>Statoil ASA</t>
  </si>
  <si>
    <t>RMG Ltd</t>
  </si>
  <si>
    <t>Chile 13-2</t>
  </si>
  <si>
    <t>Midwinter Resources NL</t>
  </si>
  <si>
    <t>Oro Verde Ltd</t>
  </si>
  <si>
    <t>Masonite International Corp</t>
  </si>
  <si>
    <t>Hangzhou Century Co Ltd</t>
  </si>
  <si>
    <t>Automatic Data Processing Inc</t>
  </si>
  <si>
    <t>Chile 13-3</t>
  </si>
  <si>
    <t>Capstone Mining Corp</t>
  </si>
  <si>
    <t>INERCO Ingenieria Tecnologia</t>
  </si>
  <si>
    <t>Chile 13-4</t>
  </si>
  <si>
    <t>Humberto Rolando Carrasco</t>
  </si>
  <si>
    <t>Cobre Montana NL</t>
  </si>
  <si>
    <t>Xtract Resources PLC</t>
  </si>
  <si>
    <t>Condor Blanco Mines Ltd</t>
  </si>
  <si>
    <t>Energy Development Corp</t>
  </si>
  <si>
    <t>Philippines</t>
  </si>
  <si>
    <t>Mandalay Resources Corp</t>
  </si>
  <si>
    <t>Austin Engineering Ltd</t>
  </si>
  <si>
    <t>Capital Intl PE Fund VI LP</t>
  </si>
  <si>
    <t>Chile 14-1</t>
  </si>
  <si>
    <t>Cougar Minerals Corp</t>
  </si>
  <si>
    <t>Aegean Metals Group Inc</t>
  </si>
  <si>
    <t>Naturex SA</t>
  </si>
  <si>
    <t>Liberty Global PLC</t>
  </si>
  <si>
    <t>Chile 14-2</t>
  </si>
  <si>
    <t>South American Iron &amp; Steel</t>
  </si>
  <si>
    <t>Pattern Energy Group Inc</t>
  </si>
  <si>
    <t>Hancock Chilean Plantations LP</t>
  </si>
  <si>
    <t>Bank of Nova Scotia</t>
  </si>
  <si>
    <t>Abbott Laboratories</t>
  </si>
  <si>
    <t>Chile 14-3</t>
  </si>
  <si>
    <t>Coro Mining Corp</t>
  </si>
  <si>
    <t>Marine Harvest ASA</t>
  </si>
  <si>
    <t>Hamburg-Sud</t>
  </si>
  <si>
    <t>Ewos AS</t>
  </si>
  <si>
    <t>Sun International Ltd</t>
  </si>
  <si>
    <t>South Africa</t>
  </si>
  <si>
    <t>Chile 14-4</t>
  </si>
  <si>
    <t>Prudential Financial Inc</t>
  </si>
  <si>
    <t>Lundin Mining Corp</t>
  </si>
  <si>
    <t>Chile 15-1</t>
  </si>
  <si>
    <t>B2Gold Corp</t>
  </si>
  <si>
    <t>Chile 15-2</t>
  </si>
  <si>
    <t>Chile 15-3</t>
  </si>
  <si>
    <t>Goldcorp Inc</t>
  </si>
  <si>
    <t>Liberty Intl Holdings Inc</t>
  </si>
  <si>
    <t>Ukraine</t>
  </si>
  <si>
    <t>Antofagasta PLC</t>
  </si>
  <si>
    <t>Chile 15-4</t>
  </si>
  <si>
    <t>Revelo Resources Corp</t>
  </si>
  <si>
    <t>Orbit Garant Drilling Inc</t>
  </si>
  <si>
    <t>Mutua Madrilena Automovilista</t>
  </si>
  <si>
    <t>Chile 16-1</t>
  </si>
  <si>
    <t>Sakae Holdings Ltd</t>
  </si>
  <si>
    <t>Retail Trade-Eating and Drinking Places</t>
  </si>
  <si>
    <t>Inversora de Infraestructuras</t>
  </si>
  <si>
    <t>Chile 16-2</t>
  </si>
  <si>
    <t>Golden Rim Resources Ltd</t>
  </si>
  <si>
    <t>Trilogy Intl Ltd</t>
  </si>
  <si>
    <t>New Zealand</t>
  </si>
  <si>
    <t>Laguna Gold Ltd</t>
  </si>
  <si>
    <t>Chile 16-3</t>
  </si>
  <si>
    <t>Accor SA</t>
  </si>
  <si>
    <t>Wealth Minerals Ltd</t>
  </si>
  <si>
    <t>Ardian Infrastructure</t>
  </si>
  <si>
    <t>Advent International Corp</t>
  </si>
  <si>
    <t>Qatar Airways QSC</t>
  </si>
  <si>
    <t>Chile 16-4</t>
  </si>
  <si>
    <t>Fiore Exploration Ltd</t>
  </si>
  <si>
    <t>KB Asset Management Co Ltd</t>
  </si>
  <si>
    <t>Redes Energeticas Nacionais</t>
  </si>
  <si>
    <t>Inchcape PLC</t>
  </si>
  <si>
    <t>Abu Dhabi Investment Authority</t>
  </si>
  <si>
    <t>American Industrial Partners</t>
  </si>
  <si>
    <t>Chile 17-1</t>
  </si>
  <si>
    <t>Pacific Hydro Ltd</t>
  </si>
  <si>
    <t>Chile 17-2</t>
  </si>
  <si>
    <t>Deceuninck NV</t>
  </si>
  <si>
    <t>Chile 17-3</t>
  </si>
  <si>
    <t>NeoElectra Management SL</t>
  </si>
  <si>
    <t>Sprott Resource Holdings Inc</t>
  </si>
  <si>
    <t>Global Via Infraestructuras SA</t>
  </si>
  <si>
    <t>Chile 17-4</t>
  </si>
  <si>
    <t>Americas Energy Fund II LP</t>
  </si>
  <si>
    <t>Acciona Airport Services</t>
  </si>
  <si>
    <t>Lara Exploration Ltd</t>
  </si>
  <si>
    <t>Colombia 13-2</t>
  </si>
  <si>
    <t>Miranda Gold Corp</t>
  </si>
  <si>
    <t>Colombia 13-3</t>
  </si>
  <si>
    <t>AENA</t>
  </si>
  <si>
    <t>Menzies Aviation PLC</t>
  </si>
  <si>
    <t>Iron Mountain Inc</t>
  </si>
  <si>
    <t>Duratex Europe NV</t>
  </si>
  <si>
    <t>Perenco SA</t>
  </si>
  <si>
    <t>Colombia 13-4</t>
  </si>
  <si>
    <t>Pacifico Minerals Ltd</t>
  </si>
  <si>
    <t>WorldVetting LLC</t>
  </si>
  <si>
    <t>Maurel et Prom SA</t>
  </si>
  <si>
    <t>Yildirim Holding AS</t>
  </si>
  <si>
    <t>Turkey</t>
  </si>
  <si>
    <t>AXA SA</t>
  </si>
  <si>
    <t>Colombia 14-1</t>
  </si>
  <si>
    <t>Galway Gold Inc</t>
  </si>
  <si>
    <t>Everest Hill Energy Group Ltd</t>
  </si>
  <si>
    <t>NeuStar Inc</t>
  </si>
  <si>
    <t>Colombia 14-2</t>
  </si>
  <si>
    <t>Phillips River Mining Ltd</t>
  </si>
  <si>
    <t>La Sepulvedana SA</t>
  </si>
  <si>
    <t>Petroamerica Oil Corp</t>
  </si>
  <si>
    <t>Canacol Energy Ltd</t>
  </si>
  <si>
    <t>Parex Resources Inc</t>
  </si>
  <si>
    <t>Colombia 14-3</t>
  </si>
  <si>
    <t>Colombia 14-4</t>
  </si>
  <si>
    <t>Angel Gold Corp</t>
  </si>
  <si>
    <t>Colombia 15-1</t>
  </si>
  <si>
    <t>NH Hotel Group SA</t>
  </si>
  <si>
    <t>Colombia 15-2</t>
  </si>
  <si>
    <t>OM.L Trading Inc</t>
  </si>
  <si>
    <t>Undisclosed Joint Venture Co</t>
  </si>
  <si>
    <t>Colombia 15-3</t>
  </si>
  <si>
    <t>Spirax-Sarco Engineering PLC</t>
  </si>
  <si>
    <t>Vinci SA</t>
  </si>
  <si>
    <t>Colombia 15-4</t>
  </si>
  <si>
    <t>Banco de Sabadell SA</t>
  </si>
  <si>
    <t>Colombia 16-1</t>
  </si>
  <si>
    <t>Wangton Capital Corp</t>
  </si>
  <si>
    <t>Sun Ace Kakoh Pte Ltd</t>
  </si>
  <si>
    <t>Metminco Ltd</t>
  </si>
  <si>
    <t>Grupo Santillana Educacion</t>
  </si>
  <si>
    <t>Gran Tierra Energy Inc</t>
  </si>
  <si>
    <t>TransUnion LLC</t>
  </si>
  <si>
    <t>Colombia 16-2</t>
  </si>
  <si>
    <t>Catalyst Capital Group Inc</t>
  </si>
  <si>
    <t>Colombia 16-3</t>
  </si>
  <si>
    <t>Bezant Resources PLC</t>
  </si>
  <si>
    <t>Haimo International Co Ltd</t>
  </si>
  <si>
    <t>Benchmark Holdings PLC</t>
  </si>
  <si>
    <t>Pac Therapeutics Ltd</t>
  </si>
  <si>
    <t>Henkel AG &amp; Co KGaA</t>
  </si>
  <si>
    <t>Colombia 16-4</t>
  </si>
  <si>
    <t>Colombia 17-1</t>
  </si>
  <si>
    <t>Valparaiso Energy Inc</t>
  </si>
  <si>
    <t>Colombia 17-2</t>
  </si>
  <si>
    <t>Ashmore Investment Management</t>
  </si>
  <si>
    <t>Bomi Italia SpA</t>
  </si>
  <si>
    <t>Brigadier Gold Ltd</t>
  </si>
  <si>
    <t>L Catterton Asia LLC</t>
  </si>
  <si>
    <t>Colombia 17-3</t>
  </si>
  <si>
    <t>CHEC</t>
  </si>
  <si>
    <t>La SiempreViva Sa</t>
  </si>
  <si>
    <t>Personal Services</t>
  </si>
  <si>
    <t>IFC</t>
  </si>
  <si>
    <t>W St Infrastructure Partners</t>
  </si>
  <si>
    <t>Colombia 17-4</t>
  </si>
  <si>
    <t>Creso Pharma Ltd</t>
  </si>
  <si>
    <t>Fura Gems Inc</t>
  </si>
  <si>
    <t>Frontera Energy Corp</t>
  </si>
  <si>
    <t>Brookfield Infrastructure</t>
  </si>
  <si>
    <t>Ecuador 14-4</t>
  </si>
  <si>
    <t>Lundin Gold Inc</t>
  </si>
  <si>
    <t>Ecuador 15-3</t>
  </si>
  <si>
    <t>Goldgroup Mining Inc</t>
  </si>
  <si>
    <t>Ecuador 16-4</t>
  </si>
  <si>
    <t>Astorius Resources Ltd</t>
  </si>
  <si>
    <t>BHP Billiton Ltd</t>
  </si>
  <si>
    <t>Ecuador 17-1</t>
  </si>
  <si>
    <t>Aurania Resources Ltd</t>
  </si>
  <si>
    <t>Ecuador 17-2</t>
  </si>
  <si>
    <t>Biomar A/S</t>
  </si>
  <si>
    <t>Ecuador 17-4</t>
  </si>
  <si>
    <t>Azure Minerals Ltd</t>
  </si>
  <si>
    <t>Constellation Brands Inc</t>
  </si>
  <si>
    <t>Mexico 13-2</t>
  </si>
  <si>
    <t>Baja Mining Corp</t>
  </si>
  <si>
    <t>Key Capital Corp</t>
  </si>
  <si>
    <t>Credit Institutions</t>
  </si>
  <si>
    <t>Garibaldi Resources Corp</t>
  </si>
  <si>
    <t>DynaResource Inc</t>
  </si>
  <si>
    <t>Amarium Technologies Inc</t>
  </si>
  <si>
    <t>MAG Silver Corp</t>
  </si>
  <si>
    <t>Trinity Industries Inc</t>
  </si>
  <si>
    <t>Cabot Corp</t>
  </si>
  <si>
    <t>Goldman Sachs Group Inc</t>
  </si>
  <si>
    <t>Philip Morris Intl Inc</t>
  </si>
  <si>
    <t>Tobacco Products</t>
  </si>
  <si>
    <t>Mexico 13-3</t>
  </si>
  <si>
    <t>Rare Earth Minerals PLC</t>
  </si>
  <si>
    <t>Kimco Realty Corp</t>
  </si>
  <si>
    <t>CD Holding Internationale SAS</t>
  </si>
  <si>
    <t>Eutelsat Communications SA</t>
  </si>
  <si>
    <t>Mexico 13-4</t>
  </si>
  <si>
    <t>Excalibur Resources Ltd</t>
  </si>
  <si>
    <t>First Majestic Silver Corp</t>
  </si>
  <si>
    <t>Big North Graphite Corp</t>
  </si>
  <si>
    <t>Tosca Mining Corp</t>
  </si>
  <si>
    <t>GoGold Resources Inc</t>
  </si>
  <si>
    <t>Lowell Copper Ltd</t>
  </si>
  <si>
    <t>Tonogold Resources Inc</t>
  </si>
  <si>
    <t>Argonaut Gold Inc</t>
  </si>
  <si>
    <t>W&amp;T Offshore Inc</t>
  </si>
  <si>
    <t>Banco Popular Espanol SA</t>
  </si>
  <si>
    <t>Cascade Investment LLC</t>
  </si>
  <si>
    <t>Mexico 14-1</t>
  </si>
  <si>
    <t>Comet SpA</t>
  </si>
  <si>
    <t>US Moka Ltd</t>
  </si>
  <si>
    <t>Orestone Mining Corp</t>
  </si>
  <si>
    <t>Morro Bay Resources Ltd</t>
  </si>
  <si>
    <t>Cangold Ltd</t>
  </si>
  <si>
    <t>S2C Global Systems Inc</t>
  </si>
  <si>
    <t>Benz Capital Corp</t>
  </si>
  <si>
    <t>Northgate Capital Group LLC</t>
  </si>
  <si>
    <t>Assurant Inc</t>
  </si>
  <si>
    <t>Partners Group Holding AG</t>
  </si>
  <si>
    <t>Mexico 14-2</t>
  </si>
  <si>
    <t>Sonoro Metals Corp</t>
  </si>
  <si>
    <t>Cayden Resources Inc</t>
  </si>
  <si>
    <t>Millrock Resources Inc</t>
  </si>
  <si>
    <t>Arad Ltd</t>
  </si>
  <si>
    <t>San Marco Resources Inc</t>
  </si>
  <si>
    <t>TCL Multimedia Tech Hldgs Ltd</t>
  </si>
  <si>
    <t>Alliance Boots Latin America</t>
  </si>
  <si>
    <t>Magna International Inc</t>
  </si>
  <si>
    <t>Endo International PLC</t>
  </si>
  <si>
    <t>PPG Industries Inc</t>
  </si>
  <si>
    <t>Mexico 14-3</t>
  </si>
  <si>
    <t>Branco Resources Ltd</t>
  </si>
  <si>
    <t>Endeavour Silver Corp</t>
  </si>
  <si>
    <t>Golden Minerals Co</t>
  </si>
  <si>
    <t>Steve Madden Canada Inc</t>
  </si>
  <si>
    <t>First Cash Finl Services Inc</t>
  </si>
  <si>
    <t>Pilgrim's Pride Corp</t>
  </si>
  <si>
    <t>Crown Holdings Inc</t>
  </si>
  <si>
    <t>Mexico 14-4</t>
  </si>
  <si>
    <t>Northern Empire Resources Corp</t>
  </si>
  <si>
    <t>Radius Gold Inc</t>
  </si>
  <si>
    <t>Teollisen yhteistyon rahasto</t>
  </si>
  <si>
    <t>Tavistock Investments PLC</t>
  </si>
  <si>
    <t>Timmins Gold Corp</t>
  </si>
  <si>
    <t>Owens-Illinois Inc</t>
  </si>
  <si>
    <t>AT&amp;T Inc</t>
  </si>
  <si>
    <t>Mexico 15-1</t>
  </si>
  <si>
    <t>Riverside Resources Inc</t>
  </si>
  <si>
    <t>Fidelity Holding Corp</t>
  </si>
  <si>
    <t>Parmalat SpA</t>
  </si>
  <si>
    <t>IFM Global Infrastructure Fund</t>
  </si>
  <si>
    <t>Mexico 15-2</t>
  </si>
  <si>
    <t>Rokmaster Resources Corp</t>
  </si>
  <si>
    <t>Philippine Metals Inc</t>
  </si>
  <si>
    <t>Electrum Global Holdings LP</t>
  </si>
  <si>
    <t>Black River Ag 2 Mexico Holdco</t>
  </si>
  <si>
    <t>Perrigo Co PLC</t>
  </si>
  <si>
    <t>ICTSI</t>
  </si>
  <si>
    <t>Moench Cooperatief UA</t>
  </si>
  <si>
    <t>Caisse De Depot Et Placement</t>
  </si>
  <si>
    <t>Mexico 15-3</t>
  </si>
  <si>
    <t>CFM Holdings Ltd</t>
  </si>
  <si>
    <t>VVC Exploration Corp</t>
  </si>
  <si>
    <t>Cyprium Mining Corp</t>
  </si>
  <si>
    <t>Link Natural Resources FZC</t>
  </si>
  <si>
    <t>SolarCity Corp</t>
  </si>
  <si>
    <t>Hisense Group Co Ltd</t>
  </si>
  <si>
    <t>Fischer Edelstahlrohre GmbH</t>
  </si>
  <si>
    <t>Southern Copper Corp</t>
  </si>
  <si>
    <t>Mexico 15-4</t>
  </si>
  <si>
    <t>iGen Networks Corp</t>
  </si>
  <si>
    <t>Delta Air Lines Inc</t>
  </si>
  <si>
    <t>Criteria Caixa SA</t>
  </si>
  <si>
    <t>Teva Pharmaceutical Industries</t>
  </si>
  <si>
    <t>Mexico 16-1</t>
  </si>
  <si>
    <t>Minera Alamos Inc</t>
  </si>
  <si>
    <t>Camlin Fine Sciences Ltd</t>
  </si>
  <si>
    <t>Jetran LLC</t>
  </si>
  <si>
    <t>Disan Latinoamerica Corp SL</t>
  </si>
  <si>
    <t>Gruenenthal GmbH</t>
  </si>
  <si>
    <t>Exco Technologies Ltd</t>
  </si>
  <si>
    <t>Mexico 16-2</t>
  </si>
  <si>
    <t>Candelaria Mining Corp</t>
  </si>
  <si>
    <t>The WhiteWave Foods Co</t>
  </si>
  <si>
    <t>BlackRock Infrastructure</t>
  </si>
  <si>
    <t>Roca Sanitario SA</t>
  </si>
  <si>
    <t>Mexico 16-3</t>
  </si>
  <si>
    <t>Amer Housing Income Tr Inc</t>
  </si>
  <si>
    <t>Consolidated Zinc Ltd</t>
  </si>
  <si>
    <t>Premier Gold Mines Ltd</t>
  </si>
  <si>
    <t>Mexico 16-4</t>
  </si>
  <si>
    <t>Hawkeye Gold &amp; Diamond Inc</t>
  </si>
  <si>
    <t>Pumping Team SLL</t>
  </si>
  <si>
    <t>Afton Chemical Corp</t>
  </si>
  <si>
    <t>Polmex Holdings SL</t>
  </si>
  <si>
    <t>Mexico 17-1</t>
  </si>
  <si>
    <t>Arctic Hunter Energy Inc</t>
  </si>
  <si>
    <t>Telson Resources Inc</t>
  </si>
  <si>
    <t>MX Gold Corp</t>
  </si>
  <si>
    <t>Fortuna Silver Mines Inc</t>
  </si>
  <si>
    <t>Magellan Gold Corp</t>
  </si>
  <si>
    <t>Renaissance Oil Corp</t>
  </si>
  <si>
    <t>SPV Co Pty Ltd</t>
  </si>
  <si>
    <t>Party City Holdco Inc</t>
  </si>
  <si>
    <t>Nexeo Solutions Inc</t>
  </si>
  <si>
    <t>Bodega Las Copas SL</t>
  </si>
  <si>
    <t>Amer Axle &amp; Mnfg Hldg Inc</t>
  </si>
  <si>
    <t>Leagold Mining Corp</t>
  </si>
  <si>
    <t>Mexico 17-2</t>
  </si>
  <si>
    <t>Rheem Manufacturing Co</t>
  </si>
  <si>
    <t>Oikocredit International</t>
  </si>
  <si>
    <t>Securitas AB</t>
  </si>
  <si>
    <t>Orla Mining Ltd</t>
  </si>
  <si>
    <t>Magenta Infraestructura SL</t>
  </si>
  <si>
    <t>Mexico 17-3</t>
  </si>
  <si>
    <t>Fermex International Ltd</t>
  </si>
  <si>
    <t>Agnico Eagle Mines Ltd</t>
  </si>
  <si>
    <t>Mexico 17-4</t>
  </si>
  <si>
    <t>Lithium Australia NL</t>
  </si>
  <si>
    <t>Monarca Minerals Inc</t>
  </si>
  <si>
    <t>Orex Minerals Inc</t>
  </si>
  <si>
    <t>Prize Mining Corp</t>
  </si>
  <si>
    <t>Canadian Utilities Ltd</t>
  </si>
  <si>
    <t>Wolong Electric Group Co Ltd</t>
  </si>
  <si>
    <t>Actis LLP</t>
  </si>
  <si>
    <t>Grand Success Investment</t>
  </si>
  <si>
    <t>Peru 13-2</t>
  </si>
  <si>
    <t>Red Copper Resources Inc</t>
  </si>
  <si>
    <t>REE</t>
  </si>
  <si>
    <t>Cermaq ASA</t>
  </si>
  <si>
    <t>Peru 13-3</t>
  </si>
  <si>
    <t>Marfrio SA</t>
  </si>
  <si>
    <t>Colombia Crest Gold Corp</t>
  </si>
  <si>
    <t>Wild Acre Metals Ltd</t>
  </si>
  <si>
    <t>Peru 13-4</t>
  </si>
  <si>
    <t>Mariana Resources Ltd</t>
  </si>
  <si>
    <t>Guernsey</t>
  </si>
  <si>
    <t>Azincourt Uranium Inc</t>
  </si>
  <si>
    <t>LionGold Corp Ltd</t>
  </si>
  <si>
    <t>CNPC Exploration &amp; Development</t>
  </si>
  <si>
    <t>Peru 14-1</t>
  </si>
  <si>
    <t>Eloro Resources Ltd</t>
  </si>
  <si>
    <t>Enagas SA</t>
  </si>
  <si>
    <t>Carmen Corp</t>
  </si>
  <si>
    <t>Peru 14-2</t>
  </si>
  <si>
    <t>Argus Metals Corp</t>
  </si>
  <si>
    <t>Macusani Yellowcake Inc</t>
  </si>
  <si>
    <t>VM Holding SA</t>
  </si>
  <si>
    <t>MMG South America Management</t>
  </si>
  <si>
    <t>Peru 14-3</t>
  </si>
  <si>
    <t>Standard Tolling Corp</t>
  </si>
  <si>
    <t>Minera Gold Ltd</t>
  </si>
  <si>
    <t>Peru 14-4</t>
  </si>
  <si>
    <t>Camino Minerals Corp</t>
  </si>
  <si>
    <t>Samco Gold Ltd</t>
  </si>
  <si>
    <t>Peru 15-1</t>
  </si>
  <si>
    <t>Focus Ventures Ltd</t>
  </si>
  <si>
    <t>Peru 15-2</t>
  </si>
  <si>
    <t>Montan Mining Corp</t>
  </si>
  <si>
    <t>Great Panther Silver Ltd</t>
  </si>
  <si>
    <t>Peru 15-3</t>
  </si>
  <si>
    <t>Kaizen Discovery Inc</t>
  </si>
  <si>
    <t>Peru 16-1</t>
  </si>
  <si>
    <t>Americas Petrogas Inc</t>
  </si>
  <si>
    <t>Peru 16-2</t>
  </si>
  <si>
    <t>BCGold Corp</t>
  </si>
  <si>
    <t>Peru 16-3</t>
  </si>
  <si>
    <t>The Carajas Copper Co Ltd</t>
  </si>
  <si>
    <t>VINCI Highways SAS</t>
  </si>
  <si>
    <t>Peru 16-4</t>
  </si>
  <si>
    <t>Bearing Resources Ltd</t>
  </si>
  <si>
    <t>Shandong Coking Group Co Ltd</t>
  </si>
  <si>
    <t>I Squared Capital Advisors LLC</t>
  </si>
  <si>
    <t>Peru 17-1</t>
  </si>
  <si>
    <t>Tartisan Resources Corp</t>
  </si>
  <si>
    <t>Minco Gold Corp</t>
  </si>
  <si>
    <t>Shareholders</t>
  </si>
  <si>
    <t>Creation Investments Andes LLC</t>
  </si>
  <si>
    <t>Cott Oil &amp; Gas Ltd</t>
  </si>
  <si>
    <t>Valor Resources Ltd</t>
  </si>
  <si>
    <t>Peru 17-2</t>
  </si>
  <si>
    <t>Genius Properties Ltd</t>
  </si>
  <si>
    <t>WP Global Partners Inc</t>
  </si>
  <si>
    <t>Peru 17-3</t>
  </si>
  <si>
    <t>Clever Global Sa</t>
  </si>
  <si>
    <t>GoldMining Inc</t>
  </si>
  <si>
    <t>Westminster Resources Ltd</t>
  </si>
  <si>
    <t>Talanx AG</t>
  </si>
  <si>
    <t>Peru 17-4</t>
  </si>
  <si>
    <t>Venezuela 14-1</t>
  </si>
  <si>
    <t>Latam Foods Holding ApS</t>
  </si>
  <si>
    <t>Venezuela 14-3</t>
  </si>
  <si>
    <t>Rosneft Oil Co</t>
  </si>
  <si>
    <t>Venezuela 15-2</t>
  </si>
  <si>
    <t>M&amp;A Intensity ($)</t>
  </si>
  <si>
    <t>C: Business Cycle</t>
  </si>
  <si>
    <t>C: Generalisation</t>
  </si>
  <si>
    <t>Mar 13</t>
  </si>
  <si>
    <t>Dec 13</t>
  </si>
  <si>
    <t>Mar 14</t>
  </si>
  <si>
    <t>Dec 14</t>
  </si>
  <si>
    <t>Mar 15</t>
  </si>
  <si>
    <t>Dec 15</t>
  </si>
  <si>
    <t>Mar 16</t>
  </si>
  <si>
    <t>Dec 16</t>
  </si>
  <si>
    <t>Mar 17</t>
  </si>
  <si>
    <t>Dec 17</t>
  </si>
  <si>
    <t>C: Global</t>
  </si>
  <si>
    <t>Σ Transaction Values</t>
  </si>
  <si>
    <t>C: Trade</t>
  </si>
  <si>
    <t>Regional Average</t>
  </si>
  <si>
    <t>Σ</t>
  </si>
  <si>
    <t>Target Sector</t>
  </si>
  <si>
    <t>Merger or not (No.)</t>
  </si>
  <si>
    <t>Merger or not ($)</t>
  </si>
  <si>
    <t>C: Agriculture</t>
  </si>
  <si>
    <t>Δ in FR</t>
  </si>
  <si>
    <t>Δ in CR</t>
  </si>
  <si>
    <t>Δ in ER</t>
  </si>
  <si>
    <t>Δ in PR</t>
  </si>
  <si>
    <t xml:space="preserve">Ecuador 2014/Q2 </t>
  </si>
  <si>
    <t>Finan. Risk</t>
  </si>
  <si>
    <t>Pol. Risk</t>
  </si>
  <si>
    <t>M&amp;A Quarter</t>
  </si>
  <si>
    <t>CR</t>
  </si>
  <si>
    <t>FR</t>
  </si>
  <si>
    <t>ER</t>
  </si>
  <si>
    <t>PR</t>
  </si>
  <si>
    <t>M&amp;A</t>
  </si>
  <si>
    <t>C: Glob</t>
  </si>
  <si>
    <t>C: Trad</t>
  </si>
  <si>
    <t>ARG 2013/Q2</t>
  </si>
  <si>
    <t>ARG 2013/Q1</t>
  </si>
  <si>
    <t>ARG 2013/Q3</t>
  </si>
  <si>
    <t>C: Cycle</t>
  </si>
  <si>
    <t>Listed Firms</t>
  </si>
  <si>
    <t>C: Agric</t>
  </si>
  <si>
    <t>Target Name</t>
  </si>
  <si>
    <t>Target Industry</t>
  </si>
  <si>
    <t>Sanin SA</t>
  </si>
  <si>
    <t>El Tejar Ltd</t>
  </si>
  <si>
    <t>Crestline Investors Inc</t>
  </si>
  <si>
    <t>Altima Partners LLP</t>
  </si>
  <si>
    <t>UrAmerica Ltd</t>
  </si>
  <si>
    <t>Mariana Lithium Brine Project</t>
  </si>
  <si>
    <t>Ketsal SA</t>
  </si>
  <si>
    <t>MGM International SRL</t>
  </si>
  <si>
    <t>Mastellone Hermanos SA-Milk</t>
  </si>
  <si>
    <t>G&amp;S Imagens do Brasil Ltda</t>
  </si>
  <si>
    <t>Getty Images Inc</t>
  </si>
  <si>
    <t>Habtec Engenharia Ambiental</t>
  </si>
  <si>
    <t>Mott MacDonald Group Ltd</t>
  </si>
  <si>
    <t>WebMotors SA</t>
  </si>
  <si>
    <t>Giga Industria &amp; Comercio</t>
  </si>
  <si>
    <t>Somfy SA</t>
  </si>
  <si>
    <t>Enger Engenharia SA</t>
  </si>
  <si>
    <t>SGS SA</t>
  </si>
  <si>
    <t>Setepla Tecnometal</t>
  </si>
  <si>
    <t>SENER Ingenieria y Sistemas SA</t>
  </si>
  <si>
    <t>EPharma PBM do Brasil SA</t>
  </si>
  <si>
    <t>Exen Projectos e Sistemas</t>
  </si>
  <si>
    <t>Engeman Servicos e Manutenacao</t>
  </si>
  <si>
    <t>Alstom SA</t>
  </si>
  <si>
    <t>Elasteq do Brasil Ltda</t>
  </si>
  <si>
    <t>Wolf Group</t>
  </si>
  <si>
    <t>Estonia</t>
  </si>
  <si>
    <t>Plexbond Quimica SA</t>
  </si>
  <si>
    <t>HB Fuller Co</t>
  </si>
  <si>
    <t>Bycon Industria e Comercio de</t>
  </si>
  <si>
    <t>ACE Engenharia e Construcoes</t>
  </si>
  <si>
    <t>Faculdade Integral Diferencial</t>
  </si>
  <si>
    <t>Educational Services</t>
  </si>
  <si>
    <t>DeVry Inc</t>
  </si>
  <si>
    <t>THN Auto Parts Manufacturing</t>
  </si>
  <si>
    <t>Mineral Fanton Industria</t>
  </si>
  <si>
    <t>HJ Baker &amp; Bro Inc</t>
  </si>
  <si>
    <t>Rumiphos Industria e Comercio</t>
  </si>
  <si>
    <t>Mogiana Alimentos SA</t>
  </si>
  <si>
    <t>Affinity Petcare SA</t>
  </si>
  <si>
    <t>Sul America SA</t>
  </si>
  <si>
    <t>Santander Brasil Asset</t>
  </si>
  <si>
    <t>Nantes Participacoes SA</t>
  </si>
  <si>
    <t>Curly LLC</t>
  </si>
  <si>
    <t>Eco Sistemas Industria</t>
  </si>
  <si>
    <t>Bucher Industries AG</t>
  </si>
  <si>
    <t>CBTI Cia Brasileira de Tech</t>
  </si>
  <si>
    <t>AMG Elevadores Ltda</t>
  </si>
  <si>
    <t>Orona Holding SA</t>
  </si>
  <si>
    <t>IACIT Solucoes Tecnologicas</t>
  </si>
  <si>
    <t>ELTA Systems Ltd</t>
  </si>
  <si>
    <t>Manfra Cia &amp; Ltda</t>
  </si>
  <si>
    <t>Hexagon AB</t>
  </si>
  <si>
    <t>MCS Engenharia Ltda</t>
  </si>
  <si>
    <t>Kollmorgen Corp</t>
  </si>
  <si>
    <t>PSA Nilo Laboratorio Optico</t>
  </si>
  <si>
    <t>Essilor International SA</t>
  </si>
  <si>
    <t>Optiminas Industria e Comercio</t>
  </si>
  <si>
    <t>Civitella &amp; Cia Ltda</t>
  </si>
  <si>
    <t>Klein Tools Inc</t>
  </si>
  <si>
    <t>Unikey Componentes Industriais</t>
  </si>
  <si>
    <t>Southco Inc</t>
  </si>
  <si>
    <t>Envall e Cia Ltda</t>
  </si>
  <si>
    <t>Nelson Global Products Inc</t>
  </si>
  <si>
    <t>Boa Vista Gold Inc</t>
  </si>
  <si>
    <t>OGX Petroleo e Gas</t>
  </si>
  <si>
    <t>NK LUKOIL</t>
  </si>
  <si>
    <t>Dis Rumor</t>
  </si>
  <si>
    <t>Barra Energia do Brasil</t>
  </si>
  <si>
    <t>CNPC</t>
  </si>
  <si>
    <t>Status Unknown</t>
  </si>
  <si>
    <t>Prosoft Tecnologia SA</t>
  </si>
  <si>
    <t>Wolters Kluwer NV</t>
  </si>
  <si>
    <t>TopSports Ventures SA</t>
  </si>
  <si>
    <t>Brasil Fashion-Points of Sales</t>
  </si>
  <si>
    <t>Retail Trade-General Merchandise and Apparel</t>
  </si>
  <si>
    <t>Salvatore Ferragamo SpA</t>
  </si>
  <si>
    <t>Contemar Ambiental Comercio</t>
  </si>
  <si>
    <t>Contenur SA</t>
  </si>
  <si>
    <t>Pro Safety Industria</t>
  </si>
  <si>
    <t>Delta Plus Group SA</t>
  </si>
  <si>
    <t>Archivum Comercial Ltda</t>
  </si>
  <si>
    <t>Altus Sistemas de Automacao SA</t>
  </si>
  <si>
    <t>Beijer Electronics AB</t>
  </si>
  <si>
    <t>PayRoll SA</t>
  </si>
  <si>
    <t>Pixis</t>
  </si>
  <si>
    <t>GEQ Chile SA</t>
  </si>
  <si>
    <t>Ernst &amp; Young LLP</t>
  </si>
  <si>
    <t>Comercial GL Group SA</t>
  </si>
  <si>
    <t>Alterra Power Corp-Mariposa</t>
  </si>
  <si>
    <t>Cooper Gay Chile SA</t>
  </si>
  <si>
    <t>Cooper Gay Swett &amp; Crawford</t>
  </si>
  <si>
    <t>Howden-Patagonia Corredores</t>
  </si>
  <si>
    <t>Howden Broking Group Ltd</t>
  </si>
  <si>
    <t>Cruz del Sur Administradora</t>
  </si>
  <si>
    <t>Chad</t>
  </si>
  <si>
    <t>Southern Hemisphere-Mantos</t>
  </si>
  <si>
    <t>Porvenir SCM-Tuina Copper</t>
  </si>
  <si>
    <t>Timon Project,Northern Chile</t>
  </si>
  <si>
    <t>Masisa SA-Door Business</t>
  </si>
  <si>
    <t>Daxa Colombia SA</t>
  </si>
  <si>
    <t>Angel Iglesias SA</t>
  </si>
  <si>
    <t>Consult Soft SA</t>
  </si>
  <si>
    <t>Efron Consulting SL</t>
  </si>
  <si>
    <t>Click Delivery</t>
  </si>
  <si>
    <t>Axon Partners Group SL</t>
  </si>
  <si>
    <t>Ekko Promotora SA</t>
  </si>
  <si>
    <t>Prebuild SGPS SA</t>
  </si>
  <si>
    <t>Esensa SAS</t>
  </si>
  <si>
    <t>Health Services</t>
  </si>
  <si>
    <t>DaVita HealthCare Partners Inc</t>
  </si>
  <si>
    <t>Alianza Fiduciara SA</t>
  </si>
  <si>
    <t>Minagrande Project,Antioquia</t>
  </si>
  <si>
    <t>Canaguaro Block,Colombia</t>
  </si>
  <si>
    <t>Interflex SA</t>
  </si>
  <si>
    <t>BDP International Inc</t>
  </si>
  <si>
    <t>Airmar Cargo SA</t>
  </si>
  <si>
    <t>DSV A/S</t>
  </si>
  <si>
    <t>Undisclosed Mobile Content</t>
  </si>
  <si>
    <t>Endgate Technology Corp</t>
  </si>
  <si>
    <t>NorthAm Engineering SA de CV</t>
  </si>
  <si>
    <t>Foster Wheeler AG</t>
  </si>
  <si>
    <t>NHUMO SA de CV</t>
  </si>
  <si>
    <t>Sabero Organics Mexico SA</t>
  </si>
  <si>
    <t>Sabero Organics Gujarat Ltd</t>
  </si>
  <si>
    <t>Red de Carreteras de Occidente</t>
  </si>
  <si>
    <t>Undisclosed Wind Power Plant</t>
  </si>
  <si>
    <t>Renovalia Reserve</t>
  </si>
  <si>
    <t>Renovalia Energy SA-Wind Farm</t>
  </si>
  <si>
    <t>First Reserve Energy Infrastru</t>
  </si>
  <si>
    <t>Prolec GE Internacional S de</t>
  </si>
  <si>
    <t>Xian Electric Mnfg Corp</t>
  </si>
  <si>
    <t>Nestle SA-Infant Formula Bus</t>
  </si>
  <si>
    <t>Aspen Pharmacare Holdings Ltd</t>
  </si>
  <si>
    <t>Pfizer Nutrition-Mexican Op</t>
  </si>
  <si>
    <t>Undisclosed Radiation Center</t>
  </si>
  <si>
    <t>Radiation Therapy Svcs Hldg</t>
  </si>
  <si>
    <t>Forjas Metalicas SA de CV</t>
  </si>
  <si>
    <t>Minera y Metalurgica del Boleo</t>
  </si>
  <si>
    <t>Prospeccion y Desarrollo-Asts</t>
  </si>
  <si>
    <t>Minerales Consolidados-Jovita</t>
  </si>
  <si>
    <t>New World Metals SAPI de CV</t>
  </si>
  <si>
    <t>Monarchy Resources Inc</t>
  </si>
  <si>
    <t>Minera Canasil-Salamandra</t>
  </si>
  <si>
    <t>Arco Resources Corp-Mexican(3)</t>
  </si>
  <si>
    <t>DynaResource de Mexico SA de</t>
  </si>
  <si>
    <t>Cinto Colorado SRL de CV</t>
  </si>
  <si>
    <t>Expo Ferretera SA</t>
  </si>
  <si>
    <t>Reed Exhibitions Ltd</t>
  </si>
  <si>
    <t>Philip Morris Mexico SA de CV</t>
  </si>
  <si>
    <t>Banco Interamericano de</t>
  </si>
  <si>
    <t>Financiera Universal SA</t>
  </si>
  <si>
    <t>Orca Credit Holdings LLC</t>
  </si>
  <si>
    <t>Forum Comercializadora Peru</t>
  </si>
  <si>
    <t>Redesur</t>
  </si>
  <si>
    <t>Generacion Andina SAC</t>
  </si>
  <si>
    <t>Union Energy Group</t>
  </si>
  <si>
    <t>Copeinca ASA</t>
  </si>
  <si>
    <t>Rehder y Asociados SA</t>
  </si>
  <si>
    <t>Marsh Inc</t>
  </si>
  <si>
    <t>Wonderland Ltd</t>
  </si>
  <si>
    <t>Asia Properties Inc</t>
  </si>
  <si>
    <t>Parihuana Project,Ayacucho</t>
  </si>
  <si>
    <t>Dang Manh Hung</t>
  </si>
  <si>
    <t>Vietnam</t>
  </si>
  <si>
    <t>Focus Ventures Ltd-Aurora</t>
  </si>
  <si>
    <t>Forum Distribuidora del Peru</t>
  </si>
  <si>
    <t>Eventioz</t>
  </si>
  <si>
    <t>Eventbrite Inc</t>
  </si>
  <si>
    <t>Brandigital SA</t>
  </si>
  <si>
    <t>Invergas SA</t>
  </si>
  <si>
    <t>Gas Natural SDG Argentina SA</t>
  </si>
  <si>
    <t>XL Insurance Argentina</t>
  </si>
  <si>
    <t>Hamburger Internationale</t>
  </si>
  <si>
    <t>Galaxy Lithium(Sal de Vida)SA</t>
  </si>
  <si>
    <t>Fernando Mesquida &amp; Asociados</t>
  </si>
  <si>
    <t>Miscellaneous Services</t>
  </si>
  <si>
    <t>Milliman Inc</t>
  </si>
  <si>
    <t>Unitek SA</t>
  </si>
  <si>
    <t>Public Administration</t>
  </si>
  <si>
    <t>RWL Water LLC</t>
  </si>
  <si>
    <t>Ceramica San Lorenzo ICSA</t>
  </si>
  <si>
    <t>BrandAnalytics Consultoria</t>
  </si>
  <si>
    <t>Millward Brown PLC</t>
  </si>
  <si>
    <t>Espalhe Comunicacao</t>
  </si>
  <si>
    <t>Publicis Groupe SA</t>
  </si>
  <si>
    <t>Disoft Credito Ltda</t>
  </si>
  <si>
    <t>Cassiopae SASU</t>
  </si>
  <si>
    <t>Conbras Engenharia Ltda</t>
  </si>
  <si>
    <t>LogoChef Solucoes Criativas</t>
  </si>
  <si>
    <t>99designs Pty Ltd</t>
  </si>
  <si>
    <t>Mindset Commun e Mktg Ltda</t>
  </si>
  <si>
    <t>Worth Global Style Network Ltd</t>
  </si>
  <si>
    <t>VB Servicos Comercio</t>
  </si>
  <si>
    <t>DBTRANS SA</t>
  </si>
  <si>
    <t>BPN Participacoes Brasil Ltda</t>
  </si>
  <si>
    <t>Madasa do Brasil Ltda</t>
  </si>
  <si>
    <t>IDEXX Laboratories Inc</t>
  </si>
  <si>
    <t>FMU</t>
  </si>
  <si>
    <t>Laureate Education Inc</t>
  </si>
  <si>
    <t>Digital SK Solucoes</t>
  </si>
  <si>
    <t>E-LEARNING SA</t>
  </si>
  <si>
    <t>Natique SA</t>
  </si>
  <si>
    <t>Grupo Osborne SA</t>
  </si>
  <si>
    <t>Nutrimed Industrial Ltda</t>
  </si>
  <si>
    <t>Nutricia International BV</t>
  </si>
  <si>
    <t>Sorveteria Creme Mel Ltda</t>
  </si>
  <si>
    <t>HIG Capital LLC</t>
  </si>
  <si>
    <t>Amazon Flavors Concentrados</t>
  </si>
  <si>
    <t>WILD Flavors GmbH</t>
  </si>
  <si>
    <t>LBR-Lacteos Brasil SA</t>
  </si>
  <si>
    <t>Mais Fruta Ltda</t>
  </si>
  <si>
    <t>DOEHLER GmbH</t>
  </si>
  <si>
    <t>Rede D'Or Sao Luiz-Hospitals</t>
  </si>
  <si>
    <t>Hotel Gloria</t>
  </si>
  <si>
    <t>Legan Administracao</t>
  </si>
  <si>
    <t>Acos Macom Industria</t>
  </si>
  <si>
    <t>Hoshizaki USA Holdings Inc</t>
  </si>
  <si>
    <t>Foca Mobilidade Inteligente</t>
  </si>
  <si>
    <t>Braun Corp</t>
  </si>
  <si>
    <t>Omnimed Ltda</t>
  </si>
  <si>
    <t>GE Healthcare</t>
  </si>
  <si>
    <t>Mineracao Sao Francisco</t>
  </si>
  <si>
    <t>Carlos Mena Resources Ltda</t>
  </si>
  <si>
    <t>Ferrous Resources do Brasil SA</t>
  </si>
  <si>
    <t>Pacific Imperial Mineracao</t>
  </si>
  <si>
    <t>Licurgo Albuquerque</t>
  </si>
  <si>
    <t>City Time do Brazil Comercio</t>
  </si>
  <si>
    <t>Pandora A/S</t>
  </si>
  <si>
    <t>Pet Center Comercio</t>
  </si>
  <si>
    <t>Warburg Pincus Private Eq XI</t>
  </si>
  <si>
    <t>Block BC-10,Parque das Conchas</t>
  </si>
  <si>
    <t>Qgog Constellation Sa</t>
  </si>
  <si>
    <t>Reconcavo Basin Blocks(10)</t>
  </si>
  <si>
    <t>Lavebras Gestao de Texteis SA</t>
  </si>
  <si>
    <t>DNA Capital Funding</t>
  </si>
  <si>
    <t>LG Informatica SA</t>
  </si>
  <si>
    <t>Pointer do Brasil Comercial SA</t>
  </si>
  <si>
    <t>Aliansce Shopping Centers SA</t>
  </si>
  <si>
    <t>Scopel Desenvolvimento Urbano</t>
  </si>
  <si>
    <t>The Carlyle Group LLC</t>
  </si>
  <si>
    <t>Vivere Brasil</t>
  </si>
  <si>
    <t>Accenture PLC</t>
  </si>
  <si>
    <t>Technicae Projetos</t>
  </si>
  <si>
    <t>Moving Estacionamentos</t>
  </si>
  <si>
    <t>Vinci Park SA</t>
  </si>
  <si>
    <t>Avis Automoveis de Aluguel Ltd</t>
  </si>
  <si>
    <t>Aegea Saneamento</t>
  </si>
  <si>
    <t>Sanitary Services</t>
  </si>
  <si>
    <t>NII Holdings-Towers(2790)</t>
  </si>
  <si>
    <t>Scalina-Texturing Facility</t>
  </si>
  <si>
    <t>Nilit Ltd</t>
  </si>
  <si>
    <t>McLane Distribuicao Ltda</t>
  </si>
  <si>
    <t>FM Logistic SAS</t>
  </si>
  <si>
    <t>Braservice Transportes</t>
  </si>
  <si>
    <t>Kerry Logistics Network Ltd</t>
  </si>
  <si>
    <t>Walhalatur Viagens &amp; Turismo</t>
  </si>
  <si>
    <t>JTB Americas Ltd</t>
  </si>
  <si>
    <t>LLX Logistica SA</t>
  </si>
  <si>
    <t>Bicicletas Caloi SA</t>
  </si>
  <si>
    <t>LK Technology Importacao</t>
  </si>
  <si>
    <t>Immunotech Systemas</t>
  </si>
  <si>
    <t>Advance Medical</t>
  </si>
  <si>
    <t>Makeni Chemicals Comercio</t>
  </si>
  <si>
    <t>IMCD NV</t>
  </si>
  <si>
    <t>Biodene Distribuicao</t>
  </si>
  <si>
    <t>Antonio Prado Arquitectura</t>
  </si>
  <si>
    <t>Broadway Malyan Ltd</t>
  </si>
  <si>
    <t>Sociedad Quimica-Providencia</t>
  </si>
  <si>
    <t>Medinah Mining Chile</t>
  </si>
  <si>
    <t>Medinah Minerals Inc</t>
  </si>
  <si>
    <t>Servicios Informaticos Serinfo</t>
  </si>
  <si>
    <t>Solera Holdings Inc</t>
  </si>
  <si>
    <t>IAL Ambiental Ltda</t>
  </si>
  <si>
    <t>Consorcio RDTC SA</t>
  </si>
  <si>
    <t>Aerocali SA</t>
  </si>
  <si>
    <t>Desacol SA</t>
  </si>
  <si>
    <t>Secure Data Solutions Colombia</t>
  </si>
  <si>
    <t>Lucky Global Elevators</t>
  </si>
  <si>
    <t>Otis Elevator Co</t>
  </si>
  <si>
    <t>Petroleo Brasileiro SA-Assets</t>
  </si>
  <si>
    <t>Vetra Energia SL</t>
  </si>
  <si>
    <t>Pacific Infrastructure Venture</t>
  </si>
  <si>
    <t>Petrobras Colombia Ltd</t>
  </si>
  <si>
    <t>Tablemac</t>
  </si>
  <si>
    <t>Ecuador 13-3</t>
  </si>
  <si>
    <t>Confoco SA</t>
  </si>
  <si>
    <t>DIANA SAS</t>
  </si>
  <si>
    <t>Sindelantal Mexico SA de CV</t>
  </si>
  <si>
    <t>Seaya Capital Gestion SGECR SA</t>
  </si>
  <si>
    <t>Taylor Executive Consultancy</t>
  </si>
  <si>
    <t>CTPartners Executive Search</t>
  </si>
  <si>
    <t>JMTexsa SA de CV</t>
  </si>
  <si>
    <t>Sika AG</t>
  </si>
  <si>
    <t>Prestaciones Universales SA</t>
  </si>
  <si>
    <t>Bayer AG-Binotal</t>
  </si>
  <si>
    <t>Hilton Los Cabos Beach &amp; Golf</t>
  </si>
  <si>
    <t>Omni Manufacturing Services SA</t>
  </si>
  <si>
    <t>Phillips-Medisize Corp</t>
  </si>
  <si>
    <t>Minera Montoro SA de CV</t>
  </si>
  <si>
    <t>Minera Rio Cobre SA de CV-Mine</t>
  </si>
  <si>
    <t>Amarium Minerals Inc</t>
  </si>
  <si>
    <t>Fleur-El Sauz Litium Project</t>
  </si>
  <si>
    <t>Cuatro Cienegas Ppty,Mexico</t>
  </si>
  <si>
    <t>Espomega SA de CV</t>
  </si>
  <si>
    <t>Bunzl PLC</t>
  </si>
  <si>
    <t>Flexo Print SA de CV</t>
  </si>
  <si>
    <t>Multi-Color Corp</t>
  </si>
  <si>
    <t>Planigrupo-Shopping Center(4)</t>
  </si>
  <si>
    <t>SATMEX</t>
  </si>
  <si>
    <t>NII Hldg-Tower Sites,Mexico</t>
  </si>
  <si>
    <t>Cargo Master Internacional SA</t>
  </si>
  <si>
    <t>ABC Instrumentacion Analitica</t>
  </si>
  <si>
    <t>Agilent Technologies Inc</t>
  </si>
  <si>
    <t>Novelties SA de CV-Assets</t>
  </si>
  <si>
    <t>CHAUVET &amp; Sons Inc</t>
  </si>
  <si>
    <t>Vieira Peru SA</t>
  </si>
  <si>
    <t>Affinity Gold Corp-Machacala</t>
  </si>
  <si>
    <t>Colpayoc Gold Porphyry Project</t>
  </si>
  <si>
    <t>Exploraciones Aguila Dorada</t>
  </si>
  <si>
    <t>Condor Resources Inc</t>
  </si>
  <si>
    <t>Hydrocarbon Block 123</t>
  </si>
  <si>
    <t>AuEx Argentina SA</t>
  </si>
  <si>
    <t>Coro Mining-San Jorge Project</t>
  </si>
  <si>
    <t>Estrella International Energy</t>
  </si>
  <si>
    <t>Emirian SA</t>
  </si>
  <si>
    <t>Stanley Black &amp; Decker Inc</t>
  </si>
  <si>
    <t>Nortel Inversora SA</t>
  </si>
  <si>
    <t>Sofora Telecomunicaciones SA</t>
  </si>
  <si>
    <t>Agencia E/OU</t>
  </si>
  <si>
    <t>MRM WorldGroup</t>
  </si>
  <si>
    <t>Geo Solucoes Ltda</t>
  </si>
  <si>
    <t>Strata Systems Inc</t>
  </si>
  <si>
    <t>Azul Linhas Aereas Brasileiras</t>
  </si>
  <si>
    <t>Rock World SA</t>
  </si>
  <si>
    <t>TKRK Consultoria Ltda</t>
  </si>
  <si>
    <t>Hannover Fairs Sulamerica Ltda</t>
  </si>
  <si>
    <t>Hannover Fairs International</t>
  </si>
  <si>
    <t>Guimar Engenharia SA</t>
  </si>
  <si>
    <t>Jacobs Engineering Group Inc</t>
  </si>
  <si>
    <t>OThink</t>
  </si>
  <si>
    <t>Business Integration Partners</t>
  </si>
  <si>
    <t>Mind Services Informatica Ltda</t>
  </si>
  <si>
    <t>Pixeon Medical Systems</t>
  </si>
  <si>
    <t>NSF Bioensaios</t>
  </si>
  <si>
    <t>NSF International</t>
  </si>
  <si>
    <t>Prolancer Servicos Online Ltda</t>
  </si>
  <si>
    <t>Dominio Assessores</t>
  </si>
  <si>
    <t>Mazars SA</t>
  </si>
  <si>
    <t>Hotel Urbano Viagens e Turismo</t>
  </si>
  <si>
    <t>Tiger Global Management LLC</t>
  </si>
  <si>
    <t>Erca Quimica-Assets</t>
  </si>
  <si>
    <t>Solvay SA</t>
  </si>
  <si>
    <t>Banco Industrial e Comercial</t>
  </si>
  <si>
    <t>Relthy Laboratorios Ltda</t>
  </si>
  <si>
    <t>Catalent Pharma Solutions Inc</t>
  </si>
  <si>
    <t>Hypermarcas-Assets</t>
  </si>
  <si>
    <t>Next Pharma</t>
  </si>
  <si>
    <t>Gedeon Richter Plc</t>
  </si>
  <si>
    <t>Hungary</t>
  </si>
  <si>
    <t>Multi Brasil Franqueadora</t>
  </si>
  <si>
    <t>Unicoba Energia SA</t>
  </si>
  <si>
    <t>One Equity Partners LLC</t>
  </si>
  <si>
    <t>Mahle Metal Leve Miba</t>
  </si>
  <si>
    <t>CSS-Cia Siderurgica Suape</t>
  </si>
  <si>
    <t>POSCO Co Ltd</t>
  </si>
  <si>
    <t>Body Store Franchise SA</t>
  </si>
  <si>
    <t>The Body Shop International</t>
  </si>
  <si>
    <t>UTE Norte Fluminense SA</t>
  </si>
  <si>
    <t>EDF SA</t>
  </si>
  <si>
    <t>Atmosfera Higienizacao Texteis</t>
  </si>
  <si>
    <t>Elis SA</t>
  </si>
  <si>
    <t>Devex Tecnologia e Sistemas SA</t>
  </si>
  <si>
    <t>OAK Solucoes Empresariais</t>
  </si>
  <si>
    <t>Alternate Sistemas</t>
  </si>
  <si>
    <t>Arseus NV</t>
  </si>
  <si>
    <t>Voran Tecnologia Ltda</t>
  </si>
  <si>
    <t>Genesys Telecom Labs Inc</t>
  </si>
  <si>
    <t>Sorocaba Metal Borracha</t>
  </si>
  <si>
    <t>Zhuzhou Times New Material</t>
  </si>
  <si>
    <t>TM Data Brasil Ltda</t>
  </si>
  <si>
    <t>Wyless Inc</t>
  </si>
  <si>
    <t>Seicom Servicos Engenharia</t>
  </si>
  <si>
    <t>Dudalina SA</t>
  </si>
  <si>
    <t>MMX Porto Sudeste Ltda</t>
  </si>
  <si>
    <t>Medsalva SA</t>
  </si>
  <si>
    <t>Ambuiberica SL</t>
  </si>
  <si>
    <t>VLI SA</t>
  </si>
  <si>
    <t>Arthur Klink Metalurgica Ltda</t>
  </si>
  <si>
    <t>Ekin S. Coop</t>
  </si>
  <si>
    <t>Politec-Wound Mgmt Business</t>
  </si>
  <si>
    <t>Smith &amp; Nephew PLC</t>
  </si>
  <si>
    <t>Polimertech Importacao</t>
  </si>
  <si>
    <t>ALESAT Combustiveis SA</t>
  </si>
  <si>
    <t>Hot Rock Chile Ltd</t>
  </si>
  <si>
    <t>IDT</t>
  </si>
  <si>
    <t>GE</t>
  </si>
  <si>
    <t>Landcatch Chile SA-Assets</t>
  </si>
  <si>
    <t>Aqua Gen AS</t>
  </si>
  <si>
    <t>Tanner Servicios Financieros</t>
  </si>
  <si>
    <t>Antofagasta Minerals SA-Mulpun</t>
  </si>
  <si>
    <t>Carbon Energy Ltd</t>
  </si>
  <si>
    <t>Piedrecillas Copper-Silver</t>
  </si>
  <si>
    <t>Minera Polar Chile Ltda</t>
  </si>
  <si>
    <t>Marianas Iron Tailings Project</t>
  </si>
  <si>
    <t>Mineral Silver Standard Chile</t>
  </si>
  <si>
    <t>Telecomunicaciones Intl SA</t>
  </si>
  <si>
    <t>Compania SudAmericana-Business</t>
  </si>
  <si>
    <t>Hapag-Lloyd AG</t>
  </si>
  <si>
    <t>Servigrut Ltda</t>
  </si>
  <si>
    <t>Refinancia SA</t>
  </si>
  <si>
    <t>Encore Capital Group Inc</t>
  </si>
  <si>
    <t>BIOGEN-Product Portfolio</t>
  </si>
  <si>
    <t>Tudor Academy SAS</t>
  </si>
  <si>
    <t>MAC SA</t>
  </si>
  <si>
    <t>Johnson Controls Inc</t>
  </si>
  <si>
    <t>Seguros Colpatria SA</t>
  </si>
  <si>
    <t>Godoy Cordoba Abogados</t>
  </si>
  <si>
    <t>Legal Services</t>
  </si>
  <si>
    <t>Littler Mendelson PC</t>
  </si>
  <si>
    <t>De La Torre &amp; Monroy Abogados</t>
  </si>
  <si>
    <t>DAC Beachcroft LLP</t>
  </si>
  <si>
    <t>San Jose,Santa Isabella Farms</t>
  </si>
  <si>
    <t>New Colombia Resources Inc</t>
  </si>
  <si>
    <t>CCX Carvao da-Colombia</t>
  </si>
  <si>
    <t>Carbhid SAS</t>
  </si>
  <si>
    <t>Nebo Capital Corp</t>
  </si>
  <si>
    <t>Berrio Gold Deposit</t>
  </si>
  <si>
    <t>Llanos Basin Block 24,Casanare</t>
  </si>
  <si>
    <t>Tuscany-Rigs(2),Colombia</t>
  </si>
  <si>
    <t>Pacific Rubiales Energy Corp</t>
  </si>
  <si>
    <t>Repsol SA</t>
  </si>
  <si>
    <t>Santa Maria-Colombia Branch</t>
  </si>
  <si>
    <t>Global Oil &amp; Gas Services Ltd</t>
  </si>
  <si>
    <t>Ocensa</t>
  </si>
  <si>
    <t>Ecuador 13-4</t>
  </si>
  <si>
    <t>Audiovital Cia Ltda</t>
  </si>
  <si>
    <t>Gaes SA</t>
  </si>
  <si>
    <t>Equipamientos Urbanos</t>
  </si>
  <si>
    <t>JCDecaux SA</t>
  </si>
  <si>
    <t>EJ Krause de Mexico SA de CV</t>
  </si>
  <si>
    <t>Tarsus Group PLC</t>
  </si>
  <si>
    <t>CC Bonet SA-Production Plant</t>
  </si>
  <si>
    <t>Fritta SL</t>
  </si>
  <si>
    <t>Grupo Financiero Ve por Mas SA</t>
  </si>
  <si>
    <t>Grupo Altex SA de CV-Wheat</t>
  </si>
  <si>
    <t>Bunge North America Inc</t>
  </si>
  <si>
    <t>Four Seasons Punta Mita Resort</t>
  </si>
  <si>
    <t>Primero Fianzas SA de CV</t>
  </si>
  <si>
    <t>Liberty Mutual Insurance Co</t>
  </si>
  <si>
    <t>Mac Puar SA-Mexican Ops,Cancun</t>
  </si>
  <si>
    <t>KONE Oyj</t>
  </si>
  <si>
    <t>Minera Catanava SA de CV</t>
  </si>
  <si>
    <t>Mil-Ler Resources &amp; Energy SA</t>
  </si>
  <si>
    <t>Minera Mantos-Chalchihuites</t>
  </si>
  <si>
    <t>Alta Vista Ventures Ltd-Carol</t>
  </si>
  <si>
    <t>Silver Standard-San Agustin</t>
  </si>
  <si>
    <t>Argonaut Gold Inc-Gold Project</t>
  </si>
  <si>
    <t>Undisclosed Gold Mining Cos</t>
  </si>
  <si>
    <t>Grafito de Mexico SA de CV</t>
  </si>
  <si>
    <t>Minaurum Gold Inc-Santa Marta</t>
  </si>
  <si>
    <t>Callon Petroleum Operating-Pty</t>
  </si>
  <si>
    <t>Monclova Pirineos Gas SA de CV</t>
  </si>
  <si>
    <t>Cobra Gestion</t>
  </si>
  <si>
    <t>Advance Real Estate</t>
  </si>
  <si>
    <t>Consolidated Container Co LLC-</t>
  </si>
  <si>
    <t>Da Vinci Capital Management</t>
  </si>
  <si>
    <t>Sistemas Centrales de Lubricac</t>
  </si>
  <si>
    <t>Colfax Corp</t>
  </si>
  <si>
    <t>Gestamp Aguascalientes</t>
  </si>
  <si>
    <t>General Electric Capital Corp</t>
  </si>
  <si>
    <t>Precision Supply de Mexico</t>
  </si>
  <si>
    <t>BlackHawk Industrial</t>
  </si>
  <si>
    <t>Tequilera Simbolo SA de CV</t>
  </si>
  <si>
    <t>Casa Saba-Pharm Dist Bus</t>
  </si>
  <si>
    <t>Alliance Boots GmbH</t>
  </si>
  <si>
    <t>DNA Pharmaceuticals SA de CV</t>
  </si>
  <si>
    <t>ProEpta SA de CV</t>
  </si>
  <si>
    <t>Credinka SA</t>
  </si>
  <si>
    <t>Danish Microfinance Partners</t>
  </si>
  <si>
    <t>Hot Rock Peru Ltd</t>
  </si>
  <si>
    <t>Minera IRL Ltd</t>
  </si>
  <si>
    <t>Minergia SAC</t>
  </si>
  <si>
    <t>Petrobras Energia Peru SA</t>
  </si>
  <si>
    <t>Ibermar SA</t>
  </si>
  <si>
    <t>Grupo Iberica de Congelados SA</t>
  </si>
  <si>
    <t>Buenos Aires Delivery</t>
  </si>
  <si>
    <t>Comenta TV SA</t>
  </si>
  <si>
    <t>Wayin LLC</t>
  </si>
  <si>
    <t>Biagro SA</t>
  </si>
  <si>
    <t>Bayer CropScience AG</t>
  </si>
  <si>
    <t>Liberty Cia Argentina</t>
  </si>
  <si>
    <t>Kranos Capital</t>
  </si>
  <si>
    <t>Liberty Seguros Argentina SA</t>
  </si>
  <si>
    <t>Entropy Resources SA</t>
  </si>
  <si>
    <t>Hunt Mobile Ads</t>
  </si>
  <si>
    <t>Opera Mediaworks Inc</t>
  </si>
  <si>
    <t>Agencia Mood</t>
  </si>
  <si>
    <t>TBWA Worldwide Inc</t>
  </si>
  <si>
    <t>Traffic Football Center</t>
  </si>
  <si>
    <t>Shandong Luneng Taishan</t>
  </si>
  <si>
    <t>Santiago &amp; Cintra Consultoria</t>
  </si>
  <si>
    <t>RapidEye AG</t>
  </si>
  <si>
    <t>Prime Yield Consultoria</t>
  </si>
  <si>
    <t>TINSA Tasaciones Inmobiliarias</t>
  </si>
  <si>
    <t>Ahlstrom Nao-Tecidos</t>
  </si>
  <si>
    <t>Biagro do Brasil Ltda</t>
  </si>
  <si>
    <t>Bayer AG</t>
  </si>
  <si>
    <t>Lwart Quimica Ltda</t>
  </si>
  <si>
    <t>UPL do Brasil Ind e Comercio</t>
  </si>
  <si>
    <t>UPL Ltd</t>
  </si>
  <si>
    <t>Matrix Comercializadora</t>
  </si>
  <si>
    <t>DufEnergy Trading SA</t>
  </si>
  <si>
    <t>Rio Pardo-Cogeneration Plant</t>
  </si>
  <si>
    <t>Task Sistemas de Computacao SA</t>
  </si>
  <si>
    <t>Kaba Holding AG</t>
  </si>
  <si>
    <t>Cia Iguacu de Cafe Soluvel</t>
  </si>
  <si>
    <t>GPS Planejamento Financeiro</t>
  </si>
  <si>
    <t>JAF Inox Industria de Maquinas</t>
  </si>
  <si>
    <t>Royal Duyvis Wiener BV</t>
  </si>
  <si>
    <t>Montana Industria de Maquinas</t>
  </si>
  <si>
    <t>Reason Tecnologia SA</t>
  </si>
  <si>
    <t>Alstom Grid</t>
  </si>
  <si>
    <t>WEM Equipamentos Eletronicos</t>
  </si>
  <si>
    <t>Covidien PLC</t>
  </si>
  <si>
    <t>Cainco Equipamentos para Panif</t>
  </si>
  <si>
    <t>VEDASIL Vedacao Esquadrias</t>
  </si>
  <si>
    <t>Schlegel Acquisition Holdings</t>
  </si>
  <si>
    <t>Sertao Mineracao Ltda</t>
  </si>
  <si>
    <t>Jore Comercio e Representacoes</t>
  </si>
  <si>
    <t>Velcro Industries NV</t>
  </si>
  <si>
    <t>OceanGeo BV</t>
  </si>
  <si>
    <t>Dominio Sistemas Ltda</t>
  </si>
  <si>
    <t>Thomson Reuters Corp</t>
  </si>
  <si>
    <t>F2C</t>
  </si>
  <si>
    <t>Global CyberSoft Inc</t>
  </si>
  <si>
    <t>Pitney Bowes Semco</t>
  </si>
  <si>
    <t>Pitney Bowes Inc</t>
  </si>
  <si>
    <t>COMPROVA.COM Informatica SA</t>
  </si>
  <si>
    <t>DocuSign Inc</t>
  </si>
  <si>
    <t>Sonae Sierra Brazil BV Sarl</t>
  </si>
  <si>
    <t>Svcs e Tech de Pagamamentos</t>
  </si>
  <si>
    <t>Equiplan Participacoes SA</t>
  </si>
  <si>
    <t>Uralkalii</t>
  </si>
  <si>
    <t>TuboPress Componentes Ind</t>
  </si>
  <si>
    <t>Tubexpress Comercio Importacao</t>
  </si>
  <si>
    <t>Van Leeuwen Pipe &amp; Tube Group</t>
  </si>
  <si>
    <t>Lamedid Comercial e Servicios</t>
  </si>
  <si>
    <t>De Santis Distribuicao</t>
  </si>
  <si>
    <t>Cless Comercio de Cosmeticos</t>
  </si>
  <si>
    <t>Profarma Distribuidora SA</t>
  </si>
  <si>
    <t>Profarma-Assets</t>
  </si>
  <si>
    <t>AmerisourceBergen Corp</t>
  </si>
  <si>
    <t>Copersucar SA-Global Sugar</t>
  </si>
  <si>
    <t>Cargill Inc-Sugar Trading</t>
  </si>
  <si>
    <t>Grupo CP</t>
  </si>
  <si>
    <t>Shackleton SA</t>
  </si>
  <si>
    <t>CR Comunicaciones</t>
  </si>
  <si>
    <t>Llorente &amp; Cuenca Madrid SL</t>
  </si>
  <si>
    <t>Chile Botanics SA</t>
  </si>
  <si>
    <t>Vicuna-Llareta Property,Chile</t>
  </si>
  <si>
    <t>Tres Amantes Property</t>
  </si>
  <si>
    <t>San Antonio Property</t>
  </si>
  <si>
    <t>Grupo Bestway</t>
  </si>
  <si>
    <t>Rentokil Initial PLC</t>
  </si>
  <si>
    <t>Acrus CCL Labels SA</t>
  </si>
  <si>
    <t>VTR GlobalCom SA</t>
  </si>
  <si>
    <t>Dot Co Internet SAS</t>
  </si>
  <si>
    <t>Tintas SA</t>
  </si>
  <si>
    <t>Sun Chemical Group Cooperatief</t>
  </si>
  <si>
    <t>Sinclair SA</t>
  </si>
  <si>
    <t>Wacolda SA</t>
  </si>
  <si>
    <t>Proseguros Corredores</t>
  </si>
  <si>
    <t>Compania Aseguradora de Fianza</t>
  </si>
  <si>
    <t>NMB Colombia Corredores</t>
  </si>
  <si>
    <t>Schlage Lock de Colombia SA</t>
  </si>
  <si>
    <t>Allegion PLC</t>
  </si>
  <si>
    <t>Vetas Gold-Silver Project</t>
  </si>
  <si>
    <t>Urrao Project</t>
  </si>
  <si>
    <t>Puerto Arturo SAS</t>
  </si>
  <si>
    <t>Crest Investment Co</t>
  </si>
  <si>
    <t>Pacific Stone Tech Inc</t>
  </si>
  <si>
    <t>Lhoist Group SA</t>
  </si>
  <si>
    <t>Global Energy Dvlp PLC-Bolivar</t>
  </si>
  <si>
    <t>Ike Grupo Empresarial SA de CV</t>
  </si>
  <si>
    <t>Hicks Environmental SC</t>
  </si>
  <si>
    <t>Environ Corp</t>
  </si>
  <si>
    <t>Health Digital Systems SAPI</t>
  </si>
  <si>
    <t>Laboratorios Grin SA de CV</t>
  </si>
  <si>
    <t>Lupin Ltd</t>
  </si>
  <si>
    <t>SANYO Manufacturing SA de CV</t>
  </si>
  <si>
    <t>SANYO Mnfg SA de CV-Equip Asts</t>
  </si>
  <si>
    <t>Mexideli 2000 Holding SA de CV</t>
  </si>
  <si>
    <t>Emmi AG</t>
  </si>
  <si>
    <t>SIAGRO</t>
  </si>
  <si>
    <t>EPTEC SA de C.V</t>
  </si>
  <si>
    <t>JD Norman Industries Inc</t>
  </si>
  <si>
    <t>Vista Gold Corp-Guadalupe</t>
  </si>
  <si>
    <t>Kootenay Silver Inc-Estrella</t>
  </si>
  <si>
    <t>Riverside Resources-Penoles</t>
  </si>
  <si>
    <t>Minera Coliman-San Cristobal</t>
  </si>
  <si>
    <t>Cuatro Cienegas Mineral Ppty</t>
  </si>
  <si>
    <t>Tusk Exploration-San Javier</t>
  </si>
  <si>
    <t>Fermaca</t>
  </si>
  <si>
    <t>Grupo Iusacell SA de CV</t>
  </si>
  <si>
    <t>Dictamismo S de RL de CV</t>
  </si>
  <si>
    <t>Transportadora de Gas del Peru</t>
  </si>
  <si>
    <t>JAO &amp; Partners Corredores De</t>
  </si>
  <si>
    <t>La Victoria Mining Property</t>
  </si>
  <si>
    <t>Block 39,Loreto,Peru</t>
  </si>
  <si>
    <t>APM Terminals Callao SA</t>
  </si>
  <si>
    <t>Terminal Invest Ltd Sarl</t>
  </si>
  <si>
    <t>Plumrose Latinoamericana CA</t>
  </si>
  <si>
    <t>Ayacucho -8 block</t>
  </si>
  <si>
    <t>Reliance Industries Ltd</t>
  </si>
  <si>
    <t>Troy Argentina-Mining Claims</t>
  </si>
  <si>
    <t>Minsud Resources Corp</t>
  </si>
  <si>
    <t>Samco Gold-El Dorado-Monserrat</t>
  </si>
  <si>
    <t>Latin Uranium SRL</t>
  </si>
  <si>
    <t>YPF SA</t>
  </si>
  <si>
    <t>Gran Tierra Energy-business</t>
  </si>
  <si>
    <t>Pluspetrol Energy SA</t>
  </si>
  <si>
    <t>High Group Ltd</t>
  </si>
  <si>
    <t>Clarius Consulting-Visual Stud</t>
  </si>
  <si>
    <t>Xamarin Inc</t>
  </si>
  <si>
    <t>Inversora de Eventos SA</t>
  </si>
  <si>
    <t>Cabelma SA-Cabelma Pet Divisio</t>
  </si>
  <si>
    <t>DAK Americas LLC</t>
  </si>
  <si>
    <t>PPR Profissionais</t>
  </si>
  <si>
    <t>Dentsu Aegis Network Ltd</t>
  </si>
  <si>
    <t>Unialco SA Alcool e Acucar</t>
  </si>
  <si>
    <t>COFCO Corp</t>
  </si>
  <si>
    <t>2S-Business Unit</t>
  </si>
  <si>
    <t>COMPAREX AG</t>
  </si>
  <si>
    <t>Nova Pontocom-Ecommerce</t>
  </si>
  <si>
    <t>Cdiscount SA-Ecommerce</t>
  </si>
  <si>
    <t>Sipcam UPL Brasil SA</t>
  </si>
  <si>
    <t>ADM-Fertilizer Business</t>
  </si>
  <si>
    <t>Fiagril Ltda</t>
  </si>
  <si>
    <t>Amerra Capital Management LLC</t>
  </si>
  <si>
    <t>Fertilizantes Heringer SA</t>
  </si>
  <si>
    <t>Banco Santander(Brasil)SA</t>
  </si>
  <si>
    <t>Aceco TI SA</t>
  </si>
  <si>
    <t>Computer and Office Equipment</t>
  </si>
  <si>
    <t>KKR &amp; Co LP</t>
  </si>
  <si>
    <t>Novafarma Industria</t>
  </si>
  <si>
    <t>Fresenius Kabi AG</t>
  </si>
  <si>
    <t>SGA Ltda</t>
  </si>
  <si>
    <t>AGS Administracao e Gestao</t>
  </si>
  <si>
    <t>Diagnosticos da America SA</t>
  </si>
  <si>
    <t>UnitedHealth Group Inc</t>
  </si>
  <si>
    <t>Centauro Vida e Previdencia SA</t>
  </si>
  <si>
    <t>Ohio Natl Finl Svcs Inc</t>
  </si>
  <si>
    <t>Aeroporto De Guarulhos Partici</t>
  </si>
  <si>
    <t>Airports Co South Africa Ltd</t>
  </si>
  <si>
    <t>Conformity Assessoria</t>
  </si>
  <si>
    <t>Santander(Brasil)-Custody Svcs</t>
  </si>
  <si>
    <t>Giben do Brasil Ltda</t>
  </si>
  <si>
    <t>Altiseg Equipamentos</t>
  </si>
  <si>
    <t>Capital Safety Inc</t>
  </si>
  <si>
    <t>Bombas Leao SA</t>
  </si>
  <si>
    <t>Franklin Electric Co Inc</t>
  </si>
  <si>
    <t>HTK Lentes Oftalmicas Ltda</t>
  </si>
  <si>
    <t>Teknix SA</t>
  </si>
  <si>
    <t>B&amp;K Precision Corp</t>
  </si>
  <si>
    <t>Lago,Juruena,Sunny Skies</t>
  </si>
  <si>
    <t>Drogarias Pacheco SA</t>
  </si>
  <si>
    <t>CVS Health Corp</t>
  </si>
  <si>
    <t>Robtec SA</t>
  </si>
  <si>
    <t>3D Systems Corp</t>
  </si>
  <si>
    <t>iLab Sistemas Especialistas</t>
  </si>
  <si>
    <t>Sascar Participacoes SA</t>
  </si>
  <si>
    <t>Editora ASC Ltda</t>
  </si>
  <si>
    <t>Mony Participacoes Ltda</t>
  </si>
  <si>
    <t>M&amp;G Poliester SA</t>
  </si>
  <si>
    <t>Vix Logistica SA</t>
  </si>
  <si>
    <t>Autometal SA</t>
  </si>
  <si>
    <t>Visteon Corp-Auto interiors</t>
  </si>
  <si>
    <t>Reydel Automotive Holdings BV</t>
  </si>
  <si>
    <t>Quantity Servicos e Comercio</t>
  </si>
  <si>
    <t>Henry Schein Inc</t>
  </si>
  <si>
    <t>Gafor Distribuidora Ltda</t>
  </si>
  <si>
    <t>JPLUS Comercio e Distribuicao</t>
  </si>
  <si>
    <t>Masisa SA-Forest Assets</t>
  </si>
  <si>
    <t>Andres Control SA</t>
  </si>
  <si>
    <t>Bureau Veritas SA</t>
  </si>
  <si>
    <t>Alimtec SA</t>
  </si>
  <si>
    <t>EID Parry (India) Ltd</t>
  </si>
  <si>
    <t>Centros Comerciales-Business</t>
  </si>
  <si>
    <t>CFR Pharmaceutical SA</t>
  </si>
  <si>
    <t>El Arrayan Wind Farm Project</t>
  </si>
  <si>
    <t>Clinica UC San Carlos</t>
  </si>
  <si>
    <t>Christus Health System</t>
  </si>
  <si>
    <t>Sdad Minera GuangDa Atacama</t>
  </si>
  <si>
    <t>CompuTrabajo.com</t>
  </si>
  <si>
    <t>Red Arbor SL</t>
  </si>
  <si>
    <t>PideFarma</t>
  </si>
  <si>
    <t>Industrias CENO SA</t>
  </si>
  <si>
    <t>Gonvarri Steel Industries</t>
  </si>
  <si>
    <t>Global Energy Dvlp-Bocachico</t>
  </si>
  <si>
    <t>Verano Energy Ltd</t>
  </si>
  <si>
    <t>Pacific Stratus-Llanos-19 Bloc</t>
  </si>
  <si>
    <t>Canacol Energy Ltd-Llanos 23</t>
  </si>
  <si>
    <t>Undislcosed Bus Transp Co</t>
  </si>
  <si>
    <t>Ecuador 14-2</t>
  </si>
  <si>
    <t>Coblan Internacional SA</t>
  </si>
  <si>
    <t>Foodpanda GmbH</t>
  </si>
  <si>
    <t>CIHAC-Expo CIHAC</t>
  </si>
  <si>
    <t>UBM PLC</t>
  </si>
  <si>
    <t>Consorcio Comex SA de CV</t>
  </si>
  <si>
    <t>Sanyo Electric Co Ltd-Color TV</t>
  </si>
  <si>
    <t>Prestaciones Finmart SAPI</t>
  </si>
  <si>
    <t>EZCORP Inc</t>
  </si>
  <si>
    <t>Laboratorios Sanfer SA de CV</t>
  </si>
  <si>
    <t>Grupo Farmaceutico Somar</t>
  </si>
  <si>
    <t>Remate Lince SAPI de CV</t>
  </si>
  <si>
    <t>BGC Partners Inc</t>
  </si>
  <si>
    <t>Profie SA</t>
  </si>
  <si>
    <t>CICASA</t>
  </si>
  <si>
    <t>Minera Breco SA de CV</t>
  </si>
  <si>
    <t>Cuatro de Mayo Project,Sonora</t>
  </si>
  <si>
    <t>Shamba-La Concession,Jalisco</t>
  </si>
  <si>
    <t>Pembrook Mexico Holdings Corp</t>
  </si>
  <si>
    <t>Minera Terra Plata SA de CV</t>
  </si>
  <si>
    <t>Sundance Minerals Ltd</t>
  </si>
  <si>
    <t>Farmacias Benavides SAB de CV</t>
  </si>
  <si>
    <t>Granite Real Estate-Portfolio</t>
  </si>
  <si>
    <t>Aficionados De Pizzas S De Rl</t>
  </si>
  <si>
    <t>Sizzling Platter LLC</t>
  </si>
  <si>
    <t>Juya Mobile Media LLC</t>
  </si>
  <si>
    <t>InternetQ PLC</t>
  </si>
  <si>
    <t>Circus Peru SA</t>
  </si>
  <si>
    <t>Grey Global Group Inc</t>
  </si>
  <si>
    <t>J&amp;V Resguardo SAC</t>
  </si>
  <si>
    <t>The Carlyle Group LP</t>
  </si>
  <si>
    <t>Condor Resources-Soledad</t>
  </si>
  <si>
    <t>Xstrata Peru SA</t>
  </si>
  <si>
    <t>Century Mining Peru SAC</t>
  </si>
  <si>
    <t>Interntational Bus Grp LLC</t>
  </si>
  <si>
    <t>Coronet Metals Peru SAC</t>
  </si>
  <si>
    <t>Votorantm Metais Cajamarquilla</t>
  </si>
  <si>
    <t>Carbocol Peru SAC-San Pedro</t>
  </si>
  <si>
    <t>Undisclosed Oil &amp; Gas Block</t>
  </si>
  <si>
    <t>Alergo Pharma SRL</t>
  </si>
  <si>
    <t>Stallergenes SA</t>
  </si>
  <si>
    <t>Culture &amp; Tissue Engineering</t>
  </si>
  <si>
    <t>Casa Fuentes SACIFI</t>
  </si>
  <si>
    <t>James Finlay Ltd</t>
  </si>
  <si>
    <t>Emulgrain SA</t>
  </si>
  <si>
    <t>La Caja de Ahorro y Seguro SA</t>
  </si>
  <si>
    <t>Assicurazioni Generali SpA</t>
  </si>
  <si>
    <t>Europ Assistance Argentina SA</t>
  </si>
  <si>
    <t>Wintershall Holding-Gas Asset</t>
  </si>
  <si>
    <t>Gazprom</t>
  </si>
  <si>
    <t>Puesto Guardian Concession</t>
  </si>
  <si>
    <t>Quolaw.com</t>
  </si>
  <si>
    <t>vLex Networks SL</t>
  </si>
  <si>
    <t>Rodaco Argentina SA</t>
  </si>
  <si>
    <t>Camoplast Inc</t>
  </si>
  <si>
    <t>International Trade Logistics</t>
  </si>
  <si>
    <t>Epigram Comunicacao Ltda</t>
  </si>
  <si>
    <t>Brand Union Ltd</t>
  </si>
  <si>
    <t>Avionics Services Ltda</t>
  </si>
  <si>
    <t>Aerospace and Aircraft</t>
  </si>
  <si>
    <t>European Advanced Tech SDE</t>
  </si>
  <si>
    <t>Coodetec</t>
  </si>
  <si>
    <t>Dow AgroSciences LLC</t>
  </si>
  <si>
    <t>Plus Talent</t>
  </si>
  <si>
    <t>Analytical Technology Servicos</t>
  </si>
  <si>
    <t>Eurofins Scientific SE</t>
  </si>
  <si>
    <t>In Press</t>
  </si>
  <si>
    <t>Omnicom Group Inc</t>
  </si>
  <si>
    <t>Vitrinepix Itens</t>
  </si>
  <si>
    <t>sprd.net AG</t>
  </si>
  <si>
    <t>CNT Brasil Ltda</t>
  </si>
  <si>
    <t>Arrow Electronics Inc</t>
  </si>
  <si>
    <t>Classe Assistencia Medica S/S</t>
  </si>
  <si>
    <t>Kantar Health Inc</t>
  </si>
  <si>
    <t>Focus Assistencia Medica S/S</t>
  </si>
  <si>
    <t>Conductor Tecnologia SA</t>
  </si>
  <si>
    <t>Nu Pagamentos SA</t>
  </si>
  <si>
    <t>Galvani Industria Comercio</t>
  </si>
  <si>
    <t>SGM Telecomunicacoes Ltda</t>
  </si>
  <si>
    <t>Tait Ltd</t>
  </si>
  <si>
    <t>Pecem II Geracao de Energia SA</t>
  </si>
  <si>
    <t>Agroindustrial Santa Juliana</t>
  </si>
  <si>
    <t>Bunge Ltd</t>
  </si>
  <si>
    <t>Pedro Afonso Acucar</t>
  </si>
  <si>
    <t>Jasmine Comercio de Produtos</t>
  </si>
  <si>
    <t>Nutrition &amp; Sante SAS</t>
  </si>
  <si>
    <t>Crystal Aguas do Nordeste Ltda</t>
  </si>
  <si>
    <t>Coca-Cola Co</t>
  </si>
  <si>
    <t>Itsemap do Brasil-Servicos</t>
  </si>
  <si>
    <t>Austral Participacoes SA</t>
  </si>
  <si>
    <t>RJCP Equity SA</t>
  </si>
  <si>
    <t>Ecil Met Tec Ltda</t>
  </si>
  <si>
    <t>Fiori Ceramica Ltda</t>
  </si>
  <si>
    <t>Kohler Co</t>
  </si>
  <si>
    <t>MMX Mineracao e Metalicos SA</t>
  </si>
  <si>
    <t>Mubadala Development Co PJSC</t>
  </si>
  <si>
    <t>Brazil Manganese Corporation</t>
  </si>
  <si>
    <t>Triunfo Mineracao do Brasil</t>
  </si>
  <si>
    <t>Saraiva SA Livreiros Editores</t>
  </si>
  <si>
    <t>Amazon.Com Inc</t>
  </si>
  <si>
    <t>Sistema Ari de Sa</t>
  </si>
  <si>
    <t>Evermobile Solucoes Tec</t>
  </si>
  <si>
    <t>Navita Tecnologia Ltda</t>
  </si>
  <si>
    <t>Intel Capital Corp</t>
  </si>
  <si>
    <t>Winco Sistemas Ltda</t>
  </si>
  <si>
    <t>AVG Technologies NV</t>
  </si>
  <si>
    <t>Abril Educacao SA</t>
  </si>
  <si>
    <t>Pacific Mezz Investco Sarl</t>
  </si>
  <si>
    <t>On Telecomunicacoes Ltda</t>
  </si>
  <si>
    <t>Acapurana Participacoes Ltda</t>
  </si>
  <si>
    <t>Damovo do Brasil SA</t>
  </si>
  <si>
    <t>OpenGate Capital LLC</t>
  </si>
  <si>
    <t>Undisclosed Mobile Carrier,Bra</t>
  </si>
  <si>
    <t>Vodafone Grp Plc</t>
  </si>
  <si>
    <t>Prumo Logistica SA</t>
  </si>
  <si>
    <t>Dia Frag Industria e Comercio</t>
  </si>
  <si>
    <t>Westinghouse Air Brake Tech</t>
  </si>
  <si>
    <t>Onco Prod Distribuidora</t>
  </si>
  <si>
    <t>Celesio AG</t>
  </si>
  <si>
    <t>Nova Austral SA</t>
  </si>
  <si>
    <t>Acuinova Chile SA-Salmon Asts</t>
  </si>
  <si>
    <t>San Francisco Investment SA</t>
  </si>
  <si>
    <t>Proquimia Chile SA</t>
  </si>
  <si>
    <t>Proquimia SA</t>
  </si>
  <si>
    <t>Enersis Americas SA</t>
  </si>
  <si>
    <t>Enel Energy Europe Srl</t>
  </si>
  <si>
    <t>SCM Cia Minera-Planta Prat</t>
  </si>
  <si>
    <t>Polar Star Mining Corp-Fortuna</t>
  </si>
  <si>
    <t>Kairos Capital Corp</t>
  </si>
  <si>
    <t>CCNI-Container Liner Business</t>
  </si>
  <si>
    <t>Heli Jet SAS</t>
  </si>
  <si>
    <t>Basta Holdings Corp</t>
  </si>
  <si>
    <t>Delivery Hero Holding GmbH</t>
  </si>
  <si>
    <t>Fabrica Nacional de Grasas SA</t>
  </si>
  <si>
    <t>AarhusKarlshamn AB</t>
  </si>
  <si>
    <t>Trayectoria Oil-Carbonera</t>
  </si>
  <si>
    <t>Trayectoria Oil &amp; Gas SA-Yamu</t>
  </si>
  <si>
    <t>Tayrona Block</t>
  </si>
  <si>
    <t>Ecuador 14-3</t>
  </si>
  <si>
    <t>Avisoriaweb SA</t>
  </si>
  <si>
    <t>LatAm Autos Ltd</t>
  </si>
  <si>
    <t>Corporacion Farmaceutica</t>
  </si>
  <si>
    <t>Labfarm SA</t>
  </si>
  <si>
    <t>Undisclosed Gold Mill,Zaruma</t>
  </si>
  <si>
    <t>Andes Gold Corp</t>
  </si>
  <si>
    <t>Lead2Action SA de CV</t>
  </si>
  <si>
    <t>CMV</t>
  </si>
  <si>
    <t>R&amp;R Partners</t>
  </si>
  <si>
    <t>ITSEMAP Mexico Servicios</t>
  </si>
  <si>
    <t>Dissamex</t>
  </si>
  <si>
    <t>Gunnebo AB</t>
  </si>
  <si>
    <t>Ecnex</t>
  </si>
  <si>
    <t>Eurona Wireless Telecom SA</t>
  </si>
  <si>
    <t>Polioles SA de CV-Polyurethane</t>
  </si>
  <si>
    <t>BASF SE</t>
  </si>
  <si>
    <t>Pypsa</t>
  </si>
  <si>
    <t>Carbures Europe SA</t>
  </si>
  <si>
    <t>Tyson de Mexico SA de CV</t>
  </si>
  <si>
    <t>Casa Noble Tequila Co-tequila</t>
  </si>
  <si>
    <t>Barrera Siqueiros y Torres</t>
  </si>
  <si>
    <t>Hogan Lovells International</t>
  </si>
  <si>
    <t>HRSL Hardware de Mexico SA</t>
  </si>
  <si>
    <t>Derry Enterprises Inc</t>
  </si>
  <si>
    <t>Biossmann Group SAPI de CV</t>
  </si>
  <si>
    <t>Evercore Capital Partners II</t>
  </si>
  <si>
    <t>EMPAQUE</t>
  </si>
  <si>
    <t>Minera Rio Cobre-El Desvan</t>
  </si>
  <si>
    <t>Santa Maria Mine,Chihuahua</t>
  </si>
  <si>
    <t>Lincoln Mining-La Bufa Ppty</t>
  </si>
  <si>
    <t>Minera Apolo SA de CV</t>
  </si>
  <si>
    <t>Osisko Gold Royalties-Concessi</t>
  </si>
  <si>
    <t>Cash America Intl Inc-Pawn(56)</t>
  </si>
  <si>
    <t>Sierra Oil &amp; Gas S de RL de CV</t>
  </si>
  <si>
    <t>Grupo Industrial-Factory</t>
  </si>
  <si>
    <t>Royo Group SA</t>
  </si>
  <si>
    <t>Damovo Mexico SA de CV</t>
  </si>
  <si>
    <t>Hilos de Yecapixtla SA de CV</t>
  </si>
  <si>
    <t>Parkdale Mills Inc</t>
  </si>
  <si>
    <t>Trendy Imports SA de CV</t>
  </si>
  <si>
    <t>Imizu SAC</t>
  </si>
  <si>
    <t>Secuoya Grupo de Comunicacion</t>
  </si>
  <si>
    <t>VAMSAC</t>
  </si>
  <si>
    <t>Emerson Electric Co</t>
  </si>
  <si>
    <t>Pure Biofuels del Peru SAC</t>
  </si>
  <si>
    <t>BP PLC</t>
  </si>
  <si>
    <t>ACCION Gateway Fund</t>
  </si>
  <si>
    <t>Montana SA-Flavors &amp; Natural</t>
  </si>
  <si>
    <t>Grana y Asociados Corredores</t>
  </si>
  <si>
    <t>Aon PLC</t>
  </si>
  <si>
    <t>San Santiago Gold &amp; Copper</t>
  </si>
  <si>
    <t>Anglo American Quellaveco SA</t>
  </si>
  <si>
    <t>Gold Processing Plant,Peru</t>
  </si>
  <si>
    <t>Weatherford Intl-Operations</t>
  </si>
  <si>
    <t>El Universal</t>
  </si>
  <si>
    <t>Espalisticia</t>
  </si>
  <si>
    <t>Mendoza Cntrl Entretenimientos</t>
  </si>
  <si>
    <t>Foodpanda GmbH-Hellofood</t>
  </si>
  <si>
    <t>Clariant AG-Latin Amer Water</t>
  </si>
  <si>
    <t>Ecolab Inc</t>
  </si>
  <si>
    <t>Sinochem Agro Argentina SA</t>
  </si>
  <si>
    <t>OOH Plus Participacoes Ltda</t>
  </si>
  <si>
    <t>Orbital Servicos Auxiliares</t>
  </si>
  <si>
    <t>Worldwide Flight Services</t>
  </si>
  <si>
    <t>Inssigny Holdings SA</t>
  </si>
  <si>
    <t>Peixe Urbano Web Servicos</t>
  </si>
  <si>
    <t>Baidu Inc</t>
  </si>
  <si>
    <t>Subdelivery Servicos de Tecnol</t>
  </si>
  <si>
    <t>TRANSVIG-Transportes de</t>
  </si>
  <si>
    <t>Linx SA</t>
  </si>
  <si>
    <t>Genesis Asset Managers LLP</t>
  </si>
  <si>
    <t>Psafe Tecnologia SA</t>
  </si>
  <si>
    <t>Visualoop blog</t>
  </si>
  <si>
    <t>Infogram SIA</t>
  </si>
  <si>
    <t>Latvia</t>
  </si>
  <si>
    <t>Ketchum Estrategia Assessoria</t>
  </si>
  <si>
    <t>Ketchum Commun Holdings Corp</t>
  </si>
  <si>
    <t>Millward Brown Do Brasil Ltda</t>
  </si>
  <si>
    <t>Kantar Media</t>
  </si>
  <si>
    <t>IBOPE Participacoes SA</t>
  </si>
  <si>
    <t>IBOPE Inteligencia Pesquisa e</t>
  </si>
  <si>
    <t>Data Solutions Servicos</t>
  </si>
  <si>
    <t>TransUnion Holding Co Inc</t>
  </si>
  <si>
    <t>Genesis Group</t>
  </si>
  <si>
    <t>Actis Components &amp; System</t>
  </si>
  <si>
    <t>Mauritius</t>
  </si>
  <si>
    <t>Meridional TCS Industria e</t>
  </si>
  <si>
    <t>INVISTA Inc-Manufacturing Site</t>
  </si>
  <si>
    <t>Dhaymers Industria e Comercio</t>
  </si>
  <si>
    <t>Biosev SA</t>
  </si>
  <si>
    <t>Sugar Holdings BV</t>
  </si>
  <si>
    <t>Undisclosed Direct</t>
  </si>
  <si>
    <t>Overlake Vernizes Graficos</t>
  </si>
  <si>
    <t>ACTEGA GmbH</t>
  </si>
  <si>
    <t>Premiata</t>
  </si>
  <si>
    <t>Prepron Sistemas de Protensao</t>
  </si>
  <si>
    <t>DYWIDAG-Systems International</t>
  </si>
  <si>
    <t>RIP Servicos Industriais Ltda</t>
  </si>
  <si>
    <t>KAEFER Isoliertechnik GmbH</t>
  </si>
  <si>
    <t>Click Promotora de Vendas SA</t>
  </si>
  <si>
    <t>Sociedade Tecnica Educ SA</t>
  </si>
  <si>
    <t>GayLussac Empreendimentos</t>
  </si>
  <si>
    <t>Cognita Ltd</t>
  </si>
  <si>
    <t>Nova Energia Comercializadora</t>
  </si>
  <si>
    <t>Macquarie Grp Ltd</t>
  </si>
  <si>
    <t>EDP Renovaveis Brasil</t>
  </si>
  <si>
    <t>Junior Alimentos SA</t>
  </si>
  <si>
    <t>Kerry Group PLC</t>
  </si>
  <si>
    <t>Sanovo Greenpack Embalagens</t>
  </si>
  <si>
    <t>Gemacom Tech Industria e</t>
  </si>
  <si>
    <t>Tate &amp; Lyle PLC</t>
  </si>
  <si>
    <t>LIC NZ Brasil Producao Animal</t>
  </si>
  <si>
    <t>Livestock Improvement Corp Ltd</t>
  </si>
  <si>
    <t>Atlantica Hotels Intl Ltd</t>
  </si>
  <si>
    <t>Tao Invest LLC</t>
  </si>
  <si>
    <t>Quantum Strategic Partners Ltd</t>
  </si>
  <si>
    <t>Harmonia Corretora de Seguros</t>
  </si>
  <si>
    <t>OpenCap Brazil Inc</t>
  </si>
  <si>
    <t>Lemasa Industria e Comercio</t>
  </si>
  <si>
    <t>Metalika Industria e Comercio</t>
  </si>
  <si>
    <t>Assa Abloy AB</t>
  </si>
  <si>
    <t>Industria Metalurgica Silvana</t>
  </si>
  <si>
    <t>Topico Locacoes de Galpoes e</t>
  </si>
  <si>
    <t>Southern Cross Latin America 4</t>
  </si>
  <si>
    <t>Yamana Gold Inc-Brazilian</t>
  </si>
  <si>
    <t>Companhia de Canetas Compactor</t>
  </si>
  <si>
    <t>Calmena Energy Servicos do</t>
  </si>
  <si>
    <t>Vida Melhor Editora SA</t>
  </si>
  <si>
    <t>HarperCollins Christian Publis</t>
  </si>
  <si>
    <t>FM Impressos Personalizados</t>
  </si>
  <si>
    <t>Projeto Fox 41</t>
  </si>
  <si>
    <t>BK Brasil Operacao</t>
  </si>
  <si>
    <t>Todimo Materiais para</t>
  </si>
  <si>
    <t>TRG Management LP</t>
  </si>
  <si>
    <t>JFLOG Participacoes SA</t>
  </si>
  <si>
    <t>AGRO Merchants Group LLC</t>
  </si>
  <si>
    <t>Melling do Brasil Componentes</t>
  </si>
  <si>
    <t>Pricol Espana</t>
  </si>
  <si>
    <t>Allied SA</t>
  </si>
  <si>
    <t>Total Alimentos SA</t>
  </si>
  <si>
    <t>InVivo NSA SAS</t>
  </si>
  <si>
    <t>Midland Suporte e Promocao de</t>
  </si>
  <si>
    <t>GA-K Overseas Co Ltd</t>
  </si>
  <si>
    <t>Sinochem Agro Do Brasil Ltda</t>
  </si>
  <si>
    <t>Cia Dorel Brasil Produtos</t>
  </si>
  <si>
    <t>Denarius</t>
  </si>
  <si>
    <t>Mercer LLC</t>
  </si>
  <si>
    <t>Denarius SA</t>
  </si>
  <si>
    <t>Sociedad Cntrl Solar Desierto</t>
  </si>
  <si>
    <t>Origis Energy Ltd</t>
  </si>
  <si>
    <t>AFP Habitat SA</t>
  </si>
  <si>
    <t>ODIS Ltda</t>
  </si>
  <si>
    <t>Freeport-Candelaria,Ojos Mines</t>
  </si>
  <si>
    <t>Cia Agropecuaria Copeval SA</t>
  </si>
  <si>
    <t>Magia Products Ltda</t>
  </si>
  <si>
    <t>Mahou SA</t>
  </si>
  <si>
    <t>BRC Inv Svcs SA Sociedad</t>
  </si>
  <si>
    <t>Standard &amp; Poors Corp</t>
  </si>
  <si>
    <t>Dessau Cei SAS</t>
  </si>
  <si>
    <t>WSP Global Inc</t>
  </si>
  <si>
    <t>Laverlam SA</t>
  </si>
  <si>
    <t>Indukern SA</t>
  </si>
  <si>
    <t>Mineras Four Points SAS</t>
  </si>
  <si>
    <t>Mineros SA-El Porvenir Gold</t>
  </si>
  <si>
    <t>VAS Colombia SA</t>
  </si>
  <si>
    <t>Porsche Holding GmbH</t>
  </si>
  <si>
    <t>Pacific Midstream Ltdd</t>
  </si>
  <si>
    <t>SurtiQuimicos SA</t>
  </si>
  <si>
    <t>Habitus Investigacion SA</t>
  </si>
  <si>
    <t>Solchacras SA</t>
  </si>
  <si>
    <t>Thesan SpA</t>
  </si>
  <si>
    <t>Kinross Gold Corp-Fruta del No</t>
  </si>
  <si>
    <t>Dridco Mexico SA de CV-Mexico</t>
  </si>
  <si>
    <t>Cleven</t>
  </si>
  <si>
    <t>Izertis SL</t>
  </si>
  <si>
    <t>NPG Latam SA de CV</t>
  </si>
  <si>
    <t>Enrique Cosio</t>
  </si>
  <si>
    <t>Tequila Don Julio SA de CV</t>
  </si>
  <si>
    <t>Diageo PLC</t>
  </si>
  <si>
    <t>Prod Alimenticios y Dieteticos</t>
  </si>
  <si>
    <t>Dr August Oetker KG</t>
  </si>
  <si>
    <t>Amerimed Hospitalsp-Hosp(3)</t>
  </si>
  <si>
    <t>Hospiten Gestion AIE</t>
  </si>
  <si>
    <t>Scherer &amp; Trier-Mex Prod Fac</t>
  </si>
  <si>
    <t>Samvardhana Motherson Auto</t>
  </si>
  <si>
    <t>GroupAero Mexico</t>
  </si>
  <si>
    <t>Stadco Acquisition LLC</t>
  </si>
  <si>
    <t>Almaden Minerals Ltd-Mineral</t>
  </si>
  <si>
    <t>Cream Minerals de Mexico SA de</t>
  </si>
  <si>
    <t>Cerro Las Mintas Project</t>
  </si>
  <si>
    <t>Molycomex SA de CV</t>
  </si>
  <si>
    <t>GoldGrp Mining Inc-Caballo</t>
  </si>
  <si>
    <t>Nair Silver Corp-El Reventon</t>
  </si>
  <si>
    <t>Serengeti Resources Inc-Los</t>
  </si>
  <si>
    <t>Northair Silver Corp</t>
  </si>
  <si>
    <t>Sare Holding SAB de CV</t>
  </si>
  <si>
    <t>Tresalia Capital-Office Bldg</t>
  </si>
  <si>
    <t>Deka Immobilien Invest GmbH</t>
  </si>
  <si>
    <t>Desarrollo Urbanistico</t>
  </si>
  <si>
    <t>Espacia Avante SL</t>
  </si>
  <si>
    <t>IDI Gazeley-Industrial</t>
  </si>
  <si>
    <t>Procter &amp; Gamble Co-Talisman</t>
  </si>
  <si>
    <t>Unilever PLC</t>
  </si>
  <si>
    <t>Anheuser-Busch Inbev-Glass</t>
  </si>
  <si>
    <t>Tech Argus First de Mexico SA</t>
  </si>
  <si>
    <t>O2 Secure Wireless Inc</t>
  </si>
  <si>
    <t>Pacific Star SA de CV</t>
  </si>
  <si>
    <t>Sysco Corp</t>
  </si>
  <si>
    <t>Procesos Termicos</t>
  </si>
  <si>
    <t>Noranco Inc</t>
  </si>
  <si>
    <t>Corporacion Milenium SA de CV</t>
  </si>
  <si>
    <t>Conair Corp</t>
  </si>
  <si>
    <t>D'Gari</t>
  </si>
  <si>
    <t>Dr Oetker</t>
  </si>
  <si>
    <t>Pro-Eucalipto Holding SAPI</t>
  </si>
  <si>
    <t>Abengoa Transmision Sur SA</t>
  </si>
  <si>
    <t>Abengoa SA</t>
  </si>
  <si>
    <t>Mariategui JLT Corredores de</t>
  </si>
  <si>
    <t>JLT Peru Wholesale Ltd</t>
  </si>
  <si>
    <t>Willis Corredores de Seguros</t>
  </si>
  <si>
    <t>Willis Europe BV</t>
  </si>
  <si>
    <t>Minquest Peru SAC</t>
  </si>
  <si>
    <t>Samco Minerals,Cia Dorita MA</t>
  </si>
  <si>
    <t>GKN Sinter Metals de</t>
  </si>
  <si>
    <t>Concentric AB</t>
  </si>
  <si>
    <t>Cardero Argentina SA</t>
  </si>
  <si>
    <t>Artha Resources Corp</t>
  </si>
  <si>
    <t>Undisclosed Mining JV</t>
  </si>
  <si>
    <t>Elastec Srl</t>
  </si>
  <si>
    <t>MSD Animal Health Australia</t>
  </si>
  <si>
    <t>In Vitro Brasil SA</t>
  </si>
  <si>
    <t>IMX Holding SA</t>
  </si>
  <si>
    <t>Geekie Partners Participacoes</t>
  </si>
  <si>
    <t>Airservices Estudos</t>
  </si>
  <si>
    <t>Cronolab Referencia</t>
  </si>
  <si>
    <t>Foco Group Ltda</t>
  </si>
  <si>
    <t>Sodexo Pass International SAS</t>
  </si>
  <si>
    <t>IF-JE Participacoes Ltda</t>
  </si>
  <si>
    <t>Just Eat PLC</t>
  </si>
  <si>
    <t>Voopter Internet Do Brasil SA</t>
  </si>
  <si>
    <t>Global Founders Capital Mgmt</t>
  </si>
  <si>
    <t>Gapso Servicos de Informatica</t>
  </si>
  <si>
    <t>Santa Clara</t>
  </si>
  <si>
    <t>M&amp;C Saatchi PLC</t>
  </si>
  <si>
    <t>PWC Apriori Tecnologia da</t>
  </si>
  <si>
    <t>TMF Group BV</t>
  </si>
  <si>
    <t>P&amp;R Brasil-Agricultural div</t>
  </si>
  <si>
    <t>AGDATA Inc</t>
  </si>
  <si>
    <t>Stok Gestao Documental Ltda</t>
  </si>
  <si>
    <t>GRM Information Mgmt Svcs</t>
  </si>
  <si>
    <t>Aguia Quimica Ltda</t>
  </si>
  <si>
    <t>Allnex Belgium SA/NV</t>
  </si>
  <si>
    <t>Beraca-Health Personal Div</t>
  </si>
  <si>
    <t>EcoQuimica</t>
  </si>
  <si>
    <t>Lubrizol Corp</t>
  </si>
  <si>
    <t>Sinagro Produtos Agropecuarios</t>
  </si>
  <si>
    <t>Brastec Technologies SA</t>
  </si>
  <si>
    <t>IHC Merwede Holding BV</t>
  </si>
  <si>
    <t>Cia Brasileira de Bentonita</t>
  </si>
  <si>
    <t>Undisclosed Constr Co,Brazil</t>
  </si>
  <si>
    <t>Essentium Grupo SL</t>
  </si>
  <si>
    <t>Sociedade Educacional Santa</t>
  </si>
  <si>
    <t>Grano Alimentos SA</t>
  </si>
  <si>
    <t>Arlon Group LLC</t>
  </si>
  <si>
    <t>Undisclosed Brazilian Sugar</t>
  </si>
  <si>
    <t>Hassad Food Co</t>
  </si>
  <si>
    <t>CoopCntrl Gaucha-Seed Business</t>
  </si>
  <si>
    <t>Oncoclinicas do Brasil</t>
  </si>
  <si>
    <t>Pojuca SA</t>
  </si>
  <si>
    <t>Multimaq Pistolas Ltda</t>
  </si>
  <si>
    <t>Graco Inc</t>
  </si>
  <si>
    <t>Dinieper Industria</t>
  </si>
  <si>
    <t>Arcil SA</t>
  </si>
  <si>
    <t>Herder Implementos e Maquinas</t>
  </si>
  <si>
    <t>Alamo Group Inc</t>
  </si>
  <si>
    <t>Orteng Engenharia e Sistemas</t>
  </si>
  <si>
    <t>Vinci Energies SA</t>
  </si>
  <si>
    <t>Fezer SA Industrias Mecanicas</t>
  </si>
  <si>
    <t>Silovye Mashiny - ZTL, LMZ,</t>
  </si>
  <si>
    <t>Primus Processamento de Tubos</t>
  </si>
  <si>
    <t>Solina Global Corp</t>
  </si>
  <si>
    <t>Minerinvest Mineracao Ltda</t>
  </si>
  <si>
    <t>Trafigura Holding BV</t>
  </si>
  <si>
    <t>RST Recursos Minerais Ltda</t>
  </si>
  <si>
    <t>Dufry Lojas Francas Ltda</t>
  </si>
  <si>
    <t>NS2.COM Internet SA</t>
  </si>
  <si>
    <t>EPC Consortium Refinaria</t>
  </si>
  <si>
    <t>Technip SA</t>
  </si>
  <si>
    <t>Graffo Paranaense de</t>
  </si>
  <si>
    <t>Sonoco Products Co</t>
  </si>
  <si>
    <t>Reverb Localizacao Preparacao</t>
  </si>
  <si>
    <t>ZeroPaper Servicos</t>
  </si>
  <si>
    <t>Intuit Inc</t>
  </si>
  <si>
    <t>99 Taxis Desenvolvimento de</t>
  </si>
  <si>
    <t>Livros do Brasil Ltda</t>
  </si>
  <si>
    <t>Brazil Fast Food Corp</t>
  </si>
  <si>
    <t>Sabo Industria e Comercio de</t>
  </si>
  <si>
    <t>Reflex Srl</t>
  </si>
  <si>
    <t>Corindon Abrasivos Especiais</t>
  </si>
  <si>
    <t>SERCAP - Societe d'Etude et</t>
  </si>
  <si>
    <t>Cabo Servicos de Telecomunicac</t>
  </si>
  <si>
    <t>ACON Investments LLC</t>
  </si>
  <si>
    <t>ADM-Barcarena Export Terminal</t>
  </si>
  <si>
    <t>Decolar.com Ltda</t>
  </si>
  <si>
    <t>Keiper Tecnologia de Assentos</t>
  </si>
  <si>
    <t>Eastern Horizon Group</t>
  </si>
  <si>
    <t>Biosafe Brasil Distribuidora</t>
  </si>
  <si>
    <t>Biosafe Group SA</t>
  </si>
  <si>
    <t>SCl Terminal Aereo Santiago-Co</t>
  </si>
  <si>
    <t>Vulnr</t>
  </si>
  <si>
    <t>Zerofox Inc</t>
  </si>
  <si>
    <t>Chileautos Ltda</t>
  </si>
  <si>
    <t>Undisclosed Adhesive Mnfg</t>
  </si>
  <si>
    <t>Soudal NV</t>
  </si>
  <si>
    <t>Forum Servicios Financieros SA</t>
  </si>
  <si>
    <t>Banco Bilbao Vizcaya</t>
  </si>
  <si>
    <t>Empresas AquaChile SA</t>
  </si>
  <si>
    <t>Sociedad Concesionaria</t>
  </si>
  <si>
    <t>Global Dominion Access SA</t>
  </si>
  <si>
    <t>Arena Minerals Inc-Pampa</t>
  </si>
  <si>
    <t>Nextel Chile SA</t>
  </si>
  <si>
    <t>Novator Partners LLP</t>
  </si>
  <si>
    <t>Frigorifico Andino SA</t>
  </si>
  <si>
    <t>Agro Merchants Netherlands BV</t>
  </si>
  <si>
    <t>Agencias Universales SA-Agcy</t>
  </si>
  <si>
    <t>Hamburg Sud</t>
  </si>
  <si>
    <t>Cia Chilena de-Container</t>
  </si>
  <si>
    <t>Inversiones Intercycles-Assets</t>
  </si>
  <si>
    <t>Puentes y Torones SAS</t>
  </si>
  <si>
    <t>Eiffage SA</t>
  </si>
  <si>
    <t>Hoteles Royal SA</t>
  </si>
  <si>
    <t>Oro Barracuda SAS</t>
  </si>
  <si>
    <t>Oro Exploration Ltd</t>
  </si>
  <si>
    <t>AUX Canada Acquisition Inc</t>
  </si>
  <si>
    <t>Multipay SA</t>
  </si>
  <si>
    <t>ID Global Solutions Corp</t>
  </si>
  <si>
    <t>T-Uno</t>
  </si>
  <si>
    <t>Arkadin International SAS</t>
  </si>
  <si>
    <t>GEMEDCO Sales &amp; Service SAS</t>
  </si>
  <si>
    <t>Eurociencia Colombia SA</t>
  </si>
  <si>
    <t>Save Combustibles SAS</t>
  </si>
  <si>
    <t>Puma Energy International BV</t>
  </si>
  <si>
    <t>Vivanuncios</t>
  </si>
  <si>
    <t>Ebay Classifieds Denmark Aps</t>
  </si>
  <si>
    <t>Grupo Financiero Mifel SA</t>
  </si>
  <si>
    <t>Concesionaria Mexiquense</t>
  </si>
  <si>
    <t>Undisclosed Cheese Prodn</t>
  </si>
  <si>
    <t>Undisclosed Metal Fabrication</t>
  </si>
  <si>
    <t>Ace Stamping &amp; Machine Co</t>
  </si>
  <si>
    <t>Polimetalica La Cachimba Corp</t>
  </si>
  <si>
    <t>Argonaut Gold Inc-Glor Gold</t>
  </si>
  <si>
    <t>Betterware de Mexico SA de CV</t>
  </si>
  <si>
    <t>Retail Trade-Home Furnishings</t>
  </si>
  <si>
    <t>Polymer Tech Mexico SA de CV</t>
  </si>
  <si>
    <t>Relats Leon SA de CV</t>
  </si>
  <si>
    <t>Relats SA</t>
  </si>
  <si>
    <t>Nextel Mexico</t>
  </si>
  <si>
    <t>Servicios Rotativos de Calidad</t>
  </si>
  <si>
    <t>Amsted Rail Co Inc</t>
  </si>
  <si>
    <t>Samco SA de CV</t>
  </si>
  <si>
    <t>Teknia Manufacturing Group SL</t>
  </si>
  <si>
    <t>Binarix SAC</t>
  </si>
  <si>
    <t>Wunderman Inc</t>
  </si>
  <si>
    <t>Equilibrium</t>
  </si>
  <si>
    <t>Moody's Corp</t>
  </si>
  <si>
    <t>Abengoa SA-ATN2 Transmission</t>
  </si>
  <si>
    <t>Abengoa Yield PLC</t>
  </si>
  <si>
    <t>Prodos Naturales Govinda SAC</t>
  </si>
  <si>
    <t>Intl Sustainability Grp Inc</t>
  </si>
  <si>
    <t>Alimentos Naturales Gopal SAC</t>
  </si>
  <si>
    <t>Casino Absolut</t>
  </si>
  <si>
    <t>Egasa XXI SA</t>
  </si>
  <si>
    <t>Red Beds Copper-Silver</t>
  </si>
  <si>
    <t>Juan Paulo Quay SAC</t>
  </si>
  <si>
    <t>Tech Data Corp-Peruvian</t>
  </si>
  <si>
    <t>Ingram Micro Inc</t>
  </si>
  <si>
    <t>Spark Flow LLC</t>
  </si>
  <si>
    <t>Intercept Interactive Inc</t>
  </si>
  <si>
    <t>Aero Transport Engineering</t>
  </si>
  <si>
    <t>Seabury Entrp Solutions LLC</t>
  </si>
  <si>
    <t>Mead Johnson Nutrition</t>
  </si>
  <si>
    <t>Akaer Engenharia SA</t>
  </si>
  <si>
    <t>Saab AB</t>
  </si>
  <si>
    <t>Renuka do Brasil SA</t>
  </si>
  <si>
    <t>Brasilwood Reflorestamento SA</t>
  </si>
  <si>
    <t>TIAA-CREF</t>
  </si>
  <si>
    <t>Novitech Tecnologia e Servicos</t>
  </si>
  <si>
    <t>Nuance Communications Inc</t>
  </si>
  <si>
    <t>Vemm LLC</t>
  </si>
  <si>
    <t>QuinStreet Inc</t>
  </si>
  <si>
    <t>Hospar Feiras Congressos e</t>
  </si>
  <si>
    <t>Realmedia Latin America</t>
  </si>
  <si>
    <t>AppNexus Inc</t>
  </si>
  <si>
    <t>IRM Svcs Inc-Intl Op</t>
  </si>
  <si>
    <t>Allrig Inc</t>
  </si>
  <si>
    <t>Holomatica Assessoria</t>
  </si>
  <si>
    <t>Gi Group SpA</t>
  </si>
  <si>
    <t>Fortinbras Comercial e</t>
  </si>
  <si>
    <t>HallStar Co</t>
  </si>
  <si>
    <t>Banco BBM SA</t>
  </si>
  <si>
    <t>Planinvesti Administracao e</t>
  </si>
  <si>
    <t>GIE Atrium Groupe UP</t>
  </si>
  <si>
    <t>Duomed Produtos Farmaceuticos</t>
  </si>
  <si>
    <t>Medquimica Farmaceutica</t>
  </si>
  <si>
    <t>Affero Lab Participacoes SA</t>
  </si>
  <si>
    <t>Codora Energia SA</t>
  </si>
  <si>
    <t>Renova Energia-Hydropower Asts</t>
  </si>
  <si>
    <t>Renova-Portfolio Renewable Ene</t>
  </si>
  <si>
    <t>Renova Energia-Wind Asts(14)</t>
  </si>
  <si>
    <t>Cia Positiva de Energia</t>
  </si>
  <si>
    <t>BNRI</t>
  </si>
  <si>
    <t>Nutrifarma Nutricao e ude</t>
  </si>
  <si>
    <t>Nuscience NV</t>
  </si>
  <si>
    <t>Rede D'Or Sao Luiz SA</t>
  </si>
  <si>
    <t>JMalucelli Part-Property Casua</t>
  </si>
  <si>
    <t>The Travelers Cos Inc</t>
  </si>
  <si>
    <t>Intervalor Cobranca Matriz</t>
  </si>
  <si>
    <t>arvato Finance Solutions BV</t>
  </si>
  <si>
    <t>XCMG Brasil Investimentos Ltda</t>
  </si>
  <si>
    <t>Peninsula 03 Varejo FICFIP</t>
  </si>
  <si>
    <t>DeVilbiss Equipamentos para Pi</t>
  </si>
  <si>
    <t>Carlisle Fluid Tech Hldg BV</t>
  </si>
  <si>
    <t>Neodent</t>
  </si>
  <si>
    <t>Santos Lab Comercio e</t>
  </si>
  <si>
    <t>Tekever Tecnologias de</t>
  </si>
  <si>
    <t>Greif Embalagens Industrias do</t>
  </si>
  <si>
    <t>MAUSER Corporate GmbH</t>
  </si>
  <si>
    <t>Cumaru Gold Reserve</t>
  </si>
  <si>
    <t>Rexel SA-Latin America Op</t>
  </si>
  <si>
    <t>Petro Vista Energy Petroleo do</t>
  </si>
  <si>
    <t>Souza Cruz-Tobacco Pkg,Rio Gr</t>
  </si>
  <si>
    <t>Arjo Wiggins Ltda</t>
  </si>
  <si>
    <t>SCUP Tecnologia SA</t>
  </si>
  <si>
    <t>Sprinklr Inc</t>
  </si>
  <si>
    <t>YDreams Brasil Servicos e</t>
  </si>
  <si>
    <t>Oxford Resources Inc</t>
  </si>
  <si>
    <t>British Industria e Comercio</t>
  </si>
  <si>
    <t>Cie de Saint-Gobain SA</t>
  </si>
  <si>
    <t>Ability Tecnologia e Servicos</t>
  </si>
  <si>
    <t>Arteris SA</t>
  </si>
  <si>
    <t>Transmar SA Servicos Maritimos</t>
  </si>
  <si>
    <t>SvitzerWijsmuller A/S</t>
  </si>
  <si>
    <t>Blue Ocean Agencia Maritima</t>
  </si>
  <si>
    <t>Agri Port Services LLC</t>
  </si>
  <si>
    <t>Osper Industria de Pecas</t>
  </si>
  <si>
    <t>Jazzplat Chile Call Center SL</t>
  </si>
  <si>
    <t>Latin America Power</t>
  </si>
  <si>
    <t>Bareyre Inversiones</t>
  </si>
  <si>
    <t>Arthur J Gallagher &amp; Co</t>
  </si>
  <si>
    <t>Hyperion Insurance Group Ltd</t>
  </si>
  <si>
    <t>Santander Chile Holding SA</t>
  </si>
  <si>
    <t>Kloof</t>
  </si>
  <si>
    <t>American Kennel Club Inc</t>
  </si>
  <si>
    <t>Chile Info Tech Co Ltd</t>
  </si>
  <si>
    <t>Zhejiang United Invest Co Ltd</t>
  </si>
  <si>
    <t>Colstein Ltda-Process</t>
  </si>
  <si>
    <t>Endress+Hauser Holding AG</t>
  </si>
  <si>
    <t>Projection Core Consulting SA</t>
  </si>
  <si>
    <t>Techedge Espana y</t>
  </si>
  <si>
    <t>Importadores Exportadores</t>
  </si>
  <si>
    <t>Leather and Leather Products</t>
  </si>
  <si>
    <t>Ortopedicos Futuro SAS-assets</t>
  </si>
  <si>
    <t>BSN Medical GmbH</t>
  </si>
  <si>
    <t>IFAM Colombia SAS</t>
  </si>
  <si>
    <t>Grupo Alejandro Altuna Sdad</t>
  </si>
  <si>
    <t>Feliciano Aranzabal</t>
  </si>
  <si>
    <t>Alejandro Altuna SA</t>
  </si>
  <si>
    <t>Leyhat Corp</t>
  </si>
  <si>
    <t>PetroNova Inc</t>
  </si>
  <si>
    <t>Intecplast SAS</t>
  </si>
  <si>
    <t>Ekipro Rentals</t>
  </si>
  <si>
    <t>Red-D-Arc Welderentals</t>
  </si>
  <si>
    <t>Nova Link SA de CV</t>
  </si>
  <si>
    <t>Argenta Partners LP</t>
  </si>
  <si>
    <t>Online Career Center Mexico SA</t>
  </si>
  <si>
    <t>Anuncios Clasificados de Mexic</t>
  </si>
  <si>
    <t>Schibsted ASA</t>
  </si>
  <si>
    <t>Grupo Financiero HSBC SA de CV</t>
  </si>
  <si>
    <t>ICA Operadora de Vias</t>
  </si>
  <si>
    <t>GE Capital RE-Performing First</t>
  </si>
  <si>
    <t>Blackstone RE Debt Strategies</t>
  </si>
  <si>
    <t>Advanced Pharmaceuticals</t>
  </si>
  <si>
    <t>Hi-Tech Pharmaceuticals Inc</t>
  </si>
  <si>
    <t>Patheon Inc-Mexican Operations</t>
  </si>
  <si>
    <t>Enerall</t>
  </si>
  <si>
    <t>Carsa Consultores Agentes</t>
  </si>
  <si>
    <t>Willis Group Holdings PLC</t>
  </si>
  <si>
    <t>Infraestructura Institucional</t>
  </si>
  <si>
    <t>Blackrock Inc</t>
  </si>
  <si>
    <t>AEESA-Service Business</t>
  </si>
  <si>
    <t>Elekta AB</t>
  </si>
  <si>
    <t>Cia Minera Coronado SA de CV</t>
  </si>
  <si>
    <t>Undisclosed Silver Mining Co</t>
  </si>
  <si>
    <t>Ojos Negros Gold Property</t>
  </si>
  <si>
    <t>Consorcio LatinoAmero SA de CV</t>
  </si>
  <si>
    <t>Grupo Diniz SAPI de CV</t>
  </si>
  <si>
    <t>Grupo Acosta Verde SA de CV</t>
  </si>
  <si>
    <t>Grupo Acosta Verde SA SPV</t>
  </si>
  <si>
    <t>Olefinas SLP SA de CV</t>
  </si>
  <si>
    <t>Coveris Holdings SA</t>
  </si>
  <si>
    <t>Seoyon Top Metal Mexico SA</t>
  </si>
  <si>
    <t>Enerxico Energia Mexico SA de</t>
  </si>
  <si>
    <t>TECMED</t>
  </si>
  <si>
    <t>Vitro SAB de CV-Food Business</t>
  </si>
  <si>
    <t>Empresas ICA SAB de CV-Transp</t>
  </si>
  <si>
    <t>Redes de Aventones SAPI de CV</t>
  </si>
  <si>
    <t>Comuto SA</t>
  </si>
  <si>
    <t>Koch Overseas de Mexico</t>
  </si>
  <si>
    <t>Terminal Maritima de Tuxpan</t>
  </si>
  <si>
    <t>DeVilbiss Ransburg de Mexico</t>
  </si>
  <si>
    <t>Grupo Comercial e Industrial</t>
  </si>
  <si>
    <t>Proteak Uno SAB de CV</t>
  </si>
  <si>
    <t>Financiera Maderera SA</t>
  </si>
  <si>
    <t>Transworld Mining Invests SAC</t>
  </si>
  <si>
    <t>Goldsmith Resources-Mollehuaca</t>
  </si>
  <si>
    <t>Nyrstar Coricancha SA</t>
  </si>
  <si>
    <t>Minera Rana 34 SAC</t>
  </si>
  <si>
    <t>Pull SAC</t>
  </si>
  <si>
    <t>Minera Alosaurio SAC</t>
  </si>
  <si>
    <t>Minera Rana 35 SAC</t>
  </si>
  <si>
    <t>Pieriplast SAC</t>
  </si>
  <si>
    <t>Petromonagas SA</t>
  </si>
  <si>
    <t>Argentina 15-3</t>
  </si>
  <si>
    <t>Asatej SRL</t>
  </si>
  <si>
    <t>Iberostar Hoteles y</t>
  </si>
  <si>
    <t>Digitalcontent Provedor De Con</t>
  </si>
  <si>
    <t>Jussi Intention Marketing Ltda</t>
  </si>
  <si>
    <t>Ogilvy PR Worldwide</t>
  </si>
  <si>
    <t>AC Proteina Agropecuaria SA</t>
  </si>
  <si>
    <t>Black River Asset Mgmt LLC</t>
  </si>
  <si>
    <t>Ingresso.com Ltda</t>
  </si>
  <si>
    <t>Kanui Comercio Varejista Ltda</t>
  </si>
  <si>
    <t>Global Fashion Group SA</t>
  </si>
  <si>
    <t>Tricae Comercio Varejista Ltda</t>
  </si>
  <si>
    <t>IGM SA</t>
  </si>
  <si>
    <t>AGB Nielsen Media Research BV</t>
  </si>
  <si>
    <t>Cia Brasileira de</t>
  </si>
  <si>
    <t>Sterigenics International Inc</t>
  </si>
  <si>
    <t>Tudo Gostoso Internet Ltda</t>
  </si>
  <si>
    <t>Ad Dialeto Agencia de</t>
  </si>
  <si>
    <t>Passei Direto SA</t>
  </si>
  <si>
    <t>Chegg Inc</t>
  </si>
  <si>
    <t>Concept Agencia de Comunicacao</t>
  </si>
  <si>
    <t>Agencia Ideal Comunicacao Ltda</t>
  </si>
  <si>
    <t>Hill &amp; Knowlton Strategies LLC</t>
  </si>
  <si>
    <t>P3image Digital Comercio e</t>
  </si>
  <si>
    <t>Access Information Management</t>
  </si>
  <si>
    <t>Apontador</t>
  </si>
  <si>
    <t>Naspers Ltd</t>
  </si>
  <si>
    <t>Renova Energia SA</t>
  </si>
  <si>
    <t>EBBA SA</t>
  </si>
  <si>
    <t>Rotac Industria de Maquinas e</t>
  </si>
  <si>
    <t>Aetna Group SpA</t>
  </si>
  <si>
    <t>Imsb Industria de Maquinas e</t>
  </si>
  <si>
    <t>Parcan Industria Metalurgica</t>
  </si>
  <si>
    <t>Superior Industries Inc</t>
  </si>
  <si>
    <t>Traydus Climatizacao</t>
  </si>
  <si>
    <t>Systemair AB</t>
  </si>
  <si>
    <t>Henfel Industria Metalurgica</t>
  </si>
  <si>
    <t>VBG Group AB</t>
  </si>
  <si>
    <t>LM Wind Power do Brasil</t>
  </si>
  <si>
    <t>LM Wind Power AS</t>
  </si>
  <si>
    <t>Endoclear Industria e</t>
  </si>
  <si>
    <t>Laboratoires Anios SA</t>
  </si>
  <si>
    <t>Antares Hidraulica do Brasil</t>
  </si>
  <si>
    <t>Alfagomma SpA</t>
  </si>
  <si>
    <t>MMX-Mining Assets</t>
  </si>
  <si>
    <t>Troy Resources-Andorinhas Asse</t>
  </si>
  <si>
    <t>KR Producao Florestal Ltda</t>
  </si>
  <si>
    <t>Amazonas Florestal Ltd</t>
  </si>
  <si>
    <t>Novo Mundo Corretora de</t>
  </si>
  <si>
    <t>Other Financial</t>
  </si>
  <si>
    <t>TTT Moneycorp Ltd</t>
  </si>
  <si>
    <t>Tradbor Industria e Comercio</t>
  </si>
  <si>
    <t>Gualapack SpA</t>
  </si>
  <si>
    <t>Undisclosed Laundry,Fortaleza</t>
  </si>
  <si>
    <t>Bemobi Midia e Entretenimento</t>
  </si>
  <si>
    <t>Editora HR Ltda</t>
  </si>
  <si>
    <t>HarperCollins Publishers LLC</t>
  </si>
  <si>
    <t>Via Parque Shopping SA</t>
  </si>
  <si>
    <t>BR Ppty SA-Portfolio of Asts</t>
  </si>
  <si>
    <t>BR Ppty-Edificio Cidade Jardim</t>
  </si>
  <si>
    <t>Emplal Participacoes SA-Rigid</t>
  </si>
  <si>
    <t>Bemis Co Inc</t>
  </si>
  <si>
    <t>Telefonica Brasil SA</t>
  </si>
  <si>
    <t>Contrail Logistica SA</t>
  </si>
  <si>
    <t>Eurogate GmbH &amp; Co KGaA</t>
  </si>
  <si>
    <t>Ecovix-Estaleiro Rio Grande</t>
  </si>
  <si>
    <t>Offshore Oil Engineering Co</t>
  </si>
  <si>
    <t>PPE Fios Esmaltados SA</t>
  </si>
  <si>
    <t>ASTA Energy Transmission</t>
  </si>
  <si>
    <t>IMA SA</t>
  </si>
  <si>
    <t>Cofely Energies Services SAS</t>
  </si>
  <si>
    <t>Embotelladora Metropolitana SA</t>
  </si>
  <si>
    <t>Vina Anakena</t>
  </si>
  <si>
    <t>Accolade Wines Australia Ltd</t>
  </si>
  <si>
    <t>Hotel Sonesta,Calama</t>
  </si>
  <si>
    <t>Cia de Seg Genes Penta</t>
  </si>
  <si>
    <t>Zaldivar Copper Project</t>
  </si>
  <si>
    <t>Anglo American Norte SA</t>
  </si>
  <si>
    <t>El Morro Copper-Gold Project</t>
  </si>
  <si>
    <t>Petrobras-Chilean Assets</t>
  </si>
  <si>
    <t>Albia</t>
  </si>
  <si>
    <t>Smart Process SAS</t>
  </si>
  <si>
    <t>AlfaPeople A/S</t>
  </si>
  <si>
    <t>Nivel Siete SA</t>
  </si>
  <si>
    <t>Blackboard Inc</t>
  </si>
  <si>
    <t>Microcolsa SAS</t>
  </si>
  <si>
    <t>Digitex Informatica SL</t>
  </si>
  <si>
    <t>Constructora Conconcreto SA</t>
  </si>
  <si>
    <t>Arm Re Ltda Corredores De</t>
  </si>
  <si>
    <t>Guianza SA</t>
  </si>
  <si>
    <t>Industrias Partmo SA</t>
  </si>
  <si>
    <t>Donaldson Co Inc</t>
  </si>
  <si>
    <t>Casaval SA-Steam Distn Bus</t>
  </si>
  <si>
    <t>Colombian Natural Resources</t>
  </si>
  <si>
    <t>Murray Energy Corp</t>
  </si>
  <si>
    <t>Compas SA-Cartagena Terminal</t>
  </si>
  <si>
    <t>APM Terminals Management BV</t>
  </si>
  <si>
    <t>Tecna del Ecuador SA</t>
  </si>
  <si>
    <t>Disenos y Proyctos Tecnicos SA</t>
  </si>
  <si>
    <t>0990718 BC Ltd</t>
  </si>
  <si>
    <t>Undisclosed Fishing Business</t>
  </si>
  <si>
    <t>The Scoular Co</t>
  </si>
  <si>
    <t>Anuncios Exitosos en Internet</t>
  </si>
  <si>
    <t>Resinas TB SA de CV-Polyamide</t>
  </si>
  <si>
    <t>Radici Partecipazioni SpA</t>
  </si>
  <si>
    <t>Banamex</t>
  </si>
  <si>
    <t>EVO Payments International LLC</t>
  </si>
  <si>
    <t>Sharp Corp-TV Assembly,Mexico</t>
  </si>
  <si>
    <t>Pointer Recuperacion</t>
  </si>
  <si>
    <t>TAG Pipelines Sur S de RL</t>
  </si>
  <si>
    <t>ILIOSSON SA de CV</t>
  </si>
  <si>
    <t>Midsouth Camca SA de CV</t>
  </si>
  <si>
    <t>Sharp Electna Mexico SA de CV</t>
  </si>
  <si>
    <t>Grupo Turin SA de CV</t>
  </si>
  <si>
    <t>Mars Inc</t>
  </si>
  <si>
    <t>NSC Asesores SA de CV</t>
  </si>
  <si>
    <t>Fischer Mexicana SA de CV</t>
  </si>
  <si>
    <t>Stingray Copper Inc-El Pilar</t>
  </si>
  <si>
    <t>Minera Potosi-Potosi Silver</t>
  </si>
  <si>
    <t>Samalayuca Cobre SA de CV</t>
  </si>
  <si>
    <t>Goldcorp Inc-El Sauzal,Mexico</t>
  </si>
  <si>
    <t>Guadalupe Property,Santa Anna</t>
  </si>
  <si>
    <t>Undisclosed JV,Mexico</t>
  </si>
  <si>
    <t>Intermoda Fashion Grp SA de CV</t>
  </si>
  <si>
    <t>Industrias Wet Line-Hairstyle</t>
  </si>
  <si>
    <t>Ceramica San Lorenzo Mexico</t>
  </si>
  <si>
    <t>Dal-Tile International Inc</t>
  </si>
  <si>
    <t>Elara Comunicaciones SA de CV</t>
  </si>
  <si>
    <t>Operadora de Servicios GRM S</t>
  </si>
  <si>
    <t>Beverly Hills Group Inc</t>
  </si>
  <si>
    <t>Eye Catcher Media SAC</t>
  </si>
  <si>
    <t>Hermes Transportes Blindados</t>
  </si>
  <si>
    <t>Tecnogas SA</t>
  </si>
  <si>
    <t>Praxair Inc</t>
  </si>
  <si>
    <t>GTS Majes,GTS Reparticion SAC</t>
  </si>
  <si>
    <t>Sojitz Corp of America</t>
  </si>
  <si>
    <t>Canper Exploraciones SA</t>
  </si>
  <si>
    <t>LAI Corp SAS</t>
  </si>
  <si>
    <t>Odyssey Resources Ltd</t>
  </si>
  <si>
    <t>Urbano Express Peru SA</t>
  </si>
  <si>
    <t>Abraaj Capital Ltd</t>
  </si>
  <si>
    <t>Nuevo Mundo Viajes</t>
  </si>
  <si>
    <t>Condor Travel</t>
  </si>
  <si>
    <t>Sol Lineas Aereas SA</t>
  </si>
  <si>
    <t>Air Nostrum Lineas Aereas</t>
  </si>
  <si>
    <t>Frubis SRL</t>
  </si>
  <si>
    <t>Zenithoptimedia Ltd</t>
  </si>
  <si>
    <t>Tecna SA</t>
  </si>
  <si>
    <t>TSK Electronica y Electricidad</t>
  </si>
  <si>
    <t>Laboratorio Vannier SA</t>
  </si>
  <si>
    <t>Nazca Ventures</t>
  </si>
  <si>
    <t>Mountain Partners AG</t>
  </si>
  <si>
    <t>Potasio y Lito de Argentina SA</t>
  </si>
  <si>
    <t>Pontomobi</t>
  </si>
  <si>
    <t>Alianca Agricola do Cerrado SA</t>
  </si>
  <si>
    <t>Sodrugestvo Participations BV</t>
  </si>
  <si>
    <t>RM Servicos Auxiliares de</t>
  </si>
  <si>
    <t>Dnata Co</t>
  </si>
  <si>
    <t>Grupo Acao</t>
  </si>
  <si>
    <t>B&amp;B Gestao Contabil SS Ltda</t>
  </si>
  <si>
    <t>Radius (UK) Ltd</t>
  </si>
  <si>
    <t>CPM Braxis SA</t>
  </si>
  <si>
    <t>Clientis Gestao da Qualidade</t>
  </si>
  <si>
    <t>Sollution Robotics Automacao</t>
  </si>
  <si>
    <t>Inser Robotica SA</t>
  </si>
  <si>
    <t>Gama Consultores Associados</t>
  </si>
  <si>
    <t>Saboy Comunicacao Ltda</t>
  </si>
  <si>
    <t>Grupo ABC</t>
  </si>
  <si>
    <t>DDB Worldwide Commun Grp Inc</t>
  </si>
  <si>
    <t>Insight Venture Partners LLC</t>
  </si>
  <si>
    <t>Mec Q Comercio e Servicos de</t>
  </si>
  <si>
    <t>Trescal SA</t>
  </si>
  <si>
    <t>Compusoftware Informatica Ltda</t>
  </si>
  <si>
    <t>Softline Trade</t>
  </si>
  <si>
    <t>Santa Vitoria Acucar e Alcool</t>
  </si>
  <si>
    <t>Quimipel Industria Quimica</t>
  </si>
  <si>
    <t>CHT R Beitlich GmbH</t>
  </si>
  <si>
    <t>Microsoft Corp-Manaus Factory</t>
  </si>
  <si>
    <t>FLEX LTD</t>
  </si>
  <si>
    <t>Casa dos Ventos-Wind farms(2)</t>
  </si>
  <si>
    <t>Tereos Internacional SA</t>
  </si>
  <si>
    <t>Kiviks Marknad Industrias</t>
  </si>
  <si>
    <t>Hero Schweiz AG</t>
  </si>
  <si>
    <t>Qualimix Industria e Comercio</t>
  </si>
  <si>
    <t>Agro Ingredients Technology SA</t>
  </si>
  <si>
    <t>Yema Distribuidora de</t>
  </si>
  <si>
    <t>Granarolo SpA</t>
  </si>
  <si>
    <t>Minerva SA</t>
  </si>
  <si>
    <t>Carolina Administracao e</t>
  </si>
  <si>
    <t>General Mills Inc</t>
  </si>
  <si>
    <t>Btech Tecnologias</t>
  </si>
  <si>
    <t>Pancosma SA</t>
  </si>
  <si>
    <t>Mr Cat Group</t>
  </si>
  <si>
    <t>MLC Industria Mecanica Ltda</t>
  </si>
  <si>
    <t>RotoMetrics Inc</t>
  </si>
  <si>
    <t>Dental Sorria Ltda</t>
  </si>
  <si>
    <t>Latapack SA</t>
  </si>
  <si>
    <t>Heraeus Vectra Do Brasil Ltda</t>
  </si>
  <si>
    <t>PGM Technology Inc</t>
  </si>
  <si>
    <t>Mineracao Rio do Norte SA</t>
  </si>
  <si>
    <t>Norsk Hydro ASA</t>
  </si>
  <si>
    <t>Terrativa Minerais-Aurora Coop</t>
  </si>
  <si>
    <t>MIB Mineracao Ibirite Ltda</t>
  </si>
  <si>
    <t>Templewood Capital Inc</t>
  </si>
  <si>
    <t>Sfera Comercial e Importadora</t>
  </si>
  <si>
    <t>Emmeti Financiere SA</t>
  </si>
  <si>
    <t>Empreendimentos Pague Menos SA</t>
  </si>
  <si>
    <t>Malaga Produtos Metalizados</t>
  </si>
  <si>
    <t>AR Metallizing NV</t>
  </si>
  <si>
    <t>NeoTrend Assessoria</t>
  </si>
  <si>
    <t>Techedge SpA</t>
  </si>
  <si>
    <t>Genesys Prime Associados Ltda</t>
  </si>
  <si>
    <t>Undisc shopping cnt,Brazil</t>
  </si>
  <si>
    <t>Public Sector Pension Invest</t>
  </si>
  <si>
    <t>Pentair Valves&amp;Controls-Assets</t>
  </si>
  <si>
    <t>Intl Piping &amp; Procurement Grp</t>
  </si>
  <si>
    <t>BR Properties SA</t>
  </si>
  <si>
    <t>Unidas SA</t>
  </si>
  <si>
    <t>Principal Gestao de Activos e</t>
  </si>
  <si>
    <t>Franreal Franqueadora Ltda</t>
  </si>
  <si>
    <t>Castellaries Investimentos Lda</t>
  </si>
  <si>
    <t>Standard Tyres Industria Ltd</t>
  </si>
  <si>
    <t>Trelleborg Wheel Systems Itali</t>
  </si>
  <si>
    <t>Onyx Tecidos e Filmes</t>
  </si>
  <si>
    <t>Hypermarcas SA-Beauty Business</t>
  </si>
  <si>
    <t>Grupo MPR Participacoes SA</t>
  </si>
  <si>
    <t>Alothon Fund III LP</t>
  </si>
  <si>
    <t>Oi SA</t>
  </si>
  <si>
    <t>Casa do Epi Ltda</t>
  </si>
  <si>
    <t>H Brasil Comercio, Importacao</t>
  </si>
  <si>
    <t>Cone SA-Warehouses(13)</t>
  </si>
  <si>
    <t>Primav Infraestrutura SA</t>
  </si>
  <si>
    <t>Rontan Eletro Metalurgica Ltda</t>
  </si>
  <si>
    <t>Selectchemie Importacao</t>
  </si>
  <si>
    <t>Argofruta Comercial</t>
  </si>
  <si>
    <t>Total Produce Holdings BV</t>
  </si>
  <si>
    <t>Undisc Lumber Mill North Brazi</t>
  </si>
  <si>
    <t>Advantage Trim &amp; Lumber Co Inc</t>
  </si>
  <si>
    <t>Mas Cerca Call Center SA</t>
  </si>
  <si>
    <t>Computer Generated Solutions</t>
  </si>
  <si>
    <t>Bci Seguros Generales SA</t>
  </si>
  <si>
    <t>Zenit Seguros Generales SA</t>
  </si>
  <si>
    <t>Bci Seguros de Vida SA</t>
  </si>
  <si>
    <t>Clark Ingenieria y Derrollo SA</t>
  </si>
  <si>
    <t>Precision Inc</t>
  </si>
  <si>
    <t>Scardin Corp Chile SA</t>
  </si>
  <si>
    <t>Medtronic PLC</t>
  </si>
  <si>
    <t>Cementos Bio Bio SA-Gypsum</t>
  </si>
  <si>
    <t>Knauf Gips KG</t>
  </si>
  <si>
    <t>Teck Resources Chile-Reprado</t>
  </si>
  <si>
    <t>Captagua Ingenieria SA</t>
  </si>
  <si>
    <t>TransUnion Chile</t>
  </si>
  <si>
    <t>TransUnion Corp</t>
  </si>
  <si>
    <t>Banco GNB Sudameris S.A.</t>
  </si>
  <si>
    <t>Sofitel Legend Santa Clara</t>
  </si>
  <si>
    <t>Coomeva EPS SA</t>
  </si>
  <si>
    <t>Gereta Investment Co Ltd</t>
  </si>
  <si>
    <t>Lasseters Corp Ltd</t>
  </si>
  <si>
    <t>Cardenas &amp; Cardenas</t>
  </si>
  <si>
    <t>Dentons US LLP</t>
  </si>
  <si>
    <t>Uff Movil</t>
  </si>
  <si>
    <t>Mvno Holdings LLC</t>
  </si>
  <si>
    <t>Rocol SA</t>
  </si>
  <si>
    <t>ALPHAEON Corp</t>
  </si>
  <si>
    <t>Ecuador 15-4</t>
  </si>
  <si>
    <t>Monterra SA-Subsidiaries(3)</t>
  </si>
  <si>
    <t>Arak Resources Ltd</t>
  </si>
  <si>
    <t>AGN Aviation Services SA de CV</t>
  </si>
  <si>
    <t>Swissport International AG</t>
  </si>
  <si>
    <t>Grupo Aeromexico SAB de CV</t>
  </si>
  <si>
    <t>Cacto Arte e Ideas SA de CV</t>
  </si>
  <si>
    <t>Geometry Global LLC</t>
  </si>
  <si>
    <t>Grupo Financiero Inbursa SAB</t>
  </si>
  <si>
    <t>Wistron Mexico SA de CV-Equips</t>
  </si>
  <si>
    <t>Wistron InfoComm</t>
  </si>
  <si>
    <t>Rimsa Laboratorios</t>
  </si>
  <si>
    <t>Infraestructura-Sierra Juarez</t>
  </si>
  <si>
    <t>InterGen Co</t>
  </si>
  <si>
    <t>Galletas de Calidad-Factory</t>
  </si>
  <si>
    <t>Cerealto Siro Foods SL</t>
  </si>
  <si>
    <t>AZ Mexico SA</t>
  </si>
  <si>
    <t>Lopez Velarde Heftye y Soria</t>
  </si>
  <si>
    <t>Undisclosed Industrial Parks</t>
  </si>
  <si>
    <t>Hines Interests LP</t>
  </si>
  <si>
    <t>Webtrack SA de CV</t>
  </si>
  <si>
    <t>Gold &amp; Copper Mining</t>
  </si>
  <si>
    <t>Minera Teck SA de CV-Batamote</t>
  </si>
  <si>
    <t>G-Box SA de CV</t>
  </si>
  <si>
    <t>Graphic Packaging Holding Co</t>
  </si>
  <si>
    <t>Productos Internacionales Mabe</t>
  </si>
  <si>
    <t>Orgtec SAPI de CV</t>
  </si>
  <si>
    <t>RigNet Inc</t>
  </si>
  <si>
    <t>Enersave Wire &amp; Cable S de RL</t>
  </si>
  <si>
    <t>TPC Wire &amp; Cable Corp</t>
  </si>
  <si>
    <t>Advanced Technology Solutions</t>
  </si>
  <si>
    <t>Comviva Technologies Ltd</t>
  </si>
  <si>
    <t>Casposo Gold &amp; Silver Project</t>
  </si>
  <si>
    <t>Coiron Amargo Block,Neuquen</t>
  </si>
  <si>
    <t>Telecom Argentina SA</t>
  </si>
  <si>
    <t>Associacao NCC Certificacoes</t>
  </si>
  <si>
    <t>Tecverde Engenharia SA</t>
  </si>
  <si>
    <t>Nvg Participacoes SA</t>
  </si>
  <si>
    <t>Embratec-Employee Benefits Bus</t>
  </si>
  <si>
    <t>Edenred SA</t>
  </si>
  <si>
    <t>Allabor Laboratorios Ltda</t>
  </si>
  <si>
    <t>Merieux NutriSciences Corp</t>
  </si>
  <si>
    <t>Grupo Maquina PR</t>
  </si>
  <si>
    <t>Cohn &amp; Wolfe</t>
  </si>
  <si>
    <t>WebRadar Software e Servicos</t>
  </si>
  <si>
    <t>HelloFood Ltda</t>
  </si>
  <si>
    <t>Moip Pagamentos SA</t>
  </si>
  <si>
    <t>Finanzero Brasil Servicos</t>
  </si>
  <si>
    <t>Laboratorio de Bio Controle</t>
  </si>
  <si>
    <t>Lallemand Inc</t>
  </si>
  <si>
    <t>Hexus Foods Ltda</t>
  </si>
  <si>
    <t>Vic Pharma Industria e</t>
  </si>
  <si>
    <t>Schulke &amp; Mayr GmbH</t>
  </si>
  <si>
    <t>Emporio Card Ltda</t>
  </si>
  <si>
    <t>Policard Systems</t>
  </si>
  <si>
    <t>Dental Cremer S.A</t>
  </si>
  <si>
    <t>Hotel Santa Teresa</t>
  </si>
  <si>
    <t>Z Investimentos SA</t>
  </si>
  <si>
    <t>Entringer Industrial SA</t>
  </si>
  <si>
    <t>VCW Valvulas Industria</t>
  </si>
  <si>
    <t>AVK Holding A/S</t>
  </si>
  <si>
    <t>Provale Holdings SA</t>
  </si>
  <si>
    <t>CCX Carvao da Colombia SA</t>
  </si>
  <si>
    <t>9 West Finance SARL</t>
  </si>
  <si>
    <t>Brazil AIPM-Tocantins Project</t>
  </si>
  <si>
    <t>Latin Amer precious metals</t>
  </si>
  <si>
    <t>Double Crown Resources Inc</t>
  </si>
  <si>
    <t>Eotica Comercio de Oculos SA</t>
  </si>
  <si>
    <t>Oleo e Gas Participacoes SA</t>
  </si>
  <si>
    <t>Paema Embalagens Ltda</t>
  </si>
  <si>
    <t>Inpa Industria de Embalagens</t>
  </si>
  <si>
    <t>Power Press Rotulos e</t>
  </si>
  <si>
    <t>Macmillan do Brasil-EnglishUp</t>
  </si>
  <si>
    <t>WTGoodman IBP Participacoes SA</t>
  </si>
  <si>
    <t>Goodman Group Pty Ltd</t>
  </si>
  <si>
    <t>SG Industria e Comercio de</t>
  </si>
  <si>
    <t>OSX Brasil SA</t>
  </si>
  <si>
    <t>Compr Natural Gas-Bus&amp;Truck Sy</t>
  </si>
  <si>
    <t>Elens Comercio de Artigos</t>
  </si>
  <si>
    <t>Colmena Comercial Importadora</t>
  </si>
  <si>
    <t>Western States Machine Co</t>
  </si>
  <si>
    <t>Mega Surgical Comercio e</t>
  </si>
  <si>
    <t>Nuvasive Inc</t>
  </si>
  <si>
    <t>Sleep House Colchoes e</t>
  </si>
  <si>
    <t>Pikolin SA</t>
  </si>
  <si>
    <t>Laboratorio de Analisis</t>
  </si>
  <si>
    <t>Los Guindos Generacion SpA</t>
  </si>
  <si>
    <t>GE Energy Financial Svcs Inc</t>
  </si>
  <si>
    <t>Cocosa Export SA</t>
  </si>
  <si>
    <t>Consorcio Financiero SA</t>
  </si>
  <si>
    <t>Avendano Merino Abogados Ltda</t>
  </si>
  <si>
    <t>Garrigues</t>
  </si>
  <si>
    <t>Opticas Place Vendome</t>
  </si>
  <si>
    <t>Nubox SA</t>
  </si>
  <si>
    <t>Calzados La Otra-Sports Shops</t>
  </si>
  <si>
    <t>Intersport PSC Holding AG</t>
  </si>
  <si>
    <t>Autopista Central SA</t>
  </si>
  <si>
    <t>BodyTech SA</t>
  </si>
  <si>
    <t>L Catterton Latin America Fund</t>
  </si>
  <si>
    <t>Cntrl de Informacion Financier</t>
  </si>
  <si>
    <t>Ideas Through Iris SAS</t>
  </si>
  <si>
    <t>Carvajal Soluciones</t>
  </si>
  <si>
    <t>Producciones Quimicas SA</t>
  </si>
  <si>
    <t>Isagen SA ESP</t>
  </si>
  <si>
    <t>Rinder Riduco SAS</t>
  </si>
  <si>
    <t>Light &amp; Sys Technical Ctr SL</t>
  </si>
  <si>
    <t>Organizacion Sanitas Intl SA</t>
  </si>
  <si>
    <t>Centauro Capital SL</t>
  </si>
  <si>
    <t>Alta Floresta Gold Ltd</t>
  </si>
  <si>
    <t>Equitas Resources Corp</t>
  </si>
  <si>
    <t>Minera Seafield SAS</t>
  </si>
  <si>
    <t>Oruga Touching Dreams SAS</t>
  </si>
  <si>
    <t>PetroGranada Colombia Ltd</t>
  </si>
  <si>
    <t>City Parking SAS</t>
  </si>
  <si>
    <t>Indigo Infra SA</t>
  </si>
  <si>
    <t>Comercializadora La</t>
  </si>
  <si>
    <t>Anchor Capital Investments Ltd</t>
  </si>
  <si>
    <t>Sociedad Portuaria Regional de</t>
  </si>
  <si>
    <t>HMCL Colombia SAS</t>
  </si>
  <si>
    <t>Woven Holdings LLC</t>
  </si>
  <si>
    <t>Lentech SA</t>
  </si>
  <si>
    <t>Ecuador 16-1</t>
  </si>
  <si>
    <t>Cia Minera La Plata SA</t>
  </si>
  <si>
    <t>Ferrum Americas Mining Inc</t>
  </si>
  <si>
    <t>Supraplast</t>
  </si>
  <si>
    <t>Coveris SA</t>
  </si>
  <si>
    <t>Majestic Semillas S de RL</t>
  </si>
  <si>
    <t>Chromatin Inc</t>
  </si>
  <si>
    <t>Mexicana MRO SA de CV-Assets</t>
  </si>
  <si>
    <t>Flock Advertising Mexico</t>
  </si>
  <si>
    <t>Dresen Quimica SA de CV</t>
  </si>
  <si>
    <t>Laboratorios Brovel SA de CV</t>
  </si>
  <si>
    <t>Dechra Pharmaceuticals PLC</t>
  </si>
  <si>
    <t>Almirall SA-Mexico operations</t>
  </si>
  <si>
    <t>Bruce Foods Corp-Mexican</t>
  </si>
  <si>
    <t>Teasdale Foods Inc</t>
  </si>
  <si>
    <t>Gomas Naturales SA DE Cv</t>
  </si>
  <si>
    <t>Syntech de Baja California SA</t>
  </si>
  <si>
    <t>Stryker Corp</t>
  </si>
  <si>
    <t>Undisclosed Interior Trim Bus</t>
  </si>
  <si>
    <t>Argonaut Gold Inc-La Fortuna</t>
  </si>
  <si>
    <t>Alianza Minerals Ltd-Mexican</t>
  </si>
  <si>
    <t>Almadex Minerals Ltd</t>
  </si>
  <si>
    <t>Maxi Prenda SA de CV-Pawn(166)</t>
  </si>
  <si>
    <t>Inversiones Hellofood S de RL</t>
  </si>
  <si>
    <t>Tepso Plastics Mex SA de CV</t>
  </si>
  <si>
    <t>US Farathane Corp</t>
  </si>
  <si>
    <t>Ocutec SAC</t>
  </si>
  <si>
    <t>Essilor Optica Intl Hldg SL</t>
  </si>
  <si>
    <t>Bayovar Mineral Concessions</t>
  </si>
  <si>
    <t>Towerco Latam Peru SAC</t>
  </si>
  <si>
    <t>Telxius Torres Latam SL</t>
  </si>
  <si>
    <t>Allus Global BPO Center</t>
  </si>
  <si>
    <t>CIESA</t>
  </si>
  <si>
    <t>Galileo Technologies SA</t>
  </si>
  <si>
    <t>Blue Water Energy LLP</t>
  </si>
  <si>
    <t>Lith NRG Pty Ltd</t>
  </si>
  <si>
    <t>Molicar Publicacoes</t>
  </si>
  <si>
    <t>Cox Automotive Inc</t>
  </si>
  <si>
    <t>Brasil Online Holdings</t>
  </si>
  <si>
    <t>Consorcio CCPN</t>
  </si>
  <si>
    <t>Banco Indusval SA</t>
  </si>
  <si>
    <t>Catarino SGPS SA</t>
  </si>
  <si>
    <t>Vallis Capital Partners SGPS</t>
  </si>
  <si>
    <t>Interchange Veterinaria</t>
  </si>
  <si>
    <t>Deoxi Biotecnologia Ltda</t>
  </si>
  <si>
    <t>Neogen Corp</t>
  </si>
  <si>
    <t>Archer Daniels Midland Co</t>
  </si>
  <si>
    <t>Salus Comercio de Produtos de</t>
  </si>
  <si>
    <t>Mixscience SAS</t>
  </si>
  <si>
    <t>AxisMed Gestao Preventiva</t>
  </si>
  <si>
    <t>Telefonica Digital Espana SL</t>
  </si>
  <si>
    <t>Pan Seguros SA</t>
  </si>
  <si>
    <t>PanAmero Administracao</t>
  </si>
  <si>
    <t>XP Investimentos Corretora</t>
  </si>
  <si>
    <t>Sequoia Participacoes SA</t>
  </si>
  <si>
    <t>Nansen SA Instrumentos de</t>
  </si>
  <si>
    <t>Ningbo Sanxing Med Elec Co Ltd</t>
  </si>
  <si>
    <t>ThyssenKrupp Companhia Siderur</t>
  </si>
  <si>
    <t>ThyssenKrupp AG</t>
  </si>
  <si>
    <t>Ball Corp-Mnfg Sites(2)</t>
  </si>
  <si>
    <t>Ardagh Group SA</t>
  </si>
  <si>
    <t>Quark Fabricacao de</t>
  </si>
  <si>
    <t>Anglo Amer-Niobium&amp;Phosphates</t>
  </si>
  <si>
    <t>Cricket Brasil Servicos de</t>
  </si>
  <si>
    <t>MediaMonks Multimedia Hldg BV</t>
  </si>
  <si>
    <t>Deskmetrics Informatica Ltda</t>
  </si>
  <si>
    <t>Redbrick</t>
  </si>
  <si>
    <t>WG Systems Ltda</t>
  </si>
  <si>
    <t>GFT Technologies SE</t>
  </si>
  <si>
    <t>MOBILS</t>
  </si>
  <si>
    <t>glispa GmbH</t>
  </si>
  <si>
    <t>HDPF Participacoes Ltda</t>
  </si>
  <si>
    <t>Dakang Intl (Lux) SARL</t>
  </si>
  <si>
    <t>Br Malls Participacoes Sa</t>
  </si>
  <si>
    <t>Atlantic Investco SARL</t>
  </si>
  <si>
    <t>Cell Site Solutions Ceso de</t>
  </si>
  <si>
    <t>Goldman Sachs Private Equity</t>
  </si>
  <si>
    <t>Trocafone Comercializacao de</t>
  </si>
  <si>
    <t>Agricola Industrial El Boldo</t>
  </si>
  <si>
    <t>Inabata America Corp</t>
  </si>
  <si>
    <t>Sociedad Agricola Y Forestal</t>
  </si>
  <si>
    <t>Surlat SA</t>
  </si>
  <si>
    <t>Kaiku Corporacion Alimentaria</t>
  </si>
  <si>
    <t>Veramonte</t>
  </si>
  <si>
    <t>Gonzalez Byass SA</t>
  </si>
  <si>
    <t>Landmark Capital SA</t>
  </si>
  <si>
    <t>Nmas1 Dinamia SA</t>
  </si>
  <si>
    <t>Paguanta Resources(Chile)SA</t>
  </si>
  <si>
    <t>Nystar NV-El Toqui Mine</t>
  </si>
  <si>
    <t>Alusa SA</t>
  </si>
  <si>
    <t>Bethia Communications SA</t>
  </si>
  <si>
    <t>Discovery Communications Inc</t>
  </si>
  <si>
    <t>Ezentis Chile SA</t>
  </si>
  <si>
    <t>binco Soluciones Modulares SA</t>
  </si>
  <si>
    <t>ATCO Ltd</t>
  </si>
  <si>
    <t>Volador Colombia SAS</t>
  </si>
  <si>
    <t>Rugby Mining Ltd</t>
  </si>
  <si>
    <t>Pac Expl &amp; Prodn Corp</t>
  </si>
  <si>
    <t>Amarilo SAS</t>
  </si>
  <si>
    <t>Empacotecnia SAS</t>
  </si>
  <si>
    <t>IFCO Systems NV</t>
  </si>
  <si>
    <t>Conquimica SA</t>
  </si>
  <si>
    <t>Ecuador 16-2</t>
  </si>
  <si>
    <t>Logical Value SA</t>
  </si>
  <si>
    <t>Arrechedera y Claverol</t>
  </si>
  <si>
    <t>SOA Professionals S de RL de</t>
  </si>
  <si>
    <t>Cognicase Management</t>
  </si>
  <si>
    <t>Pricewaterhousecoopers SC</t>
  </si>
  <si>
    <t>PwC</t>
  </si>
  <si>
    <t>B-Connect Services SA de CV</t>
  </si>
  <si>
    <t>Wize Services</t>
  </si>
  <si>
    <t>Wizeline Inc</t>
  </si>
  <si>
    <t>VIAKEM SA de CV</t>
  </si>
  <si>
    <t>TRADECO Infraestructura SA de</t>
  </si>
  <si>
    <t>Sanofi SA-Animal Health Bus</t>
  </si>
  <si>
    <t>Boehringer Ingelheim GmbH</t>
  </si>
  <si>
    <t>Undislcosed Solar Assets</t>
  </si>
  <si>
    <t>Hanwha Energy Corp</t>
  </si>
  <si>
    <t>Bose Corp-Mnfg &amp; Dvlp Op</t>
  </si>
  <si>
    <t>AC Bebidas S de RL de CV</t>
  </si>
  <si>
    <t>Grupo Hospitalario SA de CV</t>
  </si>
  <si>
    <t>Grupo Estancias Extendidas SA</t>
  </si>
  <si>
    <t>Rooster Products Inc</t>
  </si>
  <si>
    <t>Big Time Products LLC</t>
  </si>
  <si>
    <t>I+D Mexico SA de CV</t>
  </si>
  <si>
    <t>Neology Inc</t>
  </si>
  <si>
    <t>GrandVision NV-Ophthalmologic</t>
  </si>
  <si>
    <t>HAL Investments BV</t>
  </si>
  <si>
    <t>Timmins Gold Corp-Caballo</t>
  </si>
  <si>
    <t>Chevron Corp-Gulf of Mexico</t>
  </si>
  <si>
    <t>Cox Oil Offshore LLC</t>
  </si>
  <si>
    <t>Entek Energy-Portfolio</t>
  </si>
  <si>
    <t>Peregrine Oil and Gas Ltd</t>
  </si>
  <si>
    <t>PEMEX</t>
  </si>
  <si>
    <t>First Reserve Corp</t>
  </si>
  <si>
    <t>Innovation Pkg &amp; Process SA</t>
  </si>
  <si>
    <t>Discos Musart SA de CV</t>
  </si>
  <si>
    <t>Concord Music Group Inc</t>
  </si>
  <si>
    <t>Desarrollo Vivienda MK1 SAPI</t>
  </si>
  <si>
    <t>OHL</t>
  </si>
  <si>
    <t>Undisclosed Rest Operator</t>
  </si>
  <si>
    <t>Evercore Capital Partners LP</t>
  </si>
  <si>
    <t>General de Ceramica SA de CV-S</t>
  </si>
  <si>
    <t>Autopista Arco Norte SA de CV</t>
  </si>
  <si>
    <t>Texturizados de Zimapan SA de</t>
  </si>
  <si>
    <t>Mapei SpA</t>
  </si>
  <si>
    <t>Rutas de Lima SAC</t>
  </si>
  <si>
    <t>Minera Chanape SAC</t>
  </si>
  <si>
    <t>Los Chapitos Copper-Silver Pro</t>
  </si>
  <si>
    <t>Camino Resources SAC</t>
  </si>
  <si>
    <t>Fortin SA</t>
  </si>
  <si>
    <t>Fortin Chacabuco LLC</t>
  </si>
  <si>
    <t>Dun &amp; BradSt Corp-LatAm bus</t>
  </si>
  <si>
    <t>Electroingenieria SA</t>
  </si>
  <si>
    <t>China Gezhouba Group Co Ltd</t>
  </si>
  <si>
    <t>TGS</t>
  </si>
  <si>
    <t>Marfrig Global Foods-Slaughter</t>
  </si>
  <si>
    <t>Pepca SA</t>
  </si>
  <si>
    <t>Pastos Grandes Salar</t>
  </si>
  <si>
    <t>Oronegro SA</t>
  </si>
  <si>
    <t>Dark Horse Resources Ltd</t>
  </si>
  <si>
    <t>Television Federal SA</t>
  </si>
  <si>
    <t>Square Logsitcs Argentina LLC</t>
  </si>
  <si>
    <t>Pointargentum Fund LP</t>
  </si>
  <si>
    <t>Cristacol SA</t>
  </si>
  <si>
    <t>Flint Trading Inc</t>
  </si>
  <si>
    <t>Smartfit Escola de Ginastica</t>
  </si>
  <si>
    <t>Celeritech Brazil</t>
  </si>
  <si>
    <t>YouCo Srl</t>
  </si>
  <si>
    <t>Cielo Telecom Ltda</t>
  </si>
  <si>
    <t>Unigeo Geoprocessamento e</t>
  </si>
  <si>
    <t>R Brasil Solucoes e</t>
  </si>
  <si>
    <t>Atento SA</t>
  </si>
  <si>
    <t>Love Mondays Ltda</t>
  </si>
  <si>
    <t>Glassdoor Inc</t>
  </si>
  <si>
    <t>Cosin &amp; Associados</t>
  </si>
  <si>
    <t>Fertilizantes Tocantins SA</t>
  </si>
  <si>
    <t>EuroChem Group AG</t>
  </si>
  <si>
    <t>Semp Amazonas SA-Cert Asts</t>
  </si>
  <si>
    <t>TCL-Certain Assets</t>
  </si>
  <si>
    <t>Ideal Invest SA</t>
  </si>
  <si>
    <t>Ribbit Capital LP</t>
  </si>
  <si>
    <t>Vallee SA</t>
  </si>
  <si>
    <t>Uniao Quimica Farmaceutica</t>
  </si>
  <si>
    <t>Rumor</t>
  </si>
  <si>
    <t>BS&amp;C Empreendimentos</t>
  </si>
  <si>
    <t>Hospital Ifor SA</t>
  </si>
  <si>
    <t>Hospital Santa Helena SA</t>
  </si>
  <si>
    <t>Undisclosed Dialysis</t>
  </si>
  <si>
    <t>DaVita Kidney Care</t>
  </si>
  <si>
    <t>Huntington Centro de Medicina</t>
  </si>
  <si>
    <t>Luarmia SL</t>
  </si>
  <si>
    <t>Lotten-Eyes Oftalmologia</t>
  </si>
  <si>
    <t>Clinica Oftalmologica Danilo</t>
  </si>
  <si>
    <t>CMO Centro Medico de</t>
  </si>
  <si>
    <t>Qualicorp SA</t>
  </si>
  <si>
    <t>Qualicorp SA SPV</t>
  </si>
  <si>
    <t>Rio Bravo Investimentos Ltda</t>
  </si>
  <si>
    <t>New Momentum Servicios</t>
  </si>
  <si>
    <t>SPAR Group Inc</t>
  </si>
  <si>
    <t>Invest Tech Participacoes E</t>
  </si>
  <si>
    <t>Tesalia</t>
  </si>
  <si>
    <t>Adubos Sudoeste-Unit</t>
  </si>
  <si>
    <t>Amplitude Latin America SA</t>
  </si>
  <si>
    <t>ATI ngyo Equipamentos</t>
  </si>
  <si>
    <t>Brumado Talco SA</t>
  </si>
  <si>
    <t>Five Star Diamonds Ltd</t>
  </si>
  <si>
    <t>Turquoise Capital Corp</t>
  </si>
  <si>
    <t>Congonhas Minerios SA</t>
  </si>
  <si>
    <t>China Brazil Xinnenghuan Intl</t>
  </si>
  <si>
    <t>Karoon Gas Australia-Brazil</t>
  </si>
  <si>
    <t>Gosh Solucoes Para A Internet</t>
  </si>
  <si>
    <t>Founders Fund Management LLC</t>
  </si>
  <si>
    <t>JHSF Part-Shopping centers por</t>
  </si>
  <si>
    <t>Allpark Empreendimentos</t>
  </si>
  <si>
    <t>Hortus Comercio de Alimentos</t>
  </si>
  <si>
    <t>Retail Trade-Food Stores</t>
  </si>
  <si>
    <t>Industrial Levorin SA</t>
  </si>
  <si>
    <t>Manufacture Francaise des Pneu</t>
  </si>
  <si>
    <t>Alpina Ambiental SA</t>
  </si>
  <si>
    <t>Lamor Corp AB</t>
  </si>
  <si>
    <t>PBC-Sulfonation Prod Facility</t>
  </si>
  <si>
    <t>Stepan Co</t>
  </si>
  <si>
    <t>Casa Granado</t>
  </si>
  <si>
    <t>Puig SA</t>
  </si>
  <si>
    <t>Cia Industrial de Cimento</t>
  </si>
  <si>
    <t>Marathon Asset Management LP</t>
  </si>
  <si>
    <t>FSF Tec-Telecommunication Twrs</t>
  </si>
  <si>
    <t>SBA Communications Corp</t>
  </si>
  <si>
    <t>Vard Promar SA</t>
  </si>
  <si>
    <t>VARD Group AS</t>
  </si>
  <si>
    <t>Kll Equipamentos Para</t>
  </si>
  <si>
    <t>SAF-HOLLAND SA</t>
  </si>
  <si>
    <t>Injeplastic Injecao e</t>
  </si>
  <si>
    <t>Seoyon Intech Co Ltd</t>
  </si>
  <si>
    <t>Tebras-Commercial Business</t>
  </si>
  <si>
    <t>Granda Produtos Veterinarios</t>
  </si>
  <si>
    <t>Victory Alpha Ltd</t>
  </si>
  <si>
    <t>LATAM Airlines Group SA</t>
  </si>
  <si>
    <t>Minera Rayrock Ltda</t>
  </si>
  <si>
    <t>Serpram SA</t>
  </si>
  <si>
    <t>Suez SA</t>
  </si>
  <si>
    <t>Acuna &amp; Asociados SA</t>
  </si>
  <si>
    <t>Dowco Group of Cos</t>
  </si>
  <si>
    <t>Eecolab Ltda</t>
  </si>
  <si>
    <t>Solarpack-Solar Plants(4)</t>
  </si>
  <si>
    <t>Enjoy SA</t>
  </si>
  <si>
    <t>Megalux SA</t>
  </si>
  <si>
    <t>Proyecto Atacama Lithium</t>
  </si>
  <si>
    <t>Arena Minerals Inc-Pampas El</t>
  </si>
  <si>
    <t>Rouge Resources Ltd</t>
  </si>
  <si>
    <t>CNN Chile</t>
  </si>
  <si>
    <t>Inmobiliaria Nueva Apoquindo</t>
  </si>
  <si>
    <t>RALEi GRUPO INMOBILIARIO</t>
  </si>
  <si>
    <t>Calzada Capital Partners LLC</t>
  </si>
  <si>
    <t>Ceniacua-Shrimp Breeding Bus</t>
  </si>
  <si>
    <t>VivaColombia</t>
  </si>
  <si>
    <t>Irelandia Aviation Ltd</t>
  </si>
  <si>
    <t>Laboratorios Contecon Urbar</t>
  </si>
  <si>
    <t>Tower Three Wireless SAS</t>
  </si>
  <si>
    <t>Birkenhead Estates SA</t>
  </si>
  <si>
    <t>A&amp;M Resources Colombia SAS-</t>
  </si>
  <si>
    <t>NQ Exploration Inc</t>
  </si>
  <si>
    <t>Condor Precious Metals Inc-San</t>
  </si>
  <si>
    <t>CB Gold Inc</t>
  </si>
  <si>
    <t>Oil Field Services&amp;Supplies</t>
  </si>
  <si>
    <t>Koba International Group SA</t>
  </si>
  <si>
    <t>Capital Grp Pte Markets Inc</t>
  </si>
  <si>
    <t>Alfagres SA-Mortars &amp; Adhesive</t>
  </si>
  <si>
    <t>Ecuador 16-3</t>
  </si>
  <si>
    <t>Maruri Publicidad SA</t>
  </si>
  <si>
    <t>NIRSA</t>
  </si>
  <si>
    <t>Thai Union Grp Public Co Ltd</t>
  </si>
  <si>
    <t>Thailand</t>
  </si>
  <si>
    <t>AUTOonline Mexico SRL de CV</t>
  </si>
  <si>
    <t>OHL Mexico SAB de CV</t>
  </si>
  <si>
    <t>Industry Funds Mgmt Pty Ltd</t>
  </si>
  <si>
    <t>Vitel Laboratorios SA de CV</t>
  </si>
  <si>
    <t>OncBioMune Pharmaceuticals Inc</t>
  </si>
  <si>
    <t>BVP Italia-Insurance Business</t>
  </si>
  <si>
    <t>Sol de Insurgentes S de RL</t>
  </si>
  <si>
    <t>Solairedirect SA</t>
  </si>
  <si>
    <t>Grupo Minsa SAB de CV</t>
  </si>
  <si>
    <t>Yamana Gold Inc-</t>
  </si>
  <si>
    <t>BRS Ventures Ltd</t>
  </si>
  <si>
    <t>Radius Gold Inc-Four Lithium</t>
  </si>
  <si>
    <t>Silver Standard-Parral Ppty</t>
  </si>
  <si>
    <t>Latin American Zinc SAPI de CV</t>
  </si>
  <si>
    <t>Petroleos Mexicanos-Madero</t>
  </si>
  <si>
    <t>Single &amp; Multy Family</t>
  </si>
  <si>
    <t>NGKF SA de CV</t>
  </si>
  <si>
    <t>Acritus SA de CV</t>
  </si>
  <si>
    <t>Caja Rural de Ahorro y</t>
  </si>
  <si>
    <t>Linea Amarilla SAC</t>
  </si>
  <si>
    <t>El Pueblo Resort &amp; Convention</t>
  </si>
  <si>
    <t>Blue Marlin Ibiza</t>
  </si>
  <si>
    <t>Olsa Re-</t>
  </si>
  <si>
    <t>JLT Reinsurance</t>
  </si>
  <si>
    <t>Rio Silver Inc-Ninobamba</t>
  </si>
  <si>
    <t>Cerro Dorado SAC</t>
  </si>
  <si>
    <t>Global Geoscience Ltd-Peruvian</t>
  </si>
  <si>
    <t>Paradigm Invests SA Pty Ltd</t>
  </si>
  <si>
    <t>Kiwanda Peru SAC</t>
  </si>
  <si>
    <t>Fosfatos del Pacifico SA</t>
  </si>
  <si>
    <t>Cementos Otorongo SAC</t>
  </si>
  <si>
    <t>Inca Rail</t>
  </si>
  <si>
    <t>Empresa Digital Peruana SAC</t>
  </si>
  <si>
    <t>Pilani Soft Labs Pvt Ltd</t>
  </si>
  <si>
    <t>DonWeb.com</t>
  </si>
  <si>
    <t>Web.com Group Inc</t>
  </si>
  <si>
    <t>Main Process SA</t>
  </si>
  <si>
    <t>AGRANA Beteiligungs AG</t>
  </si>
  <si>
    <t>Fen Hoteles SA</t>
  </si>
  <si>
    <t>Wyndham Hotel Group LLC</t>
  </si>
  <si>
    <t>Amer Intl Grp Inc-Cert Latin</t>
  </si>
  <si>
    <t>MBA Lazard Asset Management SA</t>
  </si>
  <si>
    <t>Lazard Ltd</t>
  </si>
  <si>
    <t>Mai SA</t>
  </si>
  <si>
    <t>Energicon SA</t>
  </si>
  <si>
    <t>TCE Vendor Grp-Los Domos Gold</t>
  </si>
  <si>
    <t>Orocobre Ltd-Cauchari Lithium</t>
  </si>
  <si>
    <t>Antofalla South SA</t>
  </si>
  <si>
    <t>Antofalla North SA</t>
  </si>
  <si>
    <t>Lithium Energi Argentina SA</t>
  </si>
  <si>
    <t>Oil Combustibles SA</t>
  </si>
  <si>
    <t>Gunvor Group Ltd</t>
  </si>
  <si>
    <t>Comunicaciones y Consumos SA</t>
  </si>
  <si>
    <t>FA Trindade Comunicacao</t>
  </si>
  <si>
    <t>Motor1.com LLC</t>
  </si>
  <si>
    <t>Metrosul Solucoes em</t>
  </si>
  <si>
    <t>Concremat Engenharia e</t>
  </si>
  <si>
    <t>Vetec Engenharia Ltda</t>
  </si>
  <si>
    <t>Systra Sa</t>
  </si>
  <si>
    <t>SM21 ENGENHARIA E CONSTRUCOES</t>
  </si>
  <si>
    <t>Onet SA</t>
  </si>
  <si>
    <t>Credibilit Tecnologia Ltda</t>
  </si>
  <si>
    <t>Claranet Ltd</t>
  </si>
  <si>
    <t>Kuhlmann Monitoramento</t>
  </si>
  <si>
    <t>ASL Analises Ambientais</t>
  </si>
  <si>
    <t>Rogama Industria e Comercio</t>
  </si>
  <si>
    <t>FS Sec Servicos de Tecnologia</t>
  </si>
  <si>
    <t>Nardi Aromas Ltda</t>
  </si>
  <si>
    <t>Creative Industria e Comercio</t>
  </si>
  <si>
    <t>INX International Ink Co</t>
  </si>
  <si>
    <t>Vale Fertilizantes SA</t>
  </si>
  <si>
    <t>Undisclosed Mold &amp; Tundish</t>
  </si>
  <si>
    <t>Inova Biotecnologia Saude</t>
  </si>
  <si>
    <t>CEVA Sante Animale SA</t>
  </si>
  <si>
    <t>Hertape Saude Animal SA</t>
  </si>
  <si>
    <t>Duke Energy Intl Brazil Hldg</t>
  </si>
  <si>
    <t>Duke Energy International</t>
  </si>
  <si>
    <t>Odebrecht Ambiental SA</t>
  </si>
  <si>
    <t>Ibo Energetica SA</t>
  </si>
  <si>
    <t>Enel SpA</t>
  </si>
  <si>
    <t>Geraoeste Usinas Eletricas do</t>
  </si>
  <si>
    <t>Termobahia SA</t>
  </si>
  <si>
    <t>Acquavit Comercio &amp; Industria</t>
  </si>
  <si>
    <t>SGS Agricultura E Industria</t>
  </si>
  <si>
    <t>Cargill Inc</t>
  </si>
  <si>
    <t>Dori Alimentos SA</t>
  </si>
  <si>
    <t>ACON Latin America</t>
  </si>
  <si>
    <t>Guarani SA</t>
  </si>
  <si>
    <t>Bradesco Seguros-Large Risk</t>
  </si>
  <si>
    <t>Admix Administracao,</t>
  </si>
  <si>
    <t>AD Corretora de Seguros Ltda</t>
  </si>
  <si>
    <t>Care Plus Medicina</t>
  </si>
  <si>
    <t>BUPA</t>
  </si>
  <si>
    <t>Universal Ppty Brasil</t>
  </si>
  <si>
    <t>CSE Mecanica e Instracao Ltda</t>
  </si>
  <si>
    <t>Aker Solutions ASA</t>
  </si>
  <si>
    <t>Max Participacoes</t>
  </si>
  <si>
    <t>MCT Mineracao Ltda</t>
  </si>
  <si>
    <t>Terrativa-Para Exploration Pac</t>
  </si>
  <si>
    <t>IMI Fabi Brazil</t>
  </si>
  <si>
    <t>Petrobras-Certain Assets</t>
  </si>
  <si>
    <t>Hypermarcas-Disposable Nappies</t>
  </si>
  <si>
    <t>Nova Nordeplast Industria &amp;</t>
  </si>
  <si>
    <t>RD Gestao e Sistemas SA</t>
  </si>
  <si>
    <t>Idwall Tecnologia Ltda</t>
  </si>
  <si>
    <t>Microsffer Solucoes</t>
  </si>
  <si>
    <t>Orpak Systems Ltd</t>
  </si>
  <si>
    <t>WDev Solucoes em Tecnologia SA</t>
  </si>
  <si>
    <t>Ebix Inc</t>
  </si>
  <si>
    <t>HarperCollins Brasil Hldg</t>
  </si>
  <si>
    <t>Astro Participacoes Ltda</t>
  </si>
  <si>
    <t>Construtora Tenda SA</t>
  </si>
  <si>
    <t>Enterprise Holdings Inc</t>
  </si>
  <si>
    <t>Via Varejo SA</t>
  </si>
  <si>
    <t>Steinhoff Intl Hldg NV</t>
  </si>
  <si>
    <t>Polipex Industria E Comercio</t>
  </si>
  <si>
    <t>Armacell International SA</t>
  </si>
  <si>
    <t>Laboratorio Osler do Brasil</t>
  </si>
  <si>
    <t>Bombril SA-Lysoform Business</t>
  </si>
  <si>
    <t>Candon Aditivos Para</t>
  </si>
  <si>
    <t>Palsgaard A/S</t>
  </si>
  <si>
    <t>Ana Costa Healthcare System</t>
  </si>
  <si>
    <t>Social Services</t>
  </si>
  <si>
    <t>Magnesita Refratarios SA</t>
  </si>
  <si>
    <t>Warehouses,Brazil(2)</t>
  </si>
  <si>
    <t>Cofco Agri Ltd</t>
  </si>
  <si>
    <t>Embraport</t>
  </si>
  <si>
    <t>Dp World Ltd</t>
  </si>
  <si>
    <t>SOTRAN LOGISTICA E TRANSPORTE</t>
  </si>
  <si>
    <t>Rumo-Santos Port Terminal</t>
  </si>
  <si>
    <t>C Czarnikow Ltd</t>
  </si>
  <si>
    <t>Flap Locadora &amp; Transportes SA</t>
  </si>
  <si>
    <t>GeoPost SA</t>
  </si>
  <si>
    <t>Sifco SA-Production Assets</t>
  </si>
  <si>
    <t>Lactojara Industria Ltda</t>
  </si>
  <si>
    <t>Leprino Foods Co</t>
  </si>
  <si>
    <t>CCAB Agro SA</t>
  </si>
  <si>
    <t>Union Invivo USCA</t>
  </si>
  <si>
    <t>Agencia Veriplan SA</t>
  </si>
  <si>
    <t>Frutera Tucfrut Ltda-Farms</t>
  </si>
  <si>
    <t>Dole Food Co Inc</t>
  </si>
  <si>
    <t>JC Ingenieria EIRL</t>
  </si>
  <si>
    <t>Electrogas SA</t>
  </si>
  <si>
    <t>Abertis Autopistas Chile Ltda</t>
  </si>
  <si>
    <t>Korea Southern Power Co Ltd-So</t>
  </si>
  <si>
    <t>Tecnet SA</t>
  </si>
  <si>
    <t>Pampa Calichera</t>
  </si>
  <si>
    <t>Tianqi Lithium Industries Inc</t>
  </si>
  <si>
    <t>Sociedad-Cerro Tostado</t>
  </si>
  <si>
    <t>Undisclosed lithium Ppty,</t>
  </si>
  <si>
    <t>Indumotora Internacional SA</t>
  </si>
  <si>
    <t>Inmobiliaria San Bernardo SA</t>
  </si>
  <si>
    <t>Strategic Metals BVBA</t>
  </si>
  <si>
    <t>Apunto Servicios</t>
  </si>
  <si>
    <t>ISS A/S</t>
  </si>
  <si>
    <t>Gastronomia &amp; Negocios</t>
  </si>
  <si>
    <t>Moly-Cop Chile SA</t>
  </si>
  <si>
    <t>Odfjell y Vapores SA</t>
  </si>
  <si>
    <t>Odfjell SE</t>
  </si>
  <si>
    <t>Colgram SA</t>
  </si>
  <si>
    <t>Drake Enterprises AG</t>
  </si>
  <si>
    <t>Darcatec Intl Andina SAS</t>
  </si>
  <si>
    <t>Diusframi SA</t>
  </si>
  <si>
    <t>Laboratorios Gerco SA</t>
  </si>
  <si>
    <t>Urgo Group SAS</t>
  </si>
  <si>
    <t>Ecopetrol SA-Oil Fields(6)</t>
  </si>
  <si>
    <t>Servicios Industriales</t>
  </si>
  <si>
    <t>Blink Logistics Sa</t>
  </si>
  <si>
    <t>Fracht AG</t>
  </si>
  <si>
    <t>Exploraciones Novomining SA</t>
  </si>
  <si>
    <t>Lateegra Ecuador SA</t>
  </si>
  <si>
    <t>Lafarge Cementos SA</t>
  </si>
  <si>
    <t>LaFarge Maroc SA</t>
  </si>
  <si>
    <t>San Luis Futbol Club</t>
  </si>
  <si>
    <t>Club Atletico de Madrid SAD</t>
  </si>
  <si>
    <t>Aditivos Mexicanos SA de CV</t>
  </si>
  <si>
    <t>Abertis Infraestructuras SA</t>
  </si>
  <si>
    <t>Fabrica de Tequilas Finos SA</t>
  </si>
  <si>
    <t>Amber Beverage Group Ltd</t>
  </si>
  <si>
    <t>Grupo GEPP SAPI de CV</t>
  </si>
  <si>
    <t>Grupo Modelo SAB-Brewery</t>
  </si>
  <si>
    <t>Proveedores De Ingenieria</t>
  </si>
  <si>
    <t>Grupo Real Turismo SAB de CV</t>
  </si>
  <si>
    <t>Meyers Group</t>
  </si>
  <si>
    <t>Karel Mfg-Manufacturing Assets</t>
  </si>
  <si>
    <t>Celestica Inc</t>
  </si>
  <si>
    <t>La Cobriza Project</t>
  </si>
  <si>
    <t>Mosaic Media</t>
  </si>
  <si>
    <t>Ent Gold Club SA de CV</t>
  </si>
  <si>
    <t>Win Systems Solutions SL</t>
  </si>
  <si>
    <t>Openpay SAPI de CV</t>
  </si>
  <si>
    <t>CEMEX Concretos-Assets</t>
  </si>
  <si>
    <t>CERAMOSA</t>
  </si>
  <si>
    <t>Roca Corporacion Empresarial</t>
  </si>
  <si>
    <t>PPG-Plaka plasterboard</t>
  </si>
  <si>
    <t>Knauf International GmbH</t>
  </si>
  <si>
    <t>Organizacion de Proyectos</t>
  </si>
  <si>
    <t>Corporate Travel Svcs SA de CV</t>
  </si>
  <si>
    <t>Travel Leaders Group LLC</t>
  </si>
  <si>
    <t>Papaya Peru SAC</t>
  </si>
  <si>
    <t>TFM Industrial SA</t>
  </si>
  <si>
    <t>Antalis International SA</t>
  </si>
  <si>
    <t>Duke Energy Intl Grp</t>
  </si>
  <si>
    <t>Odebrecht SA-Olmos Irrigation</t>
  </si>
  <si>
    <t>Clinica Ricardo Palma</t>
  </si>
  <si>
    <t>IDC Salud SL</t>
  </si>
  <si>
    <t>Li3 Energy Inc</t>
  </si>
  <si>
    <t>Nyrstar NV-Contonga</t>
  </si>
  <si>
    <t>Strike Resources Ltd-Apurimac</t>
  </si>
  <si>
    <t>Demotores SA</t>
  </si>
  <si>
    <t>Headway Digital</t>
  </si>
  <si>
    <t>Entravision Commun Corp</t>
  </si>
  <si>
    <t>Greenwind SA</t>
  </si>
  <si>
    <t>Grupo Canale-Alco</t>
  </si>
  <si>
    <t>Greylock Capital Mgmt LLC</t>
  </si>
  <si>
    <t>Coeur Mining Inc-</t>
  </si>
  <si>
    <t>Undisclosed Huachi</t>
  </si>
  <si>
    <t>LitheA Inc</t>
  </si>
  <si>
    <t>Orocobre Grp Salinas Grandes</t>
  </si>
  <si>
    <t>Patagonia Oil Corp</t>
  </si>
  <si>
    <t>Naviera del Sud S.A.</t>
  </si>
  <si>
    <t>Interocean Transportation Inc</t>
  </si>
  <si>
    <t>Tiberina Automotive Argentina</t>
  </si>
  <si>
    <t>Rapsodia Women's Clothing Co</t>
  </si>
  <si>
    <t>Otima Concessionaria de</t>
  </si>
  <si>
    <t>Vettec Produtos Agropecuarios</t>
  </si>
  <si>
    <t>Belagricola Comercio e</t>
  </si>
  <si>
    <t>INFRAERO-Luis Eduardo Magalhae</t>
  </si>
  <si>
    <t>INFRAERO-Pinto Martins</t>
  </si>
  <si>
    <t>INFRAERO-Salgado Filho</t>
  </si>
  <si>
    <t>INFRAERO-Hercilio Luz</t>
  </si>
  <si>
    <t>PM Comunicacao Ltda</t>
  </si>
  <si>
    <t>Tecam Tecnologia Ambiental</t>
  </si>
  <si>
    <t>ALS Ltd</t>
  </si>
  <si>
    <t>Grupo Isolux Corsan SA-Assets</t>
  </si>
  <si>
    <t>Ferrovial SA</t>
  </si>
  <si>
    <t>Geoimovel Tecnologia</t>
  </si>
  <si>
    <t>Vivareal Inc</t>
  </si>
  <si>
    <t>Interfile Participacoes SA</t>
  </si>
  <si>
    <t>Adespec Adesivos Especiais SA</t>
  </si>
  <si>
    <t>Creditas Solucoes Finiras Ltda</t>
  </si>
  <si>
    <t>Cruzeiro do Sul Educacional SA</t>
  </si>
  <si>
    <t>Archy LLC</t>
  </si>
  <si>
    <t>General Water Aguas Ltda</t>
  </si>
  <si>
    <t>Gtms Equipamentos Eletricos</t>
  </si>
  <si>
    <t>Hubbell Inc</t>
  </si>
  <si>
    <t>Elber Industria</t>
  </si>
  <si>
    <t>Bela Ischia Alimentos Ltda</t>
  </si>
  <si>
    <t>Bigsal Industria e Comercio</t>
  </si>
  <si>
    <t>Viralcool Acucar e Alcool LTDA</t>
  </si>
  <si>
    <t>Tricon Energy Inc</t>
  </si>
  <si>
    <t>Clinica De Dialise Inga Ltda</t>
  </si>
  <si>
    <t>Fresenius Medical Care AG &amp; Co</t>
  </si>
  <si>
    <t>Rede Windsor de Hoteis-hotel</t>
  </si>
  <si>
    <t>Thb Brasil Hldg Administracao</t>
  </si>
  <si>
    <t>Unicoba Baterias</t>
  </si>
  <si>
    <t>Kepler Weber SA</t>
  </si>
  <si>
    <t>Hidral-Mac Industrial Ltda</t>
  </si>
  <si>
    <t>American Private Equity LLC</t>
  </si>
  <si>
    <t>Oticas Carol SA</t>
  </si>
  <si>
    <t>Mineracao Batovi Ltda</t>
  </si>
  <si>
    <t>Corporeos Servicos</t>
  </si>
  <si>
    <t>Infoserver SA</t>
  </si>
  <si>
    <t>CCP SA-Corp Offc Portf</t>
  </si>
  <si>
    <t>Prologis CCP</t>
  </si>
  <si>
    <t>Landco Administradora de Bens</t>
  </si>
  <si>
    <t>Jadlog Logistica Ltda</t>
  </si>
  <si>
    <t>Align Tech Do Brasil Ltda</t>
  </si>
  <si>
    <t>Align Technology Inc</t>
  </si>
  <si>
    <t>Allfood Importacao Industria</t>
  </si>
  <si>
    <t>Sercotec</t>
  </si>
  <si>
    <t>Rombit</t>
  </si>
  <si>
    <t>Pacific Hydro Chacayes</t>
  </si>
  <si>
    <t>Meridiam Latam Holdings SL</t>
  </si>
  <si>
    <t>Optivision Ltda</t>
  </si>
  <si>
    <t>Kinross Gold Corp-Quebrada</t>
  </si>
  <si>
    <t>Barrick Gold Corp-Cerro</t>
  </si>
  <si>
    <t>Matriz Ideas SA</t>
  </si>
  <si>
    <t>Soluciones Ambientales del</t>
  </si>
  <si>
    <t>Seche Environnement SA</t>
  </si>
  <si>
    <t>Interexport Chile SA</t>
  </si>
  <si>
    <t>Motorola Solutions Inc</t>
  </si>
  <si>
    <t>SED Intl de Colombia SAS</t>
  </si>
  <si>
    <t>Paragon Tech Inc</t>
  </si>
  <si>
    <t>Productos Bronco SA</t>
  </si>
  <si>
    <t>Pollos El Bucanero SA</t>
  </si>
  <si>
    <t>Colbio Inc</t>
  </si>
  <si>
    <t>QED Connect Inc</t>
  </si>
  <si>
    <t>Minexos SAS</t>
  </si>
  <si>
    <t>Exxon Mobil Corp-Gasoline Stn</t>
  </si>
  <si>
    <t>Chevron Corp</t>
  </si>
  <si>
    <t>Oxymaster SA</t>
  </si>
  <si>
    <t>Air Liquide SA</t>
  </si>
  <si>
    <t>EcuaSolidus SA</t>
  </si>
  <si>
    <t>MIT Farma SA de CV</t>
  </si>
  <si>
    <t>Faes Farma SA</t>
  </si>
  <si>
    <t>Document Imaging Mexico SA de</t>
  </si>
  <si>
    <t>Requordit Inc</t>
  </si>
  <si>
    <t>MiCampana.com</t>
  </si>
  <si>
    <t>Adext Inc</t>
  </si>
  <si>
    <t>Controladora GMI SAPI de CV</t>
  </si>
  <si>
    <t>Atlantia Spa</t>
  </si>
  <si>
    <t>Sunedison Inc-Solar PV Asts</t>
  </si>
  <si>
    <t>Ciencia y Tecnologia en</t>
  </si>
  <si>
    <t>Apligen SA de CV</t>
  </si>
  <si>
    <t>Neovia Logistics Services LLC</t>
  </si>
  <si>
    <t>Pernod Ricard SA-Domecq &amp;</t>
  </si>
  <si>
    <t>Fondo Nacional de-</t>
  </si>
  <si>
    <t>BlackRock Advisors LLC</t>
  </si>
  <si>
    <t>Goldcorp Inc-Los Filos Gold</t>
  </si>
  <si>
    <t>Gunpoint Exploration-Cecilia</t>
  </si>
  <si>
    <t>VV Mining S de RL de AC</t>
  </si>
  <si>
    <t>American Metal Mining SA de CV</t>
  </si>
  <si>
    <t>Radius Gold Inc-Tlacolula</t>
  </si>
  <si>
    <t>Rebeico Gold SA De CV</t>
  </si>
  <si>
    <t>Nattura Laboratorios SA de CV</t>
  </si>
  <si>
    <t>Petrolera de Amatitlan SAPI</t>
  </si>
  <si>
    <t>Rose Petro PLC-Floatation</t>
  </si>
  <si>
    <t>Granmark SA de CV</t>
  </si>
  <si>
    <t>USM Mexico Manufacturing LLC</t>
  </si>
  <si>
    <t>Undisclosed Processing Facilit</t>
  </si>
  <si>
    <t>Ultra Chem S De RL De CV</t>
  </si>
  <si>
    <t>Camet Trading SAC</t>
  </si>
  <si>
    <t>Wfalia Fruit Intl Ltd</t>
  </si>
  <si>
    <t>Red Electrica Internacional SA</t>
  </si>
  <si>
    <t>Cautivo Mining Inc</t>
  </si>
  <si>
    <t>El Olivar Imperial SAC</t>
  </si>
  <si>
    <t>Sociedad Minera Berenguela SA</t>
  </si>
  <si>
    <t>Kairos Capital Peru SAC, M&amp;S</t>
  </si>
  <si>
    <t>Duran Ventures Inc-Don Pancho</t>
  </si>
  <si>
    <t>Duran Ventures Inc-Ichuna</t>
  </si>
  <si>
    <t>Befesa Peru SA</t>
  </si>
  <si>
    <t>Venezuela 17-1</t>
  </si>
  <si>
    <t>PetroPiar SA</t>
  </si>
  <si>
    <t>Maco Transportadora de</t>
  </si>
  <si>
    <t>Eco Minera SA</t>
  </si>
  <si>
    <t>Undisclosed Private Tower Co</t>
  </si>
  <si>
    <t>Tower One Wireless Corp</t>
  </si>
  <si>
    <t>Consorcio Nuevo Sarmiento UTE</t>
  </si>
  <si>
    <t>Ghella SpA</t>
  </si>
  <si>
    <t>Arbumasa SA</t>
  </si>
  <si>
    <t>Dalian Huafeng Aquatic Prod</t>
  </si>
  <si>
    <t>Barrick Gold Corp-Veladero</t>
  </si>
  <si>
    <t>Argentina Gold (Bermuda) II</t>
  </si>
  <si>
    <t>Shandong Gold Mining (Hong</t>
  </si>
  <si>
    <t>Keepcon Inc</t>
  </si>
  <si>
    <t>Servicios de Viajes y Turismo</t>
  </si>
  <si>
    <t>Sementes Selecta SA</t>
  </si>
  <si>
    <t>Getty Images-Business Assets</t>
  </si>
  <si>
    <t>Ambinorma</t>
  </si>
  <si>
    <t>Anticimex Lda</t>
  </si>
  <si>
    <t>Edata Tecnologia - Hld</t>
  </si>
  <si>
    <t>Munters Group AB</t>
  </si>
  <si>
    <t>Ascenty Data Ctrs &amp;</t>
  </si>
  <si>
    <t>Retail Design Institute Brasil</t>
  </si>
  <si>
    <t>Capgemini America Inc</t>
  </si>
  <si>
    <t>Itacel Farmoquimica Ltda</t>
  </si>
  <si>
    <t>Roquette Freres SA</t>
  </si>
  <si>
    <t>Pac Hydro Energia-Assets</t>
  </si>
  <si>
    <t>State Power Invest Corp</t>
  </si>
  <si>
    <t>Gestamp Renewables SL-Wind</t>
  </si>
  <si>
    <t>Gas Natural Acu Ltda</t>
  </si>
  <si>
    <t>Ute Gna I Geracao De Energia</t>
  </si>
  <si>
    <t>Cemig Geracao &amp; Transmissao SA</t>
  </si>
  <si>
    <t>SPE Assurua Geradora de</t>
  </si>
  <si>
    <t>Castlelake LP</t>
  </si>
  <si>
    <t>Canada Participacoes Ltda</t>
  </si>
  <si>
    <t>Femepe Industria &amp; Comercio</t>
  </si>
  <si>
    <t>Cargill Inc-Fruit Processing</t>
  </si>
  <si>
    <t>Nucleo de Hematologia e</t>
  </si>
  <si>
    <t>Baxter International Inc</t>
  </si>
  <si>
    <t>GNA Infraestrutura Ltda</t>
  </si>
  <si>
    <t>Gas Natural Acu</t>
  </si>
  <si>
    <t>Madeira Energia SA Mesa</t>
  </si>
  <si>
    <t>Pressure Compressores Ltda</t>
  </si>
  <si>
    <t>Atlas Copco AB</t>
  </si>
  <si>
    <t>Itubombas Locacao Comercio</t>
  </si>
  <si>
    <t>Hydraulic Designers Ltda</t>
  </si>
  <si>
    <t>Hydraforce Inc</t>
  </si>
  <si>
    <t>Cascavel Gold Project</t>
  </si>
  <si>
    <t>Bondholders</t>
  </si>
  <si>
    <t>Oilcheck Analise De Fluidos</t>
  </si>
  <si>
    <t>Bk Brasil Operacao E</t>
  </si>
  <si>
    <t>Belfer Investment Partners LP</t>
  </si>
  <si>
    <t>Odebrecht Ambiental SA-Water</t>
  </si>
  <si>
    <t>Nextel Holdings SARL</t>
  </si>
  <si>
    <t>Undisclosed Shuttle Tanker</t>
  </si>
  <si>
    <t>Mercosul Line Navegacao</t>
  </si>
  <si>
    <t>CMA CGM SA</t>
  </si>
  <si>
    <t>Portonave SA</t>
  </si>
  <si>
    <t>GNA Ltda-Import terminal</t>
  </si>
  <si>
    <t>Minas Texteis Fabricacao de</t>
  </si>
  <si>
    <t>STS Brazil Holding GmbH</t>
  </si>
  <si>
    <t>Nidera-Sorghum Portfolio</t>
  </si>
  <si>
    <t>DKBA Participacoes Ltda</t>
  </si>
  <si>
    <t>Dakang (Lux) Investment Sarl</t>
  </si>
  <si>
    <t>Ecosea Farming SA</t>
  </si>
  <si>
    <t>GNL Quintero SA</t>
  </si>
  <si>
    <t>Latin America Power Peru-Asset</t>
  </si>
  <si>
    <t>AustrianSolar Chile Cuatro</t>
  </si>
  <si>
    <t>Inversiones Emergencias SA</t>
  </si>
  <si>
    <t>Australis Partners(Advisers)</t>
  </si>
  <si>
    <t>Inversiones Ambientales SA</t>
  </si>
  <si>
    <t>Novochile Ltda</t>
  </si>
  <si>
    <t>Deceuninck Importadora Ltda</t>
  </si>
  <si>
    <t>IFX Networks Corp</t>
  </si>
  <si>
    <t>Ufinet(Union Fenosa Electrica)</t>
  </si>
  <si>
    <t>Nopco Colombiana SA</t>
  </si>
  <si>
    <t>Solenis International</t>
  </si>
  <si>
    <t>Concesion Santa Marta</t>
  </si>
  <si>
    <t>Keraderm SAS</t>
  </si>
  <si>
    <t>Plasticos Team SAS</t>
  </si>
  <si>
    <t>Quala SA-</t>
  </si>
  <si>
    <t>Undisclosed Telem Svcs &amp; Site</t>
  </si>
  <si>
    <t>Biocarrier Colombia SAS</t>
  </si>
  <si>
    <t>Maaji Swimwear</t>
  </si>
  <si>
    <t>Alimentsa Sa</t>
  </si>
  <si>
    <t>Cntrl de Alarmas Adler SA</t>
  </si>
  <si>
    <t>Pinturas Thermicas Del Norte</t>
  </si>
  <si>
    <t>Velifin</t>
  </si>
  <si>
    <t>Dimex Capital Sa De Cv Sofom</t>
  </si>
  <si>
    <t>Everproibero Sl</t>
  </si>
  <si>
    <t>Natgas Queretaro Sapi De Cv</t>
  </si>
  <si>
    <t>Grupo Rexal SA de CV</t>
  </si>
  <si>
    <t>Hotel Mexico Reforma</t>
  </si>
  <si>
    <t>Barcelo Corp Empresarial SA</t>
  </si>
  <si>
    <t>Hoteles City Express SA de CV</t>
  </si>
  <si>
    <t>Jaguar Growth Partners LLC</t>
  </si>
  <si>
    <t>Invercap Holdings SA de CV</t>
  </si>
  <si>
    <t>Quoin Consulting SA</t>
  </si>
  <si>
    <t>ONE to ONE Corp Fin SL</t>
  </si>
  <si>
    <t>Garza Tello &amp; Asociados SC</t>
  </si>
  <si>
    <t>Clyde &amp; Co LLP</t>
  </si>
  <si>
    <t>Grupo Innovador De Coahuila SA</t>
  </si>
  <si>
    <t>Molded Devices Inc</t>
  </si>
  <si>
    <t>Sautem SA de CV</t>
  </si>
  <si>
    <t>Dorner Mfg Corp</t>
  </si>
  <si>
    <t>Pmp Auto Mexico Sa De Cv</t>
  </si>
  <si>
    <t>Pricol Espana Sl</t>
  </si>
  <si>
    <t>Nyrstar NV-Mexican</t>
  </si>
  <si>
    <t>Goldcorp Inc-Camino Rojo</t>
  </si>
  <si>
    <t>Excel Nobleza SA de CV</t>
  </si>
  <si>
    <t>Jaguar Lab Mobile Dvlpers</t>
  </si>
  <si>
    <t>Tiempo Development LLC</t>
  </si>
  <si>
    <t>GOAL</t>
  </si>
  <si>
    <t>AsiaInspection Ltd</t>
  </si>
  <si>
    <t>Corporacion Inmobiliaria Vesta</t>
  </si>
  <si>
    <t>Calentadores de America SA de</t>
  </si>
  <si>
    <t>Grupo Axo SAPI de CV</t>
  </si>
  <si>
    <t>Agro Vision Corp</t>
  </si>
  <si>
    <t>G4s Logistica &amp; Tecnologia</t>
  </si>
  <si>
    <t>GMD SA</t>
  </si>
  <si>
    <t>Cia Operadora de Gas</t>
  </si>
  <si>
    <t>Cerro de Pasco Resources SA</t>
  </si>
  <si>
    <t>Pampa Energia SA</t>
  </si>
  <si>
    <t>Fieldfare Argentina Ii Srl</t>
  </si>
  <si>
    <t>Neoen SAS</t>
  </si>
  <si>
    <t>Biotay Sa</t>
  </si>
  <si>
    <t>Phibro Animal Health Corp</t>
  </si>
  <si>
    <t>Industrial Asset Mgmt-Fund</t>
  </si>
  <si>
    <t>Highland Capital Management LP</t>
  </si>
  <si>
    <t>Minera Cerro Bayo SA</t>
  </si>
  <si>
    <t>Chevron Corp - Puesto Flores</t>
  </si>
  <si>
    <t>Chevron Argentina-Oil Asts(2)</t>
  </si>
  <si>
    <t>PlusMobile LLC</t>
  </si>
  <si>
    <t>Pesquera Santa Cruz Sa</t>
  </si>
  <si>
    <t>Emerger Fertilizantes SA</t>
  </si>
  <si>
    <t>Masisa SA-Industrial</t>
  </si>
  <si>
    <t>Vice Holding Do Brasil LTDA</t>
  </si>
  <si>
    <t>Vice Holdings Inc</t>
  </si>
  <si>
    <t>Virtue Publicidade E</t>
  </si>
  <si>
    <t>Dow AgroSciences-Certain Assts</t>
  </si>
  <si>
    <t>Floresta Viva</t>
  </si>
  <si>
    <t>Quata Agropecuaria SA</t>
  </si>
  <si>
    <t>Proterra Brazil Opportunity</t>
  </si>
  <si>
    <t>Rio de Janeiro Aeroportos SA</t>
  </si>
  <si>
    <t>Nubeliu Consultoria &amp;</t>
  </si>
  <si>
    <t>Logicalis Group Ltd</t>
  </si>
  <si>
    <t>QConsulting Servicos de</t>
  </si>
  <si>
    <t>Keyrus SA</t>
  </si>
  <si>
    <t>Analitus</t>
  </si>
  <si>
    <t>Global ID Group LLC</t>
  </si>
  <si>
    <t>GPBR Participacoes Ltda</t>
  </si>
  <si>
    <t>Centro neamento e Servicos</t>
  </si>
  <si>
    <t>Destilaria De Cachaca Maison</t>
  </si>
  <si>
    <t>Bacardi-Martini BV</t>
  </si>
  <si>
    <t>Adecol Industria Quimica Ltda</t>
  </si>
  <si>
    <t>TEKBOND SA</t>
  </si>
  <si>
    <t>Eleva Educacao SA</t>
  </si>
  <si>
    <t>Estacio Participacoes SA</t>
  </si>
  <si>
    <t>Ambar-Power Transmission Lines</t>
  </si>
  <si>
    <t>Cemig-Hydropower Con Sao Simao</t>
  </si>
  <si>
    <t>Brilia Eletricidade e Servicos</t>
  </si>
  <si>
    <t>Agricola Alvorada Ltda</t>
  </si>
  <si>
    <t>Pro Nephron Centro</t>
  </si>
  <si>
    <t>DaVita Inc</t>
  </si>
  <si>
    <t>Herdade da Comporta Fundo</t>
  </si>
  <si>
    <t>Ardma Imobiliaria SA</t>
  </si>
  <si>
    <t>YP II RE Empreendimentos e</t>
  </si>
  <si>
    <t>Guide Investimentos SA</t>
  </si>
  <si>
    <t>Quata Participacoes SA</t>
  </si>
  <si>
    <t>Power Mach Fezer Industria</t>
  </si>
  <si>
    <t>Sulmaq Industrial e Comercial</t>
  </si>
  <si>
    <t>Marel Food Systems HF</t>
  </si>
  <si>
    <t>Iceland</t>
  </si>
  <si>
    <t>Argos-Crane Business</t>
  </si>
  <si>
    <t>Hiab Oy</t>
  </si>
  <si>
    <t>Geo Agri-Distribution Business</t>
  </si>
  <si>
    <t>Cardio Sistemas Comercial e</t>
  </si>
  <si>
    <t>Extera Importacao E</t>
  </si>
  <si>
    <t>MedArtis AG</t>
  </si>
  <si>
    <t>Paranapanema SA</t>
  </si>
  <si>
    <t>Isoeste Construtivos</t>
  </si>
  <si>
    <t>Kingspan Group PLC</t>
  </si>
  <si>
    <t>Rio Grande Mineracao SA</t>
  </si>
  <si>
    <t>Billions Hong Kong Corp Ltd</t>
  </si>
  <si>
    <t>CNK Produtora De Video LTDA</t>
  </si>
  <si>
    <t>Granenergia Navegacao SA</t>
  </si>
  <si>
    <t>Royal Ihc Bv</t>
  </si>
  <si>
    <t>Eldorado Brasil Celulose SA</t>
  </si>
  <si>
    <t>China Paper Holdings Ltd</t>
  </si>
  <si>
    <t>Bardusch Arrendamentos</t>
  </si>
  <si>
    <t>Bysoft Solucoes Em Sistemas</t>
  </si>
  <si>
    <t>T4W Solucoes Empresariais e</t>
  </si>
  <si>
    <t>Emphasys Canada Holdings Inc</t>
  </si>
  <si>
    <t>HMInvest-Torre Sucupira</t>
  </si>
  <si>
    <t>DNA Natural Franchising Ltda</t>
  </si>
  <si>
    <t>Restaura SL</t>
  </si>
  <si>
    <t>Estre Ambiental SA</t>
  </si>
  <si>
    <t>Boulevard Acquisition Corp II</t>
  </si>
  <si>
    <t>FSF Tecnologia SA</t>
  </si>
  <si>
    <t>Astro Tecnologia Industria e</t>
  </si>
  <si>
    <t>Heico Cos LLC</t>
  </si>
  <si>
    <t>BioMed Distn Mercosur Ltda</t>
  </si>
  <si>
    <t>CJ Logistics do Brasil Ltda</t>
  </si>
  <si>
    <t>TCP Participacoes SA</t>
  </si>
  <si>
    <t>PST Eletronica Ltda</t>
  </si>
  <si>
    <t>Stoneridge Inc</t>
  </si>
  <si>
    <t>Pacto Promotora De Eventos</t>
  </si>
  <si>
    <t>Manheim Auctions Inc</t>
  </si>
  <si>
    <t>Swell Importacao e Comercio</t>
  </si>
  <si>
    <t>Cidade do Sol Alimentos SA</t>
  </si>
  <si>
    <t>Poch</t>
  </si>
  <si>
    <t>Paperless Chile Ltd</t>
  </si>
  <si>
    <t>Sovos Compliance LLC</t>
  </si>
  <si>
    <t>Sociedad Concesionaria Acciona</t>
  </si>
  <si>
    <t>Masisa SA-Cogeneration</t>
  </si>
  <si>
    <t>Grenergy Renovables Sa-La</t>
  </si>
  <si>
    <t>Eurus Energy America Corp</t>
  </si>
  <si>
    <t>Crandon Sa</t>
  </si>
  <si>
    <t>Europastry SA</t>
  </si>
  <si>
    <t>INESA Chile SA</t>
  </si>
  <si>
    <t>Ramondin Capsulas SA</t>
  </si>
  <si>
    <t>Revelo Resources Corp-San</t>
  </si>
  <si>
    <t>San Antonio Sociedad</t>
  </si>
  <si>
    <t>Tres Valles</t>
  </si>
  <si>
    <t>Laboratorios Prodycon SA</t>
  </si>
  <si>
    <t>Labs &amp; Technological Svcs AGQ</t>
  </si>
  <si>
    <t>Autopistas Uraba SAS</t>
  </si>
  <si>
    <t>Procaps SA</t>
  </si>
  <si>
    <t>Recordar SA</t>
  </si>
  <si>
    <t>Siigo SA</t>
  </si>
  <si>
    <t>Accel-KKR LLC</t>
  </si>
  <si>
    <t>Colombia Movil SA ESP-Wireless</t>
  </si>
  <si>
    <t>Cia de Puertos Asociados SA</t>
  </si>
  <si>
    <t>Spray-Tek Mexicana S de RL</t>
  </si>
  <si>
    <t>Inndot Sa De Cv-Sap Software</t>
  </si>
  <si>
    <t>ROFF Consultores Independentes</t>
  </si>
  <si>
    <t>Comunicaciones Y Sonido</t>
  </si>
  <si>
    <t>Ingenieria Celular PanAmera SA</t>
  </si>
  <si>
    <t>Grupo Farmaceutico Somar SAPI</t>
  </si>
  <si>
    <t>Grupo Minero Puma-Oposura</t>
  </si>
  <si>
    <t>Gogold Resources Inc-Santa</t>
  </si>
  <si>
    <t>Petro-SPM Integrated Svcs SA</t>
  </si>
  <si>
    <t>Schlumberger Ltd</t>
  </si>
  <si>
    <t>Undisclosed Industrial Pks</t>
  </si>
  <si>
    <t>Senda Direccion Tecnologica</t>
  </si>
  <si>
    <t>Vista Ent Solutions Ltd</t>
  </si>
  <si>
    <t>Jabil Inc-Injection Molding</t>
  </si>
  <si>
    <t>MGS Manufacturing Group Inc</t>
  </si>
  <si>
    <t>Olympus Tours SA de CV</t>
  </si>
  <si>
    <t>DuraFiber Tech Mexico Op SA</t>
  </si>
  <si>
    <t>Indorama Ventures PCL</t>
  </si>
  <si>
    <t>Empresa de Generacion Huallaga</t>
  </si>
  <si>
    <t>Blufstein Laboratorio Clinico</t>
  </si>
  <si>
    <t>Unilabs SA</t>
  </si>
  <si>
    <t>Prevecon Sac</t>
  </si>
  <si>
    <t>Sierra Machines Sac</t>
  </si>
  <si>
    <t>L&amp;G Cirsa Corp SA</t>
  </si>
  <si>
    <t>Inmobiliaria Rapid Sac</t>
  </si>
  <si>
    <t>Geni Columbia Seguros Genes SA</t>
  </si>
  <si>
    <t>Latin Resources-Ilo Copper</t>
  </si>
  <si>
    <t>Undisclosed Gold Mining</t>
  </si>
  <si>
    <t>Los Bachiche</t>
  </si>
  <si>
    <t>Pasquale Imparato</t>
  </si>
  <si>
    <t>Commun Towers(150),Peru &amp;</t>
  </si>
  <si>
    <t>Phoenix Tower International</t>
  </si>
  <si>
    <t>Virgin Mobile Peru Sa</t>
  </si>
  <si>
    <t>Gps Ipcom Espana Sl</t>
  </si>
  <si>
    <t>Fp Cargo Logistics Sac</t>
  </si>
  <si>
    <t>Tiba Spain SA</t>
  </si>
  <si>
    <t>Venezuela 17-3</t>
  </si>
  <si>
    <t>Petroleos de Venezuela SA-</t>
  </si>
  <si>
    <t>Glucovil Argentina SA</t>
  </si>
  <si>
    <t>Ypf Energia Eleca Sa</t>
  </si>
  <si>
    <t>Finca La Anita</t>
  </si>
  <si>
    <t>Origin Global Distn Inc</t>
  </si>
  <si>
    <t>Indalo SA</t>
  </si>
  <si>
    <t>OP Investments LLC</t>
  </si>
  <si>
    <t>Centro Gallego De Buenos</t>
  </si>
  <si>
    <t>Ribera Salud SA</t>
  </si>
  <si>
    <t>Grupo Financiero Galicia SA</t>
  </si>
  <si>
    <t>Megaflex SA</t>
  </si>
  <si>
    <t>Esperanza Resources SA</t>
  </si>
  <si>
    <t>Josemaria Project</t>
  </si>
  <si>
    <t>Alqa Lithium Sa</t>
  </si>
  <si>
    <t>ApCo Austral SA</t>
  </si>
  <si>
    <t>CGA-gas &amp; oil assets</t>
  </si>
  <si>
    <t>Echo Energy Plc</t>
  </si>
  <si>
    <t>CPS Comunicaciones SA</t>
  </si>
  <si>
    <t>Nidera Sementes Ltda</t>
  </si>
  <si>
    <t>Syngenta AG</t>
  </si>
  <si>
    <t>Enext Consultoria e Servicos</t>
  </si>
  <si>
    <t>J Walter Thompson Worldwide</t>
  </si>
  <si>
    <t>Nazca Needish Asset Hldg LLC</t>
  </si>
  <si>
    <t>Merchant Equity Telecom Ltda</t>
  </si>
  <si>
    <t>S Amer Telecom Hldg LLC</t>
  </si>
  <si>
    <t>Vale Cubatao Fertilizantes</t>
  </si>
  <si>
    <t>Brazil Constr Co Ltd</t>
  </si>
  <si>
    <t>British Colegio Do Brasil Bcb</t>
  </si>
  <si>
    <t>Nord Anglia Education Inc</t>
  </si>
  <si>
    <t>Grupo Ecos Solar Brazil</t>
  </si>
  <si>
    <t>Global Pe Fund Castlelake</t>
  </si>
  <si>
    <t>Abengoa SA-Transmission Lines</t>
  </si>
  <si>
    <t>Micron-Ita Industria E</t>
  </si>
  <si>
    <t>Imerys SA</t>
  </si>
  <si>
    <t>Neocontrol Automacao</t>
  </si>
  <si>
    <t>Mae Terra Produtos Naturais</t>
  </si>
  <si>
    <t>Itambe Alimentos SA</t>
  </si>
  <si>
    <t>Groupe Lactalis SA</t>
  </si>
  <si>
    <t>Bremil Industria de Produtos</t>
  </si>
  <si>
    <t>Pasteur Grp Inc</t>
  </si>
  <si>
    <t>Arconic Inc-LAE Business</t>
  </si>
  <si>
    <t>Vale-Vermelho Project</t>
  </si>
  <si>
    <t>Petrobras-Roncador Field</t>
  </si>
  <si>
    <t>Bcd Travel Brasil Turismo Sa</t>
  </si>
  <si>
    <t>BCD Travel Services BV</t>
  </si>
  <si>
    <t>Talge Descartaveis do Brasil</t>
  </si>
  <si>
    <t>Andes Airport Svcs Sa</t>
  </si>
  <si>
    <t>Cox Energy Chile SpA</t>
  </si>
  <si>
    <t>Sonnedix BV</t>
  </si>
  <si>
    <t>Solarity Spa</t>
  </si>
  <si>
    <t>San Antonio High Grade</t>
  </si>
  <si>
    <t>Hot Chili Ltd</t>
  </si>
  <si>
    <t>Consultoria Colombiana SA</t>
  </si>
  <si>
    <t>Onelink Holdings SA</t>
  </si>
  <si>
    <t>Tecnimicro Laboratorio De</t>
  </si>
  <si>
    <t>Gas Natural Sa Esp</t>
  </si>
  <si>
    <t>Qbco Sas</t>
  </si>
  <si>
    <t>Kunna Canada Ltd</t>
  </si>
  <si>
    <t>Esmeracol Sa</t>
  </si>
  <si>
    <t>Servicios Libertador Sl</t>
  </si>
  <si>
    <t>Undisclosed private tower co</t>
  </si>
  <si>
    <t>Ingenieria Control Y</t>
  </si>
  <si>
    <t>Operadora de Servicios Mega</t>
  </si>
  <si>
    <t>DEG-Deutsche Investitions</t>
  </si>
  <si>
    <t>Enel Green Power Mexico Srl</t>
  </si>
  <si>
    <t>Alpek Sab De Cv-Power Plants</t>
  </si>
  <si>
    <t>ContourGlobal LP</t>
  </si>
  <si>
    <t>Elecidad Del Golfo S De Rl De</t>
  </si>
  <si>
    <t>Intergen Servicios Mexico S-Po</t>
  </si>
  <si>
    <t>Gen Elecal Co-Asts</t>
  </si>
  <si>
    <t>Grupo Ordas</t>
  </si>
  <si>
    <t>Banco Santander Mexico Sa-Sec</t>
  </si>
  <si>
    <t>Banco Santander-Brokerage</t>
  </si>
  <si>
    <t>Metlife Afore Sa De CV</t>
  </si>
  <si>
    <t>Principal Financial Group Inc</t>
  </si>
  <si>
    <t>Banamex-Asset Mgt Business</t>
  </si>
  <si>
    <t>Grupo Richard</t>
  </si>
  <si>
    <t>Full Alliance Group Inc</t>
  </si>
  <si>
    <t>Envases Y Laminados SA de CV</t>
  </si>
  <si>
    <t>SCHUTZ GmbH &amp; Co KGaA</t>
  </si>
  <si>
    <t>Electra Jv - Sonora Mexico</t>
  </si>
  <si>
    <t>Guadalupe de los Reyes Gold</t>
  </si>
  <si>
    <t>Bluejoint Resources Inc</t>
  </si>
  <si>
    <t>Sable Resources Ltd</t>
  </si>
  <si>
    <t>San Jose Property,Chihuahua,Me</t>
  </si>
  <si>
    <t>Scion Mines SA de CV</t>
  </si>
  <si>
    <t>Exploraciones-Project,Durango</t>
  </si>
  <si>
    <t>Exploracion Auramex Sa De Cv</t>
  </si>
  <si>
    <t>Bowering Projects Ltd</t>
  </si>
  <si>
    <t>Asteria Mining-La Minita</t>
  </si>
  <si>
    <t>Gainey Capital Corp</t>
  </si>
  <si>
    <t>Gdv Imports Mexico Sapi De Cv</t>
  </si>
  <si>
    <t>Jaguar Land Rover Holdings Ltd</t>
  </si>
  <si>
    <t>Bazareno Sa De Cv-21 Pawn</t>
  </si>
  <si>
    <t>Localizadora Latam SC</t>
  </si>
  <si>
    <t>Sixsigma Networks Mexico Sa-Co</t>
  </si>
  <si>
    <t>Stevia One Peru SAC</t>
  </si>
  <si>
    <t>Baltisse NV</t>
  </si>
  <si>
    <t>Financiera Confianza SA</t>
  </si>
  <si>
    <t>Fundacion Microfinanzas BBVA</t>
  </si>
  <si>
    <t>Inkia Energy Ltd-Power</t>
  </si>
  <si>
    <t>Inkia Energy Ltd-Carribean &amp;</t>
  </si>
  <si>
    <t>Volcan Cia Minera SAA</t>
  </si>
  <si>
    <t>Gran Tierra Energy Internation</t>
  </si>
  <si>
    <t>Sterling Resources Ltd</t>
  </si>
  <si>
    <t>Torres Unidas del Peru SRL</t>
  </si>
  <si>
    <t>Andean Tower Partners Llc</t>
  </si>
  <si>
    <t>GDP Contribution (milions of $)</t>
  </si>
  <si>
    <t>Aggregated Transaction value (millions of $)</t>
  </si>
  <si>
    <t>Acquirer Nation</t>
  </si>
  <si>
    <t>Acquirer Name</t>
  </si>
  <si>
    <t>Announcement Date</t>
  </si>
  <si>
    <t>Transaction Value ($mil)</t>
  </si>
  <si>
    <t>Acquiror Nation</t>
  </si>
  <si>
    <t>Italic numbers indicate that due to lack of data the sectoral shares of the previous year are taken.</t>
  </si>
  <si>
    <t>Argentina (GDP*)</t>
  </si>
  <si>
    <t>* GDP data in millions of US-$, obtained by IMF</t>
  </si>
  <si>
    <t>Sectoral share data by Statista (2013-2016) and Index-Mundi (2017)</t>
  </si>
  <si>
    <t>Trade Control</t>
  </si>
  <si>
    <t>Imports</t>
  </si>
  <si>
    <t>Exports</t>
  </si>
  <si>
    <t>Target Country &amp; Quarter</t>
  </si>
  <si>
    <t>Legend</t>
  </si>
  <si>
    <t>Thomson Reuters M&amp;A Data</t>
  </si>
  <si>
    <t>Construction Tables</t>
  </si>
  <si>
    <t>Bloomberg Country Risk Assessment</t>
  </si>
  <si>
    <t>Model Tables (Country and Sector Level)</t>
  </si>
  <si>
    <t>These two sheets account for the Thomson Reuters International Merger Database (IMA). On the first sheet, all 2,047 takeovers are presented, whereas the second sheet presents only those acquisitions that are published with their transaction value.</t>
  </si>
  <si>
    <t>Sources: Thomson Reuters International Merger Database (IMA)</t>
  </si>
  <si>
    <t>Sources: Bloomberg CRA</t>
  </si>
  <si>
    <t>These two sheets represent the aggregated tables as used by the statistical programs SPSS (logistic regression) and Gretl (Tobit), on country and sectoral level. Each level sheet includes both the binary variable and the respective M&amp;A intensity measure as well as the independent variables: all risk scores  and the moderator variables. In the "Country" sheet, furthermore, the changes across risk ratings are computed which apply also to the sectoral level.</t>
  </si>
  <si>
    <t>These tables construct figures that are needed for the aggregated tables. The first sheet computes the contribution of each economic sector to the GDP, which is necessary to build the second M&amp;A intensity measure. The last sheet constructs the moderator variable that controls for the country's engagement in foreign trade. Therefore, exports and imports of each country (per year) are summed up and expressed relative to the cross-country average  of this sum.</t>
  </si>
  <si>
    <t>Sources: Thomson Reuters IMA, Bloomberg CRA, World Bank, Damodaran, IMF, Statista, IndexMundi, National Balance of Payment Websites</t>
  </si>
  <si>
    <t>This sheet presents the  four risk scores of the Bloomberg Country Risk Assessment (CRA) for  the 8 countries of observations across all 19 quarters of interest. The respective risk scores are published by the end of each quarter, so the country risk score of March 2013 describes the country risk of the first quarter.</t>
  </si>
  <si>
    <t>This excel file is built in a German version of the program. In contrast to the results from SPSS and Gretl published in the annexes of this thesis, commas and points thus follow the German instead of the international notation. For example, "1,355" describes the value "one point three five five", not thousand three hundred and fifty five, which would be expressed by "1.355" or simply "1355".</t>
  </si>
  <si>
    <t>Sources: Worldbank: Imports of goods and services (BoP, in millions of (current) US-$, National Balance of Payments Websites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</si>
</sst>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
    <numFmt numFmtId="166" formatCode="################.000"/>
    <numFmt numFmtId="167" formatCode="#,###,###,###,###,###.000"/>
    <numFmt numFmtId="168" formatCode="#,###,###,###,###,###.00"/>
    <numFmt numFmtId="169" formatCode="0.0000"/>
    <numFmt numFmtId="170" formatCode="0.0"/>
  </numFmts>
  <fonts count="44">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theme="1"/>
      <name val="Calibri"/>
      <family val="2"/>
      <scheme val="minor"/>
    </font>
    <font>
      <sz val="12"/>
      <color rgb="FF007800"/>
      <name val="Calibri"/>
      <family val="2"/>
      <scheme val="minor"/>
    </font>
    <font>
      <b/>
      <sz val="12"/>
      <color rgb="FF007800"/>
      <name val="Calibri"/>
      <scheme val="minor"/>
    </font>
    <font>
      <i/>
      <sz val="12"/>
      <color theme="1"/>
      <name val="Calibri"/>
      <scheme val="minor"/>
    </font>
    <font>
      <sz val="12"/>
      <color rgb="FFFFFFFF"/>
      <name val="Calibri"/>
      <family val="2"/>
      <scheme val="minor"/>
    </font>
    <font>
      <sz val="10"/>
      <color indexed="8"/>
      <name val="Helvetica Neue"/>
    </font>
    <font>
      <b/>
      <sz val="10"/>
      <color theme="1"/>
      <name val="Helvetica Neue"/>
    </font>
    <font>
      <sz val="10"/>
      <color theme="1"/>
      <name val="Helvetica Neue"/>
    </font>
    <font>
      <b/>
      <sz val="10"/>
      <color rgb="FF000000"/>
      <name val="Helvetica Neue"/>
    </font>
    <font>
      <sz val="11"/>
      <color rgb="FF000000"/>
      <name val="Helvetica"/>
    </font>
    <font>
      <b/>
      <sz val="11"/>
      <color rgb="FF000000"/>
      <name val="Helvetica"/>
    </font>
    <font>
      <sz val="11"/>
      <color theme="1"/>
      <name val="Helvetica"/>
    </font>
    <font>
      <sz val="12"/>
      <color theme="1"/>
      <name val="Helvetica"/>
    </font>
    <font>
      <sz val="11"/>
      <color theme="1"/>
      <name val="Calibri"/>
      <family val="2"/>
      <scheme val="minor"/>
    </font>
    <font>
      <sz val="11"/>
      <color rgb="FF000000"/>
      <name val="Calibri"/>
      <family val="2"/>
      <scheme val="minor"/>
    </font>
    <font>
      <sz val="11"/>
      <color rgb="FF000000"/>
      <name val="Calibri"/>
    </font>
    <font>
      <b/>
      <sz val="11"/>
      <color theme="1"/>
      <name val="Helvetica"/>
    </font>
    <font>
      <sz val="10"/>
      <color rgb="FF000000"/>
      <name val="Helvetica Neue"/>
    </font>
    <font>
      <b/>
      <sz val="11"/>
      <color rgb="FF000000"/>
      <name val="Calibri"/>
      <scheme val="minor"/>
    </font>
    <font>
      <b/>
      <sz val="18"/>
      <color theme="1"/>
      <name val="Calibri"/>
      <family val="2"/>
      <scheme val="minor"/>
    </font>
    <font>
      <sz val="12"/>
      <color rgb="FF000000"/>
      <name val="Helvetica"/>
    </font>
    <font>
      <sz val="12"/>
      <color rgb="FF000000"/>
      <name val="Calibri"/>
    </font>
    <font>
      <b/>
      <sz val="12"/>
      <color theme="1"/>
      <name val="Helvetica"/>
    </font>
    <font>
      <sz val="12"/>
      <color theme="1"/>
      <name val="Calibri"/>
    </font>
    <font>
      <b/>
      <sz val="10"/>
      <color rgb="FF000000"/>
      <name val="Calibri"/>
    </font>
    <font>
      <b/>
      <sz val="8"/>
      <color rgb="FF000000"/>
      <name val="Calibri"/>
    </font>
    <font>
      <sz val="12"/>
      <color rgb="FFFF0000"/>
      <name val="Calibri"/>
    </font>
    <font>
      <sz val="8"/>
      <name val="Calibri"/>
      <family val="2"/>
      <scheme val="minor"/>
    </font>
    <font>
      <b/>
      <sz val="12"/>
      <color theme="1"/>
      <name val="Calibri"/>
    </font>
    <font>
      <b/>
      <sz val="12"/>
      <color rgb="FF000000"/>
      <name val="Calibri"/>
    </font>
    <font>
      <sz val="10"/>
      <color indexed="8"/>
      <name val="Arial"/>
    </font>
    <font>
      <b/>
      <sz val="12"/>
      <color indexed="8"/>
      <name val="Calibri"/>
    </font>
    <font>
      <sz val="12"/>
      <color indexed="8"/>
      <name val="Calibri"/>
    </font>
    <font>
      <sz val="10"/>
      <color theme="1"/>
      <name val="Arial"/>
    </font>
    <font>
      <i/>
      <sz val="12"/>
      <color theme="1"/>
      <name val="Calibri"/>
    </font>
    <font>
      <b/>
      <sz val="12"/>
      <color rgb="FF545454"/>
      <name val="Calibri"/>
    </font>
    <font>
      <sz val="12"/>
      <color theme="1"/>
      <name val="Calibri"/>
      <family val="2"/>
      <scheme val="minor"/>
    </font>
    <font>
      <sz val="12"/>
      <color theme="1"/>
      <name val="Calibri"/>
      <family val="2"/>
    </font>
    <font>
      <sz val="12"/>
      <color indexed="8"/>
      <name val="Calibri"/>
      <family val="2"/>
      <scheme val="minor"/>
    </font>
    <font>
      <sz val="12"/>
      <color rgb="FF000000"/>
      <name val="Calibri"/>
      <family val="2"/>
    </font>
  </fonts>
  <fills count="12">
    <fill>
      <patternFill patternType="none"/>
    </fill>
    <fill>
      <patternFill patternType="gray125"/>
    </fill>
    <fill>
      <patternFill patternType="solid">
        <fgColor theme="0"/>
        <bgColor indexed="64"/>
      </patternFill>
    </fill>
    <fill>
      <patternFill patternType="solid">
        <fgColor indexed="9"/>
        <bgColor auto="1"/>
      </patternFill>
    </fill>
    <fill>
      <patternFill patternType="solid">
        <fgColor theme="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rgb="FF7030A0"/>
        <bgColor indexed="64"/>
      </patternFill>
    </fill>
    <fill>
      <patternFill patternType="solid">
        <fgColor theme="0" tint="-0.249977111117893"/>
        <bgColor indexed="64"/>
      </patternFill>
    </fill>
  </fills>
  <borders count="23">
    <border>
      <left/>
      <right/>
      <top/>
      <bottom/>
      <diagonal/>
    </border>
    <border>
      <left/>
      <right/>
      <top style="medium">
        <color auto="1"/>
      </top>
      <bottom/>
      <diagonal/>
    </border>
    <border>
      <left/>
      <right/>
      <top style="thin">
        <color auto="1"/>
      </top>
      <bottom/>
      <diagonal/>
    </border>
    <border>
      <left/>
      <right/>
      <top/>
      <bottom style="medium">
        <color auto="1"/>
      </bottom>
      <diagonal/>
    </border>
    <border>
      <left style="thin">
        <color theme="6"/>
      </left>
      <right style="thin">
        <color theme="6"/>
      </right>
      <top style="thin">
        <color theme="6"/>
      </top>
      <bottom style="thin">
        <color theme="6"/>
      </bottom>
      <diagonal/>
    </border>
    <border>
      <left style="thin">
        <color theme="2"/>
      </left>
      <right style="thin">
        <color theme="2"/>
      </right>
      <top style="thin">
        <color theme="2"/>
      </top>
      <bottom style="thin">
        <color theme="2"/>
      </bottom>
      <diagonal/>
    </border>
    <border>
      <left style="thin">
        <color rgb="FFE7E6E6"/>
      </left>
      <right style="thin">
        <color rgb="FFE7E6E6"/>
      </right>
      <top style="thin">
        <color rgb="FFE7E6E6"/>
      </top>
      <bottom style="thin">
        <color rgb="FFE7E6E6"/>
      </bottom>
      <diagonal/>
    </border>
    <border>
      <left style="thin">
        <color theme="2"/>
      </left>
      <right style="thin">
        <color theme="2"/>
      </right>
      <top style="thin">
        <color theme="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2"/>
      </left>
      <right style="thin">
        <color theme="2"/>
      </right>
      <top/>
      <bottom style="thin">
        <color them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2"/>
      </right>
      <top style="thin">
        <color theme="2"/>
      </top>
      <bottom style="thin">
        <color theme="2"/>
      </bottom>
      <diagonal/>
    </border>
    <border>
      <left/>
      <right style="thin">
        <color theme="2"/>
      </right>
      <top style="thin">
        <color theme="2"/>
      </top>
      <bottom/>
      <diagonal/>
    </border>
    <border>
      <left/>
      <right style="thin">
        <color theme="2"/>
      </right>
      <top/>
      <bottom style="thin">
        <color theme="2"/>
      </bottom>
      <diagonal/>
    </border>
    <border>
      <left style="thin">
        <color theme="2"/>
      </left>
      <right style="thin">
        <color theme="2"/>
      </right>
      <top/>
      <bottom/>
      <diagonal/>
    </border>
    <border>
      <left style="thin">
        <color theme="2"/>
      </left>
      <right/>
      <top/>
      <bottom style="thin">
        <color theme="2"/>
      </bottom>
      <diagonal/>
    </border>
    <border>
      <left style="thin">
        <color theme="2"/>
      </left>
      <right/>
      <top style="thin">
        <color theme="2"/>
      </top>
      <bottom/>
      <diagonal/>
    </border>
    <border>
      <left style="thin">
        <color theme="2"/>
      </left>
      <right/>
      <top style="thin">
        <color theme="2"/>
      </top>
      <bottom style="thin">
        <color theme="2"/>
      </bottom>
      <diagonal/>
    </border>
    <border>
      <left style="thin">
        <color theme="2"/>
      </left>
      <right/>
      <top/>
      <bottom/>
      <diagonal/>
    </border>
    <border>
      <left style="thin">
        <color theme="0" tint="-0.14999847407452621"/>
      </left>
      <right style="thin">
        <color theme="0" tint="-0.14999847407452621"/>
      </right>
      <top style="thin">
        <color theme="0" tint="-0.14999847407452621"/>
      </top>
      <bottom/>
      <diagonal/>
    </border>
  </borders>
  <cellStyleXfs count="17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9" fillId="0" borderId="0" applyNumberFormat="0" applyFill="0" applyBorder="0" applyProtection="0">
      <alignment vertical="top"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4" fillId="0" borderId="0" applyNumberFormat="0" applyFill="0" applyBorder="0" applyProtection="0"/>
  </cellStyleXfs>
  <cellXfs count="366">
    <xf numFmtId="0" fontId="0" fillId="0" borderId="0" xfId="0"/>
    <xf numFmtId="0" fontId="0" fillId="0" borderId="0" xfId="0" applyFont="1"/>
    <xf numFmtId="1" fontId="0" fillId="0" borderId="0" xfId="0" applyNumberFormat="1"/>
    <xf numFmtId="49" fontId="0" fillId="0" borderId="0" xfId="0" applyNumberFormat="1" applyAlignment="1"/>
    <xf numFmtId="0" fontId="0" fillId="0" borderId="1" xfId="0" applyFont="1" applyBorder="1" applyAlignment="1">
      <alignment horizontal="center"/>
    </xf>
    <xf numFmtId="49" fontId="0" fillId="0" borderId="1" xfId="0" applyNumberFormat="1" applyFont="1" applyBorder="1" applyAlignment="1">
      <alignment horizontal="center"/>
    </xf>
    <xf numFmtId="49" fontId="5" fillId="0" borderId="2" xfId="0" applyNumberFormat="1" applyFont="1" applyBorder="1" applyAlignment="1"/>
    <xf numFmtId="49" fontId="0" fillId="0" borderId="3" xfId="0" applyNumberFormat="1" applyBorder="1" applyAlignment="1"/>
    <xf numFmtId="0" fontId="5" fillId="0" borderId="2" xfId="0" applyNumberFormat="1" applyFont="1" applyBorder="1" applyAlignment="1"/>
    <xf numFmtId="0" fontId="0" fillId="0" borderId="3" xfId="0" applyNumberFormat="1" applyBorder="1" applyAlignment="1"/>
    <xf numFmtId="164" fontId="5" fillId="0" borderId="2" xfId="0" applyNumberFormat="1" applyFont="1" applyBorder="1" applyAlignment="1"/>
    <xf numFmtId="164" fontId="0" fillId="0" borderId="3" xfId="0" applyNumberFormat="1" applyBorder="1" applyAlignment="1"/>
    <xf numFmtId="49" fontId="5" fillId="0" borderId="1" xfId="0" applyNumberFormat="1" applyFont="1" applyBorder="1" applyAlignment="1">
      <alignment horizontal="center"/>
    </xf>
    <xf numFmtId="49" fontId="0" fillId="0" borderId="2" xfId="0" applyNumberFormat="1" applyBorder="1" applyAlignment="1"/>
    <xf numFmtId="49" fontId="5" fillId="0" borderId="3" xfId="0" applyNumberFormat="1" applyFont="1" applyBorder="1" applyAlignment="1"/>
    <xf numFmtId="164" fontId="0" fillId="0" borderId="2" xfId="0" applyNumberFormat="1" applyBorder="1" applyAlignment="1"/>
    <xf numFmtId="164" fontId="5" fillId="0" borderId="3" xfId="0" applyNumberFormat="1" applyFont="1" applyBorder="1" applyAlignment="1"/>
    <xf numFmtId="0" fontId="4" fillId="0" borderId="2" xfId="0" applyNumberFormat="1" applyFont="1" applyBorder="1" applyAlignment="1"/>
    <xf numFmtId="0" fontId="6" fillId="0" borderId="3" xfId="0" applyNumberFormat="1" applyFont="1" applyBorder="1" applyAlignment="1"/>
    <xf numFmtId="0" fontId="4" fillId="0" borderId="0" xfId="0" applyFont="1"/>
    <xf numFmtId="49" fontId="0" fillId="0" borderId="1" xfId="0" applyNumberFormat="1" applyBorder="1" applyAlignment="1"/>
    <xf numFmtId="164" fontId="0" fillId="0" borderId="1" xfId="0" applyNumberFormat="1" applyBorder="1" applyAlignment="1"/>
    <xf numFmtId="164" fontId="0" fillId="0" borderId="0" xfId="0" applyNumberFormat="1" applyAlignment="1"/>
    <xf numFmtId="0" fontId="0" fillId="0" borderId="2" xfId="0" applyNumberFormat="1" applyBorder="1" applyAlignment="1"/>
    <xf numFmtId="0" fontId="0" fillId="0" borderId="0" xfId="0" applyNumberFormat="1" applyAlignment="1"/>
    <xf numFmtId="0" fontId="7" fillId="0" borderId="0" xfId="0" applyFont="1"/>
    <xf numFmtId="164" fontId="5" fillId="0" borderId="0" xfId="0" applyNumberFormat="1" applyFont="1" applyAlignment="1"/>
    <xf numFmtId="0" fontId="4" fillId="0" borderId="0" xfId="0" applyNumberFormat="1" applyFont="1" applyAlignment="1"/>
    <xf numFmtId="0" fontId="0" fillId="0" borderId="0" xfId="0" applyBorder="1"/>
    <xf numFmtId="0" fontId="9" fillId="0" borderId="0" xfId="35" applyFont="1" applyAlignment="1">
      <alignment vertical="top" wrapText="1"/>
    </xf>
    <xf numFmtId="0" fontId="9" fillId="0" borderId="0" xfId="35" applyNumberFormat="1" applyFont="1" applyAlignment="1">
      <alignment vertical="top" wrapText="1"/>
    </xf>
    <xf numFmtId="0" fontId="11" fillId="0" borderId="4" xfId="35" applyNumberFormat="1" applyFont="1" applyBorder="1" applyAlignment="1">
      <alignment vertical="top" wrapText="1"/>
    </xf>
    <xf numFmtId="0" fontId="11" fillId="0" borderId="0" xfId="35" applyNumberFormat="1" applyFont="1" applyAlignment="1">
      <alignment vertical="top" wrapText="1"/>
    </xf>
    <xf numFmtId="0" fontId="11" fillId="0" borderId="0" xfId="35" applyFont="1" applyAlignment="1">
      <alignment vertical="top" wrapText="1"/>
    </xf>
    <xf numFmtId="0" fontId="19" fillId="0" borderId="0" xfId="0" applyFont="1" applyBorder="1"/>
    <xf numFmtId="2" fontId="16" fillId="0" borderId="0" xfId="0" applyNumberFormat="1" applyFont="1" applyBorder="1"/>
    <xf numFmtId="0" fontId="11" fillId="0" borderId="5" xfId="35" applyFont="1" applyBorder="1" applyAlignment="1">
      <alignment vertical="top" wrapText="1"/>
    </xf>
    <xf numFmtId="2" fontId="24" fillId="0" borderId="0" xfId="0" applyNumberFormat="1" applyFont="1" applyBorder="1"/>
    <xf numFmtId="0" fontId="25" fillId="0" borderId="0" xfId="0" applyFont="1" applyBorder="1"/>
    <xf numFmtId="49" fontId="20" fillId="3" borderId="5" xfId="35" applyNumberFormat="1" applyFont="1" applyFill="1" applyBorder="1" applyAlignment="1">
      <alignment horizontal="center" wrapText="1"/>
    </xf>
    <xf numFmtId="0" fontId="20" fillId="0" borderId="5" xfId="0" applyFont="1" applyBorder="1" applyAlignment="1">
      <alignment horizontal="left"/>
    </xf>
    <xf numFmtId="49" fontId="20" fillId="3" borderId="5" xfId="35" applyNumberFormat="1" applyFont="1" applyFill="1" applyBorder="1" applyAlignment="1">
      <alignment wrapText="1"/>
    </xf>
    <xf numFmtId="0" fontId="14" fillId="0" borderId="5" xfId="0" applyFont="1" applyBorder="1" applyAlignment="1">
      <alignment horizontal="right"/>
    </xf>
    <xf numFmtId="0" fontId="20" fillId="0" borderId="5" xfId="35" applyFont="1" applyBorder="1" applyAlignment="1">
      <alignment horizontal="right" wrapText="1"/>
    </xf>
    <xf numFmtId="49" fontId="15" fillId="0" borderId="5" xfId="35" applyNumberFormat="1" applyFont="1" applyBorder="1" applyAlignment="1">
      <alignment horizontal="left" wrapText="1"/>
    </xf>
    <xf numFmtId="0" fontId="0" fillId="0" borderId="5" xfId="0" applyFont="1" applyBorder="1"/>
    <xf numFmtId="0" fontId="17" fillId="0" borderId="5" xfId="0" applyFont="1" applyBorder="1"/>
    <xf numFmtId="0" fontId="15" fillId="0" borderId="5" xfId="35" applyNumberFormat="1" applyFont="1" applyBorder="1" applyAlignment="1">
      <alignment wrapText="1"/>
    </xf>
    <xf numFmtId="0" fontId="15" fillId="0" borderId="5" xfId="35" applyFont="1" applyBorder="1" applyAlignment="1">
      <alignment wrapText="1"/>
    </xf>
    <xf numFmtId="0" fontId="18" fillId="0" borderId="5" xfId="0" applyFont="1" applyBorder="1"/>
    <xf numFmtId="0" fontId="15" fillId="0" borderId="5" xfId="35" applyNumberFormat="1" applyFont="1" applyBorder="1" applyAlignment="1">
      <alignment vertical="top" wrapText="1"/>
    </xf>
    <xf numFmtId="49" fontId="13" fillId="0" borderId="5" xfId="0" applyNumberFormat="1" applyFont="1" applyBorder="1" applyAlignment="1">
      <alignment horizontal="left" wrapText="1"/>
    </xf>
    <xf numFmtId="0" fontId="13" fillId="0" borderId="5" xfId="0" applyFont="1" applyBorder="1"/>
    <xf numFmtId="49" fontId="15" fillId="0" borderId="5" xfId="35" applyNumberFormat="1" applyFont="1" applyBorder="1" applyAlignment="1">
      <alignment wrapText="1"/>
    </xf>
    <xf numFmtId="0" fontId="15" fillId="0" borderId="5" xfId="35" applyFont="1" applyFill="1" applyBorder="1" applyAlignment="1">
      <alignment wrapText="1"/>
    </xf>
    <xf numFmtId="2" fontId="15" fillId="0" borderId="5" xfId="35" applyNumberFormat="1" applyFont="1" applyBorder="1" applyAlignment="1">
      <alignment wrapText="1"/>
    </xf>
    <xf numFmtId="0" fontId="15" fillId="0" borderId="5" xfId="0" applyFont="1" applyBorder="1" applyAlignment="1"/>
    <xf numFmtId="0" fontId="3" fillId="0" borderId="5" xfId="0" applyFont="1" applyBorder="1"/>
    <xf numFmtId="0" fontId="3" fillId="0" borderId="5" xfId="0" applyFont="1" applyFill="1" applyBorder="1"/>
    <xf numFmtId="0" fontId="0" fillId="0" borderId="5" xfId="0" applyBorder="1"/>
    <xf numFmtId="0" fontId="15" fillId="0" borderId="5" xfId="0" applyFont="1" applyBorder="1"/>
    <xf numFmtId="0" fontId="18" fillId="0" borderId="5" xfId="0" applyFont="1" applyFill="1" applyBorder="1"/>
    <xf numFmtId="0" fontId="19" fillId="0" borderId="5" xfId="0" applyFont="1" applyBorder="1"/>
    <xf numFmtId="0" fontId="27" fillId="0" borderId="0" xfId="0" applyFont="1" applyBorder="1"/>
    <xf numFmtId="2" fontId="27" fillId="0" borderId="0" xfId="0" applyNumberFormat="1" applyFont="1" applyBorder="1"/>
    <xf numFmtId="0" fontId="25" fillId="0" borderId="0" xfId="0" applyFont="1" applyFill="1" applyBorder="1"/>
    <xf numFmtId="0" fontId="26" fillId="0" borderId="5" xfId="0" applyFont="1" applyBorder="1" applyAlignment="1">
      <alignment horizontal="left"/>
    </xf>
    <xf numFmtId="0" fontId="10" fillId="0" borderId="0" xfId="35" applyFont="1" applyAlignment="1">
      <alignment wrapText="1"/>
    </xf>
    <xf numFmtId="2" fontId="11" fillId="0" borderId="0" xfId="35" applyNumberFormat="1" applyFont="1" applyAlignment="1">
      <alignment vertical="top" wrapText="1"/>
    </xf>
    <xf numFmtId="0" fontId="19" fillId="0" borderId="7" xfId="0" applyFont="1" applyBorder="1"/>
    <xf numFmtId="2" fontId="26" fillId="0" borderId="0" xfId="0" applyNumberFormat="1" applyFont="1" applyFill="1" applyBorder="1" applyAlignment="1">
      <alignment horizontal="right"/>
    </xf>
    <xf numFmtId="0" fontId="21" fillId="0" borderId="6" xfId="0" applyFont="1" applyBorder="1" applyAlignment="1">
      <alignment vertical="top" wrapText="1"/>
    </xf>
    <xf numFmtId="0" fontId="22" fillId="0" borderId="5" xfId="0" applyFont="1" applyBorder="1"/>
    <xf numFmtId="0" fontId="10" fillId="0" borderId="0" xfId="35" applyFont="1" applyAlignment="1">
      <alignment vertical="top" wrapText="1"/>
    </xf>
    <xf numFmtId="2" fontId="10" fillId="0" borderId="0" xfId="35" applyNumberFormat="1" applyFont="1" applyAlignment="1">
      <alignment vertical="top" wrapText="1"/>
    </xf>
    <xf numFmtId="2" fontId="12" fillId="0" borderId="0" xfId="0" applyNumberFormat="1" applyFont="1" applyAlignment="1">
      <alignment vertical="top" wrapText="1"/>
    </xf>
    <xf numFmtId="0" fontId="12" fillId="0" borderId="0" xfId="0" applyFont="1" applyAlignment="1">
      <alignment vertical="top" wrapText="1"/>
    </xf>
    <xf numFmtId="49" fontId="13" fillId="0" borderId="6" xfId="0" applyNumberFormat="1" applyFont="1" applyBorder="1" applyAlignment="1">
      <alignment horizontal="left" wrapText="1"/>
    </xf>
    <xf numFmtId="2" fontId="10" fillId="0" borderId="0" xfId="35" applyNumberFormat="1" applyFont="1" applyAlignment="1">
      <alignment wrapText="1"/>
    </xf>
    <xf numFmtId="2" fontId="20" fillId="0" borderId="0" xfId="35" applyNumberFormat="1" applyFont="1" applyAlignment="1">
      <alignment wrapText="1"/>
    </xf>
    <xf numFmtId="169" fontId="15" fillId="0" borderId="5" xfId="35" applyNumberFormat="1" applyFont="1" applyBorder="1" applyAlignment="1">
      <alignment wrapText="1"/>
    </xf>
    <xf numFmtId="169" fontId="10" fillId="0" borderId="0" xfId="35" applyNumberFormat="1" applyFont="1" applyAlignment="1">
      <alignment vertical="top" wrapText="1"/>
    </xf>
    <xf numFmtId="2" fontId="24" fillId="0" borderId="0" xfId="0" applyNumberFormat="1" applyFont="1" applyBorder="1" applyAlignment="1">
      <alignment horizontal="center"/>
    </xf>
    <xf numFmtId="2" fontId="16" fillId="0" borderId="0" xfId="0" applyNumberFormat="1" applyFont="1" applyBorder="1" applyAlignment="1">
      <alignment horizontal="center"/>
    </xf>
    <xf numFmtId="0" fontId="27" fillId="0" borderId="0" xfId="0" applyFont="1" applyFill="1" applyBorder="1"/>
    <xf numFmtId="169" fontId="25" fillId="0" borderId="0" xfId="0" applyNumberFormat="1" applyFont="1" applyFill="1" applyBorder="1"/>
    <xf numFmtId="0" fontId="30" fillId="0" borderId="0" xfId="0" applyFont="1" applyFill="1" applyBorder="1" applyAlignment="1">
      <alignment vertical="center" wrapText="1"/>
    </xf>
    <xf numFmtId="164" fontId="27" fillId="0" borderId="0" xfId="0" applyNumberFormat="1" applyFont="1" applyFill="1" applyBorder="1"/>
    <xf numFmtId="2" fontId="27" fillId="0" borderId="0" xfId="0" applyNumberFormat="1" applyFont="1" applyFill="1" applyBorder="1"/>
    <xf numFmtId="169" fontId="27" fillId="0" borderId="0" xfId="0" applyNumberFormat="1" applyFont="1" applyFill="1" applyBorder="1"/>
    <xf numFmtId="0" fontId="27" fillId="4" borderId="0" xfId="0" applyFont="1" applyFill="1" applyBorder="1"/>
    <xf numFmtId="0" fontId="25" fillId="0" borderId="0" xfId="0" applyFont="1" applyFill="1" applyBorder="1" applyAlignment="1">
      <alignment horizontal="left"/>
    </xf>
    <xf numFmtId="0" fontId="27" fillId="0" borderId="0" xfId="0" applyFont="1" applyFill="1" applyBorder="1" applyAlignment="1">
      <alignment horizontal="left"/>
    </xf>
    <xf numFmtId="2" fontId="11" fillId="0" borderId="0" xfId="35" applyNumberFormat="1" applyFont="1" applyAlignment="1">
      <alignment horizontal="center" vertical="top" wrapText="1"/>
    </xf>
    <xf numFmtId="0" fontId="11" fillId="0" borderId="0" xfId="35" applyNumberFormat="1" applyFont="1" applyAlignment="1">
      <alignment horizontal="center" vertical="top" wrapText="1"/>
    </xf>
    <xf numFmtId="0" fontId="0" fillId="0" borderId="0" xfId="0" applyAlignment="1">
      <alignment horizontal="center"/>
    </xf>
    <xf numFmtId="0" fontId="11" fillId="0" borderId="4" xfId="35" applyNumberFormat="1" applyFont="1" applyBorder="1" applyAlignment="1">
      <alignment horizontal="center" vertical="top" wrapText="1"/>
    </xf>
    <xf numFmtId="0" fontId="11" fillId="0" borderId="0" xfId="35" applyFont="1" applyAlignment="1">
      <alignment horizontal="center" vertical="top" wrapText="1"/>
    </xf>
    <xf numFmtId="2" fontId="27" fillId="0" borderId="0" xfId="0" applyNumberFormat="1" applyFont="1" applyBorder="1" applyAlignment="1">
      <alignment horizontal="center"/>
    </xf>
    <xf numFmtId="0" fontId="19" fillId="0" borderId="0" xfId="0" applyFont="1" applyFill="1" applyBorder="1"/>
    <xf numFmtId="0" fontId="0" fillId="0" borderId="0" xfId="0" applyBorder="1" applyAlignment="1">
      <alignment horizontal="center" wrapText="1"/>
    </xf>
    <xf numFmtId="0" fontId="11" fillId="0" borderId="0" xfId="35" applyNumberFormat="1" applyFont="1" applyBorder="1" applyAlignment="1">
      <alignment horizontal="center" vertical="top" wrapText="1"/>
    </xf>
    <xf numFmtId="0" fontId="34" fillId="0" borderId="8" xfId="176" applyNumberFormat="1" applyFont="1" applyBorder="1" applyAlignment="1"/>
    <xf numFmtId="0" fontId="32" fillId="4" borderId="0" xfId="0" applyFont="1" applyFill="1" applyBorder="1" applyAlignment="1">
      <alignment horizontal="left"/>
    </xf>
    <xf numFmtId="0" fontId="27" fillId="0" borderId="0" xfId="0" applyFont="1" applyBorder="1" applyAlignment="1">
      <alignment horizontal="center"/>
    </xf>
    <xf numFmtId="0" fontId="33" fillId="0" borderId="0" xfId="0" applyFont="1" applyFill="1" applyBorder="1" applyAlignment="1">
      <alignment horizontal="left"/>
    </xf>
    <xf numFmtId="0" fontId="33" fillId="0" borderId="0" xfId="0" applyFont="1" applyBorder="1"/>
    <xf numFmtId="17" fontId="33" fillId="0" borderId="0" xfId="0" applyNumberFormat="1" applyFont="1" applyBorder="1"/>
    <xf numFmtId="0" fontId="34" fillId="0" borderId="0" xfId="176" applyNumberFormat="1" applyFont="1" applyBorder="1" applyAlignment="1"/>
    <xf numFmtId="0" fontId="34" fillId="0" borderId="0" xfId="176" applyFont="1" applyBorder="1" applyAlignment="1"/>
    <xf numFmtId="0" fontId="37" fillId="0" borderId="0" xfId="176" applyNumberFormat="1" applyFont="1" applyBorder="1" applyAlignment="1"/>
    <xf numFmtId="49" fontId="32" fillId="3" borderId="10" xfId="35" applyNumberFormat="1" applyFont="1" applyFill="1" applyBorder="1" applyAlignment="1">
      <alignment horizontal="center" wrapText="1"/>
    </xf>
    <xf numFmtId="0" fontId="32" fillId="0" borderId="10" xfId="0" applyFont="1" applyBorder="1" applyAlignment="1">
      <alignment horizontal="center" wrapText="1"/>
    </xf>
    <xf numFmtId="0" fontId="32" fillId="0" borderId="10" xfId="0" applyFont="1" applyBorder="1" applyAlignment="1">
      <alignment horizontal="center"/>
    </xf>
    <xf numFmtId="0" fontId="33" fillId="0" borderId="10" xfId="0" applyFont="1" applyBorder="1" applyAlignment="1">
      <alignment horizontal="center"/>
    </xf>
    <xf numFmtId="0" fontId="32" fillId="0" borderId="10" xfId="35" applyFont="1" applyBorder="1" applyAlignment="1">
      <alignment horizontal="center" wrapText="1"/>
    </xf>
    <xf numFmtId="2" fontId="32" fillId="0" borderId="10" xfId="35" applyNumberFormat="1" applyFont="1" applyBorder="1" applyAlignment="1">
      <alignment horizontal="center" wrapText="1"/>
    </xf>
    <xf numFmtId="2" fontId="32" fillId="0" borderId="10" xfId="0" applyNumberFormat="1" applyFont="1" applyFill="1" applyBorder="1" applyAlignment="1">
      <alignment horizontal="center"/>
    </xf>
    <xf numFmtId="49" fontId="27" fillId="0" borderId="10" xfId="35" applyNumberFormat="1" applyFont="1" applyBorder="1" applyAlignment="1">
      <alignment horizontal="left" wrapText="1"/>
    </xf>
    <xf numFmtId="0" fontId="27" fillId="0" borderId="10" xfId="0" applyFont="1" applyBorder="1" applyAlignment="1">
      <alignment horizontal="center" wrapText="1"/>
    </xf>
    <xf numFmtId="0" fontId="27" fillId="0" borderId="10" xfId="35" applyNumberFormat="1" applyFont="1" applyBorder="1" applyAlignment="1">
      <alignment horizontal="center" wrapText="1"/>
    </xf>
    <xf numFmtId="0" fontId="27" fillId="0" borderId="10" xfId="0" applyFont="1" applyBorder="1" applyAlignment="1">
      <alignment horizontal="center"/>
    </xf>
    <xf numFmtId="0" fontId="27" fillId="0" borderId="10" xfId="35" applyFont="1" applyBorder="1" applyAlignment="1">
      <alignment horizontal="center" wrapText="1"/>
    </xf>
    <xf numFmtId="0" fontId="25" fillId="0" borderId="10" xfId="0" applyFont="1" applyBorder="1" applyAlignment="1">
      <alignment horizontal="center"/>
    </xf>
    <xf numFmtId="0" fontId="27" fillId="0" borderId="10" xfId="35" applyFont="1" applyBorder="1" applyAlignment="1">
      <alignment horizontal="center" vertical="top" wrapText="1"/>
    </xf>
    <xf numFmtId="2" fontId="27" fillId="0" borderId="10" xfId="35" applyNumberFormat="1" applyFont="1" applyBorder="1" applyAlignment="1">
      <alignment horizontal="center" vertical="top" wrapText="1"/>
    </xf>
    <xf numFmtId="2" fontId="25" fillId="0" borderId="10" xfId="0" applyNumberFormat="1" applyFont="1" applyBorder="1" applyAlignment="1">
      <alignment horizontal="center"/>
    </xf>
    <xf numFmtId="2" fontId="27" fillId="0" borderId="10" xfId="0" applyNumberFormat="1" applyFont="1" applyBorder="1" applyAlignment="1">
      <alignment horizontal="center"/>
    </xf>
    <xf numFmtId="0" fontId="27" fillId="0" borderId="10" xfId="35" applyNumberFormat="1" applyFont="1" applyBorder="1" applyAlignment="1">
      <alignment horizontal="center" vertical="top" wrapText="1"/>
    </xf>
    <xf numFmtId="49" fontId="25" fillId="0" borderId="10" xfId="0" applyNumberFormat="1" applyFont="1" applyBorder="1" applyAlignment="1">
      <alignment horizontal="left" wrapText="1"/>
    </xf>
    <xf numFmtId="2" fontId="25" fillId="0" borderId="10" xfId="0" applyNumberFormat="1" applyFont="1" applyBorder="1" applyAlignment="1">
      <alignment horizontal="center" vertical="top" wrapText="1"/>
    </xf>
    <xf numFmtId="0" fontId="27" fillId="0" borderId="10" xfId="35" applyFont="1" applyFill="1" applyBorder="1" applyAlignment="1">
      <alignment horizontal="center" wrapText="1"/>
    </xf>
    <xf numFmtId="2" fontId="27" fillId="0" borderId="10" xfId="35" applyNumberFormat="1" applyFont="1" applyBorder="1" applyAlignment="1">
      <alignment horizontal="center" wrapText="1"/>
    </xf>
    <xf numFmtId="0" fontId="25" fillId="0" borderId="10" xfId="0" applyFont="1" applyBorder="1" applyAlignment="1">
      <alignment horizontal="center" wrapText="1"/>
    </xf>
    <xf numFmtId="0" fontId="25" fillId="0" borderId="10" xfId="0" applyFont="1" applyBorder="1" applyAlignment="1">
      <alignment horizontal="center" vertical="top" wrapText="1"/>
    </xf>
    <xf numFmtId="0" fontId="27" fillId="0" borderId="10" xfId="35" applyFont="1" applyBorder="1" applyAlignment="1">
      <alignment vertical="top" wrapText="1"/>
    </xf>
    <xf numFmtId="169" fontId="27" fillId="0" borderId="10" xfId="35" applyNumberFormat="1" applyFont="1" applyBorder="1" applyAlignment="1">
      <alignment horizontal="center" wrapText="1"/>
    </xf>
    <xf numFmtId="0" fontId="32" fillId="0" borderId="10" xfId="35" applyNumberFormat="1" applyFont="1" applyBorder="1" applyAlignment="1">
      <alignment vertical="top" wrapText="1"/>
    </xf>
    <xf numFmtId="169" fontId="32" fillId="0" borderId="10" xfId="35" applyNumberFormat="1" applyFont="1" applyBorder="1" applyAlignment="1">
      <alignment horizontal="center" vertical="top" wrapText="1"/>
    </xf>
    <xf numFmtId="0" fontId="33" fillId="5" borderId="0" xfId="0" applyFont="1" applyFill="1" applyBorder="1" applyAlignment="1">
      <alignment horizontal="left"/>
    </xf>
    <xf numFmtId="0" fontId="33" fillId="5" borderId="0" xfId="0" applyFont="1" applyFill="1" applyBorder="1" applyAlignment="1">
      <alignment horizontal="right"/>
    </xf>
    <xf numFmtId="0" fontId="32" fillId="5" borderId="0" xfId="0" applyFont="1" applyFill="1" applyBorder="1" applyAlignment="1">
      <alignment horizontal="left"/>
    </xf>
    <xf numFmtId="0" fontId="27" fillId="5" borderId="0" xfId="0" applyFont="1" applyFill="1" applyBorder="1" applyAlignment="1">
      <alignment horizontal="left"/>
    </xf>
    <xf numFmtId="17" fontId="33" fillId="5" borderId="0" xfId="0" applyNumberFormat="1" applyFont="1" applyFill="1" applyBorder="1" applyAlignment="1">
      <alignment horizontal="left"/>
    </xf>
    <xf numFmtId="0" fontId="32" fillId="0" borderId="0" xfId="0" applyFont="1" applyFill="1" applyBorder="1" applyAlignment="1">
      <alignment horizontal="left"/>
    </xf>
    <xf numFmtId="0" fontId="27" fillId="0" borderId="10" xfId="0" applyFont="1" applyFill="1" applyBorder="1" applyAlignment="1">
      <alignment horizontal="left"/>
    </xf>
    <xf numFmtId="0" fontId="33" fillId="0" borderId="0" xfId="0" applyFont="1" applyFill="1" applyBorder="1" applyAlignment="1">
      <alignment horizontal="right"/>
    </xf>
    <xf numFmtId="17" fontId="33" fillId="0" borderId="0" xfId="0" applyNumberFormat="1" applyFont="1" applyFill="1" applyBorder="1" applyAlignment="1">
      <alignment horizontal="left"/>
    </xf>
    <xf numFmtId="0" fontId="32" fillId="6" borderId="0" xfId="0" applyFont="1" applyFill="1" applyBorder="1" applyAlignment="1">
      <alignment horizontal="left"/>
    </xf>
    <xf numFmtId="0" fontId="33" fillId="6" borderId="0" xfId="0" applyFont="1" applyFill="1" applyBorder="1" applyAlignment="1">
      <alignment horizontal="left"/>
    </xf>
    <xf numFmtId="0" fontId="9" fillId="0" borderId="0" xfId="35" applyFont="1" applyBorder="1" applyAlignment="1">
      <alignment vertical="top" wrapText="1"/>
    </xf>
    <xf numFmtId="0" fontId="32" fillId="2" borderId="0" xfId="35" applyFont="1" applyFill="1" applyBorder="1" applyAlignment="1">
      <alignment vertical="top" wrapText="1"/>
    </xf>
    <xf numFmtId="49" fontId="32" fillId="5" borderId="11" xfId="35" applyNumberFormat="1" applyFont="1" applyFill="1" applyBorder="1" applyAlignment="1">
      <alignment horizontal="center" vertical="top" wrapText="1"/>
    </xf>
    <xf numFmtId="49" fontId="32" fillId="5" borderId="10" xfId="35" applyNumberFormat="1" applyFont="1" applyFill="1" applyBorder="1" applyAlignment="1">
      <alignment horizontal="center" vertical="top" wrapText="1"/>
    </xf>
    <xf numFmtId="49" fontId="32" fillId="5" borderId="13" xfId="35" applyNumberFormat="1" applyFont="1" applyFill="1" applyBorder="1" applyAlignment="1">
      <alignment horizontal="center" vertical="top" wrapText="1"/>
    </xf>
    <xf numFmtId="49" fontId="32" fillId="6" borderId="12" xfId="35" applyNumberFormat="1" applyFont="1" applyFill="1" applyBorder="1" applyAlignment="1">
      <alignment vertical="top" wrapText="1"/>
    </xf>
    <xf numFmtId="49" fontId="27" fillId="5" borderId="10" xfId="35" applyNumberFormat="1" applyFont="1" applyFill="1" applyBorder="1" applyAlignment="1">
      <alignment vertical="top" wrapText="1"/>
    </xf>
    <xf numFmtId="49" fontId="32" fillId="6" borderId="10" xfId="35" applyNumberFormat="1" applyFont="1" applyFill="1" applyBorder="1" applyAlignment="1">
      <alignment vertical="top" wrapText="1"/>
    </xf>
    <xf numFmtId="0" fontId="27" fillId="2" borderId="10" xfId="35" applyNumberFormat="1" applyFont="1" applyFill="1" applyBorder="1" applyAlignment="1">
      <alignment horizontal="center" vertical="top" wrapText="1"/>
    </xf>
    <xf numFmtId="0" fontId="38" fillId="2" borderId="10" xfId="35" applyNumberFormat="1" applyFont="1" applyFill="1" applyBorder="1" applyAlignment="1">
      <alignment horizontal="center" vertical="top" wrapText="1"/>
    </xf>
    <xf numFmtId="49" fontId="27" fillId="5" borderId="10" xfId="35" applyNumberFormat="1" applyFont="1" applyFill="1" applyBorder="1" applyAlignment="1">
      <alignment horizontal="left" wrapText="1"/>
    </xf>
    <xf numFmtId="0" fontId="27" fillId="5" borderId="10" xfId="0" applyFont="1" applyFill="1" applyBorder="1" applyAlignment="1">
      <alignment horizontal="center" wrapText="1"/>
    </xf>
    <xf numFmtId="0" fontId="27" fillId="5" borderId="10" xfId="35" applyNumberFormat="1" applyFont="1" applyFill="1" applyBorder="1" applyAlignment="1">
      <alignment horizontal="center" wrapText="1"/>
    </xf>
    <xf numFmtId="0" fontId="27" fillId="5" borderId="10" xfId="0" applyFont="1" applyFill="1" applyBorder="1" applyAlignment="1">
      <alignment horizontal="center"/>
    </xf>
    <xf numFmtId="0" fontId="27" fillId="5" borderId="10" xfId="35" applyFont="1" applyFill="1" applyBorder="1" applyAlignment="1">
      <alignment horizontal="center" wrapText="1"/>
    </xf>
    <xf numFmtId="0" fontId="25" fillId="5" borderId="10" xfId="0" applyFont="1" applyFill="1" applyBorder="1" applyAlignment="1">
      <alignment horizontal="center"/>
    </xf>
    <xf numFmtId="0" fontId="27" fillId="5" borderId="10" xfId="35" applyFont="1" applyFill="1" applyBorder="1" applyAlignment="1">
      <alignment horizontal="center" vertical="top" wrapText="1"/>
    </xf>
    <xf numFmtId="2" fontId="27" fillId="5" borderId="10" xfId="35" applyNumberFormat="1" applyFont="1" applyFill="1" applyBorder="1" applyAlignment="1">
      <alignment horizontal="center" vertical="top" wrapText="1"/>
    </xf>
    <xf numFmtId="2" fontId="25" fillId="5" borderId="10" xfId="0" applyNumberFormat="1" applyFont="1" applyFill="1" applyBorder="1" applyAlignment="1">
      <alignment horizontal="center"/>
    </xf>
    <xf numFmtId="0" fontId="11" fillId="5" borderId="0" xfId="35" applyFont="1" applyFill="1" applyAlignment="1">
      <alignment vertical="top" wrapText="1"/>
    </xf>
    <xf numFmtId="2" fontId="27" fillId="5" borderId="10" xfId="0" applyNumberFormat="1" applyFont="1" applyFill="1" applyBorder="1" applyAlignment="1">
      <alignment horizontal="center"/>
    </xf>
    <xf numFmtId="0" fontId="27" fillId="5" borderId="10" xfId="35" applyNumberFormat="1" applyFont="1" applyFill="1" applyBorder="1" applyAlignment="1">
      <alignment horizontal="center" vertical="top" wrapText="1"/>
    </xf>
    <xf numFmtId="2" fontId="25" fillId="5" borderId="10" xfId="0" applyNumberFormat="1" applyFont="1" applyFill="1" applyBorder="1" applyAlignment="1">
      <alignment horizontal="center" vertical="top" wrapText="1"/>
    </xf>
    <xf numFmtId="49" fontId="27" fillId="5" borderId="10" xfId="35" applyNumberFormat="1" applyFont="1" applyFill="1" applyBorder="1" applyAlignment="1">
      <alignment wrapText="1"/>
    </xf>
    <xf numFmtId="2" fontId="27" fillId="5" borderId="10" xfId="35" applyNumberFormat="1" applyFont="1" applyFill="1" applyBorder="1" applyAlignment="1">
      <alignment horizontal="center" wrapText="1"/>
    </xf>
    <xf numFmtId="49" fontId="25" fillId="5" borderId="10" xfId="0" applyNumberFormat="1" applyFont="1" applyFill="1" applyBorder="1" applyAlignment="1">
      <alignment horizontal="left" wrapText="1"/>
    </xf>
    <xf numFmtId="0" fontId="25" fillId="5" borderId="10" xfId="0" applyFont="1" applyFill="1" applyBorder="1" applyAlignment="1">
      <alignment horizontal="center" wrapText="1"/>
    </xf>
    <xf numFmtId="0" fontId="25" fillId="5" borderId="10" xfId="0" applyFont="1" applyFill="1" applyBorder="1" applyAlignment="1">
      <alignment horizontal="center" vertical="top" wrapText="1"/>
    </xf>
    <xf numFmtId="0" fontId="27" fillId="5" borderId="10" xfId="35" applyFont="1" applyFill="1" applyBorder="1" applyAlignment="1">
      <alignment vertical="top" wrapText="1"/>
    </xf>
    <xf numFmtId="49" fontId="27" fillId="6" borderId="10" xfId="35" applyNumberFormat="1" applyFont="1" applyFill="1" applyBorder="1" applyAlignment="1">
      <alignment horizontal="left" wrapText="1"/>
    </xf>
    <xf numFmtId="0" fontId="27" fillId="6" borderId="10" xfId="0" applyFont="1" applyFill="1" applyBorder="1" applyAlignment="1">
      <alignment horizontal="center" wrapText="1"/>
    </xf>
    <xf numFmtId="0" fontId="27" fillId="6" borderId="10" xfId="35" applyNumberFormat="1" applyFont="1" applyFill="1" applyBorder="1" applyAlignment="1">
      <alignment horizontal="center" wrapText="1"/>
    </xf>
    <xf numFmtId="0" fontId="27" fillId="6" borderId="10" xfId="0" applyFont="1" applyFill="1" applyBorder="1" applyAlignment="1">
      <alignment horizontal="center"/>
    </xf>
    <xf numFmtId="0" fontId="27" fillId="6" borderId="10" xfId="35" applyFont="1" applyFill="1" applyBorder="1" applyAlignment="1">
      <alignment horizontal="center" wrapText="1"/>
    </xf>
    <xf numFmtId="0" fontId="25" fillId="6" borderId="10" xfId="0" applyFont="1" applyFill="1" applyBorder="1" applyAlignment="1">
      <alignment horizontal="center"/>
    </xf>
    <xf numFmtId="0" fontId="27" fillId="6" borderId="10" xfId="35" applyFont="1" applyFill="1" applyBorder="1" applyAlignment="1">
      <alignment horizontal="center" vertical="top" wrapText="1"/>
    </xf>
    <xf numFmtId="2" fontId="27" fillId="6" borderId="10" xfId="35" applyNumberFormat="1" applyFont="1" applyFill="1" applyBorder="1" applyAlignment="1">
      <alignment horizontal="center" vertical="top" wrapText="1"/>
    </xf>
    <xf numFmtId="2" fontId="25" fillId="6" borderId="10" xfId="0" applyNumberFormat="1" applyFont="1" applyFill="1" applyBorder="1" applyAlignment="1">
      <alignment horizontal="center"/>
    </xf>
    <xf numFmtId="0" fontId="11" fillId="6" borderId="0" xfId="35" applyFont="1" applyFill="1" applyAlignment="1">
      <alignment vertical="top" wrapText="1"/>
    </xf>
    <xf numFmtId="2" fontId="27" fillId="6" borderId="10" xfId="0" applyNumberFormat="1" applyFont="1" applyFill="1" applyBorder="1" applyAlignment="1">
      <alignment horizontal="center"/>
    </xf>
    <xf numFmtId="49" fontId="25" fillId="6" borderId="10" xfId="0" applyNumberFormat="1" applyFont="1" applyFill="1" applyBorder="1" applyAlignment="1">
      <alignment horizontal="left" wrapText="1"/>
    </xf>
    <xf numFmtId="2" fontId="25" fillId="6" borderId="10" xfId="0" applyNumberFormat="1" applyFont="1" applyFill="1" applyBorder="1" applyAlignment="1">
      <alignment horizontal="center" vertical="top" wrapText="1"/>
    </xf>
    <xf numFmtId="2" fontId="27" fillId="6" borderId="10" xfId="35" applyNumberFormat="1" applyFont="1" applyFill="1" applyBorder="1" applyAlignment="1">
      <alignment horizontal="center" wrapText="1"/>
    </xf>
    <xf numFmtId="0" fontId="25" fillId="6" borderId="10" xfId="0" applyFont="1" applyFill="1" applyBorder="1" applyAlignment="1">
      <alignment horizontal="center" wrapText="1"/>
    </xf>
    <xf numFmtId="0" fontId="25" fillId="6" borderId="10" xfId="0" applyFont="1" applyFill="1" applyBorder="1" applyAlignment="1">
      <alignment horizontal="center" vertical="top" wrapText="1"/>
    </xf>
    <xf numFmtId="0" fontId="27" fillId="6" borderId="10" xfId="35" applyFont="1" applyFill="1" applyBorder="1" applyAlignment="1">
      <alignment vertical="top" wrapText="1"/>
    </xf>
    <xf numFmtId="0" fontId="29" fillId="0" borderId="0" xfId="0" applyFont="1" applyFill="1" applyBorder="1"/>
    <xf numFmtId="2" fontId="27" fillId="0" borderId="5" xfId="35" applyNumberFormat="1" applyFont="1" applyFill="1" applyBorder="1" applyAlignment="1">
      <alignment horizontal="center" vertical="center" wrapText="1"/>
    </xf>
    <xf numFmtId="2" fontId="27" fillId="6" borderId="5" xfId="35" applyNumberFormat="1" applyFont="1" applyFill="1" applyBorder="1" applyAlignment="1">
      <alignment horizontal="center" vertical="center" wrapText="1"/>
    </xf>
    <xf numFmtId="2" fontId="27" fillId="0" borderId="14" xfId="35" applyNumberFormat="1" applyFont="1" applyFill="1" applyBorder="1" applyAlignment="1">
      <alignment horizontal="center" vertical="center" wrapText="1"/>
    </xf>
    <xf numFmtId="49" fontId="32" fillId="5" borderId="0" xfId="35" applyNumberFormat="1" applyFont="1" applyFill="1" applyBorder="1" applyAlignment="1">
      <alignment horizontal="center" vertical="center" wrapText="1"/>
    </xf>
    <xf numFmtId="2" fontId="27" fillId="0" borderId="15" xfId="35" applyNumberFormat="1" applyFont="1" applyFill="1" applyBorder="1" applyAlignment="1">
      <alignment horizontal="center" vertical="center" wrapText="1"/>
    </xf>
    <xf numFmtId="2" fontId="27" fillId="0" borderId="7" xfId="35" applyNumberFormat="1" applyFont="1" applyFill="1" applyBorder="1" applyAlignment="1">
      <alignment horizontal="center" vertical="center" wrapText="1"/>
    </xf>
    <xf numFmtId="2" fontId="27" fillId="0" borderId="9" xfId="35" applyNumberFormat="1" applyFont="1" applyFill="1" applyBorder="1" applyAlignment="1">
      <alignment horizontal="center" vertical="center" wrapText="1"/>
    </xf>
    <xf numFmtId="2" fontId="27" fillId="5" borderId="0" xfId="35" applyNumberFormat="1" applyFont="1" applyFill="1" applyBorder="1" applyAlignment="1">
      <alignment horizontal="center" vertical="center" wrapText="1"/>
    </xf>
    <xf numFmtId="49" fontId="32" fillId="6" borderId="5" xfId="35" applyNumberFormat="1" applyFont="1" applyFill="1" applyBorder="1" applyAlignment="1">
      <alignment horizontal="center" vertical="center" wrapText="1"/>
    </xf>
    <xf numFmtId="49" fontId="32" fillId="6" borderId="0" xfId="35" applyNumberFormat="1" applyFont="1" applyFill="1" applyBorder="1" applyAlignment="1">
      <alignment horizontal="center" vertical="center" wrapText="1"/>
    </xf>
    <xf numFmtId="2" fontId="38" fillId="0" borderId="9" xfId="35" applyNumberFormat="1" applyFont="1" applyFill="1" applyBorder="1" applyAlignment="1">
      <alignment horizontal="center" vertical="center" wrapText="1"/>
    </xf>
    <xf numFmtId="2" fontId="27" fillId="0" borderId="16" xfId="35" applyNumberFormat="1" applyFont="1" applyFill="1" applyBorder="1" applyAlignment="1">
      <alignment horizontal="center" vertical="center" wrapText="1"/>
    </xf>
    <xf numFmtId="2" fontId="32" fillId="6" borderId="0" xfId="35" applyNumberFormat="1" applyFont="1" applyFill="1" applyBorder="1" applyAlignment="1">
      <alignment horizontal="center" vertical="center" wrapText="1"/>
    </xf>
    <xf numFmtId="2" fontId="27" fillId="6" borderId="0" xfId="35" applyNumberFormat="1" applyFont="1" applyFill="1" applyBorder="1" applyAlignment="1">
      <alignment horizontal="center" vertical="center" wrapText="1"/>
    </xf>
    <xf numFmtId="0" fontId="32" fillId="6" borderId="0" xfId="35" applyFont="1" applyFill="1" applyBorder="1" applyAlignment="1">
      <alignment horizontal="center" vertical="center" wrapText="1"/>
    </xf>
    <xf numFmtId="0" fontId="27" fillId="0" borderId="5" xfId="35" applyFont="1" applyBorder="1" applyAlignment="1">
      <alignment vertical="top" wrapText="1"/>
    </xf>
    <xf numFmtId="0" fontId="27" fillId="0" borderId="5" xfId="35" applyNumberFormat="1" applyFont="1" applyBorder="1" applyAlignment="1">
      <alignment vertical="top" wrapText="1"/>
    </xf>
    <xf numFmtId="0" fontId="27" fillId="6" borderId="5" xfId="35" applyFont="1" applyFill="1" applyBorder="1" applyAlignment="1">
      <alignment vertical="top" wrapText="1"/>
    </xf>
    <xf numFmtId="2" fontId="27" fillId="0" borderId="17" xfId="35" applyNumberFormat="1" applyFont="1" applyFill="1" applyBorder="1" applyAlignment="1">
      <alignment horizontal="center" vertical="top" wrapText="1"/>
    </xf>
    <xf numFmtId="49" fontId="32" fillId="5" borderId="0" xfId="35" applyNumberFormat="1" applyFont="1" applyFill="1" applyBorder="1" applyAlignment="1">
      <alignment vertical="top" wrapText="1"/>
    </xf>
    <xf numFmtId="2" fontId="32" fillId="5" borderId="0" xfId="35" applyNumberFormat="1" applyFont="1" applyFill="1" applyBorder="1" applyAlignment="1">
      <alignment horizontal="center" vertical="top" wrapText="1"/>
    </xf>
    <xf numFmtId="0" fontId="27" fillId="0" borderId="5" xfId="35" applyFont="1" applyFill="1" applyBorder="1" applyAlignment="1">
      <alignment vertical="top" wrapText="1"/>
    </xf>
    <xf numFmtId="0" fontId="32" fillId="5" borderId="0" xfId="0" applyFont="1" applyFill="1" applyBorder="1" applyAlignment="1">
      <alignment horizontal="center" vertical="center"/>
    </xf>
    <xf numFmtId="0" fontId="32" fillId="5" borderId="0" xfId="0" applyFont="1" applyFill="1" applyAlignment="1">
      <alignment horizontal="center" vertical="center"/>
    </xf>
    <xf numFmtId="0" fontId="32" fillId="6" borderId="0" xfId="0" applyFont="1" applyFill="1" applyBorder="1" applyAlignment="1">
      <alignment horizontal="center" vertical="center"/>
    </xf>
    <xf numFmtId="0" fontId="32" fillId="6" borderId="0" xfId="0" applyFont="1" applyFill="1" applyAlignment="1">
      <alignment horizontal="center" vertical="center"/>
    </xf>
    <xf numFmtId="0" fontId="39" fillId="0" borderId="0" xfId="0" applyFont="1" applyFill="1"/>
    <xf numFmtId="0" fontId="32" fillId="0" borderId="5" xfId="35" applyNumberFormat="1" applyFont="1" applyFill="1" applyBorder="1" applyAlignment="1">
      <alignment vertical="top" wrapText="1"/>
    </xf>
    <xf numFmtId="2" fontId="34" fillId="0" borderId="0" xfId="176" applyNumberFormat="1" applyFont="1" applyBorder="1" applyAlignment="1"/>
    <xf numFmtId="2" fontId="9" fillId="0" borderId="0" xfId="35" applyNumberFormat="1" applyFont="1" applyAlignment="1">
      <alignment vertical="top" wrapText="1"/>
    </xf>
    <xf numFmtId="0" fontId="0" fillId="7" borderId="0" xfId="0" applyFill="1"/>
    <xf numFmtId="0" fontId="0" fillId="8" borderId="0" xfId="0" applyFill="1"/>
    <xf numFmtId="0" fontId="23" fillId="0" borderId="0" xfId="0" applyFont="1"/>
    <xf numFmtId="49" fontId="0" fillId="0" borderId="0" xfId="0" applyNumberFormat="1" applyAlignment="1">
      <alignment wrapText="1"/>
    </xf>
    <xf numFmtId="0" fontId="0" fillId="9" borderId="0" xfId="0" applyFill="1"/>
    <xf numFmtId="0" fontId="0" fillId="0" borderId="0" xfId="0" applyAlignment="1">
      <alignment wrapText="1"/>
    </xf>
    <xf numFmtId="0" fontId="0" fillId="10" borderId="0" xfId="0" applyFill="1"/>
    <xf numFmtId="0" fontId="9" fillId="0" borderId="0" xfId="35" applyNumberFormat="1" applyFont="1" applyBorder="1" applyAlignment="1">
      <alignment vertical="top" wrapText="1"/>
    </xf>
    <xf numFmtId="2" fontId="9" fillId="0" borderId="0" xfId="35" applyNumberFormat="1" applyFont="1" applyBorder="1" applyAlignment="1">
      <alignment vertical="top" wrapText="1"/>
    </xf>
    <xf numFmtId="49" fontId="32" fillId="0" borderId="0" xfId="35" applyNumberFormat="1" applyFont="1" applyFill="1" applyBorder="1" applyAlignment="1">
      <alignment vertical="top" wrapText="1"/>
    </xf>
    <xf numFmtId="2" fontId="32" fillId="0" borderId="0" xfId="35" applyNumberFormat="1" applyFont="1" applyFill="1" applyBorder="1" applyAlignment="1">
      <alignment horizontal="center" vertical="top" wrapText="1"/>
    </xf>
    <xf numFmtId="0" fontId="32" fillId="6" borderId="10" xfId="35" applyNumberFormat="1" applyFont="1" applyFill="1" applyBorder="1" applyAlignment="1">
      <alignment horizontal="center" vertical="top" wrapText="1"/>
    </xf>
    <xf numFmtId="0" fontId="27" fillId="6" borderId="10" xfId="35" applyFont="1" applyFill="1" applyBorder="1" applyAlignment="1">
      <alignment horizontal="center" vertical="top" wrapText="1"/>
    </xf>
    <xf numFmtId="0" fontId="27" fillId="6" borderId="13" xfId="35" applyFont="1" applyFill="1" applyBorder="1" applyAlignment="1">
      <alignment horizontal="center" vertical="top" wrapText="1"/>
    </xf>
    <xf numFmtId="0" fontId="32" fillId="0" borderId="10" xfId="35" applyNumberFormat="1" applyFont="1" applyFill="1" applyBorder="1" applyAlignment="1">
      <alignment horizontal="center" vertical="top" wrapText="1"/>
    </xf>
    <xf numFmtId="0" fontId="32" fillId="0" borderId="10" xfId="35" applyFont="1" applyFill="1" applyBorder="1" applyAlignment="1">
      <alignment vertical="top" wrapText="1"/>
    </xf>
    <xf numFmtId="0" fontId="32" fillId="0" borderId="13" xfId="35" applyFont="1" applyFill="1" applyBorder="1" applyAlignment="1">
      <alignment vertical="top" wrapText="1"/>
    </xf>
    <xf numFmtId="0" fontId="32" fillId="0" borderId="11" xfId="35" applyNumberFormat="1" applyFont="1" applyFill="1" applyBorder="1" applyAlignment="1">
      <alignment horizontal="center" vertical="top" wrapText="1"/>
    </xf>
    <xf numFmtId="3" fontId="32" fillId="6" borderId="10" xfId="35" applyNumberFormat="1" applyFont="1" applyFill="1" applyBorder="1" applyAlignment="1">
      <alignment horizontal="center" vertical="top" wrapText="1"/>
    </xf>
    <xf numFmtId="0" fontId="32" fillId="6" borderId="0" xfId="35" applyNumberFormat="1" applyFont="1" applyFill="1" applyBorder="1" applyAlignment="1">
      <alignment horizontal="center" vertical="center" wrapText="1"/>
    </xf>
    <xf numFmtId="0" fontId="32" fillId="6" borderId="0" xfId="35" applyFont="1" applyFill="1" applyBorder="1" applyAlignment="1">
      <alignment horizontal="center" vertical="center" wrapText="1"/>
    </xf>
    <xf numFmtId="49" fontId="35" fillId="5" borderId="10" xfId="176" applyNumberFormat="1" applyFont="1" applyFill="1" applyBorder="1" applyAlignment="1">
      <alignment vertical="top" wrapText="1"/>
    </xf>
    <xf numFmtId="49" fontId="32" fillId="5" borderId="10" xfId="176" applyNumberFormat="1" applyFont="1" applyFill="1" applyBorder="1" applyAlignment="1">
      <alignment vertical="top" wrapText="1"/>
    </xf>
    <xf numFmtId="2" fontId="35" fillId="5" borderId="10" xfId="176" applyNumberFormat="1" applyFont="1" applyFill="1" applyBorder="1" applyAlignment="1">
      <alignment vertical="top" wrapText="1"/>
    </xf>
    <xf numFmtId="49" fontId="36" fillId="6" borderId="10" xfId="176" applyNumberFormat="1" applyFont="1" applyFill="1" applyBorder="1" applyAlignment="1">
      <alignment vertical="top" wrapText="1"/>
    </xf>
    <xf numFmtId="49" fontId="36" fillId="3" borderId="10" xfId="176" applyNumberFormat="1" applyFont="1" applyFill="1" applyBorder="1" applyAlignment="1">
      <alignment vertical="top" wrapText="1"/>
    </xf>
    <xf numFmtId="165" fontId="36" fillId="3" borderId="10" xfId="176" applyNumberFormat="1" applyFont="1" applyFill="1" applyBorder="1" applyAlignment="1">
      <alignment vertical="top" wrapText="1"/>
    </xf>
    <xf numFmtId="49" fontId="27" fillId="3" borderId="10" xfId="176" applyNumberFormat="1" applyFont="1" applyFill="1" applyBorder="1" applyAlignment="1">
      <alignment vertical="top" wrapText="1"/>
    </xf>
    <xf numFmtId="2" fontId="36" fillId="3" borderId="10" xfId="176" applyNumberFormat="1" applyFont="1" applyFill="1" applyBorder="1" applyAlignment="1">
      <alignment vertical="top" wrapText="1"/>
    </xf>
    <xf numFmtId="0" fontId="36" fillId="3" borderId="10" xfId="176" applyFont="1" applyFill="1" applyBorder="1" applyAlignment="1">
      <alignment vertical="top" wrapText="1"/>
    </xf>
    <xf numFmtId="166" fontId="36" fillId="3" borderId="10" xfId="176" applyNumberFormat="1" applyFont="1" applyFill="1" applyBorder="1" applyAlignment="1">
      <alignment vertical="top" wrapText="1"/>
    </xf>
    <xf numFmtId="168" fontId="36" fillId="3" borderId="10" xfId="176" applyNumberFormat="1" applyFont="1" applyFill="1" applyBorder="1" applyAlignment="1">
      <alignment vertical="top" wrapText="1"/>
    </xf>
    <xf numFmtId="167" fontId="36" fillId="3" borderId="10" xfId="176" applyNumberFormat="1" applyFont="1" applyFill="1" applyBorder="1" applyAlignment="1">
      <alignment vertical="top" wrapText="1"/>
    </xf>
    <xf numFmtId="0" fontId="27" fillId="0" borderId="14" xfId="35" applyFont="1" applyBorder="1" applyAlignment="1">
      <alignment vertical="top" wrapText="1"/>
    </xf>
    <xf numFmtId="0" fontId="27" fillId="0" borderId="17" xfId="35" applyFont="1" applyFill="1" applyBorder="1" applyAlignment="1">
      <alignment vertical="top" wrapText="1"/>
    </xf>
    <xf numFmtId="0" fontId="32" fillId="0" borderId="9" xfId="35" applyNumberFormat="1" applyFont="1" applyFill="1" applyBorder="1" applyAlignment="1">
      <alignment vertical="top" wrapText="1"/>
    </xf>
    <xf numFmtId="0" fontId="27" fillId="0" borderId="9" xfId="35" applyNumberFormat="1" applyFont="1" applyBorder="1" applyAlignment="1">
      <alignment vertical="top" wrapText="1"/>
    </xf>
    <xf numFmtId="49" fontId="27" fillId="0" borderId="0" xfId="35" applyNumberFormat="1" applyFont="1" applyFill="1" applyBorder="1" applyAlignment="1">
      <alignment horizontal="left" vertical="top" wrapText="1"/>
    </xf>
    <xf numFmtId="49" fontId="27" fillId="0" borderId="0" xfId="35" applyNumberFormat="1" applyFont="1" applyFill="1" applyBorder="1" applyAlignment="1">
      <alignment vertical="top" wrapText="1"/>
    </xf>
    <xf numFmtId="0" fontId="27" fillId="0" borderId="0" xfId="35" applyFont="1" applyFill="1" applyBorder="1" applyAlignment="1">
      <alignment vertical="top" wrapText="1"/>
    </xf>
    <xf numFmtId="0" fontId="27" fillId="0" borderId="0" xfId="35" applyNumberFormat="1" applyFont="1" applyFill="1" applyBorder="1" applyAlignment="1">
      <alignment vertical="top" wrapText="1"/>
    </xf>
    <xf numFmtId="0" fontId="32" fillId="0" borderId="0" xfId="35" applyFont="1" applyFill="1" applyBorder="1" applyAlignment="1">
      <alignment vertical="top" wrapText="1"/>
    </xf>
    <xf numFmtId="0" fontId="32" fillId="0" borderId="0" xfId="35" applyNumberFormat="1" applyFont="1" applyFill="1" applyBorder="1" applyAlignment="1">
      <alignment vertical="top" wrapText="1"/>
    </xf>
    <xf numFmtId="0" fontId="27" fillId="0" borderId="0" xfId="35" applyNumberFormat="1" applyFont="1" applyBorder="1" applyAlignment="1">
      <alignment vertical="top" wrapText="1"/>
    </xf>
    <xf numFmtId="2" fontId="27" fillId="0" borderId="18" xfId="35" applyNumberFormat="1" applyFont="1" applyFill="1" applyBorder="1" applyAlignment="1">
      <alignment horizontal="center" vertical="center" wrapText="1"/>
    </xf>
    <xf numFmtId="2" fontId="27" fillId="0" borderId="19" xfId="35" applyNumberFormat="1" applyFont="1" applyFill="1" applyBorder="1" applyAlignment="1">
      <alignment horizontal="center" vertical="center" wrapText="1"/>
    </xf>
    <xf numFmtId="2" fontId="27" fillId="0" borderId="20" xfId="35" applyNumberFormat="1" applyFont="1" applyFill="1" applyBorder="1" applyAlignment="1">
      <alignment horizontal="center" vertical="center" wrapText="1"/>
    </xf>
    <xf numFmtId="2" fontId="27" fillId="6" borderId="20" xfId="35" applyNumberFormat="1" applyFont="1" applyFill="1" applyBorder="1" applyAlignment="1">
      <alignment horizontal="center" vertical="center" wrapText="1"/>
    </xf>
    <xf numFmtId="2" fontId="38" fillId="0" borderId="18" xfId="35" applyNumberFormat="1" applyFont="1" applyFill="1" applyBorder="1" applyAlignment="1">
      <alignment horizontal="center" vertical="center" wrapText="1"/>
    </xf>
    <xf numFmtId="2" fontId="32" fillId="0" borderId="19" xfId="35" applyNumberFormat="1" applyFont="1" applyFill="1" applyBorder="1" applyAlignment="1">
      <alignment horizontal="center" vertical="center" wrapText="1"/>
    </xf>
    <xf numFmtId="2" fontId="27" fillId="0" borderId="21" xfId="35" applyNumberFormat="1" applyFont="1" applyFill="1" applyBorder="1" applyAlignment="1">
      <alignment horizontal="center" vertical="top" wrapText="1"/>
    </xf>
    <xf numFmtId="0" fontId="27" fillId="0" borderId="21" xfId="35" applyFont="1" applyFill="1" applyBorder="1" applyAlignment="1">
      <alignment vertical="top" wrapText="1"/>
    </xf>
    <xf numFmtId="0" fontId="27" fillId="6" borderId="14" xfId="35" applyFont="1" applyFill="1" applyBorder="1" applyAlignment="1">
      <alignment vertical="top" wrapText="1"/>
    </xf>
    <xf numFmtId="0" fontId="27" fillId="0" borderId="14" xfId="35" applyFont="1" applyFill="1" applyBorder="1" applyAlignment="1">
      <alignment vertical="top" wrapText="1"/>
    </xf>
    <xf numFmtId="0" fontId="27" fillId="0" borderId="16" xfId="35" applyFont="1" applyBorder="1" applyAlignment="1">
      <alignment vertical="top" wrapText="1"/>
    </xf>
    <xf numFmtId="0" fontId="27" fillId="0" borderId="9" xfId="35" applyFont="1" applyBorder="1" applyAlignment="1">
      <alignment vertical="top" wrapText="1"/>
    </xf>
    <xf numFmtId="0" fontId="27" fillId="0" borderId="0" xfId="35" applyFont="1" applyBorder="1" applyAlignment="1">
      <alignment vertical="top" wrapText="1"/>
    </xf>
    <xf numFmtId="0" fontId="27" fillId="6" borderId="0" xfId="35" applyFont="1" applyFill="1" applyBorder="1" applyAlignment="1">
      <alignment vertical="top" wrapText="1"/>
    </xf>
    <xf numFmtId="49" fontId="27" fillId="2" borderId="0" xfId="35" applyNumberFormat="1" applyFont="1" applyFill="1" applyBorder="1" applyAlignment="1">
      <alignment wrapText="1"/>
    </xf>
    <xf numFmtId="0" fontId="38" fillId="2" borderId="0" xfId="35" applyFont="1" applyFill="1" applyBorder="1" applyAlignment="1">
      <alignment wrapText="1"/>
    </xf>
    <xf numFmtId="0" fontId="27" fillId="2" borderId="0" xfId="35" applyFont="1" applyFill="1" applyBorder="1" applyAlignment="1">
      <alignment vertical="top" wrapText="1"/>
    </xf>
    <xf numFmtId="0" fontId="38" fillId="2" borderId="0" xfId="35" applyFont="1" applyFill="1" applyBorder="1" applyAlignment="1">
      <alignment vertical="top" wrapText="1"/>
    </xf>
    <xf numFmtId="49" fontId="38" fillId="2" borderId="0" xfId="35" applyNumberFormat="1" applyFont="1" applyFill="1" applyBorder="1" applyAlignment="1">
      <alignment vertical="top" wrapText="1"/>
    </xf>
    <xf numFmtId="0" fontId="32" fillId="4" borderId="10" xfId="0" applyFont="1" applyFill="1" applyBorder="1" applyAlignment="1">
      <alignment horizontal="left"/>
    </xf>
    <xf numFmtId="0" fontId="33" fillId="4" borderId="10" xfId="0" applyFont="1" applyFill="1" applyBorder="1" applyAlignment="1">
      <alignment horizontal="center"/>
    </xf>
    <xf numFmtId="0" fontId="32" fillId="4" borderId="10" xfId="0" applyFont="1" applyFill="1" applyBorder="1" applyAlignment="1">
      <alignment horizontal="center"/>
    </xf>
    <xf numFmtId="169" fontId="32" fillId="4" borderId="10" xfId="0" applyNumberFormat="1" applyFont="1" applyFill="1" applyBorder="1" applyAlignment="1">
      <alignment horizontal="center"/>
    </xf>
    <xf numFmtId="164" fontId="32" fillId="4" borderId="10" xfId="0" applyNumberFormat="1" applyFont="1" applyFill="1" applyBorder="1" applyAlignment="1">
      <alignment horizontal="center"/>
    </xf>
    <xf numFmtId="2" fontId="32" fillId="4" borderId="10" xfId="0" applyNumberFormat="1" applyFont="1" applyFill="1" applyBorder="1" applyAlignment="1">
      <alignment horizontal="center"/>
    </xf>
    <xf numFmtId="0" fontId="27" fillId="5" borderId="10" xfId="0" applyFont="1" applyFill="1" applyBorder="1" applyAlignment="1">
      <alignment horizontal="left"/>
    </xf>
    <xf numFmtId="169" fontId="25" fillId="5" borderId="10" xfId="0" applyNumberFormat="1" applyFont="1" applyFill="1" applyBorder="1" applyAlignment="1">
      <alignment horizontal="center"/>
    </xf>
    <xf numFmtId="0" fontId="27" fillId="5" borderId="10" xfId="0" applyFont="1" applyFill="1" applyBorder="1" applyAlignment="1">
      <alignment horizontal="center" vertical="center" wrapText="1"/>
    </xf>
    <xf numFmtId="164" fontId="25" fillId="5" borderId="10" xfId="0" applyNumberFormat="1" applyFont="1" applyFill="1" applyBorder="1" applyAlignment="1">
      <alignment horizontal="center"/>
    </xf>
    <xf numFmtId="0" fontId="25" fillId="0" borderId="10" xfId="0" applyFont="1" applyFill="1" applyBorder="1" applyAlignment="1">
      <alignment horizontal="center"/>
    </xf>
    <xf numFmtId="169" fontId="25" fillId="0" borderId="10" xfId="0" applyNumberFormat="1" applyFont="1" applyFill="1" applyBorder="1" applyAlignment="1">
      <alignment horizontal="center"/>
    </xf>
    <xf numFmtId="0" fontId="27" fillId="0" borderId="10" xfId="0" applyFont="1" applyFill="1" applyBorder="1" applyAlignment="1">
      <alignment horizontal="center" vertical="center" wrapText="1"/>
    </xf>
    <xf numFmtId="0" fontId="27" fillId="0" borderId="10" xfId="0" applyFont="1" applyFill="1" applyBorder="1" applyAlignment="1">
      <alignment horizontal="center"/>
    </xf>
    <xf numFmtId="164" fontId="25" fillId="0" borderId="10" xfId="0" applyNumberFormat="1" applyFont="1" applyFill="1" applyBorder="1" applyAlignment="1">
      <alignment horizontal="center"/>
    </xf>
    <xf numFmtId="2" fontId="25" fillId="0" borderId="10" xfId="0" applyNumberFormat="1" applyFont="1" applyFill="1" applyBorder="1" applyAlignment="1">
      <alignment horizontal="center"/>
    </xf>
    <xf numFmtId="2" fontId="27" fillId="0" borderId="10" xfId="0" applyNumberFormat="1" applyFont="1" applyFill="1" applyBorder="1" applyAlignment="1">
      <alignment horizontal="center"/>
    </xf>
    <xf numFmtId="0" fontId="27" fillId="6" borderId="10" xfId="0" applyFont="1" applyFill="1" applyBorder="1" applyAlignment="1">
      <alignment horizontal="left"/>
    </xf>
    <xf numFmtId="169" fontId="25" fillId="6" borderId="10" xfId="0" applyNumberFormat="1" applyFont="1" applyFill="1" applyBorder="1" applyAlignment="1">
      <alignment horizontal="center"/>
    </xf>
    <xf numFmtId="164" fontId="25" fillId="6" borderId="10" xfId="0" applyNumberFormat="1" applyFont="1" applyFill="1" applyBorder="1" applyAlignment="1">
      <alignment horizontal="center"/>
    </xf>
    <xf numFmtId="0" fontId="25" fillId="0" borderId="10" xfId="0" applyFont="1" applyFill="1" applyBorder="1" applyAlignment="1">
      <alignment horizontal="left"/>
    </xf>
    <xf numFmtId="164" fontId="27" fillId="0" borderId="10" xfId="0" applyNumberFormat="1" applyFont="1" applyFill="1" applyBorder="1" applyAlignment="1">
      <alignment horizontal="center"/>
    </xf>
    <xf numFmtId="164" fontId="27" fillId="6" borderId="10" xfId="0" applyNumberFormat="1" applyFont="1" applyFill="1" applyBorder="1" applyAlignment="1">
      <alignment horizontal="center"/>
    </xf>
    <xf numFmtId="164" fontId="27" fillId="5" borderId="10" xfId="0" applyNumberFormat="1" applyFont="1" applyFill="1" applyBorder="1" applyAlignment="1">
      <alignment horizontal="center"/>
    </xf>
    <xf numFmtId="0" fontId="27" fillId="2" borderId="0" xfId="0" applyFont="1" applyFill="1" applyBorder="1"/>
    <xf numFmtId="0" fontId="27" fillId="11" borderId="10" xfId="0" applyFont="1" applyFill="1" applyBorder="1" applyAlignment="1">
      <alignment horizontal="left"/>
    </xf>
    <xf numFmtId="0" fontId="25" fillId="11" borderId="10" xfId="0" applyFont="1" applyFill="1" applyBorder="1" applyAlignment="1">
      <alignment horizontal="center"/>
    </xf>
    <xf numFmtId="169" fontId="25" fillId="11" borderId="10" xfId="0" applyNumberFormat="1" applyFont="1" applyFill="1" applyBorder="1" applyAlignment="1">
      <alignment horizontal="center"/>
    </xf>
    <xf numFmtId="0" fontId="27" fillId="11" borderId="10" xfId="0" applyFont="1" applyFill="1" applyBorder="1" applyAlignment="1">
      <alignment horizontal="center"/>
    </xf>
    <xf numFmtId="164" fontId="25" fillId="11" borderId="10" xfId="0" applyNumberFormat="1" applyFont="1" applyFill="1" applyBorder="1" applyAlignment="1">
      <alignment horizontal="center"/>
    </xf>
    <xf numFmtId="2" fontId="25" fillId="11" borderId="10" xfId="0" applyNumberFormat="1" applyFont="1" applyFill="1" applyBorder="1" applyAlignment="1">
      <alignment horizontal="center"/>
    </xf>
    <xf numFmtId="0" fontId="28" fillId="0" borderId="0" xfId="0" applyFont="1" applyFill="1" applyBorder="1"/>
    <xf numFmtId="17" fontId="28" fillId="0" borderId="0" xfId="0" applyNumberFormat="1" applyFont="1" applyFill="1" applyBorder="1"/>
    <xf numFmtId="2" fontId="27" fillId="11" borderId="10" xfId="0" applyNumberFormat="1" applyFont="1" applyFill="1" applyBorder="1" applyAlignment="1">
      <alignment horizontal="center"/>
    </xf>
    <xf numFmtId="0" fontId="33" fillId="5" borderId="10" xfId="0" applyFont="1" applyFill="1" applyBorder="1" applyAlignment="1">
      <alignment horizontal="left"/>
    </xf>
    <xf numFmtId="0" fontId="25" fillId="5" borderId="10" xfId="0" applyFont="1" applyFill="1" applyBorder="1"/>
    <xf numFmtId="0" fontId="33" fillId="5" borderId="10" xfId="0" applyFont="1" applyFill="1" applyBorder="1" applyAlignment="1">
      <alignment horizontal="center"/>
    </xf>
    <xf numFmtId="169" fontId="33" fillId="5" borderId="10" xfId="0" applyNumberFormat="1" applyFont="1" applyFill="1" applyBorder="1" applyAlignment="1">
      <alignment horizontal="center"/>
    </xf>
    <xf numFmtId="0" fontId="30" fillId="5" borderId="10" xfId="0" applyFont="1" applyFill="1" applyBorder="1" applyAlignment="1">
      <alignment vertical="center" wrapText="1"/>
    </xf>
    <xf numFmtId="170" fontId="33" fillId="5" borderId="10" xfId="0" applyNumberFormat="1" applyFont="1" applyFill="1" applyBorder="1"/>
    <xf numFmtId="170" fontId="32" fillId="5" borderId="10" xfId="0" applyNumberFormat="1" applyFont="1" applyFill="1" applyBorder="1" applyAlignment="1">
      <alignment vertical="center" wrapText="1"/>
    </xf>
    <xf numFmtId="0" fontId="27" fillId="5" borderId="10" xfId="0" applyFont="1" applyFill="1" applyBorder="1"/>
    <xf numFmtId="164" fontId="27" fillId="5" borderId="10" xfId="0" applyNumberFormat="1" applyFont="1" applyFill="1" applyBorder="1"/>
    <xf numFmtId="2" fontId="27" fillId="5" borderId="10" xfId="0" applyNumberFormat="1" applyFont="1" applyFill="1" applyBorder="1"/>
    <xf numFmtId="0" fontId="0" fillId="0" borderId="0" xfId="0" applyFill="1"/>
    <xf numFmtId="0" fontId="41" fillId="0" borderId="0" xfId="0" applyFont="1" applyFill="1" applyBorder="1" applyAlignment="1">
      <alignment horizontal="left"/>
    </xf>
    <xf numFmtId="0" fontId="25" fillId="0" borderId="10" xfId="0" applyFont="1" applyBorder="1"/>
    <xf numFmtId="2" fontId="25" fillId="0" borderId="10" xfId="0" applyNumberFormat="1" applyFont="1" applyBorder="1"/>
    <xf numFmtId="2" fontId="27" fillId="0" borderId="10" xfId="0" applyNumberFormat="1" applyFont="1" applyBorder="1"/>
    <xf numFmtId="49" fontId="36" fillId="6" borderId="22" xfId="176" applyNumberFormat="1" applyFont="1" applyFill="1" applyBorder="1" applyAlignment="1">
      <alignment vertical="top" wrapText="1"/>
    </xf>
    <xf numFmtId="49" fontId="36" fillId="3" borderId="22" xfId="176" applyNumberFormat="1" applyFont="1" applyFill="1" applyBorder="1" applyAlignment="1">
      <alignment vertical="top" wrapText="1"/>
    </xf>
    <xf numFmtId="49" fontId="27" fillId="3" borderId="22" xfId="176" applyNumberFormat="1" applyFont="1" applyFill="1" applyBorder="1" applyAlignment="1">
      <alignment vertical="top" wrapText="1"/>
    </xf>
    <xf numFmtId="2" fontId="36" fillId="3" borderId="22" xfId="176" applyNumberFormat="1" applyFont="1" applyFill="1" applyBorder="1" applyAlignment="1">
      <alignment vertical="top" wrapText="1"/>
    </xf>
    <xf numFmtId="49" fontId="36" fillId="3" borderId="0" xfId="176" applyNumberFormat="1" applyFont="1" applyFill="1" applyBorder="1" applyAlignment="1">
      <alignment vertical="top" wrapText="1"/>
    </xf>
    <xf numFmtId="49" fontId="27" fillId="3" borderId="0" xfId="176" applyNumberFormat="1" applyFont="1" applyFill="1" applyBorder="1" applyAlignment="1">
      <alignment vertical="top" wrapText="1"/>
    </xf>
    <xf numFmtId="2" fontId="36" fillId="3" borderId="0" xfId="176" applyNumberFormat="1" applyFont="1" applyFill="1" applyBorder="1" applyAlignment="1">
      <alignment vertical="top" wrapText="1"/>
    </xf>
    <xf numFmtId="49" fontId="36" fillId="0" borderId="0" xfId="176" applyNumberFormat="1" applyFont="1" applyFill="1" applyBorder="1" applyAlignment="1">
      <alignment vertical="top" wrapText="1"/>
    </xf>
    <xf numFmtId="0" fontId="42" fillId="0" borderId="0" xfId="176" applyNumberFormat="1" applyFont="1" applyBorder="1" applyAlignment="1"/>
    <xf numFmtId="0" fontId="40" fillId="0" borderId="0" xfId="176" applyNumberFormat="1" applyFont="1" applyBorder="1" applyAlignment="1"/>
    <xf numFmtId="0" fontId="3" fillId="0" borderId="0" xfId="0" applyFont="1"/>
    <xf numFmtId="0" fontId="42" fillId="0" borderId="0" xfId="35" applyNumberFormat="1" applyFont="1" applyBorder="1" applyAlignment="1">
      <alignment vertical="top" wrapText="1"/>
    </xf>
    <xf numFmtId="0" fontId="41" fillId="2" borderId="0" xfId="35" applyFont="1" applyFill="1" applyBorder="1" applyAlignment="1">
      <alignment wrapText="1"/>
    </xf>
    <xf numFmtId="0" fontId="11" fillId="0" borderId="0" xfId="35" applyFont="1" applyFill="1" applyAlignment="1">
      <alignment vertical="top" wrapText="1"/>
    </xf>
    <xf numFmtId="0" fontId="43" fillId="0" borderId="0" xfId="0" applyFont="1" applyFill="1" applyBorder="1" applyAlignment="1">
      <alignment horizontal="left"/>
    </xf>
    <xf numFmtId="0" fontId="32" fillId="0" borderId="0" xfId="35" applyNumberFormat="1" applyFont="1" applyBorder="1" applyAlignment="1">
      <alignment vertical="top" wrapText="1"/>
    </xf>
    <xf numFmtId="0" fontId="27" fillId="0" borderId="0" xfId="0" applyFont="1" applyBorder="1" applyAlignment="1">
      <alignment horizontal="center" wrapText="1"/>
    </xf>
    <xf numFmtId="0" fontId="27" fillId="0" borderId="0" xfId="35" applyNumberFormat="1" applyFont="1" applyBorder="1" applyAlignment="1">
      <alignment horizontal="center" vertical="top" wrapText="1"/>
    </xf>
    <xf numFmtId="169" fontId="32" fillId="0" borderId="0" xfId="35" applyNumberFormat="1" applyFont="1" applyBorder="1" applyAlignment="1">
      <alignment horizontal="center" vertical="top" wrapText="1"/>
    </xf>
    <xf numFmtId="0" fontId="27" fillId="0" borderId="0" xfId="35" applyFont="1" applyBorder="1" applyAlignment="1">
      <alignment horizontal="center" vertical="top" wrapText="1"/>
    </xf>
    <xf numFmtId="2" fontId="27" fillId="0" borderId="0" xfId="35" applyNumberFormat="1" applyFont="1" applyBorder="1" applyAlignment="1">
      <alignment horizontal="center" vertical="top" wrapText="1"/>
    </xf>
    <xf numFmtId="2" fontId="25" fillId="0" borderId="0" xfId="0" applyNumberFormat="1" applyFont="1" applyBorder="1" applyAlignment="1">
      <alignment horizontal="center"/>
    </xf>
    <xf numFmtId="0" fontId="33" fillId="0" borderId="0" xfId="0" applyFont="1" applyFill="1" applyBorder="1" applyAlignment="1">
      <alignment horizontal="center"/>
    </xf>
    <xf numFmtId="169" fontId="33" fillId="0" borderId="0" xfId="0" applyNumberFormat="1" applyFont="1" applyFill="1" applyBorder="1" applyAlignment="1">
      <alignment horizontal="center"/>
    </xf>
    <xf numFmtId="170" fontId="33" fillId="0" borderId="0" xfId="0" applyNumberFormat="1" applyFont="1" applyFill="1" applyBorder="1"/>
    <xf numFmtId="170" fontId="32" fillId="0" borderId="0" xfId="0" applyNumberFormat="1" applyFont="1" applyFill="1" applyBorder="1" applyAlignment="1">
      <alignment vertical="center" wrapText="1"/>
    </xf>
    <xf numFmtId="0" fontId="41" fillId="0" borderId="17" xfId="35" applyFont="1" applyFill="1" applyBorder="1" applyAlignment="1">
      <alignment vertical="top"/>
    </xf>
  </cellXfs>
  <cellStyles count="177">
    <cellStyle name="Besuchter Hyperlink" xfId="2" builtinId="9" hidden="1"/>
    <cellStyle name="Besuchter Hyperlink" xfId="4" builtinId="9" hidden="1"/>
    <cellStyle name="Besuchter Hyperlink" xfId="6" builtinId="9" hidden="1"/>
    <cellStyle name="Besuchter Hyperlink" xfId="8" builtinId="9" hidden="1"/>
    <cellStyle name="Besuchter Hyperlink" xfId="10" builtinId="9" hidden="1"/>
    <cellStyle name="Besuchter Hyperlink" xfId="12" builtinId="9" hidden="1"/>
    <cellStyle name="Besuchter Hyperlink" xfId="14" builtinId="9" hidden="1"/>
    <cellStyle name="Besuchter Hyperlink" xfId="16" builtinId="9" hidden="1"/>
    <cellStyle name="Besuchter Hyperlink" xfId="18" builtinId="9" hidden="1"/>
    <cellStyle name="Besuchter Hyperlink" xfId="20" builtinId="9" hidden="1"/>
    <cellStyle name="Besuchter Hyperlink" xfId="22" builtinId="9" hidden="1"/>
    <cellStyle name="Besuchter Hyperlink" xfId="24" builtinId="9" hidden="1"/>
    <cellStyle name="Besuchter Hyperlink" xfId="26" builtinId="9" hidden="1"/>
    <cellStyle name="Besuchter Hyperlink" xfId="28" builtinId="9" hidden="1"/>
    <cellStyle name="Besuchter Hyperlink" xfId="30" builtinId="9" hidden="1"/>
    <cellStyle name="Besuchter Hyperlink" xfId="32" builtinId="9" hidden="1"/>
    <cellStyle name="Besuchter Hyperlink" xfId="34" builtinId="9" hidden="1"/>
    <cellStyle name="Besuchter Hyperlink" xfId="36" builtinId="9" hidden="1"/>
    <cellStyle name="Besuchter Hyperlink" xfId="37" builtinId="9" hidden="1"/>
    <cellStyle name="Besuchter Hyperlink" xfId="38" builtinId="9" hidden="1"/>
    <cellStyle name="Besuchter Hyperlink" xfId="39" builtinId="9" hidden="1"/>
    <cellStyle name="Besuchter Hyperlink" xfId="40" builtinId="9" hidden="1"/>
    <cellStyle name="Besuchter Hyperlink" xfId="41" builtinId="9" hidden="1"/>
    <cellStyle name="Besuchter Hyperlink" xfId="42" builtinId="9" hidden="1"/>
    <cellStyle name="Besuchter Hyperlink" xfId="43" builtinId="9" hidden="1"/>
    <cellStyle name="Besuchter Hyperlink" xfId="44" builtinId="9" hidden="1"/>
    <cellStyle name="Besuchter Hyperlink" xfId="45" builtinId="9" hidden="1"/>
    <cellStyle name="Besuchter Hyperlink" xfId="46" builtinId="9" hidden="1"/>
    <cellStyle name="Besuchter Hyperlink" xfId="47" builtinId="9" hidden="1"/>
    <cellStyle name="Besuchter Hyperlink" xfId="48" builtinId="9" hidden="1"/>
    <cellStyle name="Besuchter Hyperlink" xfId="49" builtinId="9" hidden="1"/>
    <cellStyle name="Besuchter Hyperlink" xfId="50" builtinId="9" hidden="1"/>
    <cellStyle name="Besuchter Hyperlink" xfId="51" builtinId="9" hidden="1"/>
    <cellStyle name="Besuchter Hyperlink" xfId="52" builtinId="9" hidden="1"/>
    <cellStyle name="Besuchter Hyperlink" xfId="53" builtinId="9" hidden="1"/>
    <cellStyle name="Besuchter Hyperlink" xfId="54" builtinId="9" hidden="1"/>
    <cellStyle name="Besuchter Hyperlink" xfId="55" builtinId="9" hidden="1"/>
    <cellStyle name="Besuchter Hyperlink" xfId="56" builtinId="9" hidden="1"/>
    <cellStyle name="Besuchter Hyperlink" xfId="57" builtinId="9" hidden="1"/>
    <cellStyle name="Besuchter Hyperlink" xfId="58" builtinId="9" hidden="1"/>
    <cellStyle name="Besuchter Hyperlink" xfId="59" builtinId="9" hidden="1"/>
    <cellStyle name="Besuchter Hyperlink" xfId="60" builtinId="9" hidden="1"/>
    <cellStyle name="Besuchter Hyperlink" xfId="61" builtinId="9" hidden="1"/>
    <cellStyle name="Besuchter Hyperlink" xfId="62" builtinId="9" hidden="1"/>
    <cellStyle name="Besuchter Hyperlink" xfId="63" builtinId="9" hidden="1"/>
    <cellStyle name="Besuchter Hyperlink" xfId="64" builtinId="9" hidden="1"/>
    <cellStyle name="Besuchter Hyperlink" xfId="65" builtinId="9" hidden="1"/>
    <cellStyle name="Besuchter Hyperlink" xfId="66" builtinId="9" hidden="1"/>
    <cellStyle name="Besuchter Hyperlink" xfId="67" builtinId="9" hidden="1"/>
    <cellStyle name="Besuchter Hyperlink" xfId="68" builtinId="9" hidden="1"/>
    <cellStyle name="Besuchter Hyperlink" xfId="69" builtinId="9" hidden="1"/>
    <cellStyle name="Besuchter Hyperlink" xfId="70" builtinId="9" hidden="1"/>
    <cellStyle name="Besuchter Hyperlink" xfId="71" builtinId="9" hidden="1"/>
    <cellStyle name="Besuchter Hyperlink" xfId="72" builtinId="9" hidden="1"/>
    <cellStyle name="Besuchter Hyperlink" xfId="73" builtinId="9" hidden="1"/>
    <cellStyle name="Besuchter Hyperlink" xfId="74" builtinId="9" hidden="1"/>
    <cellStyle name="Besuchter Hyperlink" xfId="75" builtinId="9" hidden="1"/>
    <cellStyle name="Besuchter Hyperlink" xfId="76" builtinId="9" hidden="1"/>
    <cellStyle name="Besuchter Hyperlink" xfId="77" builtinId="9" hidden="1"/>
    <cellStyle name="Besuchter Hyperlink" xfId="78" builtinId="9" hidden="1"/>
    <cellStyle name="Besuchter Hyperlink" xfId="79" builtinId="9" hidden="1"/>
    <cellStyle name="Besuchter Hyperlink" xfId="80" builtinId="9" hidden="1"/>
    <cellStyle name="Besuchter Hyperlink" xfId="81" builtinId="9" hidden="1"/>
    <cellStyle name="Besuchter Hyperlink" xfId="82" builtinId="9" hidden="1"/>
    <cellStyle name="Besuchter Hyperlink" xfId="83" builtinId="9" hidden="1"/>
    <cellStyle name="Besuchter Hyperlink" xfId="84" builtinId="9" hidden="1"/>
    <cellStyle name="Besuchter Hyperlink" xfId="85" builtinId="9" hidden="1"/>
    <cellStyle name="Besuchter Hyperlink" xfId="86" builtinId="9" hidden="1"/>
    <cellStyle name="Besuchter Hyperlink" xfId="87" builtinId="9" hidden="1"/>
    <cellStyle name="Besuchter Hyperlink" xfId="88" builtinId="9" hidden="1"/>
    <cellStyle name="Besuchter Hyperlink" xfId="89" builtinId="9" hidden="1"/>
    <cellStyle name="Besuchter Hyperlink" xfId="90" builtinId="9" hidden="1"/>
    <cellStyle name="Besuchter Hyperlink" xfId="91" builtinId="9" hidden="1"/>
    <cellStyle name="Besuchter Hyperlink" xfId="92" builtinId="9" hidden="1"/>
    <cellStyle name="Besuchter Hyperlink" xfId="93" builtinId="9" hidden="1"/>
    <cellStyle name="Besuchter Hyperlink" xfId="94" builtinId="9" hidden="1"/>
    <cellStyle name="Besuchter Hyperlink" xfId="95" builtinId="9" hidden="1"/>
    <cellStyle name="Besuchter Hyperlink" xfId="96" builtinId="9" hidden="1"/>
    <cellStyle name="Besuchter Hyperlink" xfId="97" builtinId="9" hidden="1"/>
    <cellStyle name="Besuchter Hyperlink" xfId="98" builtinId="9" hidden="1"/>
    <cellStyle name="Besuchter Hyperlink" xfId="99" builtinId="9" hidden="1"/>
    <cellStyle name="Besuchter Hyperlink" xfId="100" builtinId="9" hidden="1"/>
    <cellStyle name="Besuchter Hyperlink" xfId="101" builtinId="9" hidden="1"/>
    <cellStyle name="Besuchter Hyperlink" xfId="102" builtinId="9" hidden="1"/>
    <cellStyle name="Besuchter Hyperlink" xfId="103" builtinId="9" hidden="1"/>
    <cellStyle name="Besuchter Hyperlink" xfId="104" builtinId="9" hidden="1"/>
    <cellStyle name="Besuchter Hyperlink" xfId="105" builtinId="9" hidden="1"/>
    <cellStyle name="Besuchter Hyperlink" xfId="106" builtinId="9" hidden="1"/>
    <cellStyle name="Besuchter Hyperlink" xfId="107" builtinId="9" hidden="1"/>
    <cellStyle name="Besuchter Hyperlink" xfId="108" builtinId="9" hidden="1"/>
    <cellStyle name="Besuchter Hyperlink" xfId="109" builtinId="9" hidden="1"/>
    <cellStyle name="Besuchter Hyperlink" xfId="110" builtinId="9" hidden="1"/>
    <cellStyle name="Besuchter Hyperlink" xfId="111" builtinId="9" hidden="1"/>
    <cellStyle name="Besuchter Hyperlink" xfId="112" builtinId="9" hidden="1"/>
    <cellStyle name="Besuchter Hyperlink" xfId="113" builtinId="9" hidden="1"/>
    <cellStyle name="Besuchter Hyperlink" xfId="114" builtinId="9" hidden="1"/>
    <cellStyle name="Besuchter Hyperlink" xfId="115" builtinId="9" hidden="1"/>
    <cellStyle name="Besuchter Hyperlink" xfId="116" builtinId="9" hidden="1"/>
    <cellStyle name="Besuchter Hyperlink" xfId="117" builtinId="9" hidden="1"/>
    <cellStyle name="Besuchter Hyperlink" xfId="118" builtinId="9" hidden="1"/>
    <cellStyle name="Besuchter Hyperlink" xfId="119" builtinId="9" hidden="1"/>
    <cellStyle name="Besuchter Hyperlink" xfId="120" builtinId="9" hidden="1"/>
    <cellStyle name="Besuchter Hyperlink" xfId="121" builtinId="9" hidden="1"/>
    <cellStyle name="Besuchter Hyperlink" xfId="122" builtinId="9" hidden="1"/>
    <cellStyle name="Besuchter Hyperlink" xfId="123" builtinId="9" hidden="1"/>
    <cellStyle name="Besuchter Hyperlink" xfId="124" builtinId="9" hidden="1"/>
    <cellStyle name="Besuchter Hyperlink" xfId="125" builtinId="9" hidden="1"/>
    <cellStyle name="Besuchter Hyperlink" xfId="126" builtinId="9" hidden="1"/>
    <cellStyle name="Besuchter Hyperlink" xfId="127" builtinId="9" hidden="1"/>
    <cellStyle name="Besuchter Hyperlink" xfId="128" builtinId="9" hidden="1"/>
    <cellStyle name="Besuchter Hyperlink" xfId="129" builtinId="9" hidden="1"/>
    <cellStyle name="Besuchter Hyperlink" xfId="130" builtinId="9" hidden="1"/>
    <cellStyle name="Besuchter Hyperlink" xfId="131" builtinId="9" hidden="1"/>
    <cellStyle name="Besuchter Hyperlink" xfId="132" builtinId="9" hidden="1"/>
    <cellStyle name="Besuchter Hyperlink" xfId="133" builtinId="9" hidden="1"/>
    <cellStyle name="Besuchter Hyperlink" xfId="134" builtinId="9" hidden="1"/>
    <cellStyle name="Besuchter Hyperlink" xfId="135" builtinId="9" hidden="1"/>
    <cellStyle name="Besuchter Hyperlink" xfId="136" builtinId="9" hidden="1"/>
    <cellStyle name="Besuchter Hyperlink" xfId="137" builtinId="9" hidden="1"/>
    <cellStyle name="Besuchter Hyperlink" xfId="138" builtinId="9" hidden="1"/>
    <cellStyle name="Besuchter Hyperlink" xfId="139" builtinId="9" hidden="1"/>
    <cellStyle name="Besuchter Hyperlink" xfId="140" builtinId="9" hidden="1"/>
    <cellStyle name="Besuchter Hyperlink" xfId="141" builtinId="9" hidden="1"/>
    <cellStyle name="Besuchter Hyperlink" xfId="142" builtinId="9" hidden="1"/>
    <cellStyle name="Besuchter Hyperlink" xfId="143" builtinId="9" hidden="1"/>
    <cellStyle name="Besuchter Hyperlink" xfId="144" builtinId="9" hidden="1"/>
    <cellStyle name="Besuchter Hyperlink" xfId="145" builtinId="9" hidden="1"/>
    <cellStyle name="Besuchter Hyperlink" xfId="146" builtinId="9" hidden="1"/>
    <cellStyle name="Besuchter Hyperlink" xfId="147" builtinId="9" hidden="1"/>
    <cellStyle name="Besuchter Hyperlink" xfId="148" builtinId="9" hidden="1"/>
    <cellStyle name="Besuchter Hyperlink" xfId="149" builtinId="9" hidden="1"/>
    <cellStyle name="Besuchter Hyperlink" xfId="150" builtinId="9" hidden="1"/>
    <cellStyle name="Besuchter Hyperlink" xfId="151" builtinId="9" hidden="1"/>
    <cellStyle name="Besuchter Hyperlink" xfId="152" builtinId="9" hidden="1"/>
    <cellStyle name="Besuchter Hyperlink" xfId="153" builtinId="9" hidden="1"/>
    <cellStyle name="Besuchter Hyperlink" xfId="154" builtinId="9" hidden="1"/>
    <cellStyle name="Besuchter Hyperlink" xfId="155" builtinId="9" hidden="1"/>
    <cellStyle name="Besuchter Hyperlink" xfId="156" builtinId="9" hidden="1"/>
    <cellStyle name="Besuchter Hyperlink" xfId="157" builtinId="9" hidden="1"/>
    <cellStyle name="Besuchter Hyperlink" xfId="158" builtinId="9" hidden="1"/>
    <cellStyle name="Besuchter Hyperlink" xfId="159" builtinId="9" hidden="1"/>
    <cellStyle name="Besuchter Hyperlink" xfId="160" builtinId="9" hidden="1"/>
    <cellStyle name="Besuchter Hyperlink" xfId="161" builtinId="9" hidden="1"/>
    <cellStyle name="Besuchter Hyperlink" xfId="162" builtinId="9" hidden="1"/>
    <cellStyle name="Besuchter Hyperlink" xfId="163" builtinId="9" hidden="1"/>
    <cellStyle name="Besuchter Hyperlink" xfId="164" builtinId="9" hidden="1"/>
    <cellStyle name="Besuchter Hyperlink" xfId="165" builtinId="9" hidden="1"/>
    <cellStyle name="Besuchter Hyperlink" xfId="166" builtinId="9" hidden="1"/>
    <cellStyle name="Besuchter Hyperlink" xfId="167" builtinId="9" hidden="1"/>
    <cellStyle name="Besuchter Hyperlink" xfId="168" builtinId="9" hidden="1"/>
    <cellStyle name="Besuchter Hyperlink" xfId="169" builtinId="9" hidden="1"/>
    <cellStyle name="Besuchter Hyperlink" xfId="170" builtinId="9" hidden="1"/>
    <cellStyle name="Besuchter Hyperlink" xfId="171" builtinId="9" hidden="1"/>
    <cellStyle name="Besuchter Hyperlink" xfId="172" builtinId="9" hidden="1"/>
    <cellStyle name="Besuchter Hyperlink" xfId="173" builtinId="9" hidden="1"/>
    <cellStyle name="Besuchter Hyperlink" xfId="174" builtinId="9" hidden="1"/>
    <cellStyle name="Besuchter Hyperlink" xfId="175"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Stand. 2" xfId="35"/>
    <cellStyle name="Stand. 3" xfId="176"/>
    <cellStyle name="Standard"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a:ea typeface="Arial"/>
                <a:cs typeface="Arial"/>
              </a:defRPr>
            </a:pPr>
            <a:r>
              <a:rPr lang="de-DE"/>
              <a:t>M&amp;A Intensity / Standardisierte Koeffizienten
(95% Konf. Int.)</a:t>
            </a:r>
          </a:p>
        </c:rich>
      </c:tx>
      <c:overlay val="0"/>
      <c:spPr>
        <a:noFill/>
        <a:ln>
          <a:noFill/>
        </a:ln>
        <a:effectLst/>
      </c:spPr>
    </c:title>
    <c:autoTitleDeleted val="0"/>
    <c:plotArea>
      <c:layout/>
      <c:barChart>
        <c:barDir val="col"/>
        <c:grouping val="clustered"/>
        <c:varyColors val="0"/>
        <c:ser>
          <c:idx val="0"/>
          <c:order val="0"/>
          <c:tx>
            <c:v/>
          </c:tx>
          <c:spPr>
            <a:solidFill>
              <a:srgbClr val="003CE6"/>
            </a:solidFill>
            <a:ln>
              <a:solidFill>
                <a:srgbClr val="003CE6"/>
              </a:solidFill>
              <a:prstDash val="soli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Lit>
                <c:formatCode>General</c:formatCode>
                <c:ptCount val="6"/>
                <c:pt idx="0">
                  <c:v>0.24925402928294901</c:v>
                </c:pt>
                <c:pt idx="1">
                  <c:v>0.25477352748534798</c:v>
                </c:pt>
                <c:pt idx="2">
                  <c:v>0.29168676939016902</c:v>
                </c:pt>
                <c:pt idx="3">
                  <c:v>0.375475503879378</c:v>
                </c:pt>
                <c:pt idx="4">
                  <c:v>0.556699994243675</c:v>
                </c:pt>
                <c:pt idx="5">
                  <c:v>0.60409057117162801</c:v>
                </c:pt>
              </c:numLit>
            </c:plus>
            <c:minus>
              <c:numLit>
                <c:formatCode>General</c:formatCode>
                <c:ptCount val="6"/>
                <c:pt idx="0">
                  <c:v>0.24925402928294901</c:v>
                </c:pt>
                <c:pt idx="1">
                  <c:v>0.25477352748534798</c:v>
                </c:pt>
                <c:pt idx="2">
                  <c:v>0.29168676939016902</c:v>
                </c:pt>
                <c:pt idx="3">
                  <c:v>0.375475503879378</c:v>
                </c:pt>
                <c:pt idx="4">
                  <c:v>0.556699994243675</c:v>
                </c:pt>
                <c:pt idx="5">
                  <c:v>0.60409057117162801</c:v>
                </c:pt>
              </c:numLit>
            </c:minus>
            <c:spPr>
              <a:noFill/>
              <a:ln w="9525" cap="flat" cmpd="sng" algn="ctr">
                <a:solidFill>
                  <a:schemeClr val="tx1">
                    <a:lumMod val="65000"/>
                    <a:lumOff val="35000"/>
                  </a:schemeClr>
                </a:solidFill>
                <a:round/>
              </a:ln>
              <a:effectLst/>
            </c:spPr>
          </c:errBars>
          <c:cat>
            <c:strRef>
              <c:f>'Alle PR'!$B$112:$B$117</c:f>
              <c:strCache>
                <c:ptCount val="6"/>
                <c:pt idx="0">
                  <c:v>Voice &amp; Accountability</c:v>
                </c:pt>
                <c:pt idx="1">
                  <c:v>Stability &amp; Violence</c:v>
                </c:pt>
                <c:pt idx="2">
                  <c:v>Gov Effectiveness</c:v>
                </c:pt>
                <c:pt idx="3">
                  <c:v>RQ</c:v>
                </c:pt>
                <c:pt idx="4">
                  <c:v>Rule of Law</c:v>
                </c:pt>
                <c:pt idx="5">
                  <c:v>Corruption</c:v>
                </c:pt>
              </c:strCache>
            </c:strRef>
          </c:cat>
          <c:val>
            <c:numRef>
              <c:f>'Alle PR'!$C$112:$C$117</c:f>
              <c:numCache>
                <c:formatCode>0.000</c:formatCode>
                <c:ptCount val="6"/>
                <c:pt idx="0">
                  <c:v>4.0287131567607909E-2</c:v>
                </c:pt>
                <c:pt idx="1">
                  <c:v>0.16655810925175382</c:v>
                </c:pt>
                <c:pt idx="2">
                  <c:v>9.6929928674009846E-2</c:v>
                </c:pt>
                <c:pt idx="3">
                  <c:v>-6.2310807323001638E-4</c:v>
                </c:pt>
                <c:pt idx="4">
                  <c:v>0.12244767381979929</c:v>
                </c:pt>
                <c:pt idx="5">
                  <c:v>-0.24002181695281669</c:v>
                </c:pt>
              </c:numCache>
            </c:numRef>
          </c:val>
        </c:ser>
        <c:dLbls>
          <c:showLegendKey val="0"/>
          <c:showVal val="0"/>
          <c:showCatName val="0"/>
          <c:showSerName val="0"/>
          <c:showPercent val="0"/>
          <c:showBubbleSize val="0"/>
        </c:dLbls>
        <c:gapWidth val="60"/>
        <c:overlap val="-30"/>
        <c:axId val="751831296"/>
        <c:axId val="751841664"/>
      </c:barChart>
      <c:catAx>
        <c:axId val="75183129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Variable</a:t>
                </a:r>
              </a:p>
            </c:rich>
          </c:tx>
          <c:overlay val="0"/>
          <c:spPr>
            <a:noFill/>
            <a:ln>
              <a:noFill/>
            </a:ln>
            <a:effectLst/>
          </c:spPr>
        </c:title>
        <c:numFmt formatCode="General" sourceLinked="0"/>
        <c:majorTickMark val="cross"/>
        <c:minorTickMark val="none"/>
        <c:tickLblPos val="none"/>
        <c:spPr>
          <a:noFill/>
          <a:ln w="9525" cap="flat" cmpd="sng" algn="ctr">
            <a:solidFill>
              <a:srgbClr val="000000"/>
            </a:solidFill>
            <a:prstDash val="solid"/>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51841664"/>
        <c:crosses val="autoZero"/>
        <c:auto val="1"/>
        <c:lblAlgn val="ctr"/>
        <c:lblOffset val="100"/>
        <c:noMultiLvlLbl val="0"/>
      </c:catAx>
      <c:valAx>
        <c:axId val="751841664"/>
        <c:scaling>
          <c:orientation val="minMax"/>
        </c:scaling>
        <c:delete val="0"/>
        <c:axPos val="l"/>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Standardisierte Koeffizienten</a:t>
                </a:r>
              </a:p>
            </c:rich>
          </c:tx>
          <c:overlay val="0"/>
          <c:spPr>
            <a:noFill/>
            <a:ln>
              <a:noFill/>
            </a:ln>
            <a:effectLst/>
          </c:spPr>
        </c:title>
        <c:numFmt formatCode="General" sourceLinked="0"/>
        <c:majorTickMark val="cross"/>
        <c:minorTickMark val="none"/>
        <c:tickLblPos val="nextTo"/>
        <c:spPr>
          <a:noFill/>
          <a:ln>
            <a:solidFill>
              <a:srgbClr val="000000"/>
            </a:solidFill>
            <a:prstDash val="soli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51831296"/>
        <c:crosses val="autoZero"/>
        <c:crossBetween val="between"/>
      </c:valAx>
      <c:spPr>
        <a:noFill/>
        <a:ln>
          <a:solidFill>
            <a:srgbClr val="C0C0C0"/>
          </a:solidFill>
          <a:prstDash val="solid"/>
        </a:ln>
        <a:effectLst/>
      </c:spPr>
    </c:plotArea>
    <c:plotVisOnly val="1"/>
    <c:dispBlanksAs val="gap"/>
    <c:showDLblsOverMax val="0"/>
  </c:chart>
  <c:spPr>
    <a:solidFill>
      <a:schemeClr val="bg1"/>
    </a:solidFill>
    <a:ln w="9525" cap="flat" cmpd="sng" algn="ctr">
      <a:solidFill>
        <a:srgbClr val="000000"/>
      </a:solidFill>
      <a:prstDash val="solid"/>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a:ea typeface="Arial"/>
                <a:cs typeface="Arial"/>
              </a:defRPr>
            </a:pPr>
            <a:r>
              <a:rPr lang="de-DE"/>
              <a:t>M&amp;A Intensity / Standardisierte Residuen</a:t>
            </a:r>
          </a:p>
        </c:rich>
      </c:tx>
      <c:overlay val="0"/>
      <c:spPr>
        <a:noFill/>
        <a:ln>
          <a:noFill/>
        </a:ln>
        <a:effectLst/>
      </c:spPr>
    </c:title>
    <c:autoTitleDeleted val="0"/>
    <c:plotArea>
      <c:layout/>
      <c:scatterChart>
        <c:scatterStyle val="lineMarker"/>
        <c:varyColors val="0"/>
        <c:ser>
          <c:idx val="0"/>
          <c:order val="0"/>
          <c:tx>
            <c:v/>
          </c:tx>
          <c:spPr>
            <a:ln w="25400" cap="rnd">
              <a:noFill/>
              <a:round/>
            </a:ln>
            <a:effectLst/>
          </c:spPr>
          <c:marker>
            <c:symbol val="circle"/>
            <c:size val="3"/>
            <c:spPr>
              <a:solidFill>
                <a:srgbClr val="003CE6"/>
              </a:solidFill>
              <a:ln w="6350">
                <a:solidFill>
                  <a:srgbClr val="003CE6"/>
                </a:solidFill>
                <a:prstDash val="solid"/>
              </a:ln>
              <a:effectLst/>
            </c:spPr>
          </c:marker>
          <c:xVal>
            <c:numRef>
              <c:f>'Alle PR'!$D$141:$D$292</c:f>
              <c:numCache>
                <c:formatCode>0.000</c:formatCode>
                <c:ptCount val="152"/>
                <c:pt idx="0">
                  <c:v>1.5537521628958431E-2</c:v>
                </c:pt>
                <c:pt idx="1">
                  <c:v>1.7479711832578234E-2</c:v>
                </c:pt>
                <c:pt idx="2">
                  <c:v>1.1653141221718823E-2</c:v>
                </c:pt>
                <c:pt idx="3">
                  <c:v>1.9421902036198039E-2</c:v>
                </c:pt>
                <c:pt idx="4">
                  <c:v>1.9569331630569547E-2</c:v>
                </c:pt>
                <c:pt idx="5">
                  <c:v>2.3918071992918337E-2</c:v>
                </c:pt>
                <c:pt idx="6">
                  <c:v>1.3046221087046365E-2</c:v>
                </c:pt>
                <c:pt idx="7">
                  <c:v>1.087185090587197E-2</c:v>
                </c:pt>
                <c:pt idx="8">
                  <c:v>1.5727553478400092E-2</c:v>
                </c:pt>
                <c:pt idx="9">
                  <c:v>3.931888369600023E-3</c:v>
                </c:pt>
                <c:pt idx="10">
                  <c:v>2.3591330217600136E-2</c:v>
                </c:pt>
                <c:pt idx="11">
                  <c:v>3.1455106956800184E-2</c:v>
                </c:pt>
                <c:pt idx="12">
                  <c:v>1.7537213968040182E-2</c:v>
                </c:pt>
                <c:pt idx="13">
                  <c:v>3.8581870729688397E-2</c:v>
                </c:pt>
                <c:pt idx="14">
                  <c:v>5.9626527491336616E-2</c:v>
                </c:pt>
                <c:pt idx="15">
                  <c:v>4.910419911051251E-2</c:v>
                </c:pt>
                <c:pt idx="16">
                  <c:v>2.2292604598591299E-2</c:v>
                </c:pt>
                <c:pt idx="17">
                  <c:v>2.7246516731611586E-2</c:v>
                </c:pt>
                <c:pt idx="18">
                  <c:v>3.2200428864631876E-2</c:v>
                </c:pt>
                <c:pt idx="19">
                  <c:v>4.2999090393332808E-2</c:v>
                </c:pt>
                <c:pt idx="20">
                  <c:v>5.2771610937272086E-5</c:v>
                </c:pt>
                <c:pt idx="21">
                  <c:v>4.5930846556514595E-5</c:v>
                </c:pt>
                <c:pt idx="22">
                  <c:v>3.7135578066969248E-5</c:v>
                </c:pt>
                <c:pt idx="23">
                  <c:v>4.5029341355823991E-5</c:v>
                </c:pt>
                <c:pt idx="24">
                  <c:v>4.8584289357599568E-5</c:v>
                </c:pt>
                <c:pt idx="25">
                  <c:v>6.8728994700994515E-5</c:v>
                </c:pt>
                <c:pt idx="26">
                  <c:v>6.5174046699218938E-5</c:v>
                </c:pt>
                <c:pt idx="27">
                  <c:v>1.1067591346521794E-4</c:v>
                </c:pt>
                <c:pt idx="28">
                  <c:v>9.6058339988679727E-5</c:v>
                </c:pt>
                <c:pt idx="29">
                  <c:v>1.3364638607120657E-4</c:v>
                </c:pt>
                <c:pt idx="30">
                  <c:v>8.5617216076866717E-5</c:v>
                </c:pt>
                <c:pt idx="31">
                  <c:v>3.938976845512409E-5</c:v>
                </c:pt>
                <c:pt idx="32">
                  <c:v>6.8275598655548426E-5</c:v>
                </c:pt>
                <c:pt idx="33">
                  <c:v>9.1909459728622877E-5</c:v>
                </c:pt>
                <c:pt idx="34">
                  <c:v>5.7771660400848664E-5</c:v>
                </c:pt>
                <c:pt idx="35">
                  <c:v>5.1249511909410385E-2</c:v>
                </c:pt>
                <c:pt idx="36">
                  <c:v>6.3451776649746189E-2</c:v>
                </c:pt>
                <c:pt idx="37">
                  <c:v>2.5624755954705192E-2</c:v>
                </c:pt>
                <c:pt idx="38">
                  <c:v>4.2360909014274356E-5</c:v>
                </c:pt>
                <c:pt idx="39">
                  <c:v>2.1180454507137178E-5</c:v>
                </c:pt>
                <c:pt idx="40">
                  <c:v>4.2360909014274356E-5</c:v>
                </c:pt>
                <c:pt idx="41">
                  <c:v>3.1770681760705767E-5</c:v>
                </c:pt>
                <c:pt idx="42">
                  <c:v>3.8040921295320423E-5</c:v>
                </c:pt>
                <c:pt idx="43">
                  <c:v>3.3814152262507045E-5</c:v>
                </c:pt>
                <c:pt idx="44">
                  <c:v>3.8040921295320423E-5</c:v>
                </c:pt>
                <c:pt idx="45">
                  <c:v>5.9174766459387325E-5</c:v>
                </c:pt>
                <c:pt idx="46">
                  <c:v>4.1355496708981264E-5</c:v>
                </c:pt>
                <c:pt idx="47">
                  <c:v>5.169437088622658E-5</c:v>
                </c:pt>
                <c:pt idx="48">
                  <c:v>5.169437088622658E-5</c:v>
                </c:pt>
                <c:pt idx="49">
                  <c:v>5.169437088622658E-5</c:v>
                </c:pt>
                <c:pt idx="50">
                  <c:v>5.6548436138861471E-5</c:v>
                </c:pt>
                <c:pt idx="51">
                  <c:v>6.1260805817099929E-5</c:v>
                </c:pt>
                <c:pt idx="52">
                  <c:v>8.0110284530053751E-5</c:v>
                </c:pt>
                <c:pt idx="53">
                  <c:v>4.712369678238456E-5</c:v>
                </c:pt>
                <c:pt idx="54">
                  <c:v>3.0033579043049083E-2</c:v>
                </c:pt>
                <c:pt idx="55">
                  <c:v>4.5050368564573624E-2</c:v>
                </c:pt>
                <c:pt idx="56">
                  <c:v>1.8770986901905675E-2</c:v>
                </c:pt>
                <c:pt idx="57">
                  <c:v>5.1142333764168754E-5</c:v>
                </c:pt>
                <c:pt idx="58">
                  <c:v>4.1843727625228975E-5</c:v>
                </c:pt>
                <c:pt idx="59">
                  <c:v>9.2986061389397723E-5</c:v>
                </c:pt>
                <c:pt idx="60">
                  <c:v>6.0440939903108527E-5</c:v>
                </c:pt>
                <c:pt idx="61">
                  <c:v>5.8742296111038088E-5</c:v>
                </c:pt>
                <c:pt idx="62">
                  <c:v>3.9161530740692057E-5</c:v>
                </c:pt>
                <c:pt idx="63">
                  <c:v>5.2215374320922742E-5</c:v>
                </c:pt>
                <c:pt idx="64">
                  <c:v>6.5269217901153435E-5</c:v>
                </c:pt>
                <c:pt idx="65">
                  <c:v>1.1645276041370077E-4</c:v>
                </c:pt>
                <c:pt idx="66">
                  <c:v>1.1645276041370077E-4</c:v>
                </c:pt>
                <c:pt idx="67">
                  <c:v>8.1516932289590535E-5</c:v>
                </c:pt>
                <c:pt idx="68">
                  <c:v>2.2126024478603146E-4</c:v>
                </c:pt>
                <c:pt idx="69">
                  <c:v>5.7844951620410629E-5</c:v>
                </c:pt>
                <c:pt idx="70">
                  <c:v>1.0604907797075282E-4</c:v>
                </c:pt>
                <c:pt idx="71">
                  <c:v>4.8204126350342191E-5</c:v>
                </c:pt>
                <c:pt idx="72">
                  <c:v>7.7126602160547506E-5</c:v>
                </c:pt>
                <c:pt idx="73">
                  <c:v>8.1509875899583736E-2</c:v>
                </c:pt>
                <c:pt idx="74">
                  <c:v>5.7056913129708613E-2</c:v>
                </c:pt>
                <c:pt idx="75">
                  <c:v>8.1509875899583736E-2</c:v>
                </c:pt>
                <c:pt idx="76">
                  <c:v>0</c:v>
                </c:pt>
                <c:pt idx="77">
                  <c:v>1.5295197308045274E-4</c:v>
                </c:pt>
                <c:pt idx="78">
                  <c:v>1.5295197308045274E-4</c:v>
                </c:pt>
                <c:pt idx="79">
                  <c:v>0</c:v>
                </c:pt>
                <c:pt idx="80">
                  <c:v>1.35464643727987E-4</c:v>
                </c:pt>
                <c:pt idx="81">
                  <c:v>5.4185857491194801E-4</c:v>
                </c:pt>
                <c:pt idx="82">
                  <c:v>4.06393931183961E-4</c:v>
                </c:pt>
                <c:pt idx="83">
                  <c:v>0</c:v>
                </c:pt>
                <c:pt idx="84">
                  <c:v>0</c:v>
                </c:pt>
                <c:pt idx="85">
                  <c:v>2.9209872937052721E-4</c:v>
                </c:pt>
                <c:pt idx="86">
                  <c:v>1.4604936468526361E-4</c:v>
                </c:pt>
                <c:pt idx="87">
                  <c:v>2.9209872937052721E-4</c:v>
                </c:pt>
                <c:pt idx="88">
                  <c:v>1.6455785771998506E-4</c:v>
                </c:pt>
                <c:pt idx="89">
                  <c:v>3.2911571543997012E-4</c:v>
                </c:pt>
                <c:pt idx="90">
                  <c:v>4.9367357315995518E-4</c:v>
                </c:pt>
                <c:pt idx="91">
                  <c:v>1.6455785771998506E-4</c:v>
                </c:pt>
                <c:pt idx="92">
                  <c:v>0.15369765826247869</c:v>
                </c:pt>
                <c:pt idx="93">
                  <c:v>0</c:v>
                </c:pt>
                <c:pt idx="94">
                  <c:v>0.15369765826247869</c:v>
                </c:pt>
                <c:pt idx="95">
                  <c:v>2.5730163014790224E-5</c:v>
                </c:pt>
                <c:pt idx="96">
                  <c:v>2.125535205569627E-5</c:v>
                </c:pt>
                <c:pt idx="97">
                  <c:v>3.467978493297813E-5</c:v>
                </c:pt>
                <c:pt idx="98">
                  <c:v>2.4611460275016735E-5</c:v>
                </c:pt>
                <c:pt idx="99">
                  <c:v>2.4044489711669418E-5</c:v>
                </c:pt>
                <c:pt idx="100">
                  <c:v>2.8853387654003302E-5</c:v>
                </c:pt>
                <c:pt idx="101">
                  <c:v>3.4864510081920655E-5</c:v>
                </c:pt>
                <c:pt idx="102">
                  <c:v>1.6831142798168593E-5</c:v>
                </c:pt>
                <c:pt idx="103">
                  <c:v>3.8757961051305488E-5</c:v>
                </c:pt>
                <c:pt idx="104">
                  <c:v>2.8791628209541217E-5</c:v>
                </c:pt>
                <c:pt idx="105">
                  <c:v>1.9932665683528535E-5</c:v>
                </c:pt>
                <c:pt idx="106">
                  <c:v>1.6610554736273778E-5</c:v>
                </c:pt>
                <c:pt idx="107">
                  <c:v>3.317178280206551E-5</c:v>
                </c:pt>
                <c:pt idx="108">
                  <c:v>2.0140010986968348E-5</c:v>
                </c:pt>
                <c:pt idx="109">
                  <c:v>2.1324717515613542E-5</c:v>
                </c:pt>
                <c:pt idx="110">
                  <c:v>2.7248250158839526E-5</c:v>
                </c:pt>
                <c:pt idx="111">
                  <c:v>5.1731893837156991E-2</c:v>
                </c:pt>
                <c:pt idx="112">
                  <c:v>3.1488978857399909E-2</c:v>
                </c:pt>
                <c:pt idx="113">
                  <c:v>6.0728744939271252E-2</c:v>
                </c:pt>
                <c:pt idx="114">
                  <c:v>1.1610545161537516E-4</c:v>
                </c:pt>
                <c:pt idx="115">
                  <c:v>4.9759479263732212E-5</c:v>
                </c:pt>
                <c:pt idx="116">
                  <c:v>4.9759479263732212E-5</c:v>
                </c:pt>
                <c:pt idx="117">
                  <c:v>6.6345972351642944E-5</c:v>
                </c:pt>
                <c:pt idx="118">
                  <c:v>8.2488091606655205E-5</c:v>
                </c:pt>
                <c:pt idx="119">
                  <c:v>7.4239282445989684E-5</c:v>
                </c:pt>
                <c:pt idx="120">
                  <c:v>4.1244045803327602E-5</c:v>
                </c:pt>
                <c:pt idx="121">
                  <c:v>7.4239282445989684E-5</c:v>
                </c:pt>
                <c:pt idx="122">
                  <c:v>1.1040320575580488E-4</c:v>
                </c:pt>
                <c:pt idx="123">
                  <c:v>9.9362885180224395E-5</c:v>
                </c:pt>
                <c:pt idx="124">
                  <c:v>0</c:v>
                </c:pt>
                <c:pt idx="125">
                  <c:v>3.3120961726741465E-5</c:v>
                </c:pt>
                <c:pt idx="126">
                  <c:v>3.222648256321708E-5</c:v>
                </c:pt>
                <c:pt idx="127">
                  <c:v>9.6679447689651234E-5</c:v>
                </c:pt>
                <c:pt idx="128">
                  <c:v>7.2509585767238432E-5</c:v>
                </c:pt>
                <c:pt idx="129">
                  <c:v>1.1279268897125978E-4</c:v>
                </c:pt>
                <c:pt idx="130">
                  <c:v>3.1744520102217358E-2</c:v>
                </c:pt>
                <c:pt idx="131">
                  <c:v>7.6186848245321653E-2</c:v>
                </c:pt>
                <c:pt idx="132">
                  <c:v>5.0791232163547771E-2</c:v>
                </c:pt>
                <c:pt idx="133">
                  <c:v>0</c:v>
                </c:pt>
                <c:pt idx="134">
                  <c:v>0</c:v>
                </c:pt>
                <c:pt idx="135">
                  <c:v>0</c:v>
                </c:pt>
                <c:pt idx="136">
                  <c:v>2.8057058517624956E-5</c:v>
                </c:pt>
                <c:pt idx="137">
                  <c:v>0</c:v>
                </c:pt>
                <c:pt idx="138">
                  <c:v>2.6492666366328141E-5</c:v>
                </c:pt>
                <c:pt idx="139">
                  <c:v>0</c:v>
                </c:pt>
                <c:pt idx="140">
                  <c:v>0</c:v>
                </c:pt>
                <c:pt idx="141">
                  <c:v>6.8893022776446691E-6</c:v>
                </c:pt>
                <c:pt idx="142">
                  <c:v>0</c:v>
                </c:pt>
                <c:pt idx="143">
                  <c:v>0</c:v>
                </c:pt>
                <c:pt idx="144">
                  <c:v>0</c:v>
                </c:pt>
                <c:pt idx="145">
                  <c:v>0</c:v>
                </c:pt>
                <c:pt idx="146">
                  <c:v>0</c:v>
                </c:pt>
                <c:pt idx="147">
                  <c:v>0</c:v>
                </c:pt>
                <c:pt idx="148">
                  <c:v>2.3190028158027889E-6</c:v>
                </c:pt>
                <c:pt idx="149">
                  <c:v>0</c:v>
                </c:pt>
                <c:pt idx="150">
                  <c:v>4.6444661186196643E-3</c:v>
                </c:pt>
                <c:pt idx="151">
                  <c:v>0</c:v>
                </c:pt>
              </c:numCache>
            </c:numRef>
          </c:xVal>
          <c:yVal>
            <c:numRef>
              <c:f>'Alle PR'!$G$141:$G$292</c:f>
              <c:numCache>
                <c:formatCode>0.000</c:formatCode>
                <c:ptCount val="152"/>
                <c:pt idx="0">
                  <c:v>-0.16101109469646835</c:v>
                </c:pt>
                <c:pt idx="1">
                  <c:v>-8.1771694903927494E-2</c:v>
                </c:pt>
                <c:pt idx="2">
                  <c:v>-0.31948989428155006</c:v>
                </c:pt>
                <c:pt idx="3">
                  <c:v>-2.5322951113865926E-3</c:v>
                </c:pt>
                <c:pt idx="4">
                  <c:v>-2.8005319377376488E-2</c:v>
                </c:pt>
                <c:pt idx="5">
                  <c:v>0.14941889763487798</c:v>
                </c:pt>
                <c:pt idx="6">
                  <c:v>-0.29414164489575806</c:v>
                </c:pt>
                <c:pt idx="7">
                  <c:v>-0.38285375340188532</c:v>
                </c:pt>
                <c:pt idx="8">
                  <c:v>-0.40350154268937932</c:v>
                </c:pt>
                <c:pt idx="9">
                  <c:v>-0.88475277216891157</c:v>
                </c:pt>
                <c:pt idx="10">
                  <c:v>-8.2667389703024577E-2</c:v>
                </c:pt>
                <c:pt idx="11">
                  <c:v>0.23816676328333033</c:v>
                </c:pt>
                <c:pt idx="12">
                  <c:v>-0.17281959542727313</c:v>
                </c:pt>
                <c:pt idx="13">
                  <c:v>0.68578115723076982</c:v>
                </c:pt>
                <c:pt idx="14">
                  <c:v>1.544381909888813</c:v>
                </c:pt>
                <c:pt idx="15">
                  <c:v>1.1150815335597914</c:v>
                </c:pt>
                <c:pt idx="16">
                  <c:v>2.1195542040543445E-2</c:v>
                </c:pt>
                <c:pt idx="17">
                  <c:v>0.2233101564145106</c:v>
                </c:pt>
                <c:pt idx="18">
                  <c:v>0.4254247707884779</c:v>
                </c:pt>
                <c:pt idx="19">
                  <c:v>1.3572057060039855</c:v>
                </c:pt>
                <c:pt idx="20">
                  <c:v>-0.39496074879207288</c:v>
                </c:pt>
                <c:pt idx="21">
                  <c:v>-0.39523984507349935</c:v>
                </c:pt>
                <c:pt idx="22">
                  <c:v>-0.39559868314961927</c:v>
                </c:pt>
                <c:pt idx="23">
                  <c:v>-0.45769914218695729</c:v>
                </c:pt>
                <c:pt idx="24">
                  <c:v>-0.45755410389697448</c:v>
                </c:pt>
                <c:pt idx="25">
                  <c:v>-0.45673222025373855</c:v>
                </c:pt>
                <c:pt idx="26">
                  <c:v>-0.45687725854372135</c:v>
                </c:pt>
                <c:pt idx="27">
                  <c:v>-0.2051093661936633</c:v>
                </c:pt>
                <c:pt idx="28">
                  <c:v>-0.20570574843601291</c:v>
                </c:pt>
                <c:pt idx="29">
                  <c:v>-0.20417219409854245</c:v>
                </c:pt>
                <c:pt idx="30">
                  <c:v>-0.20613173575197694</c:v>
                </c:pt>
                <c:pt idx="31">
                  <c:v>-0.42681022095957732</c:v>
                </c:pt>
                <c:pt idx="32">
                  <c:v>-0.42563170824577362</c:v>
                </c:pt>
                <c:pt idx="33">
                  <c:v>-0.42466747057084331</c:v>
                </c:pt>
                <c:pt idx="34">
                  <c:v>-0.4260602583235204</c:v>
                </c:pt>
                <c:pt idx="35">
                  <c:v>1.6625110690917622</c:v>
                </c:pt>
                <c:pt idx="36">
                  <c:v>2.1603511531019741</c:v>
                </c:pt>
                <c:pt idx="37">
                  <c:v>0.61704689267031732</c:v>
                </c:pt>
                <c:pt idx="38">
                  <c:v>-0.43467697025832269</c:v>
                </c:pt>
                <c:pt idx="39">
                  <c:v>-0.43554111142191759</c:v>
                </c:pt>
                <c:pt idx="40">
                  <c:v>-0.43467697025832269</c:v>
                </c:pt>
                <c:pt idx="41">
                  <c:v>-0.43510904084012014</c:v>
                </c:pt>
                <c:pt idx="42">
                  <c:v>-0.43485322139650828</c:v>
                </c:pt>
                <c:pt idx="43">
                  <c:v>-0.43502566930639769</c:v>
                </c:pt>
                <c:pt idx="44">
                  <c:v>-0.43485322139650828</c:v>
                </c:pt>
                <c:pt idx="45">
                  <c:v>-0.43399098184706147</c:v>
                </c:pt>
                <c:pt idx="46">
                  <c:v>-0.30950396405613806</c:v>
                </c:pt>
                <c:pt idx="47">
                  <c:v>-0.30908214842612991</c:v>
                </c:pt>
                <c:pt idx="48">
                  <c:v>-0.30908214842612991</c:v>
                </c:pt>
                <c:pt idx="49">
                  <c:v>-0.30908214842612991</c:v>
                </c:pt>
                <c:pt idx="50">
                  <c:v>-0.34018761396602232</c:v>
                </c:pt>
                <c:pt idx="51">
                  <c:v>-0.33999535403998199</c:v>
                </c:pt>
                <c:pt idx="52">
                  <c:v>-0.33922631433582068</c:v>
                </c:pt>
                <c:pt idx="53">
                  <c:v>-0.34057213381810292</c:v>
                </c:pt>
                <c:pt idx="54">
                  <c:v>0.8828449749261752</c:v>
                </c:pt>
                <c:pt idx="55">
                  <c:v>1.4955148289285158</c:v>
                </c:pt>
                <c:pt idx="56">
                  <c:v>0.42334258442441963</c:v>
                </c:pt>
                <c:pt idx="57">
                  <c:v>-0.24920120172650442</c:v>
                </c:pt>
                <c:pt idx="58">
                  <c:v>-0.24958057547063289</c:v>
                </c:pt>
                <c:pt idx="59">
                  <c:v>-0.24749401987792646</c:v>
                </c:pt>
                <c:pt idx="60">
                  <c:v>-0.24882182798237598</c:v>
                </c:pt>
                <c:pt idx="61">
                  <c:v>-0.43671216994843481</c:v>
                </c:pt>
                <c:pt idx="62">
                  <c:v>-0.43751104541003116</c:v>
                </c:pt>
                <c:pt idx="63">
                  <c:v>-0.43697846176896687</c:v>
                </c:pt>
                <c:pt idx="64">
                  <c:v>-0.43644587812790264</c:v>
                </c:pt>
                <c:pt idx="65">
                  <c:v>-0.40305413475752438</c:v>
                </c:pt>
                <c:pt idx="66">
                  <c:v>-0.40305413475752438</c:v>
                </c:pt>
                <c:pt idx="67">
                  <c:v>-0.40447948127953354</c:v>
                </c:pt>
                <c:pt idx="68">
                  <c:v>-0.39877809519149671</c:v>
                </c:pt>
                <c:pt idx="69">
                  <c:v>-0.53905986833957653</c:v>
                </c:pt>
                <c:pt idx="70">
                  <c:v>-0.53709318864342426</c:v>
                </c:pt>
                <c:pt idx="71">
                  <c:v>-0.53945320427880694</c:v>
                </c:pt>
                <c:pt idx="72">
                  <c:v>-0.53827319646111571</c:v>
                </c:pt>
                <c:pt idx="73">
                  <c:v>2.7841007737905747</c:v>
                </c:pt>
                <c:pt idx="74">
                  <c:v>1.7864445764609147</c:v>
                </c:pt>
                <c:pt idx="75">
                  <c:v>2.7841007737905747</c:v>
                </c:pt>
                <c:pt idx="76">
                  <c:v>-0.35551045889928451</c:v>
                </c:pt>
                <c:pt idx="77">
                  <c:v>-0.34927017279270678</c:v>
                </c:pt>
                <c:pt idx="78">
                  <c:v>-0.34927017279270678</c:v>
                </c:pt>
                <c:pt idx="79">
                  <c:v>-0.35551045889928451</c:v>
                </c:pt>
                <c:pt idx="80">
                  <c:v>-0.50572862387677076</c:v>
                </c:pt>
                <c:pt idx="81">
                  <c:v>-0.48914816171280234</c:v>
                </c:pt>
                <c:pt idx="82">
                  <c:v>-0.49467498243412517</c:v>
                </c:pt>
                <c:pt idx="83">
                  <c:v>-0.51125544459809358</c:v>
                </c:pt>
                <c:pt idx="84">
                  <c:v>-0.29213089908174444</c:v>
                </c:pt>
                <c:pt idx="85">
                  <c:v>-0.28021356577816481</c:v>
                </c:pt>
                <c:pt idx="86">
                  <c:v>-0.28617223242995465</c:v>
                </c:pt>
                <c:pt idx="87">
                  <c:v>-0.28021356577816481</c:v>
                </c:pt>
                <c:pt idx="88">
                  <c:v>-0.28523260820387192</c:v>
                </c:pt>
                <c:pt idx="89">
                  <c:v>-0.27851881371938975</c:v>
                </c:pt>
                <c:pt idx="90">
                  <c:v>-0.27180501923490757</c:v>
                </c:pt>
                <c:pt idx="91">
                  <c:v>-0.28523260820387192</c:v>
                </c:pt>
                <c:pt idx="92">
                  <c:v>5.9787629065951196</c:v>
                </c:pt>
                <c:pt idx="93">
                  <c:v>-0.29194640268835409</c:v>
                </c:pt>
                <c:pt idx="94">
                  <c:v>5.9787629065951196</c:v>
                </c:pt>
                <c:pt idx="95">
                  <c:v>-0.45389703656149183</c:v>
                </c:pt>
                <c:pt idx="96">
                  <c:v>-0.45407960433159117</c:v>
                </c:pt>
                <c:pt idx="97">
                  <c:v>-0.45353190102129309</c:v>
                </c:pt>
                <c:pt idx="98">
                  <c:v>-0.45394267850401671</c:v>
                </c:pt>
                <c:pt idx="99">
                  <c:v>-0.42693922851267868</c:v>
                </c:pt>
                <c:pt idx="100">
                  <c:v>-0.42674303033090227</c:v>
                </c:pt>
                <c:pt idx="101">
                  <c:v>-0.42649778260368182</c:v>
                </c:pt>
                <c:pt idx="102">
                  <c:v>-0.42723352578534324</c:v>
                </c:pt>
                <c:pt idx="103">
                  <c:v>-0.48927804024709121</c:v>
                </c:pt>
                <c:pt idx="104">
                  <c:v>-0.48968465656666799</c:v>
                </c:pt>
                <c:pt idx="105">
                  <c:v>-0.49004609329518084</c:v>
                </c:pt>
                <c:pt idx="106">
                  <c:v>-0.49018163206837301</c:v>
                </c:pt>
                <c:pt idx="107">
                  <c:v>-0.36443952178614536</c:v>
                </c:pt>
                <c:pt idx="108">
                  <c:v>-0.36497120492147217</c:v>
                </c:pt>
                <c:pt idx="109">
                  <c:v>-0.36492287009098789</c:v>
                </c:pt>
                <c:pt idx="110">
                  <c:v>-0.36468119593856657</c:v>
                </c:pt>
                <c:pt idx="111">
                  <c:v>1.7448161515219516</c:v>
                </c:pt>
                <c:pt idx="112">
                  <c:v>0.91892565425869488</c:v>
                </c:pt>
                <c:pt idx="113">
                  <c:v>2.111878594750066</c:v>
                </c:pt>
                <c:pt idx="114">
                  <c:v>-0.36881409120986947</c:v>
                </c:pt>
                <c:pt idx="115">
                  <c:v>-0.37152093990985696</c:v>
                </c:pt>
                <c:pt idx="116">
                  <c:v>-0.37152093990985696</c:v>
                </c:pt>
                <c:pt idx="117">
                  <c:v>-0.37084422773486014</c:v>
                </c:pt>
                <c:pt idx="118">
                  <c:v>-0.37018564556367894</c:v>
                </c:pt>
                <c:pt idx="119">
                  <c:v>-0.37052218865079573</c:v>
                </c:pt>
                <c:pt idx="120">
                  <c:v>-0.37186836099926324</c:v>
                </c:pt>
                <c:pt idx="121">
                  <c:v>-0.37052218865079573</c:v>
                </c:pt>
                <c:pt idx="122">
                  <c:v>-0.33789082769726952</c:v>
                </c:pt>
                <c:pt idx="123">
                  <c:v>-0.33834126163226502</c:v>
                </c:pt>
                <c:pt idx="124">
                  <c:v>-0.34239516704722484</c:v>
                </c:pt>
                <c:pt idx="125">
                  <c:v>-0.34104386524223823</c:v>
                </c:pt>
                <c:pt idx="126">
                  <c:v>-0.24634193091160661</c:v>
                </c:pt>
                <c:pt idx="127">
                  <c:v>-0.24371231499553953</c:v>
                </c:pt>
                <c:pt idx="128">
                  <c:v>-0.24469842096406469</c:v>
                </c:pt>
                <c:pt idx="129">
                  <c:v>-0.24305491101652277</c:v>
                </c:pt>
                <c:pt idx="130">
                  <c:v>1.0474876372649848</c:v>
                </c:pt>
                <c:pt idx="131">
                  <c:v>2.8606897638534599</c:v>
                </c:pt>
                <c:pt idx="132">
                  <c:v>1.82457426294576</c:v>
                </c:pt>
                <c:pt idx="133">
                  <c:v>-0.29616212765061223</c:v>
                </c:pt>
                <c:pt idx="134">
                  <c:v>-0.29616212765061223</c:v>
                </c:pt>
                <c:pt idx="135">
                  <c:v>-0.29616212765061223</c:v>
                </c:pt>
                <c:pt idx="136">
                  <c:v>-0.29501742798487546</c:v>
                </c:pt>
                <c:pt idx="137">
                  <c:v>-0.20225160814360552</c:v>
                </c:pt>
                <c:pt idx="138">
                  <c:v>-0.20117073409848918</c:v>
                </c:pt>
                <c:pt idx="139">
                  <c:v>-0.20225160814360552</c:v>
                </c:pt>
                <c:pt idx="140">
                  <c:v>-0.20225160814360552</c:v>
                </c:pt>
                <c:pt idx="141">
                  <c:v>-0.17066702506264625</c:v>
                </c:pt>
                <c:pt idx="142">
                  <c:v>-0.17094810164126995</c:v>
                </c:pt>
                <c:pt idx="143">
                  <c:v>-0.17094810164126995</c:v>
                </c:pt>
                <c:pt idx="144">
                  <c:v>-0.17094810164126995</c:v>
                </c:pt>
                <c:pt idx="145">
                  <c:v>-0.17094810164126995</c:v>
                </c:pt>
                <c:pt idx="146">
                  <c:v>-0.17094810164126995</c:v>
                </c:pt>
                <c:pt idx="147">
                  <c:v>-0.17094810164126995</c:v>
                </c:pt>
                <c:pt idx="148">
                  <c:v>-0.17085348866726824</c:v>
                </c:pt>
                <c:pt idx="149">
                  <c:v>-0.17094810164126995</c:v>
                </c:pt>
                <c:pt idx="150">
                  <c:v>1.8541427710849715E-2</c:v>
                </c:pt>
                <c:pt idx="151">
                  <c:v>-0.17094810164126995</c:v>
                </c:pt>
              </c:numCache>
            </c:numRef>
          </c:yVal>
          <c:smooth val="0"/>
        </c:ser>
        <c:ser>
          <c:idx val="1"/>
          <c:order val="1"/>
          <c:tx>
            <c:v/>
          </c:tx>
          <c:spPr>
            <a:ln w="25400" cap="rnd">
              <a:noFill/>
              <a:round/>
            </a:ln>
            <a:effectLst/>
          </c:spPr>
          <c:marker>
            <c:symbol val="circle"/>
            <c:size val="3"/>
            <c:spPr>
              <a:solidFill>
                <a:srgbClr val="003CE6"/>
              </a:solidFill>
              <a:ln w="0">
                <a:solidFill>
                  <a:srgbClr val="003CE6"/>
                </a:solidFill>
                <a:prstDash val="solid"/>
              </a:ln>
              <a:effectLst/>
            </c:spPr>
          </c:marker>
          <c:xVal>
            <c:numLit>
              <c:formatCode>General</c:formatCode>
              <c:ptCount val="1"/>
              <c:pt idx="0">
                <c:v>1.7479711832578199E-2</c:v>
              </c:pt>
            </c:numLit>
          </c:xVal>
          <c:yVal>
            <c:numLit>
              <c:formatCode>General</c:formatCode>
              <c:ptCount val="1"/>
              <c:pt idx="0">
                <c:v>-8.1771694903927494E-2</c:v>
              </c:pt>
            </c:numLit>
          </c:yVal>
          <c:smooth val="0"/>
        </c:ser>
        <c:dLbls>
          <c:showLegendKey val="0"/>
          <c:showVal val="0"/>
          <c:showCatName val="0"/>
          <c:showSerName val="0"/>
          <c:showPercent val="0"/>
          <c:showBubbleSize val="0"/>
        </c:dLbls>
        <c:axId val="751874816"/>
        <c:axId val="751877120"/>
      </c:scatterChart>
      <c:valAx>
        <c:axId val="751874816"/>
        <c:scaling>
          <c:orientation val="minMax"/>
          <c:max val="0.2"/>
          <c:min val="0"/>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M&amp;A Intensity</a:t>
                </a:r>
              </a:p>
            </c:rich>
          </c:tx>
          <c:overlay val="0"/>
          <c:spPr>
            <a:noFill/>
            <a:ln>
              <a:noFill/>
            </a:ln>
            <a:effectLst/>
          </c:spPr>
        </c:title>
        <c:numFmt formatCode="General" sourceLinked="0"/>
        <c:majorTickMark val="cross"/>
        <c:minorTickMark val="none"/>
        <c:tickLblPos val="nextTo"/>
        <c:spPr>
          <a:noFill/>
          <a:ln w="9525" cap="flat" cmpd="sng" algn="ctr">
            <a:solidFill>
              <a:srgbClr val="000000"/>
            </a:solidFill>
            <a:prstDash val="solid"/>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51877120"/>
        <c:crosses val="autoZero"/>
        <c:crossBetween val="midCat"/>
      </c:valAx>
      <c:valAx>
        <c:axId val="751877120"/>
        <c:scaling>
          <c:orientation val="minMax"/>
          <c:max val="6"/>
          <c:min val="-1"/>
        </c:scaling>
        <c:delete val="0"/>
        <c:axPos val="l"/>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Standardisierte Residuen</a:t>
                </a:r>
              </a:p>
            </c:rich>
          </c:tx>
          <c:overlay val="0"/>
          <c:spPr>
            <a:noFill/>
            <a:ln>
              <a:noFill/>
            </a:ln>
            <a:effectLst/>
          </c:spPr>
        </c:title>
        <c:numFmt formatCode="General" sourceLinked="0"/>
        <c:majorTickMark val="cross"/>
        <c:minorTickMark val="none"/>
        <c:tickLblPos val="nextTo"/>
        <c:spPr>
          <a:noFill/>
          <a:ln>
            <a:solidFill>
              <a:srgbClr val="000000"/>
            </a:solidFill>
            <a:prstDash val="soli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51874816"/>
        <c:crosses val="autoZero"/>
        <c:crossBetween val="midCat"/>
      </c:valAx>
      <c:spPr>
        <a:noFill/>
        <a:ln>
          <a:solidFill>
            <a:srgbClr val="C0C0C0"/>
          </a:solidFill>
          <a:prstDash val="solid"/>
        </a:ln>
        <a:effectLst/>
      </c:spPr>
    </c:plotArea>
    <c:plotVisOnly val="1"/>
    <c:dispBlanksAs val="gap"/>
    <c:showDLblsOverMax val="0"/>
  </c:chart>
  <c:spPr>
    <a:solidFill>
      <a:schemeClr val="bg1"/>
    </a:solidFill>
    <a:ln w="9525" cap="flat" cmpd="sng" algn="ctr">
      <a:solidFill>
        <a:srgbClr val="000000"/>
      </a:solidFill>
      <a:prstDash val="solid"/>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a:ea typeface="Arial"/>
                <a:cs typeface="Arial"/>
              </a:defRPr>
            </a:pPr>
            <a:r>
              <a:rPr lang="de-DE"/>
              <a:t>Vorhersagen(M&amp;A Intensity) / Standardisierte Residuen</a:t>
            </a:r>
          </a:p>
        </c:rich>
      </c:tx>
      <c:overlay val="0"/>
      <c:spPr>
        <a:noFill/>
        <a:ln>
          <a:noFill/>
        </a:ln>
        <a:effectLst/>
      </c:spPr>
    </c:title>
    <c:autoTitleDeleted val="0"/>
    <c:plotArea>
      <c:layout/>
      <c:scatterChart>
        <c:scatterStyle val="lineMarker"/>
        <c:varyColors val="0"/>
        <c:ser>
          <c:idx val="0"/>
          <c:order val="0"/>
          <c:tx>
            <c:v/>
          </c:tx>
          <c:spPr>
            <a:ln w="25400" cap="rnd">
              <a:noFill/>
              <a:round/>
            </a:ln>
            <a:effectLst/>
          </c:spPr>
          <c:marker>
            <c:symbol val="circle"/>
            <c:size val="3"/>
            <c:spPr>
              <a:solidFill>
                <a:srgbClr val="003CE6"/>
              </a:solidFill>
              <a:ln w="6350">
                <a:solidFill>
                  <a:srgbClr val="003CE6"/>
                </a:solidFill>
                <a:prstDash val="solid"/>
              </a:ln>
              <a:effectLst/>
            </c:spPr>
          </c:marker>
          <c:xVal>
            <c:numRef>
              <c:f>'Alle PR'!$E$141:$E$292</c:f>
              <c:numCache>
                <c:formatCode>0.000</c:formatCode>
                <c:ptCount val="152"/>
                <c:pt idx="0">
                  <c:v>1.9483969628467615E-2</c:v>
                </c:pt>
                <c:pt idx="1">
                  <c:v>1.9483969628467615E-2</c:v>
                </c:pt>
                <c:pt idx="2">
                  <c:v>1.9483969628467615E-2</c:v>
                </c:pt>
                <c:pt idx="3">
                  <c:v>1.9483969628467615E-2</c:v>
                </c:pt>
                <c:pt idx="4">
                  <c:v>2.025575350007372E-2</c:v>
                </c:pt>
                <c:pt idx="5">
                  <c:v>2.025575350007372E-2</c:v>
                </c:pt>
                <c:pt idx="6">
                  <c:v>2.025575350007372E-2</c:v>
                </c:pt>
                <c:pt idx="7">
                  <c:v>2.025575350007372E-2</c:v>
                </c:pt>
                <c:pt idx="8">
                  <c:v>2.5617541860550375E-2</c:v>
                </c:pt>
                <c:pt idx="9">
                  <c:v>2.5617541860550375E-2</c:v>
                </c:pt>
                <c:pt idx="10">
                  <c:v>2.5617541860550375E-2</c:v>
                </c:pt>
                <c:pt idx="11">
                  <c:v>2.5617541860550375E-2</c:v>
                </c:pt>
                <c:pt idx="12">
                  <c:v>2.1773093165903361E-2</c:v>
                </c:pt>
                <c:pt idx="13">
                  <c:v>2.1773093165903361E-2</c:v>
                </c:pt>
                <c:pt idx="14">
                  <c:v>2.1773093165903361E-2</c:v>
                </c:pt>
                <c:pt idx="15">
                  <c:v>2.1773093165903361E-2</c:v>
                </c:pt>
                <c:pt idx="16">
                  <c:v>2.1773093165903361E-2</c:v>
                </c:pt>
                <c:pt idx="17">
                  <c:v>2.1773093165903361E-2</c:v>
                </c:pt>
                <c:pt idx="18">
                  <c:v>2.1773093165903361E-2</c:v>
                </c:pt>
                <c:pt idx="19">
                  <c:v>9.733421630077314E-3</c:v>
                </c:pt>
                <c:pt idx="20">
                  <c:v>9.733421630077314E-3</c:v>
                </c:pt>
                <c:pt idx="21">
                  <c:v>9.733421630077314E-3</c:v>
                </c:pt>
                <c:pt idx="22">
                  <c:v>9.733421630077314E-3</c:v>
                </c:pt>
                <c:pt idx="23">
                  <c:v>1.1263423126367503E-2</c:v>
                </c:pt>
                <c:pt idx="24">
                  <c:v>1.1263423126367503E-2</c:v>
                </c:pt>
                <c:pt idx="25">
                  <c:v>1.1263423126367503E-2</c:v>
                </c:pt>
                <c:pt idx="26">
                  <c:v>1.1263423126367503E-2</c:v>
                </c:pt>
                <c:pt idx="27">
                  <c:v>5.1379906424379538E-3</c:v>
                </c:pt>
                <c:pt idx="28">
                  <c:v>5.1379906424379538E-3</c:v>
                </c:pt>
                <c:pt idx="29">
                  <c:v>5.1379906424379538E-3</c:v>
                </c:pt>
                <c:pt idx="30">
                  <c:v>5.1379906424379538E-3</c:v>
                </c:pt>
                <c:pt idx="31">
                  <c:v>1.0500683419376078E-2</c:v>
                </c:pt>
                <c:pt idx="32">
                  <c:v>1.0500683419376078E-2</c:v>
                </c:pt>
                <c:pt idx="33">
                  <c:v>1.0500683419376078E-2</c:v>
                </c:pt>
                <c:pt idx="34">
                  <c:v>1.0500683419376078E-2</c:v>
                </c:pt>
                <c:pt idx="35">
                  <c:v>1.0500683419376078E-2</c:v>
                </c:pt>
                <c:pt idx="36">
                  <c:v>1.0500683419376078E-2</c:v>
                </c:pt>
                <c:pt idx="37">
                  <c:v>1.0500683419376078E-2</c:v>
                </c:pt>
                <c:pt idx="38">
                  <c:v>1.0696471813250598E-2</c:v>
                </c:pt>
                <c:pt idx="39">
                  <c:v>1.0696471813250598E-2</c:v>
                </c:pt>
                <c:pt idx="40">
                  <c:v>1.0696471813250598E-2</c:v>
                </c:pt>
                <c:pt idx="41">
                  <c:v>1.0696471813250598E-2</c:v>
                </c:pt>
                <c:pt idx="42">
                  <c:v>1.0696471813250598E-2</c:v>
                </c:pt>
                <c:pt idx="43">
                  <c:v>1.0696471813250598E-2</c:v>
                </c:pt>
                <c:pt idx="44">
                  <c:v>1.0696471813250598E-2</c:v>
                </c:pt>
                <c:pt idx="45">
                  <c:v>1.0696471813250598E-2</c:v>
                </c:pt>
                <c:pt idx="46">
                  <c:v>7.6274246560555509E-3</c:v>
                </c:pt>
                <c:pt idx="47">
                  <c:v>7.6274246560555509E-3</c:v>
                </c:pt>
                <c:pt idx="48">
                  <c:v>7.6274246560555509E-3</c:v>
                </c:pt>
                <c:pt idx="49">
                  <c:v>7.6274246560555509E-3</c:v>
                </c:pt>
                <c:pt idx="50">
                  <c:v>8.3946864453543144E-3</c:v>
                </c:pt>
                <c:pt idx="51">
                  <c:v>8.3946864453543144E-3</c:v>
                </c:pt>
                <c:pt idx="52">
                  <c:v>8.3946864453543144E-3</c:v>
                </c:pt>
                <c:pt idx="53">
                  <c:v>8.3946864453543144E-3</c:v>
                </c:pt>
                <c:pt idx="54">
                  <c:v>8.3946864453543144E-3</c:v>
                </c:pt>
                <c:pt idx="55">
                  <c:v>8.3946864453543144E-3</c:v>
                </c:pt>
                <c:pt idx="56">
                  <c:v>8.3946864453543144E-3</c:v>
                </c:pt>
                <c:pt idx="57">
                  <c:v>6.1591660440732422E-3</c:v>
                </c:pt>
                <c:pt idx="58">
                  <c:v>6.1591660440732422E-3</c:v>
                </c:pt>
                <c:pt idx="59">
                  <c:v>6.1591660440732422E-3</c:v>
                </c:pt>
                <c:pt idx="60">
                  <c:v>6.1591660440732422E-3</c:v>
                </c:pt>
                <c:pt idx="61">
                  <c:v>1.0762736779865816E-2</c:v>
                </c:pt>
                <c:pt idx="62">
                  <c:v>1.0762736779865816E-2</c:v>
                </c:pt>
                <c:pt idx="63">
                  <c:v>1.0762736779865816E-2</c:v>
                </c:pt>
                <c:pt idx="64">
                  <c:v>1.0762736779865816E-2</c:v>
                </c:pt>
                <c:pt idx="65">
                  <c:v>9.9954749905670527E-3</c:v>
                </c:pt>
                <c:pt idx="66">
                  <c:v>9.9954749905670527E-3</c:v>
                </c:pt>
                <c:pt idx="67">
                  <c:v>9.9954749905670527E-3</c:v>
                </c:pt>
                <c:pt idx="68">
                  <c:v>9.9954749905670527E-3</c:v>
                </c:pt>
                <c:pt idx="69">
                  <c:v>1.3270423519792015E-2</c:v>
                </c:pt>
                <c:pt idx="70">
                  <c:v>1.3270423519792015E-2</c:v>
                </c:pt>
                <c:pt idx="71">
                  <c:v>1.3270423519792015E-2</c:v>
                </c:pt>
                <c:pt idx="72">
                  <c:v>1.3270423519792015E-2</c:v>
                </c:pt>
                <c:pt idx="73">
                  <c:v>1.3270423519792015E-2</c:v>
                </c:pt>
                <c:pt idx="74">
                  <c:v>1.3270423519792015E-2</c:v>
                </c:pt>
                <c:pt idx="75">
                  <c:v>1.3270423519792015E-2</c:v>
                </c:pt>
                <c:pt idx="76">
                  <c:v>8.7137072260303518E-3</c:v>
                </c:pt>
                <c:pt idx="77">
                  <c:v>8.7137072260303518E-3</c:v>
                </c:pt>
                <c:pt idx="78">
                  <c:v>8.7137072260303518E-3</c:v>
                </c:pt>
                <c:pt idx="79">
                  <c:v>8.7137072260303518E-3</c:v>
                </c:pt>
                <c:pt idx="80">
                  <c:v>1.2531080733137705E-2</c:v>
                </c:pt>
                <c:pt idx="81">
                  <c:v>1.2531080733137705E-2</c:v>
                </c:pt>
                <c:pt idx="82">
                  <c:v>1.2531080733137705E-2</c:v>
                </c:pt>
                <c:pt idx="83">
                  <c:v>1.2531080733137705E-2</c:v>
                </c:pt>
                <c:pt idx="84">
                  <c:v>7.1602482080463572E-3</c:v>
                </c:pt>
                <c:pt idx="85">
                  <c:v>7.1602482080463572E-3</c:v>
                </c:pt>
                <c:pt idx="86">
                  <c:v>7.1602482080463572E-3</c:v>
                </c:pt>
                <c:pt idx="87">
                  <c:v>7.1602482080463572E-3</c:v>
                </c:pt>
                <c:pt idx="88">
                  <c:v>7.1557261257390193E-3</c:v>
                </c:pt>
                <c:pt idx="89">
                  <c:v>7.1557261257390193E-3</c:v>
                </c:pt>
                <c:pt idx="90">
                  <c:v>7.1557261257390193E-3</c:v>
                </c:pt>
                <c:pt idx="91">
                  <c:v>7.1557261257390193E-3</c:v>
                </c:pt>
                <c:pt idx="92">
                  <c:v>7.1557261257390193E-3</c:v>
                </c:pt>
                <c:pt idx="93">
                  <c:v>7.1557261257390193E-3</c:v>
                </c:pt>
                <c:pt idx="94">
                  <c:v>7.1557261257390193E-3</c:v>
                </c:pt>
                <c:pt idx="95">
                  <c:v>1.1150932779009035E-2</c:v>
                </c:pt>
                <c:pt idx="96">
                  <c:v>1.1150932779009035E-2</c:v>
                </c:pt>
                <c:pt idx="97">
                  <c:v>1.1150932779009035E-2</c:v>
                </c:pt>
                <c:pt idx="98">
                  <c:v>1.1150932779009035E-2</c:v>
                </c:pt>
                <c:pt idx="99">
                  <c:v>1.0488500168695462E-2</c:v>
                </c:pt>
                <c:pt idx="100">
                  <c:v>1.0488500168695462E-2</c:v>
                </c:pt>
                <c:pt idx="101">
                  <c:v>1.0488500168695462E-2</c:v>
                </c:pt>
                <c:pt idx="102">
                  <c:v>1.0488500168695462E-2</c:v>
                </c:pt>
                <c:pt idx="103">
                  <c:v>1.2031163495446199E-2</c:v>
                </c:pt>
                <c:pt idx="104">
                  <c:v>1.2031163495446199E-2</c:v>
                </c:pt>
                <c:pt idx="105">
                  <c:v>1.2031163495446199E-2</c:v>
                </c:pt>
                <c:pt idx="106">
                  <c:v>1.2031163495446199E-2</c:v>
                </c:pt>
                <c:pt idx="107">
                  <c:v>8.9657340040970174E-3</c:v>
                </c:pt>
                <c:pt idx="108">
                  <c:v>8.9657340040970174E-3</c:v>
                </c:pt>
                <c:pt idx="109">
                  <c:v>8.9657340040970174E-3</c:v>
                </c:pt>
                <c:pt idx="110">
                  <c:v>8.9657340040970174E-3</c:v>
                </c:pt>
                <c:pt idx="111">
                  <c:v>8.9657340040970174E-3</c:v>
                </c:pt>
                <c:pt idx="112">
                  <c:v>8.9657340040970174E-3</c:v>
                </c:pt>
                <c:pt idx="113">
                  <c:v>8.9657340040970174E-3</c:v>
                </c:pt>
                <c:pt idx="114">
                  <c:v>9.1558901645250549E-3</c:v>
                </c:pt>
                <c:pt idx="115">
                  <c:v>9.1558901645250549E-3</c:v>
                </c:pt>
                <c:pt idx="116">
                  <c:v>9.1558901645250549E-3</c:v>
                </c:pt>
                <c:pt idx="117">
                  <c:v>9.1558901645250549E-3</c:v>
                </c:pt>
                <c:pt idx="118">
                  <c:v>9.1558901645250549E-3</c:v>
                </c:pt>
                <c:pt idx="119">
                  <c:v>9.1558901645250549E-3</c:v>
                </c:pt>
                <c:pt idx="120">
                  <c:v>9.1558901645250549E-3</c:v>
                </c:pt>
                <c:pt idx="121">
                  <c:v>9.1558901645250549E-3</c:v>
                </c:pt>
                <c:pt idx="122">
                  <c:v>8.3922460410721742E-3</c:v>
                </c:pt>
                <c:pt idx="123">
                  <c:v>8.3922460410721742E-3</c:v>
                </c:pt>
                <c:pt idx="124">
                  <c:v>8.3922460410721742E-3</c:v>
                </c:pt>
                <c:pt idx="125">
                  <c:v>8.3922460410721742E-3</c:v>
                </c:pt>
                <c:pt idx="126">
                  <c:v>6.0701682919400562E-3</c:v>
                </c:pt>
                <c:pt idx="127">
                  <c:v>6.0701682919400562E-3</c:v>
                </c:pt>
                <c:pt idx="128">
                  <c:v>6.0701682919400562E-3</c:v>
                </c:pt>
                <c:pt idx="129">
                  <c:v>6.0701682919400562E-3</c:v>
                </c:pt>
                <c:pt idx="130">
                  <c:v>6.0701682919400562E-3</c:v>
                </c:pt>
                <c:pt idx="131">
                  <c:v>6.0701682919400562E-3</c:v>
                </c:pt>
                <c:pt idx="132">
                  <c:v>6.0701682919400562E-3</c:v>
                </c:pt>
                <c:pt idx="133">
                  <c:v>7.2590552744237619E-3</c:v>
                </c:pt>
                <c:pt idx="134">
                  <c:v>7.2590552744237619E-3</c:v>
                </c:pt>
                <c:pt idx="135">
                  <c:v>7.2590552744237619E-3</c:v>
                </c:pt>
                <c:pt idx="136">
                  <c:v>7.2590552744237619E-3</c:v>
                </c:pt>
                <c:pt idx="137">
                  <c:v>4.9572699065274714E-3</c:v>
                </c:pt>
                <c:pt idx="138">
                  <c:v>4.9572699065274714E-3</c:v>
                </c:pt>
                <c:pt idx="139">
                  <c:v>4.9572699065274714E-3</c:v>
                </c:pt>
                <c:pt idx="140">
                  <c:v>4.9572699065274714E-3</c:v>
                </c:pt>
                <c:pt idx="141">
                  <c:v>4.1900081172287079E-3</c:v>
                </c:pt>
                <c:pt idx="142">
                  <c:v>4.1900081172287079E-3</c:v>
                </c:pt>
                <c:pt idx="143">
                  <c:v>4.1900081172287079E-3</c:v>
                </c:pt>
                <c:pt idx="144">
                  <c:v>4.1900081172287079E-3</c:v>
                </c:pt>
                <c:pt idx="145">
                  <c:v>4.1900081172287079E-3</c:v>
                </c:pt>
                <c:pt idx="146">
                  <c:v>4.1900081172287079E-3</c:v>
                </c:pt>
                <c:pt idx="147">
                  <c:v>4.1900081172287079E-3</c:v>
                </c:pt>
                <c:pt idx="148">
                  <c:v>4.1900081172287079E-3</c:v>
                </c:pt>
                <c:pt idx="149">
                  <c:v>4.1900081172287079E-3</c:v>
                </c:pt>
                <c:pt idx="150">
                  <c:v>4.1900081172287079E-3</c:v>
                </c:pt>
                <c:pt idx="151">
                  <c:v>4.1900081172287079E-3</c:v>
                </c:pt>
              </c:numCache>
            </c:numRef>
          </c:xVal>
          <c:yVal>
            <c:numRef>
              <c:f>'Alle PR'!$G$141:$G$292</c:f>
              <c:numCache>
                <c:formatCode>0.000</c:formatCode>
                <c:ptCount val="152"/>
                <c:pt idx="0">
                  <c:v>-0.16101109469646835</c:v>
                </c:pt>
                <c:pt idx="1">
                  <c:v>-8.1771694903927494E-2</c:v>
                </c:pt>
                <c:pt idx="2">
                  <c:v>-0.31948989428155006</c:v>
                </c:pt>
                <c:pt idx="3">
                  <c:v>-2.5322951113865926E-3</c:v>
                </c:pt>
                <c:pt idx="4">
                  <c:v>-2.8005319377376488E-2</c:v>
                </c:pt>
                <c:pt idx="5">
                  <c:v>0.14941889763487798</c:v>
                </c:pt>
                <c:pt idx="6">
                  <c:v>-0.29414164489575806</c:v>
                </c:pt>
                <c:pt idx="7">
                  <c:v>-0.38285375340188532</c:v>
                </c:pt>
                <c:pt idx="8">
                  <c:v>-0.40350154268937932</c:v>
                </c:pt>
                <c:pt idx="9">
                  <c:v>-0.88475277216891157</c:v>
                </c:pt>
                <c:pt idx="10">
                  <c:v>-8.2667389703024577E-2</c:v>
                </c:pt>
                <c:pt idx="11">
                  <c:v>0.23816676328333033</c:v>
                </c:pt>
                <c:pt idx="12">
                  <c:v>-0.17281959542727313</c:v>
                </c:pt>
                <c:pt idx="13">
                  <c:v>0.68578115723076982</c:v>
                </c:pt>
                <c:pt idx="14">
                  <c:v>1.544381909888813</c:v>
                </c:pt>
                <c:pt idx="15">
                  <c:v>1.1150815335597914</c:v>
                </c:pt>
                <c:pt idx="16">
                  <c:v>2.1195542040543445E-2</c:v>
                </c:pt>
                <c:pt idx="17">
                  <c:v>0.2233101564145106</c:v>
                </c:pt>
                <c:pt idx="18">
                  <c:v>0.4254247707884779</c:v>
                </c:pt>
                <c:pt idx="19">
                  <c:v>1.3572057060039855</c:v>
                </c:pt>
                <c:pt idx="20">
                  <c:v>-0.39496074879207288</c:v>
                </c:pt>
                <c:pt idx="21">
                  <c:v>-0.39523984507349935</c:v>
                </c:pt>
                <c:pt idx="22">
                  <c:v>-0.39559868314961927</c:v>
                </c:pt>
                <c:pt idx="23">
                  <c:v>-0.45769914218695729</c:v>
                </c:pt>
                <c:pt idx="24">
                  <c:v>-0.45755410389697448</c:v>
                </c:pt>
                <c:pt idx="25">
                  <c:v>-0.45673222025373855</c:v>
                </c:pt>
                <c:pt idx="26">
                  <c:v>-0.45687725854372135</c:v>
                </c:pt>
                <c:pt idx="27">
                  <c:v>-0.2051093661936633</c:v>
                </c:pt>
                <c:pt idx="28">
                  <c:v>-0.20570574843601291</c:v>
                </c:pt>
                <c:pt idx="29">
                  <c:v>-0.20417219409854245</c:v>
                </c:pt>
                <c:pt idx="30">
                  <c:v>-0.20613173575197694</c:v>
                </c:pt>
                <c:pt idx="31">
                  <c:v>-0.42681022095957732</c:v>
                </c:pt>
                <c:pt idx="32">
                  <c:v>-0.42563170824577362</c:v>
                </c:pt>
                <c:pt idx="33">
                  <c:v>-0.42466747057084331</c:v>
                </c:pt>
                <c:pt idx="34">
                  <c:v>-0.4260602583235204</c:v>
                </c:pt>
                <c:pt idx="35">
                  <c:v>1.6625110690917622</c:v>
                </c:pt>
                <c:pt idx="36">
                  <c:v>2.1603511531019741</c:v>
                </c:pt>
                <c:pt idx="37">
                  <c:v>0.61704689267031732</c:v>
                </c:pt>
                <c:pt idx="38">
                  <c:v>-0.43467697025832269</c:v>
                </c:pt>
                <c:pt idx="39">
                  <c:v>-0.43554111142191759</c:v>
                </c:pt>
                <c:pt idx="40">
                  <c:v>-0.43467697025832269</c:v>
                </c:pt>
                <c:pt idx="41">
                  <c:v>-0.43510904084012014</c:v>
                </c:pt>
                <c:pt idx="42">
                  <c:v>-0.43485322139650828</c:v>
                </c:pt>
                <c:pt idx="43">
                  <c:v>-0.43502566930639769</c:v>
                </c:pt>
                <c:pt idx="44">
                  <c:v>-0.43485322139650828</c:v>
                </c:pt>
                <c:pt idx="45">
                  <c:v>-0.43399098184706147</c:v>
                </c:pt>
                <c:pt idx="46">
                  <c:v>-0.30950396405613806</c:v>
                </c:pt>
                <c:pt idx="47">
                  <c:v>-0.30908214842612991</c:v>
                </c:pt>
                <c:pt idx="48">
                  <c:v>-0.30908214842612991</c:v>
                </c:pt>
                <c:pt idx="49">
                  <c:v>-0.30908214842612991</c:v>
                </c:pt>
                <c:pt idx="50">
                  <c:v>-0.34018761396602232</c:v>
                </c:pt>
                <c:pt idx="51">
                  <c:v>-0.33999535403998199</c:v>
                </c:pt>
                <c:pt idx="52">
                  <c:v>-0.33922631433582068</c:v>
                </c:pt>
                <c:pt idx="53">
                  <c:v>-0.34057213381810292</c:v>
                </c:pt>
                <c:pt idx="54">
                  <c:v>0.8828449749261752</c:v>
                </c:pt>
                <c:pt idx="55">
                  <c:v>1.4955148289285158</c:v>
                </c:pt>
                <c:pt idx="56">
                  <c:v>0.42334258442441963</c:v>
                </c:pt>
                <c:pt idx="57">
                  <c:v>-0.24920120172650442</c:v>
                </c:pt>
                <c:pt idx="58">
                  <c:v>-0.24958057547063289</c:v>
                </c:pt>
                <c:pt idx="59">
                  <c:v>-0.24749401987792646</c:v>
                </c:pt>
                <c:pt idx="60">
                  <c:v>-0.24882182798237598</c:v>
                </c:pt>
                <c:pt idx="61">
                  <c:v>-0.43671216994843481</c:v>
                </c:pt>
                <c:pt idx="62">
                  <c:v>-0.43751104541003116</c:v>
                </c:pt>
                <c:pt idx="63">
                  <c:v>-0.43697846176896687</c:v>
                </c:pt>
                <c:pt idx="64">
                  <c:v>-0.43644587812790264</c:v>
                </c:pt>
                <c:pt idx="65">
                  <c:v>-0.40305413475752438</c:v>
                </c:pt>
                <c:pt idx="66">
                  <c:v>-0.40305413475752438</c:v>
                </c:pt>
                <c:pt idx="67">
                  <c:v>-0.40447948127953354</c:v>
                </c:pt>
                <c:pt idx="68">
                  <c:v>-0.39877809519149671</c:v>
                </c:pt>
                <c:pt idx="69">
                  <c:v>-0.53905986833957653</c:v>
                </c:pt>
                <c:pt idx="70">
                  <c:v>-0.53709318864342426</c:v>
                </c:pt>
                <c:pt idx="71">
                  <c:v>-0.53945320427880694</c:v>
                </c:pt>
                <c:pt idx="72">
                  <c:v>-0.53827319646111571</c:v>
                </c:pt>
                <c:pt idx="73">
                  <c:v>2.7841007737905747</c:v>
                </c:pt>
                <c:pt idx="74">
                  <c:v>1.7864445764609147</c:v>
                </c:pt>
                <c:pt idx="75">
                  <c:v>2.7841007737905747</c:v>
                </c:pt>
                <c:pt idx="76">
                  <c:v>-0.35551045889928451</c:v>
                </c:pt>
                <c:pt idx="77">
                  <c:v>-0.34927017279270678</c:v>
                </c:pt>
                <c:pt idx="78">
                  <c:v>-0.34927017279270678</c:v>
                </c:pt>
                <c:pt idx="79">
                  <c:v>-0.35551045889928451</c:v>
                </c:pt>
                <c:pt idx="80">
                  <c:v>-0.50572862387677076</c:v>
                </c:pt>
                <c:pt idx="81">
                  <c:v>-0.48914816171280234</c:v>
                </c:pt>
                <c:pt idx="82">
                  <c:v>-0.49467498243412517</c:v>
                </c:pt>
                <c:pt idx="83">
                  <c:v>-0.51125544459809358</c:v>
                </c:pt>
                <c:pt idx="84">
                  <c:v>-0.29213089908174444</c:v>
                </c:pt>
                <c:pt idx="85">
                  <c:v>-0.28021356577816481</c:v>
                </c:pt>
                <c:pt idx="86">
                  <c:v>-0.28617223242995465</c:v>
                </c:pt>
                <c:pt idx="87">
                  <c:v>-0.28021356577816481</c:v>
                </c:pt>
                <c:pt idx="88">
                  <c:v>-0.28523260820387192</c:v>
                </c:pt>
                <c:pt idx="89">
                  <c:v>-0.27851881371938975</c:v>
                </c:pt>
                <c:pt idx="90">
                  <c:v>-0.27180501923490757</c:v>
                </c:pt>
                <c:pt idx="91">
                  <c:v>-0.28523260820387192</c:v>
                </c:pt>
                <c:pt idx="92">
                  <c:v>5.9787629065951196</c:v>
                </c:pt>
                <c:pt idx="93">
                  <c:v>-0.29194640268835409</c:v>
                </c:pt>
                <c:pt idx="94">
                  <c:v>5.9787629065951196</c:v>
                </c:pt>
                <c:pt idx="95">
                  <c:v>-0.45389703656149183</c:v>
                </c:pt>
                <c:pt idx="96">
                  <c:v>-0.45407960433159117</c:v>
                </c:pt>
                <c:pt idx="97">
                  <c:v>-0.45353190102129309</c:v>
                </c:pt>
                <c:pt idx="98">
                  <c:v>-0.45394267850401671</c:v>
                </c:pt>
                <c:pt idx="99">
                  <c:v>-0.42693922851267868</c:v>
                </c:pt>
                <c:pt idx="100">
                  <c:v>-0.42674303033090227</c:v>
                </c:pt>
                <c:pt idx="101">
                  <c:v>-0.42649778260368182</c:v>
                </c:pt>
                <c:pt idx="102">
                  <c:v>-0.42723352578534324</c:v>
                </c:pt>
                <c:pt idx="103">
                  <c:v>-0.48927804024709121</c:v>
                </c:pt>
                <c:pt idx="104">
                  <c:v>-0.48968465656666799</c:v>
                </c:pt>
                <c:pt idx="105">
                  <c:v>-0.49004609329518084</c:v>
                </c:pt>
                <c:pt idx="106">
                  <c:v>-0.49018163206837301</c:v>
                </c:pt>
                <c:pt idx="107">
                  <c:v>-0.36443952178614536</c:v>
                </c:pt>
                <c:pt idx="108">
                  <c:v>-0.36497120492147217</c:v>
                </c:pt>
                <c:pt idx="109">
                  <c:v>-0.36492287009098789</c:v>
                </c:pt>
                <c:pt idx="110">
                  <c:v>-0.36468119593856657</c:v>
                </c:pt>
                <c:pt idx="111">
                  <c:v>1.7448161515219516</c:v>
                </c:pt>
                <c:pt idx="112">
                  <c:v>0.91892565425869488</c:v>
                </c:pt>
                <c:pt idx="113">
                  <c:v>2.111878594750066</c:v>
                </c:pt>
                <c:pt idx="114">
                  <c:v>-0.36881409120986947</c:v>
                </c:pt>
                <c:pt idx="115">
                  <c:v>-0.37152093990985696</c:v>
                </c:pt>
                <c:pt idx="116">
                  <c:v>-0.37152093990985696</c:v>
                </c:pt>
                <c:pt idx="117">
                  <c:v>-0.37084422773486014</c:v>
                </c:pt>
                <c:pt idx="118">
                  <c:v>-0.37018564556367894</c:v>
                </c:pt>
                <c:pt idx="119">
                  <c:v>-0.37052218865079573</c:v>
                </c:pt>
                <c:pt idx="120">
                  <c:v>-0.37186836099926324</c:v>
                </c:pt>
                <c:pt idx="121">
                  <c:v>-0.37052218865079573</c:v>
                </c:pt>
                <c:pt idx="122">
                  <c:v>-0.33789082769726952</c:v>
                </c:pt>
                <c:pt idx="123">
                  <c:v>-0.33834126163226502</c:v>
                </c:pt>
                <c:pt idx="124">
                  <c:v>-0.34239516704722484</c:v>
                </c:pt>
                <c:pt idx="125">
                  <c:v>-0.34104386524223823</c:v>
                </c:pt>
                <c:pt idx="126">
                  <c:v>-0.24634193091160661</c:v>
                </c:pt>
                <c:pt idx="127">
                  <c:v>-0.24371231499553953</c:v>
                </c:pt>
                <c:pt idx="128">
                  <c:v>-0.24469842096406469</c:v>
                </c:pt>
                <c:pt idx="129">
                  <c:v>-0.24305491101652277</c:v>
                </c:pt>
                <c:pt idx="130">
                  <c:v>1.0474876372649848</c:v>
                </c:pt>
                <c:pt idx="131">
                  <c:v>2.8606897638534599</c:v>
                </c:pt>
                <c:pt idx="132">
                  <c:v>1.82457426294576</c:v>
                </c:pt>
                <c:pt idx="133">
                  <c:v>-0.29616212765061223</c:v>
                </c:pt>
                <c:pt idx="134">
                  <c:v>-0.29616212765061223</c:v>
                </c:pt>
                <c:pt idx="135">
                  <c:v>-0.29616212765061223</c:v>
                </c:pt>
                <c:pt idx="136">
                  <c:v>-0.29501742798487546</c:v>
                </c:pt>
                <c:pt idx="137">
                  <c:v>-0.20225160814360552</c:v>
                </c:pt>
                <c:pt idx="138">
                  <c:v>-0.20117073409848918</c:v>
                </c:pt>
                <c:pt idx="139">
                  <c:v>-0.20225160814360552</c:v>
                </c:pt>
                <c:pt idx="140">
                  <c:v>-0.20225160814360552</c:v>
                </c:pt>
                <c:pt idx="141">
                  <c:v>-0.17066702506264625</c:v>
                </c:pt>
                <c:pt idx="142">
                  <c:v>-0.17094810164126995</c:v>
                </c:pt>
                <c:pt idx="143">
                  <c:v>-0.17094810164126995</c:v>
                </c:pt>
                <c:pt idx="144">
                  <c:v>-0.17094810164126995</c:v>
                </c:pt>
                <c:pt idx="145">
                  <c:v>-0.17094810164126995</c:v>
                </c:pt>
                <c:pt idx="146">
                  <c:v>-0.17094810164126995</c:v>
                </c:pt>
                <c:pt idx="147">
                  <c:v>-0.17094810164126995</c:v>
                </c:pt>
                <c:pt idx="148">
                  <c:v>-0.17085348866726824</c:v>
                </c:pt>
                <c:pt idx="149">
                  <c:v>-0.17094810164126995</c:v>
                </c:pt>
                <c:pt idx="150">
                  <c:v>1.8541427710849715E-2</c:v>
                </c:pt>
                <c:pt idx="151">
                  <c:v>-0.17094810164126995</c:v>
                </c:pt>
              </c:numCache>
            </c:numRef>
          </c:yVal>
          <c:smooth val="0"/>
        </c:ser>
        <c:ser>
          <c:idx val="1"/>
          <c:order val="1"/>
          <c:tx>
            <c:v/>
          </c:tx>
          <c:spPr>
            <a:ln w="25400" cap="rnd">
              <a:noFill/>
              <a:round/>
            </a:ln>
            <a:effectLst/>
          </c:spPr>
          <c:marker>
            <c:symbol val="circle"/>
            <c:size val="3"/>
            <c:spPr>
              <a:solidFill>
                <a:srgbClr val="003CE6"/>
              </a:solidFill>
              <a:ln w="0">
                <a:solidFill>
                  <a:srgbClr val="003CE6"/>
                </a:solidFill>
                <a:prstDash val="solid"/>
              </a:ln>
              <a:effectLst/>
            </c:spPr>
          </c:marker>
          <c:xVal>
            <c:numLit>
              <c:formatCode>General</c:formatCode>
              <c:ptCount val="1"/>
              <c:pt idx="0">
                <c:v>1.9483969628467601E-2</c:v>
              </c:pt>
            </c:numLit>
          </c:xVal>
          <c:yVal>
            <c:numLit>
              <c:formatCode>General</c:formatCode>
              <c:ptCount val="1"/>
              <c:pt idx="0">
                <c:v>-8.1771694903927494E-2</c:v>
              </c:pt>
            </c:numLit>
          </c:yVal>
          <c:smooth val="0"/>
        </c:ser>
        <c:dLbls>
          <c:showLegendKey val="0"/>
          <c:showVal val="0"/>
          <c:showCatName val="0"/>
          <c:showSerName val="0"/>
          <c:showPercent val="0"/>
          <c:showBubbleSize val="0"/>
        </c:dLbls>
        <c:axId val="745157760"/>
        <c:axId val="745160064"/>
      </c:scatterChart>
      <c:valAx>
        <c:axId val="745157760"/>
        <c:scaling>
          <c:orientation val="minMax"/>
          <c:max val="0.03"/>
          <c:min val="0"/>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Vorhersagen(M&amp;A Intensity)</a:t>
                </a:r>
              </a:p>
            </c:rich>
          </c:tx>
          <c:overlay val="0"/>
          <c:spPr>
            <a:noFill/>
            <a:ln>
              <a:noFill/>
            </a:ln>
            <a:effectLst/>
          </c:spPr>
        </c:title>
        <c:numFmt formatCode="General" sourceLinked="0"/>
        <c:majorTickMark val="cross"/>
        <c:minorTickMark val="none"/>
        <c:tickLblPos val="nextTo"/>
        <c:spPr>
          <a:noFill/>
          <a:ln w="9525" cap="flat" cmpd="sng" algn="ctr">
            <a:solidFill>
              <a:srgbClr val="000000"/>
            </a:solidFill>
            <a:prstDash val="solid"/>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45160064"/>
        <c:crosses val="autoZero"/>
        <c:crossBetween val="midCat"/>
      </c:valAx>
      <c:valAx>
        <c:axId val="745160064"/>
        <c:scaling>
          <c:orientation val="minMax"/>
          <c:max val="6"/>
          <c:min val="-1"/>
        </c:scaling>
        <c:delete val="0"/>
        <c:axPos val="l"/>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Standardisierte Residuen</a:t>
                </a:r>
              </a:p>
            </c:rich>
          </c:tx>
          <c:overlay val="0"/>
          <c:spPr>
            <a:noFill/>
            <a:ln>
              <a:noFill/>
            </a:ln>
            <a:effectLst/>
          </c:spPr>
        </c:title>
        <c:numFmt formatCode="General" sourceLinked="0"/>
        <c:majorTickMark val="cross"/>
        <c:minorTickMark val="none"/>
        <c:tickLblPos val="nextTo"/>
        <c:spPr>
          <a:noFill/>
          <a:ln>
            <a:solidFill>
              <a:srgbClr val="000000"/>
            </a:solidFill>
            <a:prstDash val="soli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45157760"/>
        <c:crosses val="autoZero"/>
        <c:crossBetween val="midCat"/>
      </c:valAx>
      <c:spPr>
        <a:noFill/>
        <a:ln>
          <a:solidFill>
            <a:srgbClr val="C0C0C0"/>
          </a:solidFill>
          <a:prstDash val="solid"/>
        </a:ln>
        <a:effectLst/>
      </c:spPr>
    </c:plotArea>
    <c:plotVisOnly val="1"/>
    <c:dispBlanksAs val="gap"/>
    <c:showDLblsOverMax val="0"/>
  </c:chart>
  <c:spPr>
    <a:solidFill>
      <a:schemeClr val="bg1"/>
    </a:solidFill>
    <a:ln w="9525" cap="flat" cmpd="sng" algn="ctr">
      <a:solidFill>
        <a:srgbClr val="000000"/>
      </a:solidFill>
      <a:prstDash val="solid"/>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a:ea typeface="Arial"/>
                <a:cs typeface="Arial"/>
              </a:defRPr>
            </a:pPr>
            <a:r>
              <a:rPr lang="de-DE"/>
              <a:t>Vorhersagen(M&amp;A Intensity) / M&amp;A Intensity</a:t>
            </a:r>
          </a:p>
        </c:rich>
      </c:tx>
      <c:overlay val="0"/>
      <c:spPr>
        <a:noFill/>
        <a:ln>
          <a:noFill/>
        </a:ln>
        <a:effectLst/>
      </c:spPr>
    </c:title>
    <c:autoTitleDeleted val="0"/>
    <c:plotArea>
      <c:layout/>
      <c:scatterChart>
        <c:scatterStyle val="lineMarker"/>
        <c:varyColors val="0"/>
        <c:ser>
          <c:idx val="0"/>
          <c:order val="0"/>
          <c:tx>
            <c:v/>
          </c:tx>
          <c:spPr>
            <a:ln w="25400" cap="rnd">
              <a:noFill/>
              <a:round/>
            </a:ln>
            <a:effectLst/>
          </c:spPr>
          <c:marker>
            <c:symbol val="circle"/>
            <c:size val="3"/>
            <c:spPr>
              <a:solidFill>
                <a:srgbClr val="003CE6"/>
              </a:solidFill>
              <a:ln w="6350">
                <a:solidFill>
                  <a:srgbClr val="003CE6"/>
                </a:solidFill>
                <a:prstDash val="solid"/>
              </a:ln>
              <a:effectLst/>
            </c:spPr>
          </c:marker>
          <c:xVal>
            <c:numRef>
              <c:f>'Alle PR'!$E$141:$E$292</c:f>
              <c:numCache>
                <c:formatCode>0.000</c:formatCode>
                <c:ptCount val="152"/>
                <c:pt idx="0">
                  <c:v>1.9483969628467615E-2</c:v>
                </c:pt>
                <c:pt idx="1">
                  <c:v>1.9483969628467615E-2</c:v>
                </c:pt>
                <c:pt idx="2">
                  <c:v>1.9483969628467615E-2</c:v>
                </c:pt>
                <c:pt idx="3">
                  <c:v>1.9483969628467615E-2</c:v>
                </c:pt>
                <c:pt idx="4">
                  <c:v>2.025575350007372E-2</c:v>
                </c:pt>
                <c:pt idx="5">
                  <c:v>2.025575350007372E-2</c:v>
                </c:pt>
                <c:pt idx="6">
                  <c:v>2.025575350007372E-2</c:v>
                </c:pt>
                <c:pt idx="7">
                  <c:v>2.025575350007372E-2</c:v>
                </c:pt>
                <c:pt idx="8">
                  <c:v>2.5617541860550375E-2</c:v>
                </c:pt>
                <c:pt idx="9">
                  <c:v>2.5617541860550375E-2</c:v>
                </c:pt>
                <c:pt idx="10">
                  <c:v>2.5617541860550375E-2</c:v>
                </c:pt>
                <c:pt idx="11">
                  <c:v>2.5617541860550375E-2</c:v>
                </c:pt>
                <c:pt idx="12">
                  <c:v>2.1773093165903361E-2</c:v>
                </c:pt>
                <c:pt idx="13">
                  <c:v>2.1773093165903361E-2</c:v>
                </c:pt>
                <c:pt idx="14">
                  <c:v>2.1773093165903361E-2</c:v>
                </c:pt>
                <c:pt idx="15">
                  <c:v>2.1773093165903361E-2</c:v>
                </c:pt>
                <c:pt idx="16">
                  <c:v>2.1773093165903361E-2</c:v>
                </c:pt>
                <c:pt idx="17">
                  <c:v>2.1773093165903361E-2</c:v>
                </c:pt>
                <c:pt idx="18">
                  <c:v>2.1773093165903361E-2</c:v>
                </c:pt>
                <c:pt idx="19">
                  <c:v>9.733421630077314E-3</c:v>
                </c:pt>
                <c:pt idx="20">
                  <c:v>9.733421630077314E-3</c:v>
                </c:pt>
                <c:pt idx="21">
                  <c:v>9.733421630077314E-3</c:v>
                </c:pt>
                <c:pt idx="22">
                  <c:v>9.733421630077314E-3</c:v>
                </c:pt>
                <c:pt idx="23">
                  <c:v>1.1263423126367503E-2</c:v>
                </c:pt>
                <c:pt idx="24">
                  <c:v>1.1263423126367503E-2</c:v>
                </c:pt>
                <c:pt idx="25">
                  <c:v>1.1263423126367503E-2</c:v>
                </c:pt>
                <c:pt idx="26">
                  <c:v>1.1263423126367503E-2</c:v>
                </c:pt>
                <c:pt idx="27">
                  <c:v>5.1379906424379538E-3</c:v>
                </c:pt>
                <c:pt idx="28">
                  <c:v>5.1379906424379538E-3</c:v>
                </c:pt>
                <c:pt idx="29">
                  <c:v>5.1379906424379538E-3</c:v>
                </c:pt>
                <c:pt idx="30">
                  <c:v>5.1379906424379538E-3</c:v>
                </c:pt>
                <c:pt idx="31">
                  <c:v>1.0500683419376078E-2</c:v>
                </c:pt>
                <c:pt idx="32">
                  <c:v>1.0500683419376078E-2</c:v>
                </c:pt>
                <c:pt idx="33">
                  <c:v>1.0500683419376078E-2</c:v>
                </c:pt>
                <c:pt idx="34">
                  <c:v>1.0500683419376078E-2</c:v>
                </c:pt>
                <c:pt idx="35">
                  <c:v>1.0500683419376078E-2</c:v>
                </c:pt>
                <c:pt idx="36">
                  <c:v>1.0500683419376078E-2</c:v>
                </c:pt>
                <c:pt idx="37">
                  <c:v>1.0500683419376078E-2</c:v>
                </c:pt>
                <c:pt idx="38">
                  <c:v>1.0696471813250598E-2</c:v>
                </c:pt>
                <c:pt idx="39">
                  <c:v>1.0696471813250598E-2</c:v>
                </c:pt>
                <c:pt idx="40">
                  <c:v>1.0696471813250598E-2</c:v>
                </c:pt>
                <c:pt idx="41">
                  <c:v>1.0696471813250598E-2</c:v>
                </c:pt>
                <c:pt idx="42">
                  <c:v>1.0696471813250598E-2</c:v>
                </c:pt>
                <c:pt idx="43">
                  <c:v>1.0696471813250598E-2</c:v>
                </c:pt>
                <c:pt idx="44">
                  <c:v>1.0696471813250598E-2</c:v>
                </c:pt>
                <c:pt idx="45">
                  <c:v>1.0696471813250598E-2</c:v>
                </c:pt>
                <c:pt idx="46">
                  <c:v>7.6274246560555509E-3</c:v>
                </c:pt>
                <c:pt idx="47">
                  <c:v>7.6274246560555509E-3</c:v>
                </c:pt>
                <c:pt idx="48">
                  <c:v>7.6274246560555509E-3</c:v>
                </c:pt>
                <c:pt idx="49">
                  <c:v>7.6274246560555509E-3</c:v>
                </c:pt>
                <c:pt idx="50">
                  <c:v>8.3946864453543144E-3</c:v>
                </c:pt>
                <c:pt idx="51">
                  <c:v>8.3946864453543144E-3</c:v>
                </c:pt>
                <c:pt idx="52">
                  <c:v>8.3946864453543144E-3</c:v>
                </c:pt>
                <c:pt idx="53">
                  <c:v>8.3946864453543144E-3</c:v>
                </c:pt>
                <c:pt idx="54">
                  <c:v>8.3946864453543144E-3</c:v>
                </c:pt>
                <c:pt idx="55">
                  <c:v>8.3946864453543144E-3</c:v>
                </c:pt>
                <c:pt idx="56">
                  <c:v>8.3946864453543144E-3</c:v>
                </c:pt>
                <c:pt idx="57">
                  <c:v>6.1591660440732422E-3</c:v>
                </c:pt>
                <c:pt idx="58">
                  <c:v>6.1591660440732422E-3</c:v>
                </c:pt>
                <c:pt idx="59">
                  <c:v>6.1591660440732422E-3</c:v>
                </c:pt>
                <c:pt idx="60">
                  <c:v>6.1591660440732422E-3</c:v>
                </c:pt>
                <c:pt idx="61">
                  <c:v>1.0762736779865816E-2</c:v>
                </c:pt>
                <c:pt idx="62">
                  <c:v>1.0762736779865816E-2</c:v>
                </c:pt>
                <c:pt idx="63">
                  <c:v>1.0762736779865816E-2</c:v>
                </c:pt>
                <c:pt idx="64">
                  <c:v>1.0762736779865816E-2</c:v>
                </c:pt>
                <c:pt idx="65">
                  <c:v>9.9954749905670527E-3</c:v>
                </c:pt>
                <c:pt idx="66">
                  <c:v>9.9954749905670527E-3</c:v>
                </c:pt>
                <c:pt idx="67">
                  <c:v>9.9954749905670527E-3</c:v>
                </c:pt>
                <c:pt idx="68">
                  <c:v>9.9954749905670527E-3</c:v>
                </c:pt>
                <c:pt idx="69">
                  <c:v>1.3270423519792015E-2</c:v>
                </c:pt>
                <c:pt idx="70">
                  <c:v>1.3270423519792015E-2</c:v>
                </c:pt>
                <c:pt idx="71">
                  <c:v>1.3270423519792015E-2</c:v>
                </c:pt>
                <c:pt idx="72">
                  <c:v>1.3270423519792015E-2</c:v>
                </c:pt>
                <c:pt idx="73">
                  <c:v>1.3270423519792015E-2</c:v>
                </c:pt>
                <c:pt idx="74">
                  <c:v>1.3270423519792015E-2</c:v>
                </c:pt>
                <c:pt idx="75">
                  <c:v>1.3270423519792015E-2</c:v>
                </c:pt>
                <c:pt idx="76">
                  <c:v>8.7137072260303518E-3</c:v>
                </c:pt>
                <c:pt idx="77">
                  <c:v>8.7137072260303518E-3</c:v>
                </c:pt>
                <c:pt idx="78">
                  <c:v>8.7137072260303518E-3</c:v>
                </c:pt>
                <c:pt idx="79">
                  <c:v>8.7137072260303518E-3</c:v>
                </c:pt>
                <c:pt idx="80">
                  <c:v>1.2531080733137705E-2</c:v>
                </c:pt>
                <c:pt idx="81">
                  <c:v>1.2531080733137705E-2</c:v>
                </c:pt>
                <c:pt idx="82">
                  <c:v>1.2531080733137705E-2</c:v>
                </c:pt>
                <c:pt idx="83">
                  <c:v>1.2531080733137705E-2</c:v>
                </c:pt>
                <c:pt idx="84">
                  <c:v>7.1602482080463572E-3</c:v>
                </c:pt>
                <c:pt idx="85">
                  <c:v>7.1602482080463572E-3</c:v>
                </c:pt>
                <c:pt idx="86">
                  <c:v>7.1602482080463572E-3</c:v>
                </c:pt>
                <c:pt idx="87">
                  <c:v>7.1602482080463572E-3</c:v>
                </c:pt>
                <c:pt idx="88">
                  <c:v>7.1557261257390193E-3</c:v>
                </c:pt>
                <c:pt idx="89">
                  <c:v>7.1557261257390193E-3</c:v>
                </c:pt>
                <c:pt idx="90">
                  <c:v>7.1557261257390193E-3</c:v>
                </c:pt>
                <c:pt idx="91">
                  <c:v>7.1557261257390193E-3</c:v>
                </c:pt>
                <c:pt idx="92">
                  <c:v>7.1557261257390193E-3</c:v>
                </c:pt>
                <c:pt idx="93">
                  <c:v>7.1557261257390193E-3</c:v>
                </c:pt>
                <c:pt idx="94">
                  <c:v>7.1557261257390193E-3</c:v>
                </c:pt>
                <c:pt idx="95">
                  <c:v>1.1150932779009035E-2</c:v>
                </c:pt>
                <c:pt idx="96">
                  <c:v>1.1150932779009035E-2</c:v>
                </c:pt>
                <c:pt idx="97">
                  <c:v>1.1150932779009035E-2</c:v>
                </c:pt>
                <c:pt idx="98">
                  <c:v>1.1150932779009035E-2</c:v>
                </c:pt>
                <c:pt idx="99">
                  <c:v>1.0488500168695462E-2</c:v>
                </c:pt>
                <c:pt idx="100">
                  <c:v>1.0488500168695462E-2</c:v>
                </c:pt>
                <c:pt idx="101">
                  <c:v>1.0488500168695462E-2</c:v>
                </c:pt>
                <c:pt idx="102">
                  <c:v>1.0488500168695462E-2</c:v>
                </c:pt>
                <c:pt idx="103">
                  <c:v>1.2031163495446199E-2</c:v>
                </c:pt>
                <c:pt idx="104">
                  <c:v>1.2031163495446199E-2</c:v>
                </c:pt>
                <c:pt idx="105">
                  <c:v>1.2031163495446199E-2</c:v>
                </c:pt>
                <c:pt idx="106">
                  <c:v>1.2031163495446199E-2</c:v>
                </c:pt>
                <c:pt idx="107">
                  <c:v>8.9657340040970174E-3</c:v>
                </c:pt>
                <c:pt idx="108">
                  <c:v>8.9657340040970174E-3</c:v>
                </c:pt>
                <c:pt idx="109">
                  <c:v>8.9657340040970174E-3</c:v>
                </c:pt>
                <c:pt idx="110">
                  <c:v>8.9657340040970174E-3</c:v>
                </c:pt>
                <c:pt idx="111">
                  <c:v>8.9657340040970174E-3</c:v>
                </c:pt>
                <c:pt idx="112">
                  <c:v>8.9657340040970174E-3</c:v>
                </c:pt>
                <c:pt idx="113">
                  <c:v>8.9657340040970174E-3</c:v>
                </c:pt>
                <c:pt idx="114">
                  <c:v>9.1558901645250549E-3</c:v>
                </c:pt>
                <c:pt idx="115">
                  <c:v>9.1558901645250549E-3</c:v>
                </c:pt>
                <c:pt idx="116">
                  <c:v>9.1558901645250549E-3</c:v>
                </c:pt>
                <c:pt idx="117">
                  <c:v>9.1558901645250549E-3</c:v>
                </c:pt>
                <c:pt idx="118">
                  <c:v>9.1558901645250549E-3</c:v>
                </c:pt>
                <c:pt idx="119">
                  <c:v>9.1558901645250549E-3</c:v>
                </c:pt>
                <c:pt idx="120">
                  <c:v>9.1558901645250549E-3</c:v>
                </c:pt>
                <c:pt idx="121">
                  <c:v>9.1558901645250549E-3</c:v>
                </c:pt>
                <c:pt idx="122">
                  <c:v>8.3922460410721742E-3</c:v>
                </c:pt>
                <c:pt idx="123">
                  <c:v>8.3922460410721742E-3</c:v>
                </c:pt>
                <c:pt idx="124">
                  <c:v>8.3922460410721742E-3</c:v>
                </c:pt>
                <c:pt idx="125">
                  <c:v>8.3922460410721742E-3</c:v>
                </c:pt>
                <c:pt idx="126">
                  <c:v>6.0701682919400562E-3</c:v>
                </c:pt>
                <c:pt idx="127">
                  <c:v>6.0701682919400562E-3</c:v>
                </c:pt>
                <c:pt idx="128">
                  <c:v>6.0701682919400562E-3</c:v>
                </c:pt>
                <c:pt idx="129">
                  <c:v>6.0701682919400562E-3</c:v>
                </c:pt>
                <c:pt idx="130">
                  <c:v>6.0701682919400562E-3</c:v>
                </c:pt>
                <c:pt idx="131">
                  <c:v>6.0701682919400562E-3</c:v>
                </c:pt>
                <c:pt idx="132">
                  <c:v>6.0701682919400562E-3</c:v>
                </c:pt>
                <c:pt idx="133">
                  <c:v>7.2590552744237619E-3</c:v>
                </c:pt>
                <c:pt idx="134">
                  <c:v>7.2590552744237619E-3</c:v>
                </c:pt>
                <c:pt idx="135">
                  <c:v>7.2590552744237619E-3</c:v>
                </c:pt>
                <c:pt idx="136">
                  <c:v>7.2590552744237619E-3</c:v>
                </c:pt>
                <c:pt idx="137">
                  <c:v>4.9572699065274714E-3</c:v>
                </c:pt>
                <c:pt idx="138">
                  <c:v>4.9572699065274714E-3</c:v>
                </c:pt>
                <c:pt idx="139">
                  <c:v>4.9572699065274714E-3</c:v>
                </c:pt>
                <c:pt idx="140">
                  <c:v>4.9572699065274714E-3</c:v>
                </c:pt>
                <c:pt idx="141">
                  <c:v>4.1900081172287079E-3</c:v>
                </c:pt>
                <c:pt idx="142">
                  <c:v>4.1900081172287079E-3</c:v>
                </c:pt>
                <c:pt idx="143">
                  <c:v>4.1900081172287079E-3</c:v>
                </c:pt>
                <c:pt idx="144">
                  <c:v>4.1900081172287079E-3</c:v>
                </c:pt>
                <c:pt idx="145">
                  <c:v>4.1900081172287079E-3</c:v>
                </c:pt>
                <c:pt idx="146">
                  <c:v>4.1900081172287079E-3</c:v>
                </c:pt>
                <c:pt idx="147">
                  <c:v>4.1900081172287079E-3</c:v>
                </c:pt>
                <c:pt idx="148">
                  <c:v>4.1900081172287079E-3</c:v>
                </c:pt>
                <c:pt idx="149">
                  <c:v>4.1900081172287079E-3</c:v>
                </c:pt>
                <c:pt idx="150">
                  <c:v>4.1900081172287079E-3</c:v>
                </c:pt>
                <c:pt idx="151">
                  <c:v>4.1900081172287079E-3</c:v>
                </c:pt>
              </c:numCache>
            </c:numRef>
          </c:xVal>
          <c:yVal>
            <c:numRef>
              <c:f>'Alle PR'!$D$141:$D$292</c:f>
              <c:numCache>
                <c:formatCode>0.000</c:formatCode>
                <c:ptCount val="152"/>
                <c:pt idx="0">
                  <c:v>1.5537521628958431E-2</c:v>
                </c:pt>
                <c:pt idx="1">
                  <c:v>1.7479711832578234E-2</c:v>
                </c:pt>
                <c:pt idx="2">
                  <c:v>1.1653141221718823E-2</c:v>
                </c:pt>
                <c:pt idx="3">
                  <c:v>1.9421902036198039E-2</c:v>
                </c:pt>
                <c:pt idx="4">
                  <c:v>1.9569331630569547E-2</c:v>
                </c:pt>
                <c:pt idx="5">
                  <c:v>2.3918071992918337E-2</c:v>
                </c:pt>
                <c:pt idx="6">
                  <c:v>1.3046221087046365E-2</c:v>
                </c:pt>
                <c:pt idx="7">
                  <c:v>1.087185090587197E-2</c:v>
                </c:pt>
                <c:pt idx="8">
                  <c:v>1.5727553478400092E-2</c:v>
                </c:pt>
                <c:pt idx="9">
                  <c:v>3.931888369600023E-3</c:v>
                </c:pt>
                <c:pt idx="10">
                  <c:v>2.3591330217600136E-2</c:v>
                </c:pt>
                <c:pt idx="11">
                  <c:v>3.1455106956800184E-2</c:v>
                </c:pt>
                <c:pt idx="12">
                  <c:v>1.7537213968040182E-2</c:v>
                </c:pt>
                <c:pt idx="13">
                  <c:v>3.8581870729688397E-2</c:v>
                </c:pt>
                <c:pt idx="14">
                  <c:v>5.9626527491336616E-2</c:v>
                </c:pt>
                <c:pt idx="15">
                  <c:v>4.910419911051251E-2</c:v>
                </c:pt>
                <c:pt idx="16">
                  <c:v>2.2292604598591299E-2</c:v>
                </c:pt>
                <c:pt idx="17">
                  <c:v>2.7246516731611586E-2</c:v>
                </c:pt>
                <c:pt idx="18">
                  <c:v>3.2200428864631876E-2</c:v>
                </c:pt>
                <c:pt idx="19">
                  <c:v>4.2999090393332808E-2</c:v>
                </c:pt>
                <c:pt idx="20">
                  <c:v>5.2771610937272086E-5</c:v>
                </c:pt>
                <c:pt idx="21">
                  <c:v>4.5930846556514595E-5</c:v>
                </c:pt>
                <c:pt idx="22">
                  <c:v>3.7135578066969248E-5</c:v>
                </c:pt>
                <c:pt idx="23">
                  <c:v>4.5029341355823991E-5</c:v>
                </c:pt>
                <c:pt idx="24">
                  <c:v>4.8584289357599568E-5</c:v>
                </c:pt>
                <c:pt idx="25">
                  <c:v>6.8728994700994515E-5</c:v>
                </c:pt>
                <c:pt idx="26">
                  <c:v>6.5174046699218938E-5</c:v>
                </c:pt>
                <c:pt idx="27">
                  <c:v>1.1067591346521794E-4</c:v>
                </c:pt>
                <c:pt idx="28">
                  <c:v>9.6058339988679727E-5</c:v>
                </c:pt>
                <c:pt idx="29">
                  <c:v>1.3364638607120657E-4</c:v>
                </c:pt>
                <c:pt idx="30">
                  <c:v>8.5617216076866717E-5</c:v>
                </c:pt>
                <c:pt idx="31">
                  <c:v>3.938976845512409E-5</c:v>
                </c:pt>
                <c:pt idx="32">
                  <c:v>6.8275598655548426E-5</c:v>
                </c:pt>
                <c:pt idx="33">
                  <c:v>9.1909459728622877E-5</c:v>
                </c:pt>
                <c:pt idx="34">
                  <c:v>5.7771660400848664E-5</c:v>
                </c:pt>
                <c:pt idx="35">
                  <c:v>5.1249511909410385E-2</c:v>
                </c:pt>
                <c:pt idx="36">
                  <c:v>6.3451776649746189E-2</c:v>
                </c:pt>
                <c:pt idx="37">
                  <c:v>2.5624755954705192E-2</c:v>
                </c:pt>
                <c:pt idx="38">
                  <c:v>4.2360909014274356E-5</c:v>
                </c:pt>
                <c:pt idx="39">
                  <c:v>2.1180454507137178E-5</c:v>
                </c:pt>
                <c:pt idx="40">
                  <c:v>4.2360909014274356E-5</c:v>
                </c:pt>
                <c:pt idx="41">
                  <c:v>3.1770681760705767E-5</c:v>
                </c:pt>
                <c:pt idx="42">
                  <c:v>3.8040921295320423E-5</c:v>
                </c:pt>
                <c:pt idx="43">
                  <c:v>3.3814152262507045E-5</c:v>
                </c:pt>
                <c:pt idx="44">
                  <c:v>3.8040921295320423E-5</c:v>
                </c:pt>
                <c:pt idx="45">
                  <c:v>5.9174766459387325E-5</c:v>
                </c:pt>
                <c:pt idx="46">
                  <c:v>4.1355496708981264E-5</c:v>
                </c:pt>
                <c:pt idx="47">
                  <c:v>5.169437088622658E-5</c:v>
                </c:pt>
                <c:pt idx="48">
                  <c:v>5.169437088622658E-5</c:v>
                </c:pt>
                <c:pt idx="49">
                  <c:v>5.169437088622658E-5</c:v>
                </c:pt>
                <c:pt idx="50">
                  <c:v>5.6548436138861471E-5</c:v>
                </c:pt>
                <c:pt idx="51">
                  <c:v>6.1260805817099929E-5</c:v>
                </c:pt>
                <c:pt idx="52">
                  <c:v>8.0110284530053751E-5</c:v>
                </c:pt>
                <c:pt idx="53">
                  <c:v>4.712369678238456E-5</c:v>
                </c:pt>
                <c:pt idx="54">
                  <c:v>3.0033579043049083E-2</c:v>
                </c:pt>
                <c:pt idx="55">
                  <c:v>4.5050368564573624E-2</c:v>
                </c:pt>
                <c:pt idx="56">
                  <c:v>1.8770986901905675E-2</c:v>
                </c:pt>
                <c:pt idx="57">
                  <c:v>5.1142333764168754E-5</c:v>
                </c:pt>
                <c:pt idx="58">
                  <c:v>4.1843727625228975E-5</c:v>
                </c:pt>
                <c:pt idx="59">
                  <c:v>9.2986061389397723E-5</c:v>
                </c:pt>
                <c:pt idx="60">
                  <c:v>6.0440939903108527E-5</c:v>
                </c:pt>
                <c:pt idx="61">
                  <c:v>5.8742296111038088E-5</c:v>
                </c:pt>
                <c:pt idx="62">
                  <c:v>3.9161530740692057E-5</c:v>
                </c:pt>
                <c:pt idx="63">
                  <c:v>5.2215374320922742E-5</c:v>
                </c:pt>
                <c:pt idx="64">
                  <c:v>6.5269217901153435E-5</c:v>
                </c:pt>
                <c:pt idx="65">
                  <c:v>1.1645276041370077E-4</c:v>
                </c:pt>
                <c:pt idx="66">
                  <c:v>1.1645276041370077E-4</c:v>
                </c:pt>
                <c:pt idx="67">
                  <c:v>8.1516932289590535E-5</c:v>
                </c:pt>
                <c:pt idx="68">
                  <c:v>2.2126024478603146E-4</c:v>
                </c:pt>
                <c:pt idx="69">
                  <c:v>5.7844951620410629E-5</c:v>
                </c:pt>
                <c:pt idx="70">
                  <c:v>1.0604907797075282E-4</c:v>
                </c:pt>
                <c:pt idx="71">
                  <c:v>4.8204126350342191E-5</c:v>
                </c:pt>
                <c:pt idx="72">
                  <c:v>7.7126602160547506E-5</c:v>
                </c:pt>
                <c:pt idx="73">
                  <c:v>8.1509875899583736E-2</c:v>
                </c:pt>
                <c:pt idx="74">
                  <c:v>5.7056913129708613E-2</c:v>
                </c:pt>
                <c:pt idx="75">
                  <c:v>8.1509875899583736E-2</c:v>
                </c:pt>
                <c:pt idx="76">
                  <c:v>0</c:v>
                </c:pt>
                <c:pt idx="77">
                  <c:v>1.5295197308045274E-4</c:v>
                </c:pt>
                <c:pt idx="78">
                  <c:v>1.5295197308045274E-4</c:v>
                </c:pt>
                <c:pt idx="79">
                  <c:v>0</c:v>
                </c:pt>
                <c:pt idx="80">
                  <c:v>1.35464643727987E-4</c:v>
                </c:pt>
                <c:pt idx="81">
                  <c:v>5.4185857491194801E-4</c:v>
                </c:pt>
                <c:pt idx="82">
                  <c:v>4.06393931183961E-4</c:v>
                </c:pt>
                <c:pt idx="83">
                  <c:v>0</c:v>
                </c:pt>
                <c:pt idx="84">
                  <c:v>0</c:v>
                </c:pt>
                <c:pt idx="85">
                  <c:v>2.9209872937052721E-4</c:v>
                </c:pt>
                <c:pt idx="86">
                  <c:v>1.4604936468526361E-4</c:v>
                </c:pt>
                <c:pt idx="87">
                  <c:v>2.9209872937052721E-4</c:v>
                </c:pt>
                <c:pt idx="88">
                  <c:v>1.6455785771998506E-4</c:v>
                </c:pt>
                <c:pt idx="89">
                  <c:v>3.2911571543997012E-4</c:v>
                </c:pt>
                <c:pt idx="90">
                  <c:v>4.9367357315995518E-4</c:v>
                </c:pt>
                <c:pt idx="91">
                  <c:v>1.6455785771998506E-4</c:v>
                </c:pt>
                <c:pt idx="92">
                  <c:v>0.15369765826247869</c:v>
                </c:pt>
                <c:pt idx="93">
                  <c:v>0</c:v>
                </c:pt>
                <c:pt idx="94">
                  <c:v>0.15369765826247869</c:v>
                </c:pt>
                <c:pt idx="95">
                  <c:v>2.5730163014790224E-5</c:v>
                </c:pt>
                <c:pt idx="96">
                  <c:v>2.125535205569627E-5</c:v>
                </c:pt>
                <c:pt idx="97">
                  <c:v>3.467978493297813E-5</c:v>
                </c:pt>
                <c:pt idx="98">
                  <c:v>2.4611460275016735E-5</c:v>
                </c:pt>
                <c:pt idx="99">
                  <c:v>2.4044489711669418E-5</c:v>
                </c:pt>
                <c:pt idx="100">
                  <c:v>2.8853387654003302E-5</c:v>
                </c:pt>
                <c:pt idx="101">
                  <c:v>3.4864510081920655E-5</c:v>
                </c:pt>
                <c:pt idx="102">
                  <c:v>1.6831142798168593E-5</c:v>
                </c:pt>
                <c:pt idx="103">
                  <c:v>3.8757961051305488E-5</c:v>
                </c:pt>
                <c:pt idx="104">
                  <c:v>2.8791628209541217E-5</c:v>
                </c:pt>
                <c:pt idx="105">
                  <c:v>1.9932665683528535E-5</c:v>
                </c:pt>
                <c:pt idx="106">
                  <c:v>1.6610554736273778E-5</c:v>
                </c:pt>
                <c:pt idx="107">
                  <c:v>3.317178280206551E-5</c:v>
                </c:pt>
                <c:pt idx="108">
                  <c:v>2.0140010986968348E-5</c:v>
                </c:pt>
                <c:pt idx="109">
                  <c:v>2.1324717515613542E-5</c:v>
                </c:pt>
                <c:pt idx="110">
                  <c:v>2.7248250158839526E-5</c:v>
                </c:pt>
                <c:pt idx="111">
                  <c:v>5.1731893837156991E-2</c:v>
                </c:pt>
                <c:pt idx="112">
                  <c:v>3.1488978857399909E-2</c:v>
                </c:pt>
                <c:pt idx="113">
                  <c:v>6.0728744939271252E-2</c:v>
                </c:pt>
                <c:pt idx="114">
                  <c:v>1.1610545161537516E-4</c:v>
                </c:pt>
                <c:pt idx="115">
                  <c:v>4.9759479263732212E-5</c:v>
                </c:pt>
                <c:pt idx="116">
                  <c:v>4.9759479263732212E-5</c:v>
                </c:pt>
                <c:pt idx="117">
                  <c:v>6.6345972351642944E-5</c:v>
                </c:pt>
                <c:pt idx="118">
                  <c:v>8.2488091606655205E-5</c:v>
                </c:pt>
                <c:pt idx="119">
                  <c:v>7.4239282445989684E-5</c:v>
                </c:pt>
                <c:pt idx="120">
                  <c:v>4.1244045803327602E-5</c:v>
                </c:pt>
                <c:pt idx="121">
                  <c:v>7.4239282445989684E-5</c:v>
                </c:pt>
                <c:pt idx="122">
                  <c:v>1.1040320575580488E-4</c:v>
                </c:pt>
                <c:pt idx="123">
                  <c:v>9.9362885180224395E-5</c:v>
                </c:pt>
                <c:pt idx="124">
                  <c:v>0</c:v>
                </c:pt>
                <c:pt idx="125">
                  <c:v>3.3120961726741465E-5</c:v>
                </c:pt>
                <c:pt idx="126">
                  <c:v>3.222648256321708E-5</c:v>
                </c:pt>
                <c:pt idx="127">
                  <c:v>9.6679447689651234E-5</c:v>
                </c:pt>
                <c:pt idx="128">
                  <c:v>7.2509585767238432E-5</c:v>
                </c:pt>
                <c:pt idx="129">
                  <c:v>1.1279268897125978E-4</c:v>
                </c:pt>
                <c:pt idx="130">
                  <c:v>3.1744520102217358E-2</c:v>
                </c:pt>
                <c:pt idx="131">
                  <c:v>7.6186848245321653E-2</c:v>
                </c:pt>
                <c:pt idx="132">
                  <c:v>5.0791232163547771E-2</c:v>
                </c:pt>
                <c:pt idx="133">
                  <c:v>0</c:v>
                </c:pt>
                <c:pt idx="134">
                  <c:v>0</c:v>
                </c:pt>
                <c:pt idx="135">
                  <c:v>0</c:v>
                </c:pt>
                <c:pt idx="136">
                  <c:v>2.8057058517624956E-5</c:v>
                </c:pt>
                <c:pt idx="137">
                  <c:v>0</c:v>
                </c:pt>
                <c:pt idx="138">
                  <c:v>2.6492666366328141E-5</c:v>
                </c:pt>
                <c:pt idx="139">
                  <c:v>0</c:v>
                </c:pt>
                <c:pt idx="140">
                  <c:v>0</c:v>
                </c:pt>
                <c:pt idx="141">
                  <c:v>6.8893022776446691E-6</c:v>
                </c:pt>
                <c:pt idx="142">
                  <c:v>0</c:v>
                </c:pt>
                <c:pt idx="143">
                  <c:v>0</c:v>
                </c:pt>
                <c:pt idx="144">
                  <c:v>0</c:v>
                </c:pt>
                <c:pt idx="145">
                  <c:v>0</c:v>
                </c:pt>
                <c:pt idx="146">
                  <c:v>0</c:v>
                </c:pt>
                <c:pt idx="147">
                  <c:v>0</c:v>
                </c:pt>
                <c:pt idx="148">
                  <c:v>2.3190028158027889E-6</c:v>
                </c:pt>
                <c:pt idx="149">
                  <c:v>0</c:v>
                </c:pt>
                <c:pt idx="150">
                  <c:v>4.6444661186196643E-3</c:v>
                </c:pt>
                <c:pt idx="151">
                  <c:v>0</c:v>
                </c:pt>
              </c:numCache>
            </c:numRef>
          </c:yVal>
          <c:smooth val="0"/>
        </c:ser>
        <c:ser>
          <c:idx val="1"/>
          <c:order val="1"/>
          <c:tx>
            <c:v/>
          </c:tx>
          <c:spPr>
            <a:ln w="25400" cap="rnd">
              <a:noFill/>
              <a:round/>
            </a:ln>
            <a:effectLst/>
          </c:spPr>
          <c:marker>
            <c:symbol val="circle"/>
            <c:size val="3"/>
            <c:spPr>
              <a:solidFill>
                <a:srgbClr val="003CE6"/>
              </a:solidFill>
              <a:ln w="0">
                <a:solidFill>
                  <a:srgbClr val="003CE6"/>
                </a:solidFill>
                <a:prstDash val="solid"/>
              </a:ln>
              <a:effectLst/>
            </c:spPr>
          </c:marker>
          <c:xVal>
            <c:numLit>
              <c:formatCode>General</c:formatCode>
              <c:ptCount val="1"/>
              <c:pt idx="0">
                <c:v>1.9483969628467601E-2</c:v>
              </c:pt>
            </c:numLit>
          </c:xVal>
          <c:yVal>
            <c:numLit>
              <c:formatCode>General</c:formatCode>
              <c:ptCount val="1"/>
              <c:pt idx="0">
                <c:v>1.7479711832578199E-2</c:v>
              </c:pt>
            </c:numLit>
          </c:yVal>
          <c:smooth val="0"/>
        </c:ser>
        <c:ser>
          <c:idx val="2"/>
          <c:order val="2"/>
          <c:tx>
            <c:v/>
          </c:tx>
          <c:spPr>
            <a:ln w="6350" cap="rnd">
              <a:solidFill>
                <a:srgbClr val="C0C0C0"/>
              </a:solidFill>
              <a:prstDash val="solid"/>
              <a:round/>
            </a:ln>
            <a:effectLst/>
          </c:spPr>
          <c:marker>
            <c:symbol val="none"/>
          </c:marker>
          <c:xVal>
            <c:numRef>
              <c:f>'Lineare Regression_HID66'!$B$1:$B$70</c:f>
              <c:numCache>
                <c:formatCode>General</c:formatCode>
                <c:ptCount val="70"/>
                <c:pt idx="0">
                  <c:v>3.3329067999999999E-3</c:v>
                </c:pt>
                <c:pt idx="1">
                  <c:v>3.7301262999999999E-3</c:v>
                </c:pt>
                <c:pt idx="2">
                  <c:v>4.1273457999999996E-3</c:v>
                </c:pt>
                <c:pt idx="3">
                  <c:v>4.5245653E-3</c:v>
                </c:pt>
                <c:pt idx="4">
                  <c:v>4.9217847999999996E-3</c:v>
                </c:pt>
                <c:pt idx="5">
                  <c:v>5.3190042999999992E-3</c:v>
                </c:pt>
                <c:pt idx="6">
                  <c:v>5.7162237999999997E-3</c:v>
                </c:pt>
                <c:pt idx="7">
                  <c:v>6.1134433000000002E-3</c:v>
                </c:pt>
                <c:pt idx="8">
                  <c:v>6.5106627999999998E-3</c:v>
                </c:pt>
                <c:pt idx="9">
                  <c:v>6.9078822999999994E-3</c:v>
                </c:pt>
                <c:pt idx="10">
                  <c:v>7.3051017999999999E-3</c:v>
                </c:pt>
                <c:pt idx="11">
                  <c:v>7.7023213000000004E-3</c:v>
                </c:pt>
                <c:pt idx="12">
                  <c:v>8.0995407999999991E-3</c:v>
                </c:pt>
                <c:pt idx="13">
                  <c:v>8.4967602999999996E-3</c:v>
                </c:pt>
                <c:pt idx="14">
                  <c:v>8.8939798E-3</c:v>
                </c:pt>
                <c:pt idx="15">
                  <c:v>9.2911993000000005E-3</c:v>
                </c:pt>
                <c:pt idx="16">
                  <c:v>9.6884187999999993E-3</c:v>
                </c:pt>
                <c:pt idx="17">
                  <c:v>1.00856383E-2</c:v>
                </c:pt>
                <c:pt idx="18">
                  <c:v>1.04828578E-2</c:v>
                </c:pt>
                <c:pt idx="19">
                  <c:v>1.0880077299999999E-2</c:v>
                </c:pt>
                <c:pt idx="20">
                  <c:v>1.1277296799999999E-2</c:v>
                </c:pt>
                <c:pt idx="21">
                  <c:v>1.16745163E-2</c:v>
                </c:pt>
                <c:pt idx="22">
                  <c:v>1.20717358E-2</c:v>
                </c:pt>
                <c:pt idx="23">
                  <c:v>1.2468955300000001E-2</c:v>
                </c:pt>
                <c:pt idx="24">
                  <c:v>1.28661748E-2</c:v>
                </c:pt>
                <c:pt idx="25">
                  <c:v>1.32633943E-2</c:v>
                </c:pt>
                <c:pt idx="26">
                  <c:v>1.3660613800000001E-2</c:v>
                </c:pt>
                <c:pt idx="27">
                  <c:v>1.4057833299999999E-2</c:v>
                </c:pt>
                <c:pt idx="28">
                  <c:v>1.44550528E-2</c:v>
                </c:pt>
                <c:pt idx="29">
                  <c:v>1.48522723E-2</c:v>
                </c:pt>
                <c:pt idx="30">
                  <c:v>1.5249491800000001E-2</c:v>
                </c:pt>
                <c:pt idx="31">
                  <c:v>1.5646711299999998E-2</c:v>
                </c:pt>
                <c:pt idx="32">
                  <c:v>1.6043930799999998E-2</c:v>
                </c:pt>
                <c:pt idx="33">
                  <c:v>1.6441150299999999E-2</c:v>
                </c:pt>
                <c:pt idx="34">
                  <c:v>1.6838369799999999E-2</c:v>
                </c:pt>
                <c:pt idx="35">
                  <c:v>1.72355893E-2</c:v>
                </c:pt>
                <c:pt idx="36">
                  <c:v>1.76328088E-2</c:v>
                </c:pt>
                <c:pt idx="37">
                  <c:v>1.8030028300000001E-2</c:v>
                </c:pt>
                <c:pt idx="38">
                  <c:v>1.8427247799999998E-2</c:v>
                </c:pt>
                <c:pt idx="39">
                  <c:v>1.8824467299999998E-2</c:v>
                </c:pt>
                <c:pt idx="40">
                  <c:v>1.9221686799999999E-2</c:v>
                </c:pt>
                <c:pt idx="41">
                  <c:v>1.9618906299999999E-2</c:v>
                </c:pt>
                <c:pt idx="42">
                  <c:v>2.0016125799999999E-2</c:v>
                </c:pt>
                <c:pt idx="43">
                  <c:v>2.04133453E-2</c:v>
                </c:pt>
                <c:pt idx="44">
                  <c:v>2.08105648E-2</c:v>
                </c:pt>
                <c:pt idx="45">
                  <c:v>2.1207784300000001E-2</c:v>
                </c:pt>
                <c:pt idx="46">
                  <c:v>2.1605003800000001E-2</c:v>
                </c:pt>
                <c:pt idx="47">
                  <c:v>2.2002223299999998E-2</c:v>
                </c:pt>
                <c:pt idx="48">
                  <c:v>2.2399442799999999E-2</c:v>
                </c:pt>
                <c:pt idx="49">
                  <c:v>2.2796662299999999E-2</c:v>
                </c:pt>
                <c:pt idx="50">
                  <c:v>2.31938818E-2</c:v>
                </c:pt>
                <c:pt idx="51">
                  <c:v>2.35911013E-2</c:v>
                </c:pt>
                <c:pt idx="52">
                  <c:v>2.3988320800000001E-2</c:v>
                </c:pt>
                <c:pt idx="53">
                  <c:v>2.4385540300000001E-2</c:v>
                </c:pt>
                <c:pt idx="54">
                  <c:v>2.4782759799999998E-2</c:v>
                </c:pt>
                <c:pt idx="55">
                  <c:v>2.5179979299999999E-2</c:v>
                </c:pt>
                <c:pt idx="56">
                  <c:v>2.5577198799999999E-2</c:v>
                </c:pt>
                <c:pt idx="57">
                  <c:v>2.59744183E-2</c:v>
                </c:pt>
                <c:pt idx="58">
                  <c:v>2.63716378E-2</c:v>
                </c:pt>
                <c:pt idx="59">
                  <c:v>2.6768857300000001E-2</c:v>
                </c:pt>
                <c:pt idx="60">
                  <c:v>2.7166076800000001E-2</c:v>
                </c:pt>
                <c:pt idx="61">
                  <c:v>2.7563296299999998E-2</c:v>
                </c:pt>
                <c:pt idx="62">
                  <c:v>2.7960515799999999E-2</c:v>
                </c:pt>
                <c:pt idx="63">
                  <c:v>2.8357735299999999E-2</c:v>
                </c:pt>
                <c:pt idx="64">
                  <c:v>2.87549548E-2</c:v>
                </c:pt>
                <c:pt idx="65">
                  <c:v>2.91521743E-2</c:v>
                </c:pt>
                <c:pt idx="66">
                  <c:v>2.95493938E-2</c:v>
                </c:pt>
                <c:pt idx="67">
                  <c:v>2.9946613300000001E-2</c:v>
                </c:pt>
                <c:pt idx="68">
                  <c:v>3.0343832799999998E-2</c:v>
                </c:pt>
                <c:pt idx="69">
                  <c:v>3.0741052299999998E-2</c:v>
                </c:pt>
              </c:numCache>
            </c:numRef>
          </c:xVal>
          <c:yVal>
            <c:numRef>
              <c:f>'Lineare Regression_HID66'!$C$1:$C$70</c:f>
              <c:numCache>
                <c:formatCode>General</c:formatCode>
                <c:ptCount val="70"/>
                <c:pt idx="0">
                  <c:v>-4.5283653820446766E-2</c:v>
                </c:pt>
                <c:pt idx="1">
                  <c:v>-4.4884934144986399E-2</c:v>
                </c:pt>
                <c:pt idx="2">
                  <c:v>-4.4486301863436752E-2</c:v>
                </c:pt>
                <c:pt idx="3">
                  <c:v>-4.4087756983417402E-2</c:v>
                </c:pt>
                <c:pt idx="4">
                  <c:v>-4.3689299512077333E-2</c:v>
                </c:pt>
                <c:pt idx="5">
                  <c:v>-4.3290929456094814E-2</c:v>
                </c:pt>
                <c:pt idx="6">
                  <c:v>-4.2892646821677094E-2</c:v>
                </c:pt>
                <c:pt idx="7">
                  <c:v>-4.2494451614560343E-2</c:v>
                </c:pt>
                <c:pt idx="8">
                  <c:v>-4.2096343840009438E-2</c:v>
                </c:pt>
                <c:pt idx="9">
                  <c:v>-4.1698323502817845E-2</c:v>
                </c:pt>
                <c:pt idx="10">
                  <c:v>-4.1300390607307523E-2</c:v>
                </c:pt>
                <c:pt idx="11">
                  <c:v>-4.0902545157328683E-2</c:v>
                </c:pt>
                <c:pt idx="12">
                  <c:v>-4.050478715625986E-2</c:v>
                </c:pt>
                <c:pt idx="13">
                  <c:v>-4.0107116607007678E-2</c:v>
                </c:pt>
                <c:pt idx="14">
                  <c:v>-3.9709533512006859E-2</c:v>
                </c:pt>
                <c:pt idx="15">
                  <c:v>-3.9312037873220088E-2</c:v>
                </c:pt>
                <c:pt idx="16">
                  <c:v>-3.8914629692138013E-2</c:v>
                </c:pt>
                <c:pt idx="17">
                  <c:v>-3.8517308969779215E-2</c:v>
                </c:pt>
                <c:pt idx="18">
                  <c:v>-3.8120075706690099E-2</c:v>
                </c:pt>
                <c:pt idx="19">
                  <c:v>-3.7722929902944985E-2</c:v>
                </c:pt>
                <c:pt idx="20">
                  <c:v>-3.7325871558146026E-2</c:v>
                </c:pt>
                <c:pt idx="21">
                  <c:v>-3.6928900671423258E-2</c:v>
                </c:pt>
                <c:pt idx="22">
                  <c:v>-3.6532017241434608E-2</c:v>
                </c:pt>
                <c:pt idx="23">
                  <c:v>-3.6135221266365931E-2</c:v>
                </c:pt>
                <c:pt idx="24">
                  <c:v>-3.5738512743931077E-2</c:v>
                </c:pt>
                <c:pt idx="25">
                  <c:v>-3.5341891671371917E-2</c:v>
                </c:pt>
                <c:pt idx="26">
                  <c:v>-3.4945358045458466E-2</c:v>
                </c:pt>
                <c:pt idx="27">
                  <c:v>-3.4548911862488929E-2</c:v>
                </c:pt>
                <c:pt idx="28">
                  <c:v>-3.4152553118289804E-2</c:v>
                </c:pt>
                <c:pt idx="29">
                  <c:v>-3.3756281808216035E-2</c:v>
                </c:pt>
                <c:pt idx="30">
                  <c:v>-3.3360097927151076E-2</c:v>
                </c:pt>
                <c:pt idx="31">
                  <c:v>-3.2964001469507086E-2</c:v>
                </c:pt>
                <c:pt idx="32">
                  <c:v>-3.2567992429225034E-2</c:v>
                </c:pt>
                <c:pt idx="33">
                  <c:v>-3.2172070799774917E-2</c:v>
                </c:pt>
                <c:pt idx="34">
                  <c:v>-3.1776236574155847E-2</c:v>
                </c:pt>
                <c:pt idx="35">
                  <c:v>-3.1380489744896357E-2</c:v>
                </c:pt>
                <c:pt idx="36">
                  <c:v>-3.0984830304054491E-2</c:v>
                </c:pt>
                <c:pt idx="37">
                  <c:v>-3.05892582432181E-2</c:v>
                </c:pt>
                <c:pt idx="38">
                  <c:v>-3.019377355350502E-2</c:v>
                </c:pt>
                <c:pt idx="39">
                  <c:v>-2.9798376225563323E-2</c:v>
                </c:pt>
                <c:pt idx="40">
                  <c:v>-2.9403066249571584E-2</c:v>
                </c:pt>
                <c:pt idx="41">
                  <c:v>-2.9007843615239132E-2</c:v>
                </c:pt>
                <c:pt idx="42">
                  <c:v>-2.8612708311806338E-2</c:v>
                </c:pt>
                <c:pt idx="43">
                  <c:v>-2.8217660328044871E-2</c:v>
                </c:pt>
                <c:pt idx="44">
                  <c:v>-2.7822699652258046E-2</c:v>
                </c:pt>
                <c:pt idx="45">
                  <c:v>-2.7427826272281113E-2</c:v>
                </c:pt>
                <c:pt idx="46">
                  <c:v>-2.7033040175481589E-2</c:v>
                </c:pt>
                <c:pt idx="47">
                  <c:v>-2.6638341348759594E-2</c:v>
                </c:pt>
                <c:pt idx="48">
                  <c:v>-2.6243729778548209E-2</c:v>
                </c:pt>
                <c:pt idx="49">
                  <c:v>-2.5849205450813831E-2</c:v>
                </c:pt>
                <c:pt idx="50">
                  <c:v>-2.5454768351056565E-2</c:v>
                </c:pt>
                <c:pt idx="51">
                  <c:v>-2.5060418464310598E-2</c:v>
                </c:pt>
                <c:pt idx="52">
                  <c:v>-2.4666155775144607E-2</c:v>
                </c:pt>
                <c:pt idx="53">
                  <c:v>-2.4271980267662176E-2</c:v>
                </c:pt>
                <c:pt idx="54">
                  <c:v>-2.3877891925502222E-2</c:v>
                </c:pt>
                <c:pt idx="55">
                  <c:v>-2.3483890731839433E-2</c:v>
                </c:pt>
                <c:pt idx="56">
                  <c:v>-2.3089976669384685E-2</c:v>
                </c:pt>
                <c:pt idx="57">
                  <c:v>-2.269614972038558E-2</c:v>
                </c:pt>
                <c:pt idx="58">
                  <c:v>-2.2302409866626863E-2</c:v>
                </c:pt>
                <c:pt idx="59">
                  <c:v>-2.1908757089430884E-2</c:v>
                </c:pt>
                <c:pt idx="60">
                  <c:v>-2.1515191369658182E-2</c:v>
                </c:pt>
                <c:pt idx="61">
                  <c:v>-2.1121712687707968E-2</c:v>
                </c:pt>
                <c:pt idx="62">
                  <c:v>-2.0728321023518553E-2</c:v>
                </c:pt>
                <c:pt idx="63">
                  <c:v>-2.0335016356568043E-2</c:v>
                </c:pt>
                <c:pt idx="64">
                  <c:v>-1.9941798665874751E-2</c:v>
                </c:pt>
                <c:pt idx="65">
                  <c:v>-1.9548667929997862E-2</c:v>
                </c:pt>
                <c:pt idx="66">
                  <c:v>-1.9155624127037887E-2</c:v>
                </c:pt>
                <c:pt idx="67">
                  <c:v>-1.8762667234637369E-2</c:v>
                </c:pt>
                <c:pt idx="68">
                  <c:v>-1.8369797229981416E-2</c:v>
                </c:pt>
                <c:pt idx="69">
                  <c:v>-1.7977014089798283E-2</c:v>
                </c:pt>
              </c:numCache>
            </c:numRef>
          </c:yVal>
          <c:smooth val="0"/>
        </c:ser>
        <c:ser>
          <c:idx val="3"/>
          <c:order val="3"/>
          <c:tx>
            <c:v/>
          </c:tx>
          <c:spPr>
            <a:ln w="6350" cap="rnd">
              <a:solidFill>
                <a:srgbClr val="C0C0C0"/>
              </a:solidFill>
              <a:prstDash val="solid"/>
              <a:round/>
            </a:ln>
            <a:effectLst/>
          </c:spPr>
          <c:marker>
            <c:symbol val="none"/>
          </c:marker>
          <c:xVal>
            <c:numRef>
              <c:f>'Lineare Regression_HID67'!$B$1:$B$70</c:f>
              <c:numCache>
                <c:formatCode>General</c:formatCode>
                <c:ptCount val="70"/>
                <c:pt idx="0">
                  <c:v>3.3520065E-3</c:v>
                </c:pt>
                <c:pt idx="1">
                  <c:v>3.7489491999999998E-3</c:v>
                </c:pt>
                <c:pt idx="2">
                  <c:v>4.1458919000000004E-3</c:v>
                </c:pt>
                <c:pt idx="3">
                  <c:v>4.5428346000000001E-3</c:v>
                </c:pt>
                <c:pt idx="4">
                  <c:v>4.9397772999999999E-3</c:v>
                </c:pt>
                <c:pt idx="5">
                  <c:v>5.3367199999999997E-3</c:v>
                </c:pt>
                <c:pt idx="6">
                  <c:v>5.7336626999999994E-3</c:v>
                </c:pt>
                <c:pt idx="7">
                  <c:v>6.1306054E-3</c:v>
                </c:pt>
                <c:pt idx="8">
                  <c:v>6.5275480999999998E-3</c:v>
                </c:pt>
                <c:pt idx="9">
                  <c:v>6.9244907999999996E-3</c:v>
                </c:pt>
                <c:pt idx="10">
                  <c:v>7.3214334999999993E-3</c:v>
                </c:pt>
                <c:pt idx="11">
                  <c:v>7.7183762E-3</c:v>
                </c:pt>
                <c:pt idx="12">
                  <c:v>8.1153188999999997E-3</c:v>
                </c:pt>
                <c:pt idx="13">
                  <c:v>8.5122615999999995E-3</c:v>
                </c:pt>
                <c:pt idx="14">
                  <c:v>8.909204300000001E-3</c:v>
                </c:pt>
                <c:pt idx="15">
                  <c:v>9.3061470000000007E-3</c:v>
                </c:pt>
                <c:pt idx="16">
                  <c:v>9.7030897000000005E-3</c:v>
                </c:pt>
                <c:pt idx="17">
                  <c:v>1.01000324E-2</c:v>
                </c:pt>
                <c:pt idx="18">
                  <c:v>1.04969751E-2</c:v>
                </c:pt>
                <c:pt idx="19">
                  <c:v>1.08939178E-2</c:v>
                </c:pt>
                <c:pt idx="20">
                  <c:v>1.12908605E-2</c:v>
                </c:pt>
                <c:pt idx="21">
                  <c:v>1.1687803199999999E-2</c:v>
                </c:pt>
                <c:pt idx="22">
                  <c:v>1.2084745899999999E-2</c:v>
                </c:pt>
                <c:pt idx="23">
                  <c:v>1.2481688599999999E-2</c:v>
                </c:pt>
                <c:pt idx="24">
                  <c:v>1.2878631299999999E-2</c:v>
                </c:pt>
                <c:pt idx="25">
                  <c:v>1.3275573999999998E-2</c:v>
                </c:pt>
                <c:pt idx="26">
                  <c:v>1.3672516699999998E-2</c:v>
                </c:pt>
                <c:pt idx="27">
                  <c:v>1.4069459399999998E-2</c:v>
                </c:pt>
                <c:pt idx="28">
                  <c:v>1.4466402100000001E-2</c:v>
                </c:pt>
                <c:pt idx="29">
                  <c:v>1.4863344800000001E-2</c:v>
                </c:pt>
                <c:pt idx="30">
                  <c:v>1.5260287500000001E-2</c:v>
                </c:pt>
                <c:pt idx="31">
                  <c:v>1.56572302E-2</c:v>
                </c:pt>
                <c:pt idx="32">
                  <c:v>1.60541729E-2</c:v>
                </c:pt>
                <c:pt idx="33">
                  <c:v>1.64511156E-2</c:v>
                </c:pt>
                <c:pt idx="34">
                  <c:v>1.68480583E-2</c:v>
                </c:pt>
                <c:pt idx="35">
                  <c:v>1.7245000999999999E-2</c:v>
                </c:pt>
                <c:pt idx="36">
                  <c:v>1.7641943699999999E-2</c:v>
                </c:pt>
                <c:pt idx="37">
                  <c:v>1.8038886399999999E-2</c:v>
                </c:pt>
                <c:pt idx="38">
                  <c:v>1.8435829099999999E-2</c:v>
                </c:pt>
                <c:pt idx="39">
                  <c:v>1.8832771799999998E-2</c:v>
                </c:pt>
                <c:pt idx="40">
                  <c:v>1.9229714499999998E-2</c:v>
                </c:pt>
                <c:pt idx="41">
                  <c:v>1.9626657200000001E-2</c:v>
                </c:pt>
                <c:pt idx="42">
                  <c:v>2.0023599900000001E-2</c:v>
                </c:pt>
                <c:pt idx="43">
                  <c:v>2.0420542600000001E-2</c:v>
                </c:pt>
                <c:pt idx="44">
                  <c:v>2.0817485300000001E-2</c:v>
                </c:pt>
                <c:pt idx="45">
                  <c:v>2.1214428E-2</c:v>
                </c:pt>
                <c:pt idx="46">
                  <c:v>2.16113707E-2</c:v>
                </c:pt>
                <c:pt idx="47">
                  <c:v>2.20083134E-2</c:v>
                </c:pt>
                <c:pt idx="48">
                  <c:v>2.24052561E-2</c:v>
                </c:pt>
                <c:pt idx="49">
                  <c:v>2.2802198799999999E-2</c:v>
                </c:pt>
                <c:pt idx="50">
                  <c:v>2.3199141499999999E-2</c:v>
                </c:pt>
                <c:pt idx="51">
                  <c:v>2.3596084199999999E-2</c:v>
                </c:pt>
                <c:pt idx="52">
                  <c:v>2.3993026899999999E-2</c:v>
                </c:pt>
                <c:pt idx="53">
                  <c:v>2.4389969599999999E-2</c:v>
                </c:pt>
                <c:pt idx="54">
                  <c:v>2.4786912299999998E-2</c:v>
                </c:pt>
                <c:pt idx="55">
                  <c:v>2.5183854999999998E-2</c:v>
                </c:pt>
                <c:pt idx="56">
                  <c:v>2.5580797700000001E-2</c:v>
                </c:pt>
                <c:pt idx="57">
                  <c:v>2.5977740400000001E-2</c:v>
                </c:pt>
                <c:pt idx="58">
                  <c:v>2.6374683100000001E-2</c:v>
                </c:pt>
                <c:pt idx="59">
                  <c:v>2.6771625800000001E-2</c:v>
                </c:pt>
                <c:pt idx="60">
                  <c:v>2.71685685E-2</c:v>
                </c:pt>
                <c:pt idx="61">
                  <c:v>2.75655112E-2</c:v>
                </c:pt>
                <c:pt idx="62">
                  <c:v>2.79624539E-2</c:v>
                </c:pt>
                <c:pt idx="63">
                  <c:v>2.83593966E-2</c:v>
                </c:pt>
                <c:pt idx="64">
                  <c:v>2.8756339299999999E-2</c:v>
                </c:pt>
                <c:pt idx="65">
                  <c:v>2.9153281999999999E-2</c:v>
                </c:pt>
                <c:pt idx="66">
                  <c:v>2.9550224699999999E-2</c:v>
                </c:pt>
                <c:pt idx="67">
                  <c:v>2.9947167399999999E-2</c:v>
                </c:pt>
                <c:pt idx="68">
                  <c:v>3.0344110099999998E-2</c:v>
                </c:pt>
                <c:pt idx="69">
                  <c:v>3.0741052799999998E-2</c:v>
                </c:pt>
              </c:numCache>
            </c:numRef>
          </c:xVal>
          <c:yVal>
            <c:numRef>
              <c:f>'Lineare Regression_HID67'!$C$1:$C$70</c:f>
              <c:numCache>
                <c:formatCode>General</c:formatCode>
                <c:ptCount val="70"/>
                <c:pt idx="0">
                  <c:v>5.1968492986819291E-2</c:v>
                </c:pt>
                <c:pt idx="1">
                  <c:v>5.2363940725413859E-2</c:v>
                </c:pt>
                <c:pt idx="2">
                  <c:v>5.2759475736532974E-2</c:v>
                </c:pt>
                <c:pt idx="3">
                  <c:v>5.315509802775821E-2</c:v>
                </c:pt>
                <c:pt idx="4">
                  <c:v>5.3550807606201872E-2</c:v>
                </c:pt>
                <c:pt idx="5">
                  <c:v>5.3946604478506771E-2</c:v>
                </c:pt>
                <c:pt idx="6">
                  <c:v>5.4342488650846107E-2</c:v>
                </c:pt>
                <c:pt idx="7">
                  <c:v>5.4738460128923243E-2</c:v>
                </c:pt>
                <c:pt idx="8">
                  <c:v>5.5134518917971588E-2</c:v>
                </c:pt>
                <c:pt idx="9">
                  <c:v>5.553066502275443E-2</c:v>
                </c:pt>
                <c:pt idx="10">
                  <c:v>5.5926898447564807E-2</c:v>
                </c:pt>
                <c:pt idx="11">
                  <c:v>5.6323219196225446E-2</c:v>
                </c:pt>
                <c:pt idx="12">
                  <c:v>5.6719627272088582E-2</c:v>
                </c:pt>
                <c:pt idx="13">
                  <c:v>5.711612267803591E-2</c:v>
                </c:pt>
                <c:pt idx="14">
                  <c:v>5.7512705416478502E-2</c:v>
                </c:pt>
                <c:pt idx="15">
                  <c:v>5.7909375489356742E-2</c:v>
                </c:pt>
                <c:pt idx="16">
                  <c:v>5.8306132898140288E-2</c:v>
                </c:pt>
                <c:pt idx="17">
                  <c:v>5.8702977643828001E-2</c:v>
                </c:pt>
                <c:pt idx="18">
                  <c:v>5.9099909726947925E-2</c:v>
                </c:pt>
                <c:pt idx="19">
                  <c:v>5.9496929147557304E-2</c:v>
                </c:pt>
                <c:pt idx="20">
                  <c:v>5.9894035905242553E-2</c:v>
                </c:pt>
                <c:pt idx="21">
                  <c:v>6.0291229999119261E-2</c:v>
                </c:pt>
                <c:pt idx="22">
                  <c:v>6.0688511427832235E-2</c:v>
                </c:pt>
                <c:pt idx="23">
                  <c:v>6.1085880189555547E-2</c:v>
                </c:pt>
                <c:pt idx="24">
                  <c:v>6.1483336281992547E-2</c:v>
                </c:pt>
                <c:pt idx="25">
                  <c:v>6.1880879702375921E-2</c:v>
                </c:pt>
                <c:pt idx="26">
                  <c:v>6.2278510447467871E-2</c:v>
                </c:pt>
                <c:pt idx="27">
                  <c:v>6.2676228513560028E-2</c:v>
                </c:pt>
                <c:pt idx="28">
                  <c:v>6.3074033896473689E-2</c:v>
                </c:pt>
                <c:pt idx="29">
                  <c:v>6.3471926591559855E-2</c:v>
                </c:pt>
                <c:pt idx="30">
                  <c:v>6.3869906593699455E-2</c:v>
                </c:pt>
                <c:pt idx="31">
                  <c:v>6.4267973897303335E-2</c:v>
                </c:pt>
                <c:pt idx="32">
                  <c:v>6.4666128496312522E-2</c:v>
                </c:pt>
                <c:pt idx="33">
                  <c:v>6.5064370384198364E-2</c:v>
                </c:pt>
                <c:pt idx="34">
                  <c:v>6.5462699553962667E-2</c:v>
                </c:pt>
                <c:pt idx="35">
                  <c:v>6.5861115998137931E-2</c:v>
                </c:pt>
                <c:pt idx="36">
                  <c:v>6.625961970878752E-2</c:v>
                </c:pt>
                <c:pt idx="37">
                  <c:v>6.6658210677505922E-2</c:v>
                </c:pt>
                <c:pt idx="38">
                  <c:v>6.7056888895418887E-2</c:v>
                </c:pt>
                <c:pt idx="39">
                  <c:v>6.7455654353183736E-2</c:v>
                </c:pt>
                <c:pt idx="40">
                  <c:v>6.7854507040989637E-2</c:v>
                </c:pt>
                <c:pt idx="41">
                  <c:v>6.8253446948557756E-2</c:v>
                </c:pt>
                <c:pt idx="42">
                  <c:v>6.8652474065141661E-2</c:v>
                </c:pt>
                <c:pt idx="43">
                  <c:v>6.9051588379527518E-2</c:v>
                </c:pt>
                <c:pt idx="44">
                  <c:v>6.9450789880034461E-2</c:v>
                </c:pt>
                <c:pt idx="45">
                  <c:v>6.9850078554514833E-2</c:v>
                </c:pt>
                <c:pt idx="46">
                  <c:v>7.0249454390354599E-2</c:v>
                </c:pt>
                <c:pt idx="47">
                  <c:v>7.0648917374473583E-2</c:v>
                </c:pt>
                <c:pt idx="48">
                  <c:v>7.1048467493325912E-2</c:v>
                </c:pt>
                <c:pt idx="49">
                  <c:v>7.1448104732900336E-2</c:v>
                </c:pt>
                <c:pt idx="50">
                  <c:v>7.1847829078720615E-2</c:v>
                </c:pt>
                <c:pt idx="51">
                  <c:v>7.2247640515845868E-2</c:v>
                </c:pt>
                <c:pt idx="52">
                  <c:v>7.2647539028871014E-2</c:v>
                </c:pt>
                <c:pt idx="53">
                  <c:v>7.3047524601927205E-2</c:v>
                </c:pt>
                <c:pt idx="54">
                  <c:v>7.3447597218682215E-2</c:v>
                </c:pt>
                <c:pt idx="55">
                  <c:v>7.3847756862340838E-2</c:v>
                </c:pt>
                <c:pt idx="56">
                  <c:v>7.424800351564545E-2</c:v>
                </c:pt>
                <c:pt idx="57">
                  <c:v>7.4648337160876335E-2</c:v>
                </c:pt>
                <c:pt idx="58">
                  <c:v>7.5048757779852301E-2</c:v>
                </c:pt>
                <c:pt idx="59">
                  <c:v>7.5449265353931039E-2</c:v>
                </c:pt>
                <c:pt idx="60">
                  <c:v>7.5849859864009675E-2</c:v>
                </c:pt>
                <c:pt idx="61">
                  <c:v>7.6250541290525317E-2</c:v>
                </c:pt>
                <c:pt idx="62">
                  <c:v>7.6651309613455468E-2</c:v>
                </c:pt>
                <c:pt idx="63">
                  <c:v>7.7052164812318719E-2</c:v>
                </c:pt>
                <c:pt idx="64">
                  <c:v>7.7453106866175125E-2</c:v>
                </c:pt>
                <c:pt idx="65">
                  <c:v>7.7854135753626902E-2</c:v>
                </c:pt>
                <c:pt idx="66">
                  <c:v>7.8255251452818891E-2</c:v>
                </c:pt>
                <c:pt idx="67">
                  <c:v>7.8656453941439233E-2</c:v>
                </c:pt>
                <c:pt idx="68">
                  <c:v>7.9057743196719862E-2</c:v>
                </c:pt>
                <c:pt idx="69">
                  <c:v>7.9459119195437203E-2</c:v>
                </c:pt>
              </c:numCache>
            </c:numRef>
          </c:yVal>
          <c:smooth val="0"/>
        </c:ser>
        <c:ser>
          <c:idx val="4"/>
          <c:order val="4"/>
          <c:spPr>
            <a:ln w="3175" cap="rnd">
              <a:solidFill>
                <a:srgbClr val="000000"/>
              </a:solidFill>
              <a:prstDash val="lgDash"/>
              <a:round/>
            </a:ln>
            <a:effectLst/>
          </c:spPr>
          <c:marker>
            <c:symbol val="none"/>
          </c:marker>
          <c:xVal>
            <c:numLit>
              <c:formatCode>General</c:formatCode>
              <c:ptCount val="2"/>
              <c:pt idx="0">
                <c:v>-0.05</c:v>
              </c:pt>
              <c:pt idx="1">
                <c:v>0.2</c:v>
              </c:pt>
            </c:numLit>
          </c:xVal>
          <c:yVal>
            <c:numLit>
              <c:formatCode>General</c:formatCode>
              <c:ptCount val="2"/>
              <c:pt idx="0">
                <c:v>-0.05</c:v>
              </c:pt>
              <c:pt idx="1">
                <c:v>0.2</c:v>
              </c:pt>
            </c:numLit>
          </c:yVal>
          <c:smooth val="0"/>
        </c:ser>
        <c:dLbls>
          <c:showLegendKey val="0"/>
          <c:showVal val="0"/>
          <c:showCatName val="0"/>
          <c:showSerName val="0"/>
          <c:showPercent val="0"/>
          <c:showBubbleSize val="0"/>
        </c:dLbls>
        <c:axId val="745520128"/>
        <c:axId val="745530496"/>
      </c:scatterChart>
      <c:valAx>
        <c:axId val="745520128"/>
        <c:scaling>
          <c:orientation val="minMax"/>
          <c:max val="0.2"/>
          <c:min val="-0.05"/>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Vorhersagen(M&amp;A Intensity)</a:t>
                </a:r>
              </a:p>
            </c:rich>
          </c:tx>
          <c:overlay val="0"/>
          <c:spPr>
            <a:noFill/>
            <a:ln>
              <a:noFill/>
            </a:ln>
            <a:effectLst/>
          </c:spPr>
        </c:title>
        <c:numFmt formatCode="General" sourceLinked="0"/>
        <c:majorTickMark val="cross"/>
        <c:minorTickMark val="none"/>
        <c:tickLblPos val="nextTo"/>
        <c:spPr>
          <a:noFill/>
          <a:ln w="9525" cap="flat" cmpd="sng" algn="ctr">
            <a:solidFill>
              <a:srgbClr val="000000"/>
            </a:solidFill>
            <a:prstDash val="solid"/>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45530496"/>
        <c:crosses val="autoZero"/>
        <c:crossBetween val="midCat"/>
      </c:valAx>
      <c:valAx>
        <c:axId val="745530496"/>
        <c:scaling>
          <c:orientation val="minMax"/>
          <c:max val="0.2"/>
          <c:min val="-0.05"/>
        </c:scaling>
        <c:delete val="0"/>
        <c:axPos val="l"/>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M&amp;A Intensity</a:t>
                </a:r>
              </a:p>
            </c:rich>
          </c:tx>
          <c:overlay val="0"/>
          <c:spPr>
            <a:noFill/>
            <a:ln>
              <a:noFill/>
            </a:ln>
            <a:effectLst/>
          </c:spPr>
        </c:title>
        <c:numFmt formatCode="General" sourceLinked="0"/>
        <c:majorTickMark val="cross"/>
        <c:minorTickMark val="none"/>
        <c:tickLblPos val="nextTo"/>
        <c:spPr>
          <a:noFill/>
          <a:ln>
            <a:solidFill>
              <a:srgbClr val="000000"/>
            </a:solidFill>
            <a:prstDash val="soli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45520128"/>
        <c:crosses val="autoZero"/>
        <c:crossBetween val="midCat"/>
      </c:valAx>
      <c:spPr>
        <a:noFill/>
        <a:ln>
          <a:solidFill>
            <a:srgbClr val="C0C0C0"/>
          </a:solidFill>
          <a:prstDash val="solid"/>
        </a:ln>
        <a:effectLst/>
      </c:spPr>
    </c:plotArea>
    <c:plotVisOnly val="1"/>
    <c:dispBlanksAs val="gap"/>
    <c:showDLblsOverMax val="0"/>
  </c:chart>
  <c:spPr>
    <a:solidFill>
      <a:schemeClr val="bg1"/>
    </a:solidFill>
    <a:ln w="9525" cap="flat" cmpd="sng" algn="ctr">
      <a:solidFill>
        <a:srgbClr val="000000"/>
      </a:solidFill>
      <a:prstDash val="solid"/>
      <a:round/>
    </a:ln>
    <a:effectLst/>
  </c:spPr>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Arial"/>
                <a:ea typeface="Arial"/>
                <a:cs typeface="Arial"/>
              </a:defRPr>
            </a:pPr>
            <a:r>
              <a:rPr lang="de-DE"/>
              <a:t>Standardisierte Residuen / M&amp;A Intensity</a:t>
            </a:r>
          </a:p>
        </c:rich>
      </c:tx>
      <c:overlay val="0"/>
      <c:spPr>
        <a:noFill/>
        <a:ln>
          <a:noFill/>
        </a:ln>
        <a:effectLst/>
      </c:spPr>
    </c:title>
    <c:autoTitleDeleted val="0"/>
    <c:plotArea>
      <c:layout/>
      <c:barChart>
        <c:barDir val="bar"/>
        <c:grouping val="clustered"/>
        <c:varyColors val="0"/>
        <c:ser>
          <c:idx val="0"/>
          <c:order val="0"/>
          <c:tx>
            <c:v/>
          </c:tx>
          <c:spPr>
            <a:solidFill>
              <a:srgbClr val="003CE6"/>
            </a:solidFill>
            <a:ln>
              <a:solidFill>
                <a:srgbClr val="003CE6"/>
              </a:solidFill>
              <a:prstDash val="solid"/>
            </a:ln>
            <a:effectLst/>
          </c:spPr>
          <c:invertIfNegative val="0"/>
          <c:cat>
            <c:strRef>
              <c:f>'Alle PR'!$B$141:$B$292</c:f>
              <c:strCache>
                <c:ptCount val="152"/>
                <c:pt idx="0">
                  <c:v>Beob1</c:v>
                </c:pt>
                <c:pt idx="1">
                  <c:v>Beob2</c:v>
                </c:pt>
                <c:pt idx="2">
                  <c:v>Beob3</c:v>
                </c:pt>
                <c:pt idx="3">
                  <c:v>Beob4</c:v>
                </c:pt>
                <c:pt idx="4">
                  <c:v>Beob5</c:v>
                </c:pt>
                <c:pt idx="5">
                  <c:v>Beob6</c:v>
                </c:pt>
                <c:pt idx="6">
                  <c:v>Beob7</c:v>
                </c:pt>
                <c:pt idx="7">
                  <c:v>Beob8</c:v>
                </c:pt>
                <c:pt idx="8">
                  <c:v>Beob9</c:v>
                </c:pt>
                <c:pt idx="9">
                  <c:v>Beob10</c:v>
                </c:pt>
                <c:pt idx="10">
                  <c:v>Beob11</c:v>
                </c:pt>
                <c:pt idx="11">
                  <c:v>Beob12</c:v>
                </c:pt>
                <c:pt idx="12">
                  <c:v>Beob13</c:v>
                </c:pt>
                <c:pt idx="13">
                  <c:v>Beob14</c:v>
                </c:pt>
                <c:pt idx="14">
                  <c:v>Beob15</c:v>
                </c:pt>
                <c:pt idx="15">
                  <c:v>Beob16</c:v>
                </c:pt>
                <c:pt idx="16">
                  <c:v>Beob17</c:v>
                </c:pt>
                <c:pt idx="17">
                  <c:v>Beob18</c:v>
                </c:pt>
                <c:pt idx="18">
                  <c:v>Beob19</c:v>
                </c:pt>
                <c:pt idx="19">
                  <c:v>Beob20</c:v>
                </c:pt>
                <c:pt idx="20">
                  <c:v>Beob21</c:v>
                </c:pt>
                <c:pt idx="21">
                  <c:v>Beob22</c:v>
                </c:pt>
                <c:pt idx="22">
                  <c:v>Beob23</c:v>
                </c:pt>
                <c:pt idx="23">
                  <c:v>Beob24</c:v>
                </c:pt>
                <c:pt idx="24">
                  <c:v>Beob25</c:v>
                </c:pt>
                <c:pt idx="25">
                  <c:v>Beob26</c:v>
                </c:pt>
                <c:pt idx="26">
                  <c:v>Beob27</c:v>
                </c:pt>
                <c:pt idx="27">
                  <c:v>Beob28</c:v>
                </c:pt>
                <c:pt idx="28">
                  <c:v>Beob29</c:v>
                </c:pt>
                <c:pt idx="29">
                  <c:v>Beob30</c:v>
                </c:pt>
                <c:pt idx="30">
                  <c:v>Beob31</c:v>
                </c:pt>
                <c:pt idx="31">
                  <c:v>Beob32</c:v>
                </c:pt>
                <c:pt idx="32">
                  <c:v>Beob33</c:v>
                </c:pt>
                <c:pt idx="33">
                  <c:v>Beob34</c:v>
                </c:pt>
                <c:pt idx="34">
                  <c:v>Beob35</c:v>
                </c:pt>
                <c:pt idx="35">
                  <c:v>Beob36</c:v>
                </c:pt>
                <c:pt idx="36">
                  <c:v>Beob37</c:v>
                </c:pt>
                <c:pt idx="37">
                  <c:v>Beob38</c:v>
                </c:pt>
                <c:pt idx="38">
                  <c:v>Beob39</c:v>
                </c:pt>
                <c:pt idx="39">
                  <c:v>Beob40</c:v>
                </c:pt>
                <c:pt idx="40">
                  <c:v>Beob41</c:v>
                </c:pt>
                <c:pt idx="41">
                  <c:v>Beob42</c:v>
                </c:pt>
                <c:pt idx="42">
                  <c:v>Beob43</c:v>
                </c:pt>
                <c:pt idx="43">
                  <c:v>Beob44</c:v>
                </c:pt>
                <c:pt idx="44">
                  <c:v>Beob45</c:v>
                </c:pt>
                <c:pt idx="45">
                  <c:v>Beob46</c:v>
                </c:pt>
                <c:pt idx="46">
                  <c:v>Beob47</c:v>
                </c:pt>
                <c:pt idx="47">
                  <c:v>Beob48</c:v>
                </c:pt>
                <c:pt idx="48">
                  <c:v>Beob49</c:v>
                </c:pt>
                <c:pt idx="49">
                  <c:v>Beob50</c:v>
                </c:pt>
                <c:pt idx="50">
                  <c:v>Beob51</c:v>
                </c:pt>
                <c:pt idx="51">
                  <c:v>Beob52</c:v>
                </c:pt>
                <c:pt idx="52">
                  <c:v>Beob53</c:v>
                </c:pt>
                <c:pt idx="53">
                  <c:v>Beob54</c:v>
                </c:pt>
                <c:pt idx="54">
                  <c:v>Beob55</c:v>
                </c:pt>
                <c:pt idx="55">
                  <c:v>Beob56</c:v>
                </c:pt>
                <c:pt idx="56">
                  <c:v>Beob57</c:v>
                </c:pt>
                <c:pt idx="57">
                  <c:v>Beob58</c:v>
                </c:pt>
                <c:pt idx="58">
                  <c:v>Beob59</c:v>
                </c:pt>
                <c:pt idx="59">
                  <c:v>Beob60</c:v>
                </c:pt>
                <c:pt idx="60">
                  <c:v>Beob61</c:v>
                </c:pt>
                <c:pt idx="61">
                  <c:v>Beob62</c:v>
                </c:pt>
                <c:pt idx="62">
                  <c:v>Beob63</c:v>
                </c:pt>
                <c:pt idx="63">
                  <c:v>Beob64</c:v>
                </c:pt>
                <c:pt idx="64">
                  <c:v>Beob65</c:v>
                </c:pt>
                <c:pt idx="65">
                  <c:v>Beob66</c:v>
                </c:pt>
                <c:pt idx="66">
                  <c:v>Beob67</c:v>
                </c:pt>
                <c:pt idx="67">
                  <c:v>Beob68</c:v>
                </c:pt>
                <c:pt idx="68">
                  <c:v>Beob69</c:v>
                </c:pt>
                <c:pt idx="69">
                  <c:v>Beob70</c:v>
                </c:pt>
                <c:pt idx="70">
                  <c:v>Beob71</c:v>
                </c:pt>
                <c:pt idx="71">
                  <c:v>Beob72</c:v>
                </c:pt>
                <c:pt idx="72">
                  <c:v>Beob73</c:v>
                </c:pt>
                <c:pt idx="73">
                  <c:v>Beob74</c:v>
                </c:pt>
                <c:pt idx="74">
                  <c:v>Beob75</c:v>
                </c:pt>
                <c:pt idx="75">
                  <c:v>Beob76</c:v>
                </c:pt>
                <c:pt idx="76">
                  <c:v>Beob77</c:v>
                </c:pt>
                <c:pt idx="77">
                  <c:v>Beob78</c:v>
                </c:pt>
                <c:pt idx="78">
                  <c:v>Beob79</c:v>
                </c:pt>
                <c:pt idx="79">
                  <c:v>Beob80</c:v>
                </c:pt>
                <c:pt idx="80">
                  <c:v>Beob81</c:v>
                </c:pt>
                <c:pt idx="81">
                  <c:v>Beob82</c:v>
                </c:pt>
                <c:pt idx="82">
                  <c:v>Beob83</c:v>
                </c:pt>
                <c:pt idx="83">
                  <c:v>Beob84</c:v>
                </c:pt>
                <c:pt idx="84">
                  <c:v>Beob85</c:v>
                </c:pt>
                <c:pt idx="85">
                  <c:v>Beob86</c:v>
                </c:pt>
                <c:pt idx="86">
                  <c:v>Beob87</c:v>
                </c:pt>
                <c:pt idx="87">
                  <c:v>Beob88</c:v>
                </c:pt>
                <c:pt idx="88">
                  <c:v>Beob89</c:v>
                </c:pt>
                <c:pt idx="89">
                  <c:v>Beob90</c:v>
                </c:pt>
                <c:pt idx="90">
                  <c:v>Beob91</c:v>
                </c:pt>
                <c:pt idx="91">
                  <c:v>Beob92</c:v>
                </c:pt>
                <c:pt idx="92">
                  <c:v>Beob93</c:v>
                </c:pt>
                <c:pt idx="93">
                  <c:v>Beob94</c:v>
                </c:pt>
                <c:pt idx="94">
                  <c:v>Beob95</c:v>
                </c:pt>
                <c:pt idx="95">
                  <c:v>Beob96</c:v>
                </c:pt>
                <c:pt idx="96">
                  <c:v>Beob97</c:v>
                </c:pt>
                <c:pt idx="97">
                  <c:v>Beob98</c:v>
                </c:pt>
                <c:pt idx="98">
                  <c:v>Beob99</c:v>
                </c:pt>
                <c:pt idx="99">
                  <c:v>Beob100</c:v>
                </c:pt>
                <c:pt idx="100">
                  <c:v>Beob101</c:v>
                </c:pt>
                <c:pt idx="101">
                  <c:v>Beob102</c:v>
                </c:pt>
                <c:pt idx="102">
                  <c:v>Beob103</c:v>
                </c:pt>
                <c:pt idx="103">
                  <c:v>Beob104</c:v>
                </c:pt>
                <c:pt idx="104">
                  <c:v>Beob105</c:v>
                </c:pt>
                <c:pt idx="105">
                  <c:v>Beob106</c:v>
                </c:pt>
                <c:pt idx="106">
                  <c:v>Beob107</c:v>
                </c:pt>
                <c:pt idx="107">
                  <c:v>Beob108</c:v>
                </c:pt>
                <c:pt idx="108">
                  <c:v>Beob109</c:v>
                </c:pt>
                <c:pt idx="109">
                  <c:v>Beob110</c:v>
                </c:pt>
                <c:pt idx="110">
                  <c:v>Beob111</c:v>
                </c:pt>
                <c:pt idx="111">
                  <c:v>Beob112</c:v>
                </c:pt>
                <c:pt idx="112">
                  <c:v>Beob113</c:v>
                </c:pt>
                <c:pt idx="113">
                  <c:v>Beob114</c:v>
                </c:pt>
                <c:pt idx="114">
                  <c:v>Beob115</c:v>
                </c:pt>
                <c:pt idx="115">
                  <c:v>Beob116</c:v>
                </c:pt>
                <c:pt idx="116">
                  <c:v>Beob117</c:v>
                </c:pt>
                <c:pt idx="117">
                  <c:v>Beob118</c:v>
                </c:pt>
                <c:pt idx="118">
                  <c:v>Beob119</c:v>
                </c:pt>
                <c:pt idx="119">
                  <c:v>Beob120</c:v>
                </c:pt>
                <c:pt idx="120">
                  <c:v>Beob121</c:v>
                </c:pt>
                <c:pt idx="121">
                  <c:v>Beob122</c:v>
                </c:pt>
                <c:pt idx="122">
                  <c:v>Beob123</c:v>
                </c:pt>
                <c:pt idx="123">
                  <c:v>Beob124</c:v>
                </c:pt>
                <c:pt idx="124">
                  <c:v>Beob125</c:v>
                </c:pt>
                <c:pt idx="125">
                  <c:v>Beob126</c:v>
                </c:pt>
                <c:pt idx="126">
                  <c:v>Beob127</c:v>
                </c:pt>
                <c:pt idx="127">
                  <c:v>Beob128</c:v>
                </c:pt>
                <c:pt idx="128">
                  <c:v>Beob129</c:v>
                </c:pt>
                <c:pt idx="129">
                  <c:v>Beob130</c:v>
                </c:pt>
                <c:pt idx="130">
                  <c:v>Beob131</c:v>
                </c:pt>
                <c:pt idx="131">
                  <c:v>Beob132</c:v>
                </c:pt>
                <c:pt idx="132">
                  <c:v>Beob133</c:v>
                </c:pt>
                <c:pt idx="133">
                  <c:v>Beob134</c:v>
                </c:pt>
                <c:pt idx="134">
                  <c:v>Beob135</c:v>
                </c:pt>
                <c:pt idx="135">
                  <c:v>Beob136</c:v>
                </c:pt>
                <c:pt idx="136">
                  <c:v>Beob137</c:v>
                </c:pt>
                <c:pt idx="137">
                  <c:v>Beob138</c:v>
                </c:pt>
                <c:pt idx="138">
                  <c:v>Beob139</c:v>
                </c:pt>
                <c:pt idx="139">
                  <c:v>Beob140</c:v>
                </c:pt>
                <c:pt idx="140">
                  <c:v>Beob141</c:v>
                </c:pt>
                <c:pt idx="141">
                  <c:v>Beob142</c:v>
                </c:pt>
                <c:pt idx="142">
                  <c:v>Beob143</c:v>
                </c:pt>
                <c:pt idx="143">
                  <c:v>Beob144</c:v>
                </c:pt>
                <c:pt idx="144">
                  <c:v>Beob145</c:v>
                </c:pt>
                <c:pt idx="145">
                  <c:v>Beob146</c:v>
                </c:pt>
                <c:pt idx="146">
                  <c:v>Beob147</c:v>
                </c:pt>
                <c:pt idx="147">
                  <c:v>Beob148</c:v>
                </c:pt>
                <c:pt idx="148">
                  <c:v>Beob149</c:v>
                </c:pt>
                <c:pt idx="149">
                  <c:v>Beob150</c:v>
                </c:pt>
                <c:pt idx="150">
                  <c:v>Beob151</c:v>
                </c:pt>
                <c:pt idx="151">
                  <c:v>Beob152</c:v>
                </c:pt>
              </c:strCache>
            </c:strRef>
          </c:cat>
          <c:val>
            <c:numRef>
              <c:f>'Alle PR'!$G$141:$G$292</c:f>
              <c:numCache>
                <c:formatCode>0.000</c:formatCode>
                <c:ptCount val="152"/>
                <c:pt idx="0">
                  <c:v>-0.16101109469646835</c:v>
                </c:pt>
                <c:pt idx="1">
                  <c:v>-8.1771694903927494E-2</c:v>
                </c:pt>
                <c:pt idx="2">
                  <c:v>-0.31948989428155006</c:v>
                </c:pt>
                <c:pt idx="3">
                  <c:v>-2.5322951113865926E-3</c:v>
                </c:pt>
                <c:pt idx="4">
                  <c:v>-2.8005319377376488E-2</c:v>
                </c:pt>
                <c:pt idx="5">
                  <c:v>0.14941889763487798</c:v>
                </c:pt>
                <c:pt idx="6">
                  <c:v>-0.29414164489575806</c:v>
                </c:pt>
                <c:pt idx="7">
                  <c:v>-0.38285375340188532</c:v>
                </c:pt>
                <c:pt idx="8">
                  <c:v>-0.40350154268937932</c:v>
                </c:pt>
                <c:pt idx="9">
                  <c:v>-0.88475277216891157</c:v>
                </c:pt>
                <c:pt idx="10">
                  <c:v>-8.2667389703024577E-2</c:v>
                </c:pt>
                <c:pt idx="11">
                  <c:v>0.23816676328333033</c:v>
                </c:pt>
                <c:pt idx="12">
                  <c:v>-0.17281959542727313</c:v>
                </c:pt>
                <c:pt idx="13">
                  <c:v>0.68578115723076982</c:v>
                </c:pt>
                <c:pt idx="14">
                  <c:v>1.544381909888813</c:v>
                </c:pt>
                <c:pt idx="15">
                  <c:v>1.1150815335597914</c:v>
                </c:pt>
                <c:pt idx="16">
                  <c:v>2.1195542040543445E-2</c:v>
                </c:pt>
                <c:pt idx="17">
                  <c:v>0.2233101564145106</c:v>
                </c:pt>
                <c:pt idx="18">
                  <c:v>0.4254247707884779</c:v>
                </c:pt>
                <c:pt idx="19">
                  <c:v>1.3572057060039855</c:v>
                </c:pt>
                <c:pt idx="20">
                  <c:v>-0.39496074879207288</c:v>
                </c:pt>
                <c:pt idx="21">
                  <c:v>-0.39523984507349935</c:v>
                </c:pt>
                <c:pt idx="22">
                  <c:v>-0.39559868314961927</c:v>
                </c:pt>
                <c:pt idx="23">
                  <c:v>-0.45769914218695729</c:v>
                </c:pt>
                <c:pt idx="24">
                  <c:v>-0.45755410389697448</c:v>
                </c:pt>
                <c:pt idx="25">
                  <c:v>-0.45673222025373855</c:v>
                </c:pt>
                <c:pt idx="26">
                  <c:v>-0.45687725854372135</c:v>
                </c:pt>
                <c:pt idx="27">
                  <c:v>-0.2051093661936633</c:v>
                </c:pt>
                <c:pt idx="28">
                  <c:v>-0.20570574843601291</c:v>
                </c:pt>
                <c:pt idx="29">
                  <c:v>-0.20417219409854245</c:v>
                </c:pt>
                <c:pt idx="30">
                  <c:v>-0.20613173575197694</c:v>
                </c:pt>
                <c:pt idx="31">
                  <c:v>-0.42681022095957732</c:v>
                </c:pt>
                <c:pt idx="32">
                  <c:v>-0.42563170824577362</c:v>
                </c:pt>
                <c:pt idx="33">
                  <c:v>-0.42466747057084331</c:v>
                </c:pt>
                <c:pt idx="34">
                  <c:v>-0.4260602583235204</c:v>
                </c:pt>
                <c:pt idx="35">
                  <c:v>1.6625110690917622</c:v>
                </c:pt>
                <c:pt idx="36">
                  <c:v>2.1603511531019741</c:v>
                </c:pt>
                <c:pt idx="37">
                  <c:v>0.61704689267031732</c:v>
                </c:pt>
                <c:pt idx="38">
                  <c:v>-0.43467697025832269</c:v>
                </c:pt>
                <c:pt idx="39">
                  <c:v>-0.43554111142191759</c:v>
                </c:pt>
                <c:pt idx="40">
                  <c:v>-0.43467697025832269</c:v>
                </c:pt>
                <c:pt idx="41">
                  <c:v>-0.43510904084012014</c:v>
                </c:pt>
                <c:pt idx="42">
                  <c:v>-0.43485322139650828</c:v>
                </c:pt>
                <c:pt idx="43">
                  <c:v>-0.43502566930639769</c:v>
                </c:pt>
                <c:pt idx="44">
                  <c:v>-0.43485322139650828</c:v>
                </c:pt>
                <c:pt idx="45">
                  <c:v>-0.43399098184706147</c:v>
                </c:pt>
                <c:pt idx="46">
                  <c:v>-0.30950396405613806</c:v>
                </c:pt>
                <c:pt idx="47">
                  <c:v>-0.30908214842612991</c:v>
                </c:pt>
                <c:pt idx="48">
                  <c:v>-0.30908214842612991</c:v>
                </c:pt>
                <c:pt idx="49">
                  <c:v>-0.30908214842612991</c:v>
                </c:pt>
                <c:pt idx="50">
                  <c:v>-0.34018761396602232</c:v>
                </c:pt>
                <c:pt idx="51">
                  <c:v>-0.33999535403998199</c:v>
                </c:pt>
                <c:pt idx="52">
                  <c:v>-0.33922631433582068</c:v>
                </c:pt>
                <c:pt idx="53">
                  <c:v>-0.34057213381810292</c:v>
                </c:pt>
                <c:pt idx="54">
                  <c:v>0.8828449749261752</c:v>
                </c:pt>
                <c:pt idx="55">
                  <c:v>1.4955148289285158</c:v>
                </c:pt>
                <c:pt idx="56">
                  <c:v>0.42334258442441963</c:v>
                </c:pt>
                <c:pt idx="57">
                  <c:v>-0.24920120172650442</c:v>
                </c:pt>
                <c:pt idx="58">
                  <c:v>-0.24958057547063289</c:v>
                </c:pt>
                <c:pt idx="59">
                  <c:v>-0.24749401987792646</c:v>
                </c:pt>
                <c:pt idx="60">
                  <c:v>-0.24882182798237598</c:v>
                </c:pt>
                <c:pt idx="61">
                  <c:v>-0.43671216994843481</c:v>
                </c:pt>
                <c:pt idx="62">
                  <c:v>-0.43751104541003116</c:v>
                </c:pt>
                <c:pt idx="63">
                  <c:v>-0.43697846176896687</c:v>
                </c:pt>
                <c:pt idx="64">
                  <c:v>-0.43644587812790264</c:v>
                </c:pt>
                <c:pt idx="65">
                  <c:v>-0.40305413475752438</c:v>
                </c:pt>
                <c:pt idx="66">
                  <c:v>-0.40305413475752438</c:v>
                </c:pt>
                <c:pt idx="67">
                  <c:v>-0.40447948127953354</c:v>
                </c:pt>
                <c:pt idx="68">
                  <c:v>-0.39877809519149671</c:v>
                </c:pt>
                <c:pt idx="69">
                  <c:v>-0.53905986833957653</c:v>
                </c:pt>
                <c:pt idx="70">
                  <c:v>-0.53709318864342426</c:v>
                </c:pt>
                <c:pt idx="71">
                  <c:v>-0.53945320427880694</c:v>
                </c:pt>
                <c:pt idx="72">
                  <c:v>-0.53827319646111571</c:v>
                </c:pt>
                <c:pt idx="73">
                  <c:v>2.7841007737905747</c:v>
                </c:pt>
                <c:pt idx="74">
                  <c:v>1.7864445764609147</c:v>
                </c:pt>
                <c:pt idx="75">
                  <c:v>2.7841007737905747</c:v>
                </c:pt>
                <c:pt idx="76">
                  <c:v>-0.35551045889928451</c:v>
                </c:pt>
                <c:pt idx="77">
                  <c:v>-0.34927017279270678</c:v>
                </c:pt>
                <c:pt idx="78">
                  <c:v>-0.34927017279270678</c:v>
                </c:pt>
                <c:pt idx="79">
                  <c:v>-0.35551045889928451</c:v>
                </c:pt>
                <c:pt idx="80">
                  <c:v>-0.50572862387677076</c:v>
                </c:pt>
                <c:pt idx="81">
                  <c:v>-0.48914816171280234</c:v>
                </c:pt>
                <c:pt idx="82">
                  <c:v>-0.49467498243412517</c:v>
                </c:pt>
                <c:pt idx="83">
                  <c:v>-0.51125544459809358</c:v>
                </c:pt>
                <c:pt idx="84">
                  <c:v>-0.29213089908174444</c:v>
                </c:pt>
                <c:pt idx="85">
                  <c:v>-0.28021356577816481</c:v>
                </c:pt>
                <c:pt idx="86">
                  <c:v>-0.28617223242995465</c:v>
                </c:pt>
                <c:pt idx="87">
                  <c:v>-0.28021356577816481</c:v>
                </c:pt>
                <c:pt idx="88">
                  <c:v>-0.28523260820387192</c:v>
                </c:pt>
                <c:pt idx="89">
                  <c:v>-0.27851881371938975</c:v>
                </c:pt>
                <c:pt idx="90">
                  <c:v>-0.27180501923490757</c:v>
                </c:pt>
                <c:pt idx="91">
                  <c:v>-0.28523260820387192</c:v>
                </c:pt>
                <c:pt idx="92">
                  <c:v>5.9787629065951196</c:v>
                </c:pt>
                <c:pt idx="93">
                  <c:v>-0.29194640268835409</c:v>
                </c:pt>
                <c:pt idx="94">
                  <c:v>5.9787629065951196</c:v>
                </c:pt>
                <c:pt idx="95">
                  <c:v>-0.45389703656149183</c:v>
                </c:pt>
                <c:pt idx="96">
                  <c:v>-0.45407960433159117</c:v>
                </c:pt>
                <c:pt idx="97">
                  <c:v>-0.45353190102129309</c:v>
                </c:pt>
                <c:pt idx="98">
                  <c:v>-0.45394267850401671</c:v>
                </c:pt>
                <c:pt idx="99">
                  <c:v>-0.42693922851267868</c:v>
                </c:pt>
                <c:pt idx="100">
                  <c:v>-0.42674303033090227</c:v>
                </c:pt>
                <c:pt idx="101">
                  <c:v>-0.42649778260368182</c:v>
                </c:pt>
                <c:pt idx="102">
                  <c:v>-0.42723352578534324</c:v>
                </c:pt>
                <c:pt idx="103">
                  <c:v>-0.48927804024709121</c:v>
                </c:pt>
                <c:pt idx="104">
                  <c:v>-0.48968465656666799</c:v>
                </c:pt>
                <c:pt idx="105">
                  <c:v>-0.49004609329518084</c:v>
                </c:pt>
                <c:pt idx="106">
                  <c:v>-0.49018163206837301</c:v>
                </c:pt>
                <c:pt idx="107">
                  <c:v>-0.36443952178614536</c:v>
                </c:pt>
                <c:pt idx="108">
                  <c:v>-0.36497120492147217</c:v>
                </c:pt>
                <c:pt idx="109">
                  <c:v>-0.36492287009098789</c:v>
                </c:pt>
                <c:pt idx="110">
                  <c:v>-0.36468119593856657</c:v>
                </c:pt>
                <c:pt idx="111">
                  <c:v>1.7448161515219516</c:v>
                </c:pt>
                <c:pt idx="112">
                  <c:v>0.91892565425869488</c:v>
                </c:pt>
                <c:pt idx="113">
                  <c:v>2.111878594750066</c:v>
                </c:pt>
                <c:pt idx="114">
                  <c:v>-0.36881409120986947</c:v>
                </c:pt>
                <c:pt idx="115">
                  <c:v>-0.37152093990985696</c:v>
                </c:pt>
                <c:pt idx="116">
                  <c:v>-0.37152093990985696</c:v>
                </c:pt>
                <c:pt idx="117">
                  <c:v>-0.37084422773486014</c:v>
                </c:pt>
                <c:pt idx="118">
                  <c:v>-0.37018564556367894</c:v>
                </c:pt>
                <c:pt idx="119">
                  <c:v>-0.37052218865079573</c:v>
                </c:pt>
                <c:pt idx="120">
                  <c:v>-0.37186836099926324</c:v>
                </c:pt>
                <c:pt idx="121">
                  <c:v>-0.37052218865079573</c:v>
                </c:pt>
                <c:pt idx="122">
                  <c:v>-0.33789082769726952</c:v>
                </c:pt>
                <c:pt idx="123">
                  <c:v>-0.33834126163226502</c:v>
                </c:pt>
                <c:pt idx="124">
                  <c:v>-0.34239516704722484</c:v>
                </c:pt>
                <c:pt idx="125">
                  <c:v>-0.34104386524223823</c:v>
                </c:pt>
                <c:pt idx="126">
                  <c:v>-0.24634193091160661</c:v>
                </c:pt>
                <c:pt idx="127">
                  <c:v>-0.24371231499553953</c:v>
                </c:pt>
                <c:pt idx="128">
                  <c:v>-0.24469842096406469</c:v>
                </c:pt>
                <c:pt idx="129">
                  <c:v>-0.24305491101652277</c:v>
                </c:pt>
                <c:pt idx="130">
                  <c:v>1.0474876372649848</c:v>
                </c:pt>
                <c:pt idx="131">
                  <c:v>2.8606897638534599</c:v>
                </c:pt>
                <c:pt idx="132">
                  <c:v>1.82457426294576</c:v>
                </c:pt>
                <c:pt idx="133">
                  <c:v>-0.29616212765061223</c:v>
                </c:pt>
                <c:pt idx="134">
                  <c:v>-0.29616212765061223</c:v>
                </c:pt>
                <c:pt idx="135">
                  <c:v>-0.29616212765061223</c:v>
                </c:pt>
                <c:pt idx="136">
                  <c:v>-0.29501742798487546</c:v>
                </c:pt>
                <c:pt idx="137">
                  <c:v>-0.20225160814360552</c:v>
                </c:pt>
                <c:pt idx="138">
                  <c:v>-0.20117073409848918</c:v>
                </c:pt>
                <c:pt idx="139">
                  <c:v>-0.20225160814360552</c:v>
                </c:pt>
                <c:pt idx="140">
                  <c:v>-0.20225160814360552</c:v>
                </c:pt>
                <c:pt idx="141">
                  <c:v>-0.17066702506264625</c:v>
                </c:pt>
                <c:pt idx="142">
                  <c:v>-0.17094810164126995</c:v>
                </c:pt>
                <c:pt idx="143">
                  <c:v>-0.17094810164126995</c:v>
                </c:pt>
                <c:pt idx="144">
                  <c:v>-0.17094810164126995</c:v>
                </c:pt>
                <c:pt idx="145">
                  <c:v>-0.17094810164126995</c:v>
                </c:pt>
                <c:pt idx="146">
                  <c:v>-0.17094810164126995</c:v>
                </c:pt>
                <c:pt idx="147">
                  <c:v>-0.17094810164126995</c:v>
                </c:pt>
                <c:pt idx="148">
                  <c:v>-0.17085348866726824</c:v>
                </c:pt>
                <c:pt idx="149">
                  <c:v>-0.17094810164126995</c:v>
                </c:pt>
                <c:pt idx="150">
                  <c:v>1.8541427710849715E-2</c:v>
                </c:pt>
                <c:pt idx="151">
                  <c:v>-0.17094810164126995</c:v>
                </c:pt>
              </c:numCache>
            </c:numRef>
          </c:val>
        </c:ser>
        <c:dLbls>
          <c:showLegendKey val="0"/>
          <c:showVal val="0"/>
          <c:showCatName val="0"/>
          <c:showSerName val="0"/>
          <c:showPercent val="0"/>
          <c:showBubbleSize val="0"/>
        </c:dLbls>
        <c:gapWidth val="60"/>
        <c:overlap val="-30"/>
        <c:axId val="752160128"/>
        <c:axId val="752178688"/>
      </c:barChart>
      <c:catAx>
        <c:axId val="752160128"/>
        <c:scaling>
          <c:orientation val="minMax"/>
        </c:scaling>
        <c:delete val="0"/>
        <c:axPos val="l"/>
        <c:title>
          <c:tx>
            <c:rich>
              <a:bodyPr rot="-540000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Beobachtungen</a:t>
                </a:r>
              </a:p>
            </c:rich>
          </c:tx>
          <c:overlay val="0"/>
          <c:spPr>
            <a:noFill/>
            <a:ln>
              <a:noFill/>
            </a:ln>
            <a:effectLst/>
          </c:spPr>
        </c:title>
        <c:numFmt formatCode="General" sourceLinked="0"/>
        <c:majorTickMark val="none"/>
        <c:minorTickMark val="none"/>
        <c:tickLblPos val="nextTo"/>
        <c:spPr>
          <a:noFill/>
          <a:ln w="9525" cap="flat" cmpd="sng" algn="ctr">
            <a:solidFill>
              <a:srgbClr val="000000"/>
            </a:solidFill>
            <a:prstDash val="solid"/>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52178688"/>
        <c:crosses val="autoZero"/>
        <c:auto val="1"/>
        <c:lblAlgn val="ctr"/>
        <c:lblOffset val="100"/>
        <c:noMultiLvlLbl val="0"/>
      </c:catAx>
      <c:valAx>
        <c:axId val="752178688"/>
        <c:scaling>
          <c:orientation val="minMax"/>
          <c:max val="6"/>
          <c:min val="-6"/>
        </c:scaling>
        <c:delete val="0"/>
        <c:axPos val="b"/>
        <c:title>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Arial"/>
                    <a:ea typeface="Arial"/>
                    <a:cs typeface="Arial"/>
                  </a:defRPr>
                </a:pPr>
                <a:r>
                  <a:rPr lang="de-DE"/>
                  <a:t>Standardisierte Residuen</a:t>
                </a:r>
              </a:p>
            </c:rich>
          </c:tx>
          <c:overlay val="0"/>
          <c:spPr>
            <a:noFill/>
            <a:ln>
              <a:noFill/>
            </a:ln>
            <a:effectLst/>
          </c:spPr>
        </c:title>
        <c:numFmt formatCode="General" sourceLinked="0"/>
        <c:majorTickMark val="cross"/>
        <c:minorTickMark val="none"/>
        <c:tickLblPos val="nextTo"/>
        <c:spPr>
          <a:noFill/>
          <a:ln>
            <a:solidFill>
              <a:srgbClr val="000000"/>
            </a:solidFill>
            <a:prstDash val="soli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e-DE"/>
          </a:p>
        </c:txPr>
        <c:crossAx val="752160128"/>
        <c:crosses val="autoZero"/>
        <c:crossBetween val="between"/>
      </c:valAx>
      <c:spPr>
        <a:noFill/>
        <a:ln>
          <a:solidFill>
            <a:srgbClr val="C0C0C0"/>
          </a:solidFill>
          <a:prstDash val="solid"/>
        </a:ln>
        <a:effectLst/>
      </c:spPr>
    </c:plotArea>
    <c:plotVisOnly val="1"/>
    <c:dispBlanksAs val="gap"/>
    <c:showDLblsOverMax val="0"/>
  </c:chart>
  <c:spPr>
    <a:solidFill>
      <a:schemeClr val="bg1"/>
    </a:solidFill>
    <a:ln w="9525" cap="flat" cmpd="sng" algn="ctr">
      <a:solidFill>
        <a:srgbClr val="000000"/>
      </a:solidFill>
      <a:prstDash val="solid"/>
      <a:round/>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sel="0" val="0">
  <itemLst>
    <item val="Deskriptive Statistiken"/>
    <item val="Korrelationsmatrix"/>
    <item val="Multikollinearitätsstattistiken"/>
    <item val="Regression der Variable M&amp;A Intensity"/>
    <item val="Anpassungskoeffizienten (M&amp;A Intensity)"/>
    <item val="Varianzanalyse  (M&amp;A Intensity)"/>
    <item val="Type I Sum of Squares Analyse (M&amp;A Intensity)"/>
    <item val="Type III Sum of Squares Analyse (M&amp;A Intensity)"/>
    <item val="Modellparameter (M&amp;A Intensity)"/>
    <item val="Modellgleichung (M&amp;A Intensity)"/>
    <item val="Standardisierte Koeffizienten (M&amp;A Intensity)"/>
    <item val="Vorhersagen und Residuen (M&amp;A Intensity)"/>
  </itemLst>
</formControlPr>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image" Target="../media/image3.png"/><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12700</xdr:colOff>
      <xdr:row>6</xdr:row>
      <xdr:rowOff>0</xdr:rowOff>
    </xdr:from>
    <xdr:to>
      <xdr:col>2</xdr:col>
      <xdr:colOff>38100</xdr:colOff>
      <xdr:row>6</xdr:row>
      <xdr:rowOff>25400</xdr:rowOff>
    </xdr:to>
    <xdr:sp macro="" textlink="">
      <xdr:nvSpPr>
        <xdr:cNvPr id="2" name="TX28844" hidden="1"/>
        <xdr:cNvSpPr txBox="1"/>
      </xdr:nvSpPr>
      <xdr:spPr>
        <a:xfrm>
          <a:off x="1282700" y="1219200"/>
          <a:ext cx="25400" cy="2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DE" sz="1100"/>
            <a:t>RunProcREG
Form53.txt
CheckBoxTrans,CheckBox,False,False,00,False,Trans,False,
OptionButton_R,OptionButton,False,True,000000000005_Allgemein,True,Bereich,False,
OptionButton_S,OptionButton,True,True,000000000205_Allgemein,True,Tabellenblatt,False,
OptionButton_W,OptionButton,False,True,000000000305_Allgemein,True,Arbeitsmappe,False,
RefEdit_R,RefEdit,,True,000000000105_Allgemein,True,Bereich:,False,
RefEdit_Wr,RefEdit,,True,000000000012_Allgemein,True,Regression Gewichte:,False,
RefEdit_Y,RefEdit,'Tabelle25'!$D:$D,True,000000000001_Allgemein,True,Y / Abhängige Variablen:,False,
CheckBox_Wr,CheckBox,False,True,000000000011_Allgemein,True,Regression Gewichte,False,
CheckBox_ObsLabels,CheckBox,False,True,000000000007_Allgemein,True,Beschriftungen der Beobachtungen,False,
RefEdit_ObsLabels,RefEdit,,True,000000000008_Allgemein,True,Beschriftungen der Beobachtungen:,False,
CheckBoxVarLabels,CheckBox,True,True,000000000006_Allgemein,True,Variablenbeschriftungen,False,
CheckBox_X,CheckBox,True,True,000000000004_Allgemein,True,Quantitative,False,
RefEdit_X,RefEdit0,'Tabelle25'!$I:$N,True,000000000204_Allgemein,True,X / Erklärende Variablen:,False,
CheckBox_Q,CheckBox,False,True,000000000304_Allgemein,True,Qualitative,False,
RefEdit_Q,RefEdit,,True,000000000404_Allgemein,True,Qualitative:,False,
CheckBox_W,CheckBox,False,True,000000000009_Allgemein,True,Gewichte der Beobachtungen,False,
RefEdit_W,RefEdit,,True,000000000010_Allgemein,True,Gewichte der Beobachtungen:,False,
ComboBox_TestMethod,ComboBox,0,True,200000000101_Validierung,True,Wählen Sie die Auswahlmethode des Bestätigungsdatensatzes aus,False,
TextBoxTestNumber,TextBox,1,True,200000000301_Validierung,True,,False,
RefEditGroup,RefEdit,,True,200000000501_Validierung,True,Gruppenvariable:,False,
CheckBox_Validation,CheckBox,False,True,200000000000_Validierung,True,Validierung,False,
CheckBoxSort,CheckBox,False,True,510000000201_Ausgabe|Mittelwerte,True,Aufsteigend sortieren,False,
CheckBoxApplyAll,CheckBox,False,True,510000000101_Ausgabe|Mittelwerte,True,Anwenden auf alle Faktoren,False,
CheckBoxMCompare,CheckBox,False,True,510000000001_Ausgabe|Mittelwerte,True,Vielfache Vergleiche,False,
CheckBoxSlopes,CheckBox,False,False,510000000301_Ausgabe|Mittelwerte,False,Steigungsvergleich,False,
CheckBoxPairwise,CheckBox,False,True,510000000002_Ausgabe|Mittelwerte,True,Paarweise Vergleiche,False,
CheckBoxControl,CheckBox,False,True,510000000202_Ausgabe|Mittelwerte,True,Vergleiche mit einer Kontrolle,False,
CheckBoxMeanSq,CheckBox,False,True,510000000402_Ausgabe|Mittelwerte,True,Wählen Sie die MSE,False,
CheckBoxProtected,CheckBox,False,True,510000000502_Ausgabe|Mittelwerte,True,Geschützt,False,
CheckBoxTB,CheckBox,False,True,510000000602_Ausgabe|Mittelwerte,True,Top/Bottom Schachteln,False,
OptionButtonTB2,OptionButton,True,True,510000000702_Ausgabe|Mittelwerte,True,2,False,
OptionButtonTB3,OptionButton,False,True,510000000802_Ausgabe|Mittelwerte,True,3,False,
ListBoxControl,ListBox,,True,510000000302_Ausgabe|Mittelwerte,True,Vergleiche mit einer Kontrolle:,False,
ListBoxPairwise,ListBox,,True,510000000102_Ausgabe|Mittelwerte,True,Paarweise Vergleiche:,False,
CheckBoxMeanConfTab,CheckBox,True,True,510000000300_Ausgabe|Mittelwerte,True,Konfidenzintervall,False,
CheckBoxMeans,CheckBox,True,True,510000000000_Ausgabe|Mittelwerte,True,Mittelwerte,False,
CheckBoxMeanStdError,CheckBox,True,True,510000000200_Ausgabe|Mittelwerte,True,Standardfehler,False,
CheckBoxLSM,CheckBox,True,True,510000000100_Ausgabe|Mittelwerte,True,Mittelwertschätzer,False,
CheckBox_Desc,CheckBox,True,True,500000000000_Ausgabe|Allgemein,True,Deskriptive Statistiken,False,
CheckBox_Corr,CheckBox,True,True,500000000100_Ausgabe|Allgemein,True,Korrelationen,False,
CheckBox_AV,CheckBox,True,True,500000000300_Ausgabe|Allgemein,True,Varianzanalyse,False,
CheckBoxPress,CheckBox,False,True,500000000500_Ausgabe|Allgemein,True,Press,False,
CheckBox_TISS,CheckBox,True,True,500000000400_Ausgabe|Allgemein,True,Type I/III SS,False,
CheckBoxMultiCo,CheckBox,True,True,500000000200_Ausgabe|Allgemein,True,Multikollinearitätsstattistiken,False,
CheckBox_Resid,CheckBox,True,True,500000000101_Ausgabe|Allgemein,True,Vorhersagen und Residuen,False,
CheckBoxStdCoeff,CheckBox,True,True,500000000001_Ausgabe|Allgemein,True,Standardisierte Koeffizienten,False,
CheckBoxCook,CheckBox,False,True,500000000501_Ausgabe|Allgemein,True,Cook's D,False,
CheckBoxAdjPred,CheckBox,False,True,500000000401_Ausgabe|Allgemein,True,Angepasste Vorhersagen,False,
CheckBoxWelch,CheckBox,False,True,500000000601_Ausgabe|Allgemein,True,Welch-Statistik,False,
CheckBoxDispX,CheckBox,False,True,500000000201_Ausgabe|Allgemein,True,X,False,
CheckBoxContrasts,CheckBox,False,True,520000000000_Ausgabe|Kontraste,True,Kontraste berechnen,False,
RefEditContrasts,RefEdit,,True,520000000200_Ausgabe|Kontraste,True,Definition:,False,
CheckBox_Predict,CheckBox,False,True,300000000000_Vorhersage,True,Vorhersage,False,
RefEdit_QPred,RefEdit,,True,300000000004_Vorhersage,True,Qualitative:,False,
RefEdit_XPred,RefEdit,,True,300000000002_Vorhersage,True,Quantitative:,False,
CheckBox_XPred,CheckBox,True,True,300000000001_Vorhersage,True,Quantitative,False,
CheckBox_QPred,CheckBox,False,True,300000000003_Vorhersage,True,Qualitative,False,
CheckBox_ObsLabelsPred,CheckBox,False,True,300000000005_Vorhersage,True,Beschriftungen der Beobachtungen,False,
RefEdit_PredLabels,RefEdit,,True,300000000006_Vorhersage,True,,False,
OptionButton_MVEstimate,OptionButton,False,True,400000000000_Fehl. Daten,True,Schätzen der fehlenden Daten,False,
OptionButton_MeanMode,OptionButton,True,True,400000000100_Fehl. Daten,True,Mittelwert oder Modus,False,
OptionButton_NN,OptionButton,False,True,400000010100_Fehl. Daten,True,Nächster Nachbar,False,
OptionButton_MVRemove,OptionButton,False,True,400000000200_Fehl. Daten,True,Entfernen der Beobachtungen,False,
OptionButtonEachY,OptionButton,False,True,400000000300_Fehl. Daten,True,Überprüfe für jedes Y getrennt,False,
OptionButtonAcrossAll,OptionButton,True,True,400000010300_Fehl. Daten,True,Über alle Y hinweg,False,
OptionButtonMVRefuse,OptionButton,False,True,400000000400_Fehl. Daten,True,Keine fehlenden Werte zulassen,False,
OptionButton_MVIgnore,OptionButton,True,True,400000000500_Fehl. Daten,True,Ignoriere fehlende Daten,False,
CheckBoxResidCharts,CheckBox,True,True,600000000200_Diagramme,True,Vorhersagen und Residuen,False,
CheckBoxRegCharts,CheckBox,True,True,600000000000_Diagramme,True,Regressionsgrafik,False,
CheckBoxChartsCoeff,CheckBox,True,True,600000000100_Diagramme,True,Standardisierte Koeffizienten,False,
CheckBox_Conf,CheckBox,True,True,600000000300_Diagramme,True,Konfidenzintervalle,False,
CheckBoxMeansCharts,CheckBox,True,True,600000000001_Diagramme,True,Grafiken der Mittelwerte,False,
CheckBoxMeanConf,CheckBox,False,True,600000000101_Diagramme,True,Konfidenzintervalle,False,
CheckBoxStuResid,CheckBox,False,True,500000000701_Ausgabe|Allgemein,True,Studentisierte Residuen,False,
CheckBoxPredConf,CheckBox,True,True,500000000301_Ausgabe|Allgemein,True,Konfidenzintervalle,False,
ScrollBarSelect,ScrollBar,0,False,10,False,,,
CheckBoxInterpret,CheckBox,False,True,500000000600_Ausgabe|Allgemein,True,Deutung,False,
TextBoxList,TextBox,,False,11,False,,False,
CheckBoxSumCharts,CheckBox,True,True,600000000201_Diagramme,True,Zusammenfassungdiagramm,False,
CheckBoxFilterY,CheckBox,False,True,600000000301_Diagramme,True,Filtern von Y,False,
CheckBoxLevene,CheckBox,False,True,530000000000_Ausgabe|Test assumptions,True,Compute contrasts,False,
CheckBox_Intercept,CheckBox,False,True,100000000000_Optionen|Modell,True,fixer Achsenabschnitt,False,
TextBox_Intercept,TextBox,0,True,100000010000_Optionen|Modell,True,fixer Achsenabschnitt:,False,
TextBoxTol,TextBox,0.0001,True,100000020000_Optionen|Modell,True,Toleranz:,False,
TextBox_Conf,TextBox,95,True,100000010100_Optionen|Modell,True,Konfidenzintervall (%):,False,
CheckBox_Interactions,CheckBox,False,True,100000000200_Optionen|Modell,True,Interaktionen / Niveau,False,
TextBoxLevel,TextBox,2,True,100000010200_Optionen|Modell,True,,False,
ScrollBarLevel,ScrollBar,4,True,100000020200_Optionen|Modell,False,,,
ComboBox_Selection,ComboBox,0,True,100000000101_Optionen|Modell,True,Wählen Sie eine Modellauswahlmethode,False,
CheckBox_Selection,CheckBox,False,True,100000000001_Optionen|Modell,True,Modell Auswahl,False,
ComboBox_Criterion,ComboBox,0,True,100000000301_Optionen|Modell,True,Kriterium:,False,
TextBox_Threshold,TextBox,0.1,False,100000000401_Optionen|Modell,False,Autstrittswahrscheinlichkeit:,False,
TextBox_MinVar,TextBox,2,True,100000000601_Optionen|Modell,True,Min Variablen:,False,
TextBox_MaxVar,TextBox,2,True,100000000701_Optionen|Modell,True,Max Variablen:,False,
TextBoxEntrance,TextBox,0.05,False,100000000901_Optionen|Modell,False,Eintrittswahrscheinlichkeit:,False,
ComboBox_Constraints,ComboBox,1,True,110000010001_Optionen|ANOVA / ANCOVA,True,Wählen Sie den Einschränkungstyp, der auf die qualitativen Variablen des OLS-Modells anzuwenden ist,False,
CheckBoxNested,CheckBox,False,True,110000000101_Optionen|ANOVA / ANCOVA,True,Geschachtelte Effekte,False,
CheckBoxRand,CheckBox,False,True,110000000201_Optionen|ANOVA / ANCOVA,True,Zufällige Effekte,False,
ComboBoxHACMethod,ComboBox,0,True,120000010100_Optionen|Kovarianzen,True,Methode:,False,
TextBoxLag,TextBox,1,True,120000010300_Optionen|Kovarianzen,True,Lag: ,False,
CheckBoxHetero,CheckBox,False,True,120000000000_Optionen|Kovarianzen,True,Heteroskedastizität,False,
CheckBoxAutoCorr,CheckBox,False,True,120000000200_Optionen|Kovarianzen,True,Autokorrelation,False,
CheckBoxCIMeans,CheckBox,False,True,510000000401_Ausgabe|Mittelwerte,True,Konfidenzintervalle,False,
</a:t>
          </a:r>
        </a:p>
      </xdr:txBody>
    </xdr:sp>
    <xdr:clientData/>
  </xdr:twoCellAnchor>
  <xdr:twoCellAnchor editAs="absolute">
    <xdr:from>
      <xdr:col>1</xdr:col>
      <xdr:colOff>6350</xdr:colOff>
      <xdr:row>6</xdr:row>
      <xdr:rowOff>6350</xdr:rowOff>
    </xdr:from>
    <xdr:to>
      <xdr:col>2</xdr:col>
      <xdr:colOff>136398</xdr:colOff>
      <xdr:row>7</xdr:row>
      <xdr:rowOff>0</xdr:rowOff>
    </xdr:to>
    <xdr:sp macro="" textlink="">
      <xdr:nvSpPr>
        <xdr:cNvPr id="3" name="BK28844"/>
        <xdr:cNvSpPr/>
      </xdr:nvSpPr>
      <xdr:spPr>
        <a:xfrm>
          <a:off x="450850" y="1225550"/>
          <a:ext cx="955548" cy="425450"/>
        </a:xfrm>
        <a:prstGeom prst="rect">
          <a:avLst/>
        </a:prstGeom>
        <a:solidFill>
          <a:srgbClr val="F0F2F0"/>
        </a:solidFill>
        <a:ln w="6350">
          <a:solidFill>
            <a:srgbClr val="5078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49784</xdr:colOff>
      <xdr:row>6</xdr:row>
      <xdr:rowOff>43434</xdr:rowOff>
    </xdr:from>
    <xdr:to>
      <xdr:col>1</xdr:col>
      <xdr:colOff>392684</xdr:colOff>
      <xdr:row>6</xdr:row>
      <xdr:rowOff>386334</xdr:rowOff>
    </xdr:to>
    <xdr:pic macro="[0]!ReRunXLSTAT">
      <xdr:nvPicPr>
        <xdr:cNvPr id="4" name="BT28844"/>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284" y="1262634"/>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527558</xdr:colOff>
      <xdr:row>6</xdr:row>
      <xdr:rowOff>43434</xdr:rowOff>
    </xdr:from>
    <xdr:to>
      <xdr:col>2</xdr:col>
      <xdr:colOff>44958</xdr:colOff>
      <xdr:row>6</xdr:row>
      <xdr:rowOff>386334</xdr:rowOff>
    </xdr:to>
    <xdr:pic macro="[0]!AddRemovGrid">
      <xdr:nvPicPr>
        <xdr:cNvPr id="5" name="RM28844"/>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2058" y="1262634"/>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527558</xdr:colOff>
      <xdr:row>6</xdr:row>
      <xdr:rowOff>43434</xdr:rowOff>
    </xdr:from>
    <xdr:to>
      <xdr:col>2</xdr:col>
      <xdr:colOff>44958</xdr:colOff>
      <xdr:row>6</xdr:row>
      <xdr:rowOff>386334</xdr:rowOff>
    </xdr:to>
    <xdr:pic macro="AddRemovGrid">
      <xdr:nvPicPr>
        <xdr:cNvPr id="6" name="AD28844" hidden="1"/>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2058" y="1262634"/>
          <a:ext cx="342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119</xdr:row>
      <xdr:rowOff>0</xdr:rowOff>
    </xdr:from>
    <xdr:to>
      <xdr:col>6</xdr:col>
      <xdr:colOff>0</xdr:colOff>
      <xdr:row>135</xdr:row>
      <xdr:rowOff>0</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294</xdr:row>
      <xdr:rowOff>0</xdr:rowOff>
    </xdr:from>
    <xdr:to>
      <xdr:col>6</xdr:col>
      <xdr:colOff>0</xdr:colOff>
      <xdr:row>310</xdr:row>
      <xdr:rowOff>0</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127000</xdr:colOff>
      <xdr:row>294</xdr:row>
      <xdr:rowOff>0</xdr:rowOff>
    </xdr:from>
    <xdr:to>
      <xdr:col>11</xdr:col>
      <xdr:colOff>127000</xdr:colOff>
      <xdr:row>310</xdr:row>
      <xdr:rowOff>0</xdr:rowOff>
    </xdr:to>
    <xdr:graphicFrame macro="">
      <xdr:nvGraphicFramePr>
        <xdr:cNvPr id="9" name="Diagramm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254000</xdr:colOff>
      <xdr:row>294</xdr:row>
      <xdr:rowOff>0</xdr:rowOff>
    </xdr:from>
    <xdr:to>
      <xdr:col>16</xdr:col>
      <xdr:colOff>254000</xdr:colOff>
      <xdr:row>310</xdr:row>
      <xdr:rowOff>0</xdr:rowOff>
    </xdr:to>
    <xdr:graphicFrame macro="">
      <xdr:nvGraphicFramePr>
        <xdr:cNvPr id="10" name="Diagramm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312</xdr:row>
      <xdr:rowOff>0</xdr:rowOff>
    </xdr:from>
    <xdr:to>
      <xdr:col>6</xdr:col>
      <xdr:colOff>0</xdr:colOff>
      <xdr:row>328</xdr:row>
      <xdr:rowOff>0</xdr:rowOff>
    </xdr:to>
    <xdr:graphicFrame macro="">
      <xdr:nvGraphicFramePr>
        <xdr:cNvPr id="11" name="Diagramm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4</xdr:col>
          <xdr:colOff>0</xdr:colOff>
          <xdr:row>8</xdr:row>
          <xdr:rowOff>38100</xdr:rowOff>
        </xdr:to>
        <xdr:sp macro="" textlink="">
          <xdr:nvSpPr>
            <xdr:cNvPr id="120833" name="DD189628" hidden="1">
              <a:extLst>
                <a:ext uri="{63B3BB69-23CF-44E3-9099-C40C66FF867C}">
                  <a14:compatExt spid="_x0000_s12083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1.xml.rels><?xml version="1.0" encoding="UTF-8" standalone="yes"?>
<Relationships xmlns="http://schemas.openxmlformats.org/package/2006/relationships"><Relationship Id="rId3" Type="http://schemas.openxmlformats.org/officeDocument/2006/relationships/hyperlink" Target="http://ingresso.com/" TargetMode="External"/><Relationship Id="rId2" Type="http://schemas.openxmlformats.org/officeDocument/2006/relationships/hyperlink" Target="http://decolar.com/" TargetMode="External"/><Relationship Id="rId1" Type="http://schemas.openxmlformats.org/officeDocument/2006/relationships/hyperlink" Target="http://ns2.com/" TargetMode="External"/></Relationships>
</file>

<file path=xl/worksheets/_rels/sheet7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30.1437172995779+0.167053795618833*B1-78.837779537689*(0.00625+(B1-35.4678125)^2/90617.540334375)^0.5</f>
        <v>16.420135105718508</v>
      </c>
    </row>
    <row r="2" spans="1:3">
      <c r="A2" s="2">
        <v>2</v>
      </c>
      <c r="B2">
        <f t="shared" si="0"/>
        <v>-5.045826087</v>
      </c>
      <c r="C2">
        <f t="shared" si="1"/>
        <v>16.995280345424639</v>
      </c>
    </row>
    <row r="3" spans="1:3">
      <c r="A3" s="2">
        <v>3</v>
      </c>
      <c r="B3">
        <f t="shared" si="0"/>
        <v>-3.5856521740000002</v>
      </c>
      <c r="C3">
        <f t="shared" si="1"/>
        <v>17.567374879714528</v>
      </c>
    </row>
    <row r="4" spans="1:3">
      <c r="A4" s="2">
        <v>4</v>
      </c>
      <c r="B4">
        <f t="shared" si="0"/>
        <v>-2.1254782610000005</v>
      </c>
      <c r="C4">
        <f t="shared" si="1"/>
        <v>18.136160956301758</v>
      </c>
    </row>
    <row r="5" spans="1:3">
      <c r="A5" s="2">
        <v>5</v>
      </c>
      <c r="B5">
        <f t="shared" si="0"/>
        <v>-0.66530434800000027</v>
      </c>
      <c r="C5">
        <f t="shared" si="1"/>
        <v>18.701354017861057</v>
      </c>
    </row>
    <row r="6" spans="1:3">
      <c r="A6" s="2">
        <v>6</v>
      </c>
      <c r="B6">
        <f t="shared" si="0"/>
        <v>0.79486956499999994</v>
      </c>
      <c r="C6">
        <f t="shared" si="1"/>
        <v>19.262639643903896</v>
      </c>
    </row>
    <row r="7" spans="1:3">
      <c r="A7" s="2">
        <v>7</v>
      </c>
      <c r="B7">
        <f t="shared" si="0"/>
        <v>2.2550434779999993</v>
      </c>
      <c r="C7">
        <f t="shared" si="1"/>
        <v>19.819670174233842</v>
      </c>
    </row>
    <row r="8" spans="1:3">
      <c r="A8" s="2">
        <v>8</v>
      </c>
      <c r="B8">
        <f t="shared" si="0"/>
        <v>3.7152173909999995</v>
      </c>
      <c r="C8">
        <f t="shared" si="1"/>
        <v>20.37206100449793</v>
      </c>
    </row>
    <row r="9" spans="1:3">
      <c r="A9" s="2">
        <v>9</v>
      </c>
      <c r="B9">
        <f t="shared" si="0"/>
        <v>5.1753913039999997</v>
      </c>
      <c r="C9">
        <f t="shared" si="1"/>
        <v>20.919386555945628</v>
      </c>
    </row>
    <row r="10" spans="1:3">
      <c r="A10" s="2">
        <v>10</v>
      </c>
      <c r="B10">
        <f t="shared" si="0"/>
        <v>6.6355652169999999</v>
      </c>
      <c r="C10">
        <f t="shared" si="1"/>
        <v>21.461175939102716</v>
      </c>
    </row>
    <row r="11" spans="1:3">
      <c r="A11" s="2">
        <v>11</v>
      </c>
      <c r="B11">
        <f t="shared" si="0"/>
        <v>8.0957391300000001</v>
      </c>
      <c r="C11">
        <f t="shared" si="1"/>
        <v>21.996908356696402</v>
      </c>
    </row>
    <row r="12" spans="1:3">
      <c r="A12" s="2">
        <v>12</v>
      </c>
      <c r="B12">
        <f t="shared" si="0"/>
        <v>9.5559130430000003</v>
      </c>
      <c r="C12">
        <f t="shared" si="1"/>
        <v>22.526008327279051</v>
      </c>
    </row>
    <row r="13" spans="1:3">
      <c r="A13" s="2">
        <v>13</v>
      </c>
      <c r="B13">
        <f t="shared" si="0"/>
        <v>11.016086955999999</v>
      </c>
      <c r="C13">
        <f t="shared" si="1"/>
        <v>23.047840860380944</v>
      </c>
    </row>
    <row r="14" spans="1:3">
      <c r="A14" s="2">
        <v>14</v>
      </c>
      <c r="B14">
        <f t="shared" si="0"/>
        <v>12.476260869000001</v>
      </c>
      <c r="C14">
        <f t="shared" si="1"/>
        <v>23.561706779585329</v>
      </c>
    </row>
    <row r="15" spans="1:3">
      <c r="A15" s="2">
        <v>15</v>
      </c>
      <c r="B15">
        <f t="shared" si="0"/>
        <v>13.936434781999999</v>
      </c>
      <c r="C15">
        <f t="shared" si="1"/>
        <v>24.066838474214563</v>
      </c>
    </row>
    <row r="16" spans="1:3">
      <c r="A16" s="2">
        <v>16</v>
      </c>
      <c r="B16">
        <f t="shared" si="0"/>
        <v>15.396608695000001</v>
      </c>
      <c r="C16">
        <f t="shared" si="1"/>
        <v>24.562396464707817</v>
      </c>
    </row>
    <row r="17" spans="1:3">
      <c r="A17" s="2">
        <v>17</v>
      </c>
      <c r="B17">
        <f t="shared" si="0"/>
        <v>16.856782608</v>
      </c>
      <c r="C17">
        <f t="shared" si="1"/>
        <v>25.047467290081975</v>
      </c>
    </row>
    <row r="18" spans="1:3">
      <c r="A18" s="2">
        <v>18</v>
      </c>
      <c r="B18">
        <f t="shared" si="0"/>
        <v>18.316956520999998</v>
      </c>
      <c r="C18">
        <f t="shared" si="1"/>
        <v>25.521063362424336</v>
      </c>
    </row>
    <row r="19" spans="1:3">
      <c r="A19" s="2">
        <v>19</v>
      </c>
      <c r="B19">
        <f t="shared" si="0"/>
        <v>19.777130434</v>
      </c>
      <c r="C19">
        <f t="shared" si="1"/>
        <v>25.982125570440157</v>
      </c>
    </row>
    <row r="20" spans="1:3">
      <c r="A20" s="2">
        <v>20</v>
      </c>
      <c r="B20">
        <f t="shared" si="0"/>
        <v>21.237304346999998</v>
      </c>
      <c r="C20">
        <f t="shared" si="1"/>
        <v>26.429529529059344</v>
      </c>
    </row>
    <row r="21" spans="1:3">
      <c r="A21" s="2">
        <v>21</v>
      </c>
      <c r="B21">
        <f t="shared" si="0"/>
        <v>22.69747826</v>
      </c>
      <c r="C21">
        <f t="shared" si="1"/>
        <v>26.862096430214507</v>
      </c>
    </row>
    <row r="22" spans="1:3">
      <c r="A22" s="2">
        <v>22</v>
      </c>
      <c r="B22">
        <f t="shared" si="0"/>
        <v>24.157652172999999</v>
      </c>
      <c r="C22">
        <f t="shared" si="1"/>
        <v>27.278609404018582</v>
      </c>
    </row>
    <row r="23" spans="1:3">
      <c r="A23" s="2">
        <v>23</v>
      </c>
      <c r="B23">
        <f t="shared" si="0"/>
        <v>25.617826086000001</v>
      </c>
      <c r="C23">
        <f t="shared" si="1"/>
        <v>27.67783609448713</v>
      </c>
    </row>
    <row r="24" spans="1:3">
      <c r="A24" s="2">
        <v>24</v>
      </c>
      <c r="B24">
        <f t="shared" si="0"/>
        <v>27.077999998999999</v>
      </c>
      <c r="C24">
        <f t="shared" si="1"/>
        <v>28.058557737624664</v>
      </c>
    </row>
    <row r="25" spans="1:3">
      <c r="A25" s="2">
        <v>25</v>
      </c>
      <c r="B25">
        <f t="shared" si="0"/>
        <v>28.538173911999998</v>
      </c>
      <c r="C25">
        <f t="shared" si="1"/>
        <v>28.419604372975225</v>
      </c>
    </row>
    <row r="26" spans="1:3">
      <c r="A26" s="2">
        <v>26</v>
      </c>
      <c r="B26">
        <f t="shared" si="0"/>
        <v>29.998347824999996</v>
      </c>
      <c r="C26">
        <f t="shared" si="1"/>
        <v>28.759894942640639</v>
      </c>
    </row>
    <row r="27" spans="1:3">
      <c r="A27" s="2">
        <v>27</v>
      </c>
      <c r="B27">
        <f t="shared" si="0"/>
        <v>31.458521738000002</v>
      </c>
      <c r="C27">
        <f t="shared" si="1"/>
        <v>29.078480028563117</v>
      </c>
    </row>
    <row r="28" spans="1:3">
      <c r="A28" s="2">
        <v>28</v>
      </c>
      <c r="B28">
        <f t="shared" si="0"/>
        <v>32.918695651</v>
      </c>
      <c r="C28">
        <f t="shared" si="1"/>
        <v>29.37458402790547</v>
      </c>
    </row>
    <row r="29" spans="1:3">
      <c r="A29" s="2">
        <v>29</v>
      </c>
      <c r="B29">
        <f t="shared" si="0"/>
        <v>34.378869563999999</v>
      </c>
      <c r="C29">
        <f t="shared" si="1"/>
        <v>29.647642908629635</v>
      </c>
    </row>
    <row r="30" spans="1:3">
      <c r="A30" s="2">
        <v>30</v>
      </c>
      <c r="B30">
        <f t="shared" si="0"/>
        <v>35.839043476999997</v>
      </c>
      <c r="C30">
        <f t="shared" si="1"/>
        <v>29.897333565574574</v>
      </c>
    </row>
    <row r="31" spans="1:3">
      <c r="A31" s="2">
        <v>31</v>
      </c>
      <c r="B31">
        <f t="shared" si="0"/>
        <v>37.299217390000003</v>
      </c>
      <c r="C31">
        <f t="shared" si="1"/>
        <v>30.123591366983085</v>
      </c>
    </row>
    <row r="32" spans="1:3">
      <c r="A32" s="2">
        <v>32</v>
      </c>
      <c r="B32">
        <f t="shared" si="0"/>
        <v>38.759391303000001</v>
      </c>
      <c r="C32">
        <f t="shared" si="1"/>
        <v>30.326613728661325</v>
      </c>
    </row>
    <row r="33" spans="1:3">
      <c r="A33" s="2">
        <v>33</v>
      </c>
      <c r="B33">
        <f t="shared" ref="B33:B64" si="2">-6.506+(A33-1)*1.460173913</f>
        <v>40.219565215999999</v>
      </c>
      <c r="C33">
        <f t="shared" ref="C33:C64" si="3">30.1437172995779+0.167053795618833*B33-78.837779537689*(0.00625+(B33-35.4678125)^2/90617.540334375)^0.5</f>
        <v>30.50684926413798</v>
      </c>
    </row>
    <row r="34" spans="1:3">
      <c r="A34" s="2">
        <v>34</v>
      </c>
      <c r="B34">
        <f t="shared" si="2"/>
        <v>41.679739128999998</v>
      </c>
      <c r="C34">
        <f t="shared" si="3"/>
        <v>30.66497387030487</v>
      </c>
    </row>
    <row r="35" spans="1:3">
      <c r="A35" s="2">
        <v>35</v>
      </c>
      <c r="B35">
        <f t="shared" si="2"/>
        <v>43.139913041999996</v>
      </c>
      <c r="C35">
        <f t="shared" si="3"/>
        <v>30.801856621457532</v>
      </c>
    </row>
    <row r="36" spans="1:3">
      <c r="A36" s="2">
        <v>36</v>
      </c>
      <c r="B36">
        <f t="shared" si="2"/>
        <v>44.600086955000002</v>
      </c>
      <c r="C36">
        <f t="shared" si="3"/>
        <v>30.918519261661995</v>
      </c>
    </row>
    <row r="37" spans="1:3">
      <c r="A37" s="2">
        <v>37</v>
      </c>
      <c r="B37">
        <f t="shared" si="2"/>
        <v>46.060260868</v>
      </c>
      <c r="C37">
        <f t="shared" si="3"/>
        <v>31.016093292995443</v>
      </c>
    </row>
    <row r="38" spans="1:3">
      <c r="A38" s="2">
        <v>38</v>
      </c>
      <c r="B38">
        <f t="shared" si="2"/>
        <v>47.520434780999999</v>
      </c>
      <c r="C38">
        <f t="shared" si="3"/>
        <v>31.095778235764726</v>
      </c>
    </row>
    <row r="39" spans="1:3">
      <c r="A39" s="2">
        <v>39</v>
      </c>
      <c r="B39">
        <f t="shared" si="2"/>
        <v>48.980608693999997</v>
      </c>
      <c r="C39">
        <f t="shared" si="3"/>
        <v>31.158803797882044</v>
      </c>
    </row>
    <row r="40" spans="1:3">
      <c r="A40" s="2">
        <v>40</v>
      </c>
      <c r="B40">
        <f t="shared" si="2"/>
        <v>50.440782607000003</v>
      </c>
      <c r="C40">
        <f t="shared" si="3"/>
        <v>31.206397685909831</v>
      </c>
    </row>
    <row r="41" spans="1:3">
      <c r="A41" s="2">
        <v>41</v>
      </c>
      <c r="B41">
        <f t="shared" si="2"/>
        <v>51.900956520000001</v>
      </c>
      <c r="C41">
        <f t="shared" si="3"/>
        <v>31.239759834137057</v>
      </c>
    </row>
    <row r="42" spans="1:3">
      <c r="A42" s="2">
        <v>42</v>
      </c>
      <c r="B42">
        <f t="shared" si="2"/>
        <v>53.361130433</v>
      </c>
      <c r="C42">
        <f t="shared" si="3"/>
        <v>31.260043056385506</v>
      </c>
    </row>
    <row r="43" spans="1:3">
      <c r="A43" s="2">
        <v>43</v>
      </c>
      <c r="B43">
        <f t="shared" si="2"/>
        <v>54.821304345999998</v>
      </c>
      <c r="C43">
        <f t="shared" si="3"/>
        <v>31.268339592003976</v>
      </c>
    </row>
    <row r="44" spans="1:3">
      <c r="A44" s="2">
        <v>44</v>
      </c>
      <c r="B44">
        <f t="shared" si="2"/>
        <v>56.281478258999996</v>
      </c>
      <c r="C44">
        <f t="shared" si="3"/>
        <v>31.265672714235109</v>
      </c>
    </row>
    <row r="45" spans="1:3">
      <c r="A45" s="2">
        <v>45</v>
      </c>
      <c r="B45">
        <f t="shared" si="2"/>
        <v>57.741652172000002</v>
      </c>
      <c r="C45">
        <f t="shared" si="3"/>
        <v>31.252992452068838</v>
      </c>
    </row>
    <row r="46" spans="1:3">
      <c r="A46" s="2">
        <v>46</v>
      </c>
      <c r="B46">
        <f t="shared" si="2"/>
        <v>59.201826084999993</v>
      </c>
      <c r="C46">
        <f t="shared" si="3"/>
        <v>31.231174490249586</v>
      </c>
    </row>
    <row r="47" spans="1:3">
      <c r="A47" s="2">
        <v>47</v>
      </c>
      <c r="B47">
        <f t="shared" si="2"/>
        <v>60.661999997999999</v>
      </c>
      <c r="C47">
        <f t="shared" si="3"/>
        <v>31.201021404278688</v>
      </c>
    </row>
    <row r="48" spans="1:3">
      <c r="A48" s="2">
        <v>48</v>
      </c>
      <c r="B48">
        <f t="shared" si="2"/>
        <v>62.122173911000004</v>
      </c>
      <c r="C48">
        <f t="shared" si="3"/>
        <v>31.163265517011496</v>
      </c>
    </row>
    <row r="49" spans="1:3">
      <c r="A49" s="2">
        <v>49</v>
      </c>
      <c r="B49">
        <f t="shared" si="2"/>
        <v>63.582347823999996</v>
      </c>
      <c r="C49">
        <f t="shared" si="3"/>
        <v>31.118572802399321</v>
      </c>
    </row>
    <row r="50" spans="1:3">
      <c r="A50" s="2">
        <v>50</v>
      </c>
      <c r="B50">
        <f t="shared" si="2"/>
        <v>65.042521737000001</v>
      </c>
      <c r="C50">
        <f t="shared" si="3"/>
        <v>31.067547392829496</v>
      </c>
    </row>
    <row r="51" spans="1:3">
      <c r="A51" s="2">
        <v>51</v>
      </c>
      <c r="B51">
        <f t="shared" si="2"/>
        <v>66.502695649999993</v>
      </c>
      <c r="C51">
        <f t="shared" si="3"/>
        <v>31.010736360581095</v>
      </c>
    </row>
    <row r="52" spans="1:3">
      <c r="A52" s="2">
        <v>52</v>
      </c>
      <c r="B52">
        <f t="shared" si="2"/>
        <v>67.962869562999998</v>
      </c>
      <c r="C52">
        <f t="shared" si="3"/>
        <v>30.948634538036181</v>
      </c>
    </row>
    <row r="53" spans="1:3">
      <c r="A53" s="2">
        <v>53</v>
      </c>
      <c r="B53">
        <f t="shared" si="2"/>
        <v>69.423043476000004</v>
      </c>
      <c r="C53">
        <f t="shared" si="3"/>
        <v>30.88168921578675</v>
      </c>
    </row>
    <row r="54" spans="1:3">
      <c r="A54" s="2">
        <v>54</v>
      </c>
      <c r="B54">
        <f t="shared" si="2"/>
        <v>70.883217388999995</v>
      </c>
      <c r="C54">
        <f t="shared" si="3"/>
        <v>30.810304614757477</v>
      </c>
    </row>
    <row r="55" spans="1:3">
      <c r="A55" s="2">
        <v>55</v>
      </c>
      <c r="B55">
        <f t="shared" si="2"/>
        <v>72.343391302000001</v>
      </c>
      <c r="C55">
        <f t="shared" si="3"/>
        <v>30.734846070735408</v>
      </c>
    </row>
    <row r="56" spans="1:3">
      <c r="A56" s="2">
        <v>56</v>
      </c>
      <c r="B56">
        <f t="shared" si="2"/>
        <v>73.803565215000006</v>
      </c>
      <c r="C56">
        <f t="shared" si="3"/>
        <v>30.655643900148529</v>
      </c>
    </row>
    <row r="57" spans="1:3">
      <c r="A57" s="2">
        <v>57</v>
      </c>
      <c r="B57">
        <f t="shared" si="2"/>
        <v>75.263739127999997</v>
      </c>
      <c r="C57">
        <f t="shared" si="3"/>
        <v>30.572996937199051</v>
      </c>
    </row>
    <row r="58" spans="1:3">
      <c r="A58" s="2">
        <v>58</v>
      </c>
      <c r="B58">
        <f t="shared" si="2"/>
        <v>76.723913041000003</v>
      </c>
      <c r="C58">
        <f t="shared" si="3"/>
        <v>30.487175746774618</v>
      </c>
    </row>
    <row r="59" spans="1:3">
      <c r="A59" s="2">
        <v>59</v>
      </c>
      <c r="B59">
        <f t="shared" si="2"/>
        <v>78.184086953999994</v>
      </c>
      <c r="C59">
        <f t="shared" si="3"/>
        <v>30.398425526750223</v>
      </c>
    </row>
    <row r="60" spans="1:3">
      <c r="A60" s="2">
        <v>60</v>
      </c>
      <c r="B60">
        <f t="shared" si="2"/>
        <v>79.644260867</v>
      </c>
      <c r="C60">
        <f t="shared" si="3"/>
        <v>30.306968718782301</v>
      </c>
    </row>
    <row r="61" spans="1:3">
      <c r="A61" s="2">
        <v>61</v>
      </c>
      <c r="B61">
        <f t="shared" si="2"/>
        <v>81.104434780000005</v>
      </c>
      <c r="C61">
        <f t="shared" si="3"/>
        <v>30.213007349576639</v>
      </c>
    </row>
    <row r="62" spans="1:3">
      <c r="A62" s="2">
        <v>62</v>
      </c>
      <c r="B62">
        <f t="shared" si="2"/>
        <v>82.564608692999997</v>
      </c>
      <c r="C62">
        <f t="shared" si="3"/>
        <v>30.116725125698714</v>
      </c>
    </row>
    <row r="63" spans="1:3">
      <c r="A63" s="2">
        <v>63</v>
      </c>
      <c r="B63">
        <f t="shared" si="2"/>
        <v>84.024782606000002</v>
      </c>
      <c r="C63">
        <f t="shared" si="3"/>
        <v>30.018289304889255</v>
      </c>
    </row>
    <row r="64" spans="1:3">
      <c r="A64" s="2">
        <v>64</v>
      </c>
      <c r="B64">
        <f t="shared" si="2"/>
        <v>85.484956518999994</v>
      </c>
      <c r="C64">
        <f t="shared" si="3"/>
        <v>29.917852365981133</v>
      </c>
    </row>
    <row r="65" spans="1:3">
      <c r="A65" s="2">
        <v>65</v>
      </c>
      <c r="B65">
        <f t="shared" ref="B65:B70" si="4">-6.506+(A65-1)*1.460173913</f>
        <v>86.945130431999999</v>
      </c>
      <c r="C65">
        <f t="shared" ref="C65:C70" si="5">30.1437172995779+0.167053795618833*B65-78.837779537689*(0.00625+(B65-35.4678125)^2/90617.540334375)^0.5</f>
        <v>29.815553498192248</v>
      </c>
    </row>
    <row r="66" spans="1:3">
      <c r="A66" s="2">
        <v>66</v>
      </c>
      <c r="B66">
        <f t="shared" si="4"/>
        <v>88.405304345000005</v>
      </c>
      <c r="C66">
        <f t="shared" si="5"/>
        <v>29.711519929006432</v>
      </c>
    </row>
    <row r="67" spans="1:3">
      <c r="A67" s="2">
        <v>67</v>
      </c>
      <c r="B67">
        <f t="shared" si="4"/>
        <v>89.865478257999996</v>
      </c>
      <c r="C67">
        <f t="shared" si="5"/>
        <v>29.605868108194333</v>
      </c>
    </row>
    <row r="68" spans="1:3">
      <c r="A68" s="2">
        <v>68</v>
      </c>
      <c r="B68">
        <f t="shared" si="4"/>
        <v>91.325652171000002</v>
      </c>
      <c r="C68">
        <f t="shared" si="5"/>
        <v>29.498704763864737</v>
      </c>
    </row>
    <row r="69" spans="1:3">
      <c r="A69" s="2">
        <v>69</v>
      </c>
      <c r="B69">
        <f t="shared" si="4"/>
        <v>92.785826083999993</v>
      </c>
      <c r="C69">
        <f t="shared" si="5"/>
        <v>29.390127844834268</v>
      </c>
    </row>
    <row r="70" spans="1:3">
      <c r="A70" s="2">
        <v>70</v>
      </c>
      <c r="B70">
        <f t="shared" si="4"/>
        <v>94.245999996999998</v>
      </c>
      <c r="C70">
        <f t="shared" si="5"/>
        <v>29.280227362095399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enableFormatConditionsCalculation="0"/>
  <dimension ref="A1:C70"/>
  <sheetViews>
    <sheetView workbookViewId="0"/>
  </sheetViews>
  <sheetFormatPr baseColWidth="10" defaultRowHeight="15.75"/>
  <sheetData>
    <row r="1" spans="1:3">
      <c r="A1" s="2">
        <v>1</v>
      </c>
      <c r="B1">
        <f t="shared" ref="B1:B32" si="0">5.9531689068+(A1-1)*1.6731513202</f>
        <v>5.9531689068000002</v>
      </c>
      <c r="C1">
        <f t="shared" ref="C1:C32" si="1">0+1*B1+75.5187880166093*(1.00625+(B1-36.06875)^2/225051.5074476)^0.5</f>
        <v>81.85912943979794</v>
      </c>
    </row>
    <row r="2" spans="1:3">
      <c r="A2" s="2">
        <v>2</v>
      </c>
      <c r="B2">
        <f t="shared" si="0"/>
        <v>7.6263202269999999</v>
      </c>
      <c r="C2">
        <f t="shared" si="1"/>
        <v>83.515924253472562</v>
      </c>
    </row>
    <row r="3" spans="1:3">
      <c r="A3" s="2">
        <v>3</v>
      </c>
      <c r="B3">
        <f t="shared" si="0"/>
        <v>9.2994715471999996</v>
      </c>
      <c r="C3">
        <f t="shared" si="1"/>
        <v>85.173650531587413</v>
      </c>
    </row>
    <row r="4" spans="1:3">
      <c r="A4" s="2">
        <v>4</v>
      </c>
      <c r="B4">
        <f t="shared" si="0"/>
        <v>10.9726228674</v>
      </c>
      <c r="C4">
        <f t="shared" si="1"/>
        <v>86.832308842344574</v>
      </c>
    </row>
    <row r="5" spans="1:3">
      <c r="A5" s="2">
        <v>5</v>
      </c>
      <c r="B5">
        <f t="shared" si="0"/>
        <v>12.645774187600001</v>
      </c>
      <c r="C5">
        <f t="shared" si="1"/>
        <v>88.491899720034695</v>
      </c>
    </row>
    <row r="6" spans="1:3">
      <c r="A6" s="2">
        <v>6</v>
      </c>
      <c r="B6">
        <f t="shared" si="0"/>
        <v>14.3189255078</v>
      </c>
      <c r="C6">
        <f t="shared" si="1"/>
        <v>90.152423664938794</v>
      </c>
    </row>
    <row r="7" spans="1:3">
      <c r="A7" s="2">
        <v>7</v>
      </c>
      <c r="B7">
        <f t="shared" si="0"/>
        <v>15.992076828</v>
      </c>
      <c r="C7">
        <f t="shared" si="1"/>
        <v>91.813881143236372</v>
      </c>
    </row>
    <row r="8" spans="1:3">
      <c r="A8" s="2">
        <v>8</v>
      </c>
      <c r="B8">
        <f t="shared" si="0"/>
        <v>17.665228148200001</v>
      </c>
      <c r="C8">
        <f t="shared" si="1"/>
        <v>93.476272586919578</v>
      </c>
    </row>
    <row r="9" spans="1:3">
      <c r="A9" s="2">
        <v>9</v>
      </c>
      <c r="B9">
        <f t="shared" si="0"/>
        <v>19.338379468399999</v>
      </c>
      <c r="C9">
        <f t="shared" si="1"/>
        <v>95.139598393713641</v>
      </c>
    </row>
    <row r="10" spans="1:3">
      <c r="A10" s="2">
        <v>10</v>
      </c>
      <c r="B10">
        <f t="shared" si="0"/>
        <v>21.011530788599998</v>
      </c>
      <c r="C10">
        <f t="shared" si="1"/>
        <v>96.803858927003475</v>
      </c>
    </row>
    <row r="11" spans="1:3">
      <c r="A11" s="2">
        <v>11</v>
      </c>
      <c r="B11">
        <f t="shared" si="0"/>
        <v>22.684682108799997</v>
      </c>
      <c r="C11">
        <f t="shared" si="1"/>
        <v>98.469054515766743</v>
      </c>
    </row>
    <row r="12" spans="1:3">
      <c r="A12" s="2">
        <v>12</v>
      </c>
      <c r="B12">
        <f t="shared" si="0"/>
        <v>24.357833428999996</v>
      </c>
      <c r="C12">
        <f t="shared" si="1"/>
        <v>100.13518545451294</v>
      </c>
    </row>
    <row r="13" spans="1:3">
      <c r="A13" s="2">
        <v>13</v>
      </c>
      <c r="B13">
        <f t="shared" si="0"/>
        <v>26.030984749200002</v>
      </c>
      <c r="C13">
        <f t="shared" si="1"/>
        <v>101.80225200322903</v>
      </c>
    </row>
    <row r="14" spans="1:3">
      <c r="A14" s="2">
        <v>14</v>
      </c>
      <c r="B14">
        <f t="shared" si="0"/>
        <v>27.704136069400001</v>
      </c>
      <c r="C14">
        <f t="shared" si="1"/>
        <v>103.47025438733129</v>
      </c>
    </row>
    <row r="15" spans="1:3">
      <c r="A15" s="2">
        <v>15</v>
      </c>
      <c r="B15">
        <f t="shared" si="0"/>
        <v>29.377287389599999</v>
      </c>
      <c r="C15">
        <f t="shared" si="1"/>
        <v>105.13919279762369</v>
      </c>
    </row>
    <row r="16" spans="1:3">
      <c r="A16" s="2">
        <v>16</v>
      </c>
      <c r="B16">
        <f t="shared" si="0"/>
        <v>31.050438709799998</v>
      </c>
      <c r="C16">
        <f t="shared" si="1"/>
        <v>106.80906739026244</v>
      </c>
    </row>
    <row r="17" spans="1:3">
      <c r="A17" s="2">
        <v>17</v>
      </c>
      <c r="B17">
        <f t="shared" si="0"/>
        <v>32.723590029999997</v>
      </c>
      <c r="C17">
        <f t="shared" si="1"/>
        <v>108.47987828672717</v>
      </c>
    </row>
    <row r="18" spans="1:3">
      <c r="A18" s="2">
        <v>18</v>
      </c>
      <c r="B18">
        <f t="shared" si="0"/>
        <v>34.396741350199996</v>
      </c>
      <c r="C18">
        <f t="shared" si="1"/>
        <v>110.1516255737983</v>
      </c>
    </row>
    <row r="19" spans="1:3">
      <c r="A19" s="2">
        <v>19</v>
      </c>
      <c r="B19">
        <f t="shared" si="0"/>
        <v>36.069892670400002</v>
      </c>
      <c r="C19">
        <f t="shared" si="1"/>
        <v>111.8243093035411</v>
      </c>
    </row>
    <row r="20" spans="1:3">
      <c r="A20" s="2">
        <v>20</v>
      </c>
      <c r="B20">
        <f t="shared" si="0"/>
        <v>37.7430439906</v>
      </c>
      <c r="C20">
        <f t="shared" si="1"/>
        <v>113.49792949329581</v>
      </c>
    </row>
    <row r="21" spans="1:3">
      <c r="A21" s="2">
        <v>21</v>
      </c>
      <c r="B21">
        <f t="shared" si="0"/>
        <v>39.416195310799999</v>
      </c>
      <c r="C21">
        <f t="shared" si="1"/>
        <v>115.17248612567474</v>
      </c>
    </row>
    <row r="22" spans="1:3">
      <c r="A22" s="2">
        <v>22</v>
      </c>
      <c r="B22">
        <f t="shared" si="0"/>
        <v>41.089346630999998</v>
      </c>
      <c r="C22">
        <f t="shared" si="1"/>
        <v>116.84797914856522</v>
      </c>
    </row>
    <row r="23" spans="1:3">
      <c r="A23" s="2">
        <v>23</v>
      </c>
      <c r="B23">
        <f t="shared" si="0"/>
        <v>42.762497951199997</v>
      </c>
      <c r="C23">
        <f t="shared" si="1"/>
        <v>118.52440847513938</v>
      </c>
    </row>
    <row r="24" spans="1:3">
      <c r="A24" s="2">
        <v>24</v>
      </c>
      <c r="B24">
        <f t="shared" si="0"/>
        <v>44.435649271400003</v>
      </c>
      <c r="C24">
        <f t="shared" si="1"/>
        <v>120.20177398387025</v>
      </c>
    </row>
    <row r="25" spans="1:3">
      <c r="A25" s="2">
        <v>25</v>
      </c>
      <c r="B25">
        <f t="shared" si="0"/>
        <v>46.108800591600001</v>
      </c>
      <c r="C25">
        <f t="shared" si="1"/>
        <v>121.88007551855429</v>
      </c>
    </row>
    <row r="26" spans="1:3">
      <c r="A26" s="2">
        <v>26</v>
      </c>
      <c r="B26">
        <f t="shared" si="0"/>
        <v>47.7819519118</v>
      </c>
      <c r="C26">
        <f t="shared" si="1"/>
        <v>123.55931288834017</v>
      </c>
    </row>
    <row r="27" spans="1:3">
      <c r="A27" s="2">
        <v>27</v>
      </c>
      <c r="B27">
        <f t="shared" si="0"/>
        <v>49.455103231999999</v>
      </c>
      <c r="C27">
        <f t="shared" si="1"/>
        <v>125.23948586776443</v>
      </c>
    </row>
    <row r="28" spans="1:3">
      <c r="A28" s="2">
        <v>28</v>
      </c>
      <c r="B28">
        <f t="shared" si="0"/>
        <v>51.128254552199998</v>
      </c>
      <c r="C28">
        <f t="shared" si="1"/>
        <v>126.92059419679288</v>
      </c>
    </row>
    <row r="29" spans="1:3">
      <c r="A29" s="2">
        <v>29</v>
      </c>
      <c r="B29">
        <f t="shared" si="0"/>
        <v>52.801405872399997</v>
      </c>
      <c r="C29">
        <f t="shared" si="1"/>
        <v>128.60263758086887</v>
      </c>
    </row>
    <row r="30" spans="1:3">
      <c r="A30" s="2">
        <v>30</v>
      </c>
      <c r="B30">
        <f t="shared" si="0"/>
        <v>54.474557192600003</v>
      </c>
      <c r="C30">
        <f t="shared" si="1"/>
        <v>130.2856156909678</v>
      </c>
    </row>
    <row r="31" spans="1:3">
      <c r="A31" s="2">
        <v>31</v>
      </c>
      <c r="B31">
        <f t="shared" si="0"/>
        <v>56.147708512800001</v>
      </c>
      <c r="C31">
        <f t="shared" si="1"/>
        <v>131.96952816365774</v>
      </c>
    </row>
    <row r="32" spans="1:3">
      <c r="A32" s="2">
        <v>32</v>
      </c>
      <c r="B32">
        <f t="shared" si="0"/>
        <v>57.820859833</v>
      </c>
      <c r="C32">
        <f t="shared" si="1"/>
        <v>133.65437460116658</v>
      </c>
    </row>
    <row r="33" spans="1:3">
      <c r="A33" s="2">
        <v>33</v>
      </c>
      <c r="B33">
        <f t="shared" ref="B33:B64" si="2">5.9531689068+(A33-1)*1.6731513202</f>
        <v>59.494011153199999</v>
      </c>
      <c r="C33">
        <f t="shared" ref="C33:C64" si="3">0+1*B33+75.5187880166093*(1.00625+(B33-36.06875)^2/225051.5074476)^0.5</f>
        <v>135.34015457145543</v>
      </c>
    </row>
    <row r="34" spans="1:3">
      <c r="A34" s="2">
        <v>34</v>
      </c>
      <c r="B34">
        <f t="shared" si="2"/>
        <v>61.167162473399998</v>
      </c>
      <c r="C34">
        <f t="shared" si="3"/>
        <v>137.0268676082982</v>
      </c>
    </row>
    <row r="35" spans="1:3">
      <c r="A35" s="2">
        <v>35</v>
      </c>
      <c r="B35">
        <f t="shared" si="2"/>
        <v>62.840313793599996</v>
      </c>
      <c r="C35">
        <f t="shared" si="3"/>
        <v>138.71451321136732</v>
      </c>
    </row>
    <row r="36" spans="1:3">
      <c r="A36" s="2">
        <v>36</v>
      </c>
      <c r="B36">
        <f t="shared" si="2"/>
        <v>64.513465113799995</v>
      </c>
      <c r="C36">
        <f t="shared" si="3"/>
        <v>140.40309084632577</v>
      </c>
    </row>
    <row r="37" spans="1:3">
      <c r="A37" s="2">
        <v>37</v>
      </c>
      <c r="B37">
        <f t="shared" si="2"/>
        <v>66.186616434000001</v>
      </c>
      <c r="C37">
        <f t="shared" si="3"/>
        <v>142.09259994492515</v>
      </c>
    </row>
    <row r="38" spans="1:3">
      <c r="A38" s="2">
        <v>38</v>
      </c>
      <c r="B38">
        <f t="shared" si="2"/>
        <v>67.859767754199993</v>
      </c>
      <c r="C38">
        <f t="shared" si="3"/>
        <v>143.78303990510994</v>
      </c>
    </row>
    <row r="39" spans="1:3">
      <c r="A39" s="2">
        <v>39</v>
      </c>
      <c r="B39">
        <f t="shared" si="2"/>
        <v>69.532919074399999</v>
      </c>
      <c r="C39">
        <f t="shared" si="3"/>
        <v>145.47441009112768</v>
      </c>
    </row>
    <row r="40" spans="1:3">
      <c r="A40" s="2">
        <v>40</v>
      </c>
      <c r="B40">
        <f t="shared" si="2"/>
        <v>71.206070394600005</v>
      </c>
      <c r="C40">
        <f t="shared" si="3"/>
        <v>147.16670983364509</v>
      </c>
    </row>
    <row r="41" spans="1:3">
      <c r="A41" s="2">
        <v>41</v>
      </c>
      <c r="B41">
        <f t="shared" si="2"/>
        <v>72.879221714799996</v>
      </c>
      <c r="C41">
        <f t="shared" si="3"/>
        <v>148.85993842987048</v>
      </c>
    </row>
    <row r="42" spans="1:3">
      <c r="A42" s="2">
        <v>42</v>
      </c>
      <c r="B42">
        <f t="shared" si="2"/>
        <v>74.552373035000002</v>
      </c>
      <c r="C42">
        <f t="shared" si="3"/>
        <v>150.55409514368159</v>
      </c>
    </row>
    <row r="43" spans="1:3">
      <c r="A43" s="2">
        <v>43</v>
      </c>
      <c r="B43">
        <f t="shared" si="2"/>
        <v>76.225524355199994</v>
      </c>
      <c r="C43">
        <f t="shared" si="3"/>
        <v>152.24917920575965</v>
      </c>
    </row>
    <row r="44" spans="1:3">
      <c r="A44" s="2">
        <v>44</v>
      </c>
      <c r="B44">
        <f t="shared" si="2"/>
        <v>77.8986756754</v>
      </c>
      <c r="C44">
        <f t="shared" si="3"/>
        <v>153.94518981372903</v>
      </c>
    </row>
    <row r="45" spans="1:3">
      <c r="A45" s="2">
        <v>45</v>
      </c>
      <c r="B45">
        <f t="shared" si="2"/>
        <v>79.571826995599992</v>
      </c>
      <c r="C45">
        <f t="shared" si="3"/>
        <v>155.64212613230262</v>
      </c>
    </row>
    <row r="46" spans="1:3">
      <c r="A46" s="2">
        <v>46</v>
      </c>
      <c r="B46">
        <f t="shared" si="2"/>
        <v>81.244978315799997</v>
      </c>
      <c r="C46">
        <f t="shared" si="3"/>
        <v>157.3399872934331</v>
      </c>
    </row>
    <row r="47" spans="1:3">
      <c r="A47" s="2">
        <v>47</v>
      </c>
      <c r="B47">
        <f t="shared" si="2"/>
        <v>82.918129636000003</v>
      </c>
      <c r="C47">
        <f t="shared" si="3"/>
        <v>159.03877239646937</v>
      </c>
    </row>
    <row r="48" spans="1:3">
      <c r="A48" s="2">
        <v>48</v>
      </c>
      <c r="B48">
        <f t="shared" si="2"/>
        <v>84.591280956199995</v>
      </c>
      <c r="C48">
        <f t="shared" si="3"/>
        <v>160.73848050831896</v>
      </c>
    </row>
    <row r="49" spans="1:3">
      <c r="A49" s="2">
        <v>49</v>
      </c>
      <c r="B49">
        <f t="shared" si="2"/>
        <v>86.264432276400001</v>
      </c>
      <c r="C49">
        <f t="shared" si="3"/>
        <v>162.43911066361568</v>
      </c>
    </row>
    <row r="50" spans="1:3">
      <c r="A50" s="2">
        <v>50</v>
      </c>
      <c r="B50">
        <f t="shared" si="2"/>
        <v>87.937583596599993</v>
      </c>
      <c r="C50">
        <f t="shared" si="3"/>
        <v>164.14066186489273</v>
      </c>
    </row>
    <row r="51" spans="1:3">
      <c r="A51" s="2">
        <v>51</v>
      </c>
      <c r="B51">
        <f t="shared" si="2"/>
        <v>89.610734916799998</v>
      </c>
      <c r="C51">
        <f t="shared" si="3"/>
        <v>165.84313308276126</v>
      </c>
    </row>
    <row r="52" spans="1:3">
      <c r="A52" s="2">
        <v>52</v>
      </c>
      <c r="B52">
        <f t="shared" si="2"/>
        <v>91.28388623699999</v>
      </c>
      <c r="C52">
        <f t="shared" si="3"/>
        <v>167.54652325609376</v>
      </c>
    </row>
    <row r="53" spans="1:3">
      <c r="A53" s="2">
        <v>53</v>
      </c>
      <c r="B53">
        <f t="shared" si="2"/>
        <v>92.957037557199996</v>
      </c>
      <c r="C53">
        <f t="shared" si="3"/>
        <v>169.25083129221321</v>
      </c>
    </row>
    <row r="54" spans="1:3">
      <c r="A54" s="2">
        <v>54</v>
      </c>
      <c r="B54">
        <f t="shared" si="2"/>
        <v>94.630188877400002</v>
      </c>
      <c r="C54">
        <f t="shared" si="3"/>
        <v>170.95605606708691</v>
      </c>
    </row>
    <row r="55" spans="1:3">
      <c r="A55" s="2">
        <v>55</v>
      </c>
      <c r="B55">
        <f t="shared" si="2"/>
        <v>96.303340197599994</v>
      </c>
      <c r="C55">
        <f t="shared" si="3"/>
        <v>172.66219642552551</v>
      </c>
    </row>
    <row r="56" spans="1:3">
      <c r="A56" s="2">
        <v>56</v>
      </c>
      <c r="B56">
        <f t="shared" si="2"/>
        <v>97.9764915178</v>
      </c>
      <c r="C56">
        <f t="shared" si="3"/>
        <v>174.369251181387</v>
      </c>
    </row>
    <row r="57" spans="1:3">
      <c r="A57" s="2">
        <v>57</v>
      </c>
      <c r="B57">
        <f t="shared" si="2"/>
        <v>99.649642837999991</v>
      </c>
      <c r="C57">
        <f t="shared" si="3"/>
        <v>176.07721911778543</v>
      </c>
    </row>
    <row r="58" spans="1:3">
      <c r="A58" s="2">
        <v>58</v>
      </c>
      <c r="B58">
        <f t="shared" si="2"/>
        <v>101.3227941582</v>
      </c>
      <c r="C58">
        <f t="shared" si="3"/>
        <v>177.78609898730463</v>
      </c>
    </row>
    <row r="59" spans="1:3">
      <c r="A59" s="2">
        <v>59</v>
      </c>
      <c r="B59">
        <f t="shared" si="2"/>
        <v>102.9959454784</v>
      </c>
      <c r="C59">
        <f t="shared" si="3"/>
        <v>179.49588951221628</v>
      </c>
    </row>
    <row r="60" spans="1:3">
      <c r="A60" s="2">
        <v>60</v>
      </c>
      <c r="B60">
        <f t="shared" si="2"/>
        <v>104.66909679859999</v>
      </c>
      <c r="C60">
        <f t="shared" si="3"/>
        <v>181.20658938470291</v>
      </c>
    </row>
    <row r="61" spans="1:3">
      <c r="A61" s="2">
        <v>61</v>
      </c>
      <c r="B61">
        <f t="shared" si="2"/>
        <v>106.3422481188</v>
      </c>
      <c r="C61">
        <f t="shared" si="3"/>
        <v>182.91819726708542</v>
      </c>
    </row>
    <row r="62" spans="1:3">
      <c r="A62" s="2">
        <v>62</v>
      </c>
      <c r="B62">
        <f t="shared" si="2"/>
        <v>108.01539943899999</v>
      </c>
      <c r="C62">
        <f t="shared" si="3"/>
        <v>184.63071179205457</v>
      </c>
    </row>
    <row r="63" spans="1:3">
      <c r="A63" s="2">
        <v>63</v>
      </c>
      <c r="B63">
        <f t="shared" si="2"/>
        <v>109.6885507592</v>
      </c>
      <c r="C63">
        <f t="shared" si="3"/>
        <v>186.34413156290751</v>
      </c>
    </row>
    <row r="64" spans="1:3">
      <c r="A64" s="2">
        <v>64</v>
      </c>
      <c r="B64">
        <f t="shared" si="2"/>
        <v>111.36170207939999</v>
      </c>
      <c r="C64">
        <f t="shared" si="3"/>
        <v>188.05845515378797</v>
      </c>
    </row>
    <row r="65" spans="1:3">
      <c r="A65" s="2">
        <v>65</v>
      </c>
      <c r="B65">
        <f t="shared" ref="B65:B70" si="4">5.9531689068+(A65-1)*1.6731513202</f>
        <v>113.0348533996</v>
      </c>
      <c r="C65">
        <f t="shared" ref="C65:C70" si="5">0+1*B65+75.5187880166093*(1.00625+(B65-36.06875)^2/225051.5074476)^0.5</f>
        <v>189.77368110993083</v>
      </c>
    </row>
    <row r="66" spans="1:3">
      <c r="A66" s="2">
        <v>66</v>
      </c>
      <c r="B66">
        <f t="shared" si="4"/>
        <v>114.7080047198</v>
      </c>
      <c r="C66">
        <f t="shared" si="5"/>
        <v>191.48980794791089</v>
      </c>
    </row>
    <row r="67" spans="1:3">
      <c r="A67" s="2">
        <v>67</v>
      </c>
      <c r="B67">
        <f t="shared" si="4"/>
        <v>116.38115603999999</v>
      </c>
      <c r="C67">
        <f t="shared" si="5"/>
        <v>193.20683415589508</v>
      </c>
    </row>
    <row r="68" spans="1:3">
      <c r="A68" s="2">
        <v>68</v>
      </c>
      <c r="B68">
        <f t="shared" si="4"/>
        <v>118.0543073602</v>
      </c>
      <c r="C68">
        <f t="shared" si="5"/>
        <v>194.92475819389944</v>
      </c>
    </row>
    <row r="69" spans="1:3">
      <c r="A69" s="2">
        <v>69</v>
      </c>
      <c r="B69">
        <f t="shared" si="4"/>
        <v>119.72745868039999</v>
      </c>
      <c r="C69">
        <f t="shared" si="5"/>
        <v>196.64357849404877</v>
      </c>
    </row>
    <row r="70" spans="1:3">
      <c r="A70" s="2">
        <v>70</v>
      </c>
      <c r="B70">
        <f t="shared" si="4"/>
        <v>121.4006100006</v>
      </c>
      <c r="C70">
        <f t="shared" si="5"/>
        <v>198.36329346084091</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G2049"/>
  <sheetViews>
    <sheetView showGridLines="0" workbookViewId="0">
      <pane ySplit="1" topLeftCell="A2022" activePane="bottomLeft" state="frozen"/>
      <selection pane="bottomLeft" activeCell="A2049" sqref="A2049"/>
    </sheetView>
  </sheetViews>
  <sheetFormatPr baseColWidth="10" defaultColWidth="9.125" defaultRowHeight="14.1" customHeight="1"/>
  <cols>
    <col min="1" max="1" width="13.375" style="108" customWidth="1"/>
    <col min="2" max="2" width="27.375" style="108" customWidth="1"/>
    <col min="3" max="3" width="34.875" style="110" customWidth="1"/>
    <col min="4" max="4" width="26.625" style="108" customWidth="1"/>
    <col min="5" max="5" width="18.5" style="108" customWidth="1"/>
    <col min="6" max="6" width="9.875" style="108" customWidth="1"/>
    <col min="7" max="7" width="14.875" style="225" customWidth="1"/>
    <col min="8" max="254" width="9.125" style="109" customWidth="1"/>
    <col min="255" max="16384" width="9.125" style="109"/>
  </cols>
  <sheetData>
    <row r="1" spans="1:7" s="108" customFormat="1" ht="33.950000000000003" customHeight="1">
      <c r="A1" s="248" t="s">
        <v>4471</v>
      </c>
      <c r="B1" s="248" t="s">
        <v>1722</v>
      </c>
      <c r="C1" s="249" t="s">
        <v>1723</v>
      </c>
      <c r="D1" s="248" t="s">
        <v>4460</v>
      </c>
      <c r="E1" s="248" t="s">
        <v>4459</v>
      </c>
      <c r="F1" s="248" t="s">
        <v>885</v>
      </c>
      <c r="G1" s="250" t="s">
        <v>4462</v>
      </c>
    </row>
    <row r="2" spans="1:7" s="108" customFormat="1" ht="14.1" customHeight="1">
      <c r="A2" s="251" t="s">
        <v>899</v>
      </c>
      <c r="B2" s="252" t="s">
        <v>1724</v>
      </c>
      <c r="C2" s="254" t="s">
        <v>1146</v>
      </c>
      <c r="D2" s="252" t="s">
        <v>902</v>
      </c>
      <c r="E2" s="252" t="s">
        <v>904</v>
      </c>
      <c r="F2" s="252" t="s">
        <v>889</v>
      </c>
      <c r="G2" s="255">
        <v>1.6</v>
      </c>
    </row>
    <row r="3" spans="1:7" s="108" customFormat="1" ht="14.1" customHeight="1">
      <c r="A3" s="251" t="s">
        <v>899</v>
      </c>
      <c r="B3" s="252" t="s">
        <v>1725</v>
      </c>
      <c r="C3" s="254" t="s">
        <v>1146</v>
      </c>
      <c r="D3" s="252" t="s">
        <v>1726</v>
      </c>
      <c r="E3" s="252" t="s">
        <v>888</v>
      </c>
      <c r="F3" s="252" t="s">
        <v>889</v>
      </c>
      <c r="G3" s="255"/>
    </row>
    <row r="4" spans="1:7" s="108" customFormat="1" ht="14.1" customHeight="1">
      <c r="A4" s="251" t="s">
        <v>899</v>
      </c>
      <c r="B4" s="252" t="s">
        <v>1725</v>
      </c>
      <c r="C4" s="254" t="s">
        <v>1146</v>
      </c>
      <c r="D4" s="252" t="s">
        <v>1727</v>
      </c>
      <c r="E4" s="252" t="s">
        <v>895</v>
      </c>
      <c r="F4" s="252" t="s">
        <v>889</v>
      </c>
      <c r="G4" s="255"/>
    </row>
    <row r="5" spans="1:7" s="108" customFormat="1" ht="14.1" customHeight="1">
      <c r="A5" s="251" t="s">
        <v>899</v>
      </c>
      <c r="B5" s="252" t="s">
        <v>1728</v>
      </c>
      <c r="C5" s="254" t="s">
        <v>917</v>
      </c>
      <c r="D5" s="252" t="s">
        <v>900</v>
      </c>
      <c r="E5" s="252" t="s">
        <v>901</v>
      </c>
      <c r="F5" s="252" t="s">
        <v>889</v>
      </c>
      <c r="G5" s="255">
        <v>0.30499999999999999</v>
      </c>
    </row>
    <row r="6" spans="1:7" s="108" customFormat="1" ht="14.1" customHeight="1">
      <c r="A6" s="251" t="s">
        <v>899</v>
      </c>
      <c r="B6" s="252" t="s">
        <v>1729</v>
      </c>
      <c r="C6" s="254" t="s">
        <v>917</v>
      </c>
      <c r="D6" s="252" t="s">
        <v>924</v>
      </c>
      <c r="E6" s="252" t="s">
        <v>925</v>
      </c>
      <c r="F6" s="252" t="s">
        <v>889</v>
      </c>
      <c r="G6" s="255"/>
    </row>
    <row r="7" spans="1:7" s="108" customFormat="1" ht="14.1" customHeight="1">
      <c r="A7" s="251" t="s">
        <v>899</v>
      </c>
      <c r="B7" s="252" t="s">
        <v>1730</v>
      </c>
      <c r="C7" s="254" t="s">
        <v>894</v>
      </c>
      <c r="D7" s="252" t="s">
        <v>893</v>
      </c>
      <c r="E7" s="252" t="s">
        <v>895</v>
      </c>
      <c r="F7" s="252" t="s">
        <v>889</v>
      </c>
      <c r="G7" s="255">
        <v>82.646000000000001</v>
      </c>
    </row>
    <row r="8" spans="1:7" s="108" customFormat="1" ht="14.1" customHeight="1">
      <c r="A8" s="251" t="s">
        <v>899</v>
      </c>
      <c r="B8" s="252" t="s">
        <v>1731</v>
      </c>
      <c r="C8" s="254" t="s">
        <v>894</v>
      </c>
      <c r="D8" s="252" t="s">
        <v>893</v>
      </c>
      <c r="E8" s="252" t="s">
        <v>895</v>
      </c>
      <c r="F8" s="252" t="s">
        <v>889</v>
      </c>
      <c r="G8" s="255">
        <v>113.075</v>
      </c>
    </row>
    <row r="9" spans="1:7" s="108" customFormat="1" ht="14.1" customHeight="1">
      <c r="A9" s="251" t="s">
        <v>899</v>
      </c>
      <c r="B9" s="252" t="s">
        <v>1732</v>
      </c>
      <c r="C9" s="254" t="s">
        <v>1246</v>
      </c>
      <c r="D9" s="252" t="s">
        <v>905</v>
      </c>
      <c r="E9" s="252" t="s">
        <v>907</v>
      </c>
      <c r="F9" s="252" t="s">
        <v>892</v>
      </c>
      <c r="G9" s="255">
        <v>4.1040000000000001</v>
      </c>
    </row>
    <row r="10" spans="1:7" s="108" customFormat="1" ht="14.1" customHeight="1">
      <c r="A10" s="251" t="s">
        <v>1027</v>
      </c>
      <c r="B10" s="252" t="s">
        <v>1733</v>
      </c>
      <c r="C10" s="254" t="s">
        <v>968</v>
      </c>
      <c r="D10" s="252" t="s">
        <v>1734</v>
      </c>
      <c r="E10" s="252" t="s">
        <v>888</v>
      </c>
      <c r="F10" s="252" t="s">
        <v>889</v>
      </c>
      <c r="G10" s="255"/>
    </row>
    <row r="11" spans="1:7" s="108" customFormat="1" ht="14.1" customHeight="1">
      <c r="A11" s="251" t="s">
        <v>1027</v>
      </c>
      <c r="B11" s="252" t="s">
        <v>1735</v>
      </c>
      <c r="C11" s="254" t="s">
        <v>968</v>
      </c>
      <c r="D11" s="252" t="s">
        <v>1736</v>
      </c>
      <c r="E11" s="252" t="s">
        <v>895</v>
      </c>
      <c r="F11" s="252" t="s">
        <v>889</v>
      </c>
      <c r="G11" s="255"/>
    </row>
    <row r="12" spans="1:7" s="108" customFormat="1" ht="14.1" customHeight="1">
      <c r="A12" s="251" t="s">
        <v>1027</v>
      </c>
      <c r="B12" s="252" t="s">
        <v>1737</v>
      </c>
      <c r="C12" s="254" t="s">
        <v>968</v>
      </c>
      <c r="D12" s="252" t="s">
        <v>993</v>
      </c>
      <c r="E12" s="252" t="s">
        <v>929</v>
      </c>
      <c r="F12" s="252" t="s">
        <v>889</v>
      </c>
      <c r="G12" s="255">
        <v>89.96</v>
      </c>
    </row>
    <row r="13" spans="1:7" s="108" customFormat="1" ht="14.1" customHeight="1">
      <c r="A13" s="251" t="s">
        <v>1027</v>
      </c>
      <c r="B13" s="252" t="s">
        <v>1738</v>
      </c>
      <c r="C13" s="254" t="s">
        <v>968</v>
      </c>
      <c r="D13" s="252" t="s">
        <v>1739</v>
      </c>
      <c r="E13" s="252" t="s">
        <v>907</v>
      </c>
      <c r="F13" s="252" t="s">
        <v>889</v>
      </c>
      <c r="G13" s="255"/>
    </row>
    <row r="14" spans="1:7" s="108" customFormat="1" ht="14.1" customHeight="1">
      <c r="A14" s="251" t="s">
        <v>1027</v>
      </c>
      <c r="B14" s="252" t="s">
        <v>1740</v>
      </c>
      <c r="C14" s="254" t="s">
        <v>968</v>
      </c>
      <c r="D14" s="252" t="s">
        <v>1741</v>
      </c>
      <c r="E14" s="252" t="s">
        <v>984</v>
      </c>
      <c r="F14" s="252" t="s">
        <v>889</v>
      </c>
      <c r="G14" s="255"/>
    </row>
    <row r="15" spans="1:7" s="108" customFormat="1" ht="14.1" customHeight="1">
      <c r="A15" s="251" t="s">
        <v>1027</v>
      </c>
      <c r="B15" s="252" t="s">
        <v>1742</v>
      </c>
      <c r="C15" s="254" t="s">
        <v>968</v>
      </c>
      <c r="D15" s="252" t="s">
        <v>1743</v>
      </c>
      <c r="E15" s="252" t="s">
        <v>939</v>
      </c>
      <c r="F15" s="252" t="s">
        <v>889</v>
      </c>
      <c r="G15" s="255"/>
    </row>
    <row r="16" spans="1:7" s="108" customFormat="1" ht="14.1" customHeight="1">
      <c r="A16" s="251" t="s">
        <v>1027</v>
      </c>
      <c r="B16" s="252" t="s">
        <v>1744</v>
      </c>
      <c r="C16" s="254" t="s">
        <v>968</v>
      </c>
      <c r="D16" s="252" t="s">
        <v>886</v>
      </c>
      <c r="E16" s="252" t="s">
        <v>888</v>
      </c>
      <c r="F16" s="252" t="s">
        <v>889</v>
      </c>
      <c r="G16" s="255"/>
    </row>
    <row r="17" spans="1:7" s="108" customFormat="1" ht="14.1" customHeight="1">
      <c r="A17" s="251" t="s">
        <v>1027</v>
      </c>
      <c r="B17" s="252" t="s">
        <v>1745</v>
      </c>
      <c r="C17" s="254" t="s">
        <v>968</v>
      </c>
      <c r="D17" s="252" t="s">
        <v>1743</v>
      </c>
      <c r="E17" s="252" t="s">
        <v>939</v>
      </c>
      <c r="F17" s="252" t="s">
        <v>889</v>
      </c>
      <c r="G17" s="255"/>
    </row>
    <row r="18" spans="1:7" s="108" customFormat="1" ht="14.1" customHeight="1">
      <c r="A18" s="251" t="s">
        <v>1027</v>
      </c>
      <c r="B18" s="252" t="s">
        <v>1746</v>
      </c>
      <c r="C18" s="254" t="s">
        <v>968</v>
      </c>
      <c r="D18" s="252" t="s">
        <v>1747</v>
      </c>
      <c r="E18" s="252" t="s">
        <v>907</v>
      </c>
      <c r="F18" s="252" t="s">
        <v>889</v>
      </c>
      <c r="G18" s="255"/>
    </row>
    <row r="19" spans="1:7" s="108" customFormat="1" ht="14.1" customHeight="1">
      <c r="A19" s="251" t="s">
        <v>1027</v>
      </c>
      <c r="B19" s="252" t="s">
        <v>1748</v>
      </c>
      <c r="C19" s="254" t="s">
        <v>944</v>
      </c>
      <c r="D19" s="252" t="s">
        <v>1749</v>
      </c>
      <c r="E19" s="252" t="s">
        <v>1750</v>
      </c>
      <c r="F19" s="252" t="s">
        <v>889</v>
      </c>
      <c r="G19" s="255"/>
    </row>
    <row r="20" spans="1:7" s="108" customFormat="1" ht="14.1" customHeight="1">
      <c r="A20" s="251" t="s">
        <v>1027</v>
      </c>
      <c r="B20" s="252" t="s">
        <v>1751</v>
      </c>
      <c r="C20" s="254" t="s">
        <v>944</v>
      </c>
      <c r="D20" s="252" t="s">
        <v>1752</v>
      </c>
      <c r="E20" s="252" t="s">
        <v>888</v>
      </c>
      <c r="F20" s="252" t="s">
        <v>889</v>
      </c>
      <c r="G20" s="255"/>
    </row>
    <row r="21" spans="1:7" s="108" customFormat="1" ht="14.1" customHeight="1">
      <c r="A21" s="251" t="s">
        <v>1027</v>
      </c>
      <c r="B21" s="252" t="s">
        <v>1753</v>
      </c>
      <c r="C21" s="254" t="s">
        <v>1046</v>
      </c>
      <c r="D21" s="252" t="s">
        <v>1035</v>
      </c>
      <c r="E21" s="252" t="s">
        <v>925</v>
      </c>
      <c r="F21" s="252" t="s">
        <v>931</v>
      </c>
      <c r="G21" s="255">
        <v>15.407</v>
      </c>
    </row>
    <row r="22" spans="1:7" s="108" customFormat="1" ht="14.1" customHeight="1">
      <c r="A22" s="251" t="s">
        <v>1027</v>
      </c>
      <c r="B22" s="252" t="s">
        <v>1754</v>
      </c>
      <c r="C22" s="254" t="s">
        <v>1030</v>
      </c>
      <c r="D22" s="252" t="s">
        <v>1029</v>
      </c>
      <c r="E22" s="252" t="s">
        <v>895</v>
      </c>
      <c r="F22" s="252" t="s">
        <v>889</v>
      </c>
      <c r="G22" s="255">
        <v>0.36899999999999999</v>
      </c>
    </row>
    <row r="23" spans="1:7" s="108" customFormat="1" ht="14.1" customHeight="1">
      <c r="A23" s="251" t="s">
        <v>1027</v>
      </c>
      <c r="B23" s="252" t="s">
        <v>1754</v>
      </c>
      <c r="C23" s="254" t="s">
        <v>1030</v>
      </c>
      <c r="D23" s="252" t="s">
        <v>1029</v>
      </c>
      <c r="E23" s="252" t="s">
        <v>895</v>
      </c>
      <c r="F23" s="252" t="s">
        <v>892</v>
      </c>
      <c r="G23" s="255">
        <v>2.93</v>
      </c>
    </row>
    <row r="24" spans="1:7" s="108" customFormat="1" ht="14.1" customHeight="1">
      <c r="A24" s="251" t="s">
        <v>1027</v>
      </c>
      <c r="B24" s="252" t="s">
        <v>1755</v>
      </c>
      <c r="C24" s="254" t="s">
        <v>1756</v>
      </c>
      <c r="D24" s="252" t="s">
        <v>1757</v>
      </c>
      <c r="E24" s="252" t="s">
        <v>888</v>
      </c>
      <c r="F24" s="252" t="s">
        <v>889</v>
      </c>
      <c r="G24" s="255"/>
    </row>
    <row r="25" spans="1:7" s="108" customFormat="1" ht="14.1" customHeight="1">
      <c r="A25" s="251" t="s">
        <v>1027</v>
      </c>
      <c r="B25" s="252" t="s">
        <v>1758</v>
      </c>
      <c r="C25" s="254" t="s">
        <v>1032</v>
      </c>
      <c r="D25" s="252" t="s">
        <v>1031</v>
      </c>
      <c r="E25" s="252" t="s">
        <v>1033</v>
      </c>
      <c r="F25" s="252" t="s">
        <v>892</v>
      </c>
      <c r="G25" s="255">
        <v>4.2590000000000003</v>
      </c>
    </row>
    <row r="26" spans="1:7" s="108" customFormat="1" ht="14.1" customHeight="1">
      <c r="A26" s="251" t="s">
        <v>1027</v>
      </c>
      <c r="B26" s="252" t="s">
        <v>1759</v>
      </c>
      <c r="C26" s="254" t="s">
        <v>906</v>
      </c>
      <c r="D26" s="252" t="s">
        <v>1760</v>
      </c>
      <c r="E26" s="252" t="s">
        <v>888</v>
      </c>
      <c r="F26" s="252" t="s">
        <v>889</v>
      </c>
      <c r="G26" s="255"/>
    </row>
    <row r="27" spans="1:7" s="108" customFormat="1" ht="14.1" customHeight="1">
      <c r="A27" s="251" t="s">
        <v>1027</v>
      </c>
      <c r="B27" s="252" t="s">
        <v>1761</v>
      </c>
      <c r="C27" s="254" t="s">
        <v>906</v>
      </c>
      <c r="D27" s="252" t="s">
        <v>1760</v>
      </c>
      <c r="E27" s="252" t="s">
        <v>888</v>
      </c>
      <c r="F27" s="252" t="s">
        <v>889</v>
      </c>
      <c r="G27" s="255"/>
    </row>
    <row r="28" spans="1:7" s="108" customFormat="1" ht="14.1" customHeight="1">
      <c r="A28" s="251" t="s">
        <v>1027</v>
      </c>
      <c r="B28" s="252" t="s">
        <v>1762</v>
      </c>
      <c r="C28" s="254" t="s">
        <v>906</v>
      </c>
      <c r="D28" s="252" t="s">
        <v>1763</v>
      </c>
      <c r="E28" s="252" t="s">
        <v>939</v>
      </c>
      <c r="F28" s="252" t="s">
        <v>889</v>
      </c>
      <c r="G28" s="255"/>
    </row>
    <row r="29" spans="1:7" s="108" customFormat="1" ht="14.1" customHeight="1">
      <c r="A29" s="251" t="s">
        <v>1027</v>
      </c>
      <c r="B29" s="252" t="s">
        <v>1764</v>
      </c>
      <c r="C29" s="254" t="s">
        <v>986</v>
      </c>
      <c r="D29" s="252" t="s">
        <v>1038</v>
      </c>
      <c r="E29" s="252" t="s">
        <v>888</v>
      </c>
      <c r="F29" s="252" t="s">
        <v>889</v>
      </c>
      <c r="G29" s="255">
        <v>197.49199999999999</v>
      </c>
    </row>
    <row r="30" spans="1:7" s="108" customFormat="1" ht="14.1" customHeight="1">
      <c r="A30" s="251" t="s">
        <v>1027</v>
      </c>
      <c r="B30" s="252" t="s">
        <v>1765</v>
      </c>
      <c r="C30" s="254" t="s">
        <v>887</v>
      </c>
      <c r="D30" s="252" t="s">
        <v>1039</v>
      </c>
      <c r="E30" s="252" t="s">
        <v>888</v>
      </c>
      <c r="F30" s="252" t="s">
        <v>889</v>
      </c>
      <c r="G30" s="255">
        <v>536.34400000000005</v>
      </c>
    </row>
    <row r="31" spans="1:7" s="108" customFormat="1" ht="14.1" customHeight="1">
      <c r="A31" s="251" t="s">
        <v>1027</v>
      </c>
      <c r="B31" s="252" t="s">
        <v>1766</v>
      </c>
      <c r="C31" s="254" t="s">
        <v>887</v>
      </c>
      <c r="D31" s="252" t="s">
        <v>1767</v>
      </c>
      <c r="E31" s="252" t="s">
        <v>888</v>
      </c>
      <c r="F31" s="252" t="s">
        <v>889</v>
      </c>
      <c r="G31" s="255"/>
    </row>
    <row r="32" spans="1:7" s="108" customFormat="1" ht="14.1" customHeight="1">
      <c r="A32" s="251" t="s">
        <v>1027</v>
      </c>
      <c r="B32" s="252" t="s">
        <v>1768</v>
      </c>
      <c r="C32" s="254" t="s">
        <v>890</v>
      </c>
      <c r="D32" s="252" t="s">
        <v>1769</v>
      </c>
      <c r="E32" s="252" t="s">
        <v>984</v>
      </c>
      <c r="F32" s="252" t="s">
        <v>889</v>
      </c>
      <c r="G32" s="255"/>
    </row>
    <row r="33" spans="1:7" s="108" customFormat="1" ht="14.1" customHeight="1">
      <c r="A33" s="251" t="s">
        <v>1027</v>
      </c>
      <c r="B33" s="252" t="s">
        <v>1770</v>
      </c>
      <c r="C33" s="254" t="s">
        <v>890</v>
      </c>
      <c r="D33" s="252" t="s">
        <v>1034</v>
      </c>
      <c r="E33" s="252" t="s">
        <v>888</v>
      </c>
      <c r="F33" s="252" t="s">
        <v>889</v>
      </c>
      <c r="G33" s="255">
        <v>7.9960000000000004</v>
      </c>
    </row>
    <row r="34" spans="1:7" s="108" customFormat="1" ht="14.1" customHeight="1">
      <c r="A34" s="251" t="s">
        <v>1027</v>
      </c>
      <c r="B34" s="252" t="s">
        <v>1771</v>
      </c>
      <c r="C34" s="254" t="s">
        <v>890</v>
      </c>
      <c r="D34" s="252" t="s">
        <v>1772</v>
      </c>
      <c r="E34" s="252" t="s">
        <v>939</v>
      </c>
      <c r="F34" s="252" t="s">
        <v>889</v>
      </c>
      <c r="G34" s="255"/>
    </row>
    <row r="35" spans="1:7" s="108" customFormat="1" ht="14.1" customHeight="1">
      <c r="A35" s="251" t="s">
        <v>1027</v>
      </c>
      <c r="B35" s="252" t="s">
        <v>1773</v>
      </c>
      <c r="C35" s="254" t="s">
        <v>1018</v>
      </c>
      <c r="D35" s="252" t="s">
        <v>1774</v>
      </c>
      <c r="E35" s="252" t="s">
        <v>1047</v>
      </c>
      <c r="F35" s="252" t="s">
        <v>889</v>
      </c>
      <c r="G35" s="255"/>
    </row>
    <row r="36" spans="1:7" s="108" customFormat="1" ht="14.1" customHeight="1">
      <c r="A36" s="251" t="s">
        <v>1027</v>
      </c>
      <c r="B36" s="252" t="s">
        <v>1775</v>
      </c>
      <c r="C36" s="254" t="s">
        <v>1018</v>
      </c>
      <c r="D36" s="252" t="s">
        <v>1776</v>
      </c>
      <c r="E36" s="252" t="s">
        <v>1157</v>
      </c>
      <c r="F36" s="252" t="s">
        <v>889</v>
      </c>
      <c r="G36" s="255"/>
    </row>
    <row r="37" spans="1:7" s="108" customFormat="1" ht="14.1" customHeight="1">
      <c r="A37" s="251" t="s">
        <v>1027</v>
      </c>
      <c r="B37" s="252" t="s">
        <v>1777</v>
      </c>
      <c r="C37" s="254" t="s">
        <v>1018</v>
      </c>
      <c r="D37" s="252" t="s">
        <v>1778</v>
      </c>
      <c r="E37" s="252" t="s">
        <v>888</v>
      </c>
      <c r="F37" s="252" t="s">
        <v>889</v>
      </c>
      <c r="G37" s="255"/>
    </row>
    <row r="38" spans="1:7" s="108" customFormat="1" ht="14.1" customHeight="1">
      <c r="A38" s="251" t="s">
        <v>1027</v>
      </c>
      <c r="B38" s="252" t="s">
        <v>1779</v>
      </c>
      <c r="C38" s="254" t="s">
        <v>1018</v>
      </c>
      <c r="D38" s="252" t="s">
        <v>1780</v>
      </c>
      <c r="E38" s="252" t="s">
        <v>907</v>
      </c>
      <c r="F38" s="252" t="s">
        <v>892</v>
      </c>
      <c r="G38" s="255"/>
    </row>
    <row r="39" spans="1:7" s="108" customFormat="1" ht="14.1" customHeight="1">
      <c r="A39" s="251" t="s">
        <v>1027</v>
      </c>
      <c r="B39" s="252" t="s">
        <v>1781</v>
      </c>
      <c r="C39" s="254" t="s">
        <v>1018</v>
      </c>
      <c r="D39" s="252" t="s">
        <v>1780</v>
      </c>
      <c r="E39" s="252" t="s">
        <v>907</v>
      </c>
      <c r="F39" s="252" t="s">
        <v>892</v>
      </c>
      <c r="G39" s="255"/>
    </row>
    <row r="40" spans="1:7" s="108" customFormat="1" ht="14.1" customHeight="1">
      <c r="A40" s="251" t="s">
        <v>1027</v>
      </c>
      <c r="B40" s="252" t="s">
        <v>1782</v>
      </c>
      <c r="C40" s="254" t="s">
        <v>1202</v>
      </c>
      <c r="D40" s="252" t="s">
        <v>1783</v>
      </c>
      <c r="E40" s="252" t="s">
        <v>888</v>
      </c>
      <c r="F40" s="252" t="s">
        <v>889</v>
      </c>
      <c r="G40" s="255"/>
    </row>
    <row r="41" spans="1:7" s="108" customFormat="1" ht="14.1" customHeight="1">
      <c r="A41" s="251" t="s">
        <v>1027</v>
      </c>
      <c r="B41" s="252" t="s">
        <v>1784</v>
      </c>
      <c r="C41" s="254" t="s">
        <v>1202</v>
      </c>
      <c r="D41" s="252" t="s">
        <v>1785</v>
      </c>
      <c r="E41" s="252" t="s">
        <v>888</v>
      </c>
      <c r="F41" s="252" t="s">
        <v>889</v>
      </c>
      <c r="G41" s="255"/>
    </row>
    <row r="42" spans="1:7" s="108" customFormat="1" ht="14.1" customHeight="1">
      <c r="A42" s="251" t="s">
        <v>1027</v>
      </c>
      <c r="B42" s="252" t="s">
        <v>1786</v>
      </c>
      <c r="C42" s="254" t="s">
        <v>1202</v>
      </c>
      <c r="D42" s="252" t="s">
        <v>1787</v>
      </c>
      <c r="E42" s="252" t="s">
        <v>888</v>
      </c>
      <c r="F42" s="252" t="s">
        <v>889</v>
      </c>
      <c r="G42" s="255"/>
    </row>
    <row r="43" spans="1:7" s="108" customFormat="1" ht="14.1" customHeight="1">
      <c r="A43" s="251" t="s">
        <v>1027</v>
      </c>
      <c r="B43" s="252" t="s">
        <v>1788</v>
      </c>
      <c r="C43" s="254" t="s">
        <v>917</v>
      </c>
      <c r="D43" s="252" t="s">
        <v>1028</v>
      </c>
      <c r="E43" s="252" t="s">
        <v>918</v>
      </c>
      <c r="F43" s="252" t="s">
        <v>889</v>
      </c>
      <c r="G43" s="255">
        <v>0.192</v>
      </c>
    </row>
    <row r="44" spans="1:7" s="108" customFormat="1" ht="14.1" customHeight="1">
      <c r="A44" s="251" t="s">
        <v>1027</v>
      </c>
      <c r="B44" s="252" t="s">
        <v>1789</v>
      </c>
      <c r="C44" s="254" t="s">
        <v>894</v>
      </c>
      <c r="D44" s="252" t="s">
        <v>1790</v>
      </c>
      <c r="E44" s="252" t="s">
        <v>919</v>
      </c>
      <c r="F44" s="252" t="s">
        <v>1791</v>
      </c>
      <c r="G44" s="255"/>
    </row>
    <row r="45" spans="1:7" s="108" customFormat="1" ht="14.1" customHeight="1">
      <c r="A45" s="251" t="s">
        <v>1027</v>
      </c>
      <c r="B45" s="252" t="s">
        <v>1792</v>
      </c>
      <c r="C45" s="254" t="s">
        <v>894</v>
      </c>
      <c r="D45" s="252" t="s">
        <v>1793</v>
      </c>
      <c r="E45" s="252" t="s">
        <v>925</v>
      </c>
      <c r="F45" s="252" t="s">
        <v>1794</v>
      </c>
      <c r="G45" s="255"/>
    </row>
    <row r="46" spans="1:7" s="108" customFormat="1" ht="14.1" customHeight="1">
      <c r="A46" s="251" t="s">
        <v>1027</v>
      </c>
      <c r="B46" s="252" t="s">
        <v>1795</v>
      </c>
      <c r="C46" s="254" t="s">
        <v>1071</v>
      </c>
      <c r="D46" s="252" t="s">
        <v>1796</v>
      </c>
      <c r="E46" s="252" t="s">
        <v>954</v>
      </c>
      <c r="F46" s="252" t="s">
        <v>889</v>
      </c>
      <c r="G46" s="255"/>
    </row>
    <row r="47" spans="1:7" s="108" customFormat="1" ht="14.1" customHeight="1">
      <c r="A47" s="251" t="s">
        <v>1027</v>
      </c>
      <c r="B47" s="252" t="s">
        <v>1797</v>
      </c>
      <c r="C47" s="254" t="s">
        <v>1037</v>
      </c>
      <c r="D47" s="252" t="s">
        <v>1036</v>
      </c>
      <c r="E47" s="252" t="s">
        <v>888</v>
      </c>
      <c r="F47" s="252" t="s">
        <v>889</v>
      </c>
      <c r="G47" s="255">
        <v>37.274999999999999</v>
      </c>
    </row>
    <row r="48" spans="1:7" s="108" customFormat="1" ht="14.1" customHeight="1">
      <c r="A48" s="251" t="s">
        <v>1027</v>
      </c>
      <c r="B48" s="252" t="s">
        <v>1798</v>
      </c>
      <c r="C48" s="254" t="s">
        <v>1799</v>
      </c>
      <c r="D48" s="252" t="s">
        <v>1800</v>
      </c>
      <c r="E48" s="252" t="s">
        <v>904</v>
      </c>
      <c r="F48" s="252" t="s">
        <v>889</v>
      </c>
      <c r="G48" s="255"/>
    </row>
    <row r="49" spans="1:7" s="108" customFormat="1" ht="14.1" customHeight="1">
      <c r="A49" s="251" t="s">
        <v>1027</v>
      </c>
      <c r="B49" s="252" t="s">
        <v>1801</v>
      </c>
      <c r="C49" s="254" t="s">
        <v>1110</v>
      </c>
      <c r="D49" s="252" t="s">
        <v>1802</v>
      </c>
      <c r="E49" s="252" t="s">
        <v>939</v>
      </c>
      <c r="F49" s="252" t="s">
        <v>889</v>
      </c>
      <c r="G49" s="255"/>
    </row>
    <row r="50" spans="1:7" s="108" customFormat="1" ht="14.1" customHeight="1">
      <c r="A50" s="251" t="s">
        <v>1027</v>
      </c>
      <c r="B50" s="252" t="s">
        <v>1803</v>
      </c>
      <c r="C50" s="254" t="s">
        <v>903</v>
      </c>
      <c r="D50" s="252" t="s">
        <v>1804</v>
      </c>
      <c r="E50" s="252" t="s">
        <v>907</v>
      </c>
      <c r="F50" s="252" t="s">
        <v>889</v>
      </c>
      <c r="G50" s="255"/>
    </row>
    <row r="51" spans="1:7" s="108" customFormat="1" ht="14.1" customHeight="1">
      <c r="A51" s="251" t="s">
        <v>1027</v>
      </c>
      <c r="B51" s="252" t="s">
        <v>1805</v>
      </c>
      <c r="C51" s="254" t="s">
        <v>1000</v>
      </c>
      <c r="D51" s="252" t="s">
        <v>1382</v>
      </c>
      <c r="E51" s="252" t="s">
        <v>888</v>
      </c>
      <c r="F51" s="252" t="s">
        <v>889</v>
      </c>
      <c r="G51" s="255"/>
    </row>
    <row r="52" spans="1:7" s="108" customFormat="1" ht="14.1" customHeight="1">
      <c r="A52" s="251" t="s">
        <v>1027</v>
      </c>
      <c r="B52" s="252" t="s">
        <v>1806</v>
      </c>
      <c r="C52" s="254" t="s">
        <v>1164</v>
      </c>
      <c r="D52" s="252" t="s">
        <v>1807</v>
      </c>
      <c r="E52" s="252" t="s">
        <v>1157</v>
      </c>
      <c r="F52" s="252" t="s">
        <v>913</v>
      </c>
      <c r="G52" s="255"/>
    </row>
    <row r="53" spans="1:7" s="108" customFormat="1" ht="14.1" customHeight="1">
      <c r="A53" s="251" t="s">
        <v>1027</v>
      </c>
      <c r="B53" s="252" t="s">
        <v>1806</v>
      </c>
      <c r="C53" s="254" t="s">
        <v>1164</v>
      </c>
      <c r="D53" s="252" t="s">
        <v>1807</v>
      </c>
      <c r="E53" s="252" t="s">
        <v>1157</v>
      </c>
      <c r="F53" s="252" t="s">
        <v>889</v>
      </c>
      <c r="G53" s="255"/>
    </row>
    <row r="54" spans="1:7" s="108" customFormat="1" ht="14.1" customHeight="1">
      <c r="A54" s="251" t="s">
        <v>1291</v>
      </c>
      <c r="B54" s="252" t="s">
        <v>1808</v>
      </c>
      <c r="C54" s="254" t="s">
        <v>968</v>
      </c>
      <c r="D54" s="252" t="s">
        <v>1296</v>
      </c>
      <c r="E54" s="252" t="s">
        <v>888</v>
      </c>
      <c r="F54" s="252" t="s">
        <v>889</v>
      </c>
      <c r="G54" s="255">
        <v>16.495000000000001</v>
      </c>
    </row>
    <row r="55" spans="1:7" s="108" customFormat="1" ht="14.1" customHeight="1">
      <c r="A55" s="251" t="s">
        <v>1291</v>
      </c>
      <c r="B55" s="252" t="s">
        <v>1809</v>
      </c>
      <c r="C55" s="254" t="s">
        <v>968</v>
      </c>
      <c r="D55" s="252" t="s">
        <v>1776</v>
      </c>
      <c r="E55" s="252" t="s">
        <v>1157</v>
      </c>
      <c r="F55" s="252" t="s">
        <v>889</v>
      </c>
      <c r="G55" s="255"/>
    </row>
    <row r="56" spans="1:7" s="108" customFormat="1" ht="14.1" customHeight="1">
      <c r="A56" s="251" t="s">
        <v>1291</v>
      </c>
      <c r="B56" s="252" t="s">
        <v>1810</v>
      </c>
      <c r="C56" s="254" t="s">
        <v>968</v>
      </c>
      <c r="D56" s="252" t="s">
        <v>1811</v>
      </c>
      <c r="E56" s="252" t="s">
        <v>888</v>
      </c>
      <c r="F56" s="252" t="s">
        <v>889</v>
      </c>
      <c r="G56" s="255"/>
    </row>
    <row r="57" spans="1:7" s="108" customFormat="1" ht="14.1" customHeight="1">
      <c r="A57" s="251" t="s">
        <v>1291</v>
      </c>
      <c r="B57" s="252" t="s">
        <v>1812</v>
      </c>
      <c r="C57" s="254" t="s">
        <v>1046</v>
      </c>
      <c r="D57" s="252" t="s">
        <v>1295</v>
      </c>
      <c r="E57" s="252" t="s">
        <v>925</v>
      </c>
      <c r="F57" s="252" t="s">
        <v>889</v>
      </c>
      <c r="G57" s="255">
        <v>14.28</v>
      </c>
    </row>
    <row r="58" spans="1:7" s="108" customFormat="1" ht="14.1" customHeight="1">
      <c r="A58" s="251" t="s">
        <v>1291</v>
      </c>
      <c r="B58" s="252" t="s">
        <v>1813</v>
      </c>
      <c r="C58" s="254" t="s">
        <v>1088</v>
      </c>
      <c r="D58" s="252" t="s">
        <v>1305</v>
      </c>
      <c r="E58" s="252" t="s">
        <v>1306</v>
      </c>
      <c r="F58" s="252" t="s">
        <v>889</v>
      </c>
      <c r="G58" s="255"/>
    </row>
    <row r="59" spans="1:7" s="108" customFormat="1" ht="14.1" customHeight="1">
      <c r="A59" s="251" t="s">
        <v>1291</v>
      </c>
      <c r="B59" s="252" t="s">
        <v>1814</v>
      </c>
      <c r="C59" s="254" t="s">
        <v>986</v>
      </c>
      <c r="D59" s="252" t="s">
        <v>1815</v>
      </c>
      <c r="E59" s="252" t="s">
        <v>895</v>
      </c>
      <c r="F59" s="252" t="s">
        <v>889</v>
      </c>
      <c r="G59" s="255"/>
    </row>
    <row r="60" spans="1:7" s="108" customFormat="1" ht="14.1" customHeight="1">
      <c r="A60" s="251" t="s">
        <v>1291</v>
      </c>
      <c r="B60" s="252" t="s">
        <v>1816</v>
      </c>
      <c r="C60" s="254" t="s">
        <v>986</v>
      </c>
      <c r="D60" s="252" t="s">
        <v>1817</v>
      </c>
      <c r="E60" s="252" t="s">
        <v>895</v>
      </c>
      <c r="F60" s="252" t="s">
        <v>889</v>
      </c>
      <c r="G60" s="255"/>
    </row>
    <row r="61" spans="1:7" s="108" customFormat="1" ht="14.1" customHeight="1">
      <c r="A61" s="251" t="s">
        <v>1291</v>
      </c>
      <c r="B61" s="252" t="s">
        <v>1818</v>
      </c>
      <c r="C61" s="254" t="s">
        <v>887</v>
      </c>
      <c r="D61" s="252" t="s">
        <v>886</v>
      </c>
      <c r="E61" s="252" t="s">
        <v>1819</v>
      </c>
      <c r="F61" s="252" t="s">
        <v>889</v>
      </c>
      <c r="G61" s="255"/>
    </row>
    <row r="62" spans="1:7" s="108" customFormat="1" ht="14.1" customHeight="1">
      <c r="A62" s="251" t="s">
        <v>1291</v>
      </c>
      <c r="B62" s="252" t="s">
        <v>1820</v>
      </c>
      <c r="C62" s="254" t="s">
        <v>917</v>
      </c>
      <c r="D62" s="252" t="s">
        <v>1292</v>
      </c>
      <c r="E62" s="252" t="s">
        <v>929</v>
      </c>
      <c r="F62" s="252" t="s">
        <v>913</v>
      </c>
      <c r="G62" s="255">
        <v>2.7450000000000001</v>
      </c>
    </row>
    <row r="63" spans="1:7" s="108" customFormat="1" ht="14.1" customHeight="1">
      <c r="A63" s="251" t="s">
        <v>1291</v>
      </c>
      <c r="B63" s="252" t="s">
        <v>1821</v>
      </c>
      <c r="C63" s="254" t="s">
        <v>917</v>
      </c>
      <c r="D63" s="252" t="s">
        <v>1290</v>
      </c>
      <c r="E63" s="252" t="s">
        <v>929</v>
      </c>
      <c r="F63" s="252" t="s">
        <v>913</v>
      </c>
      <c r="G63" s="255">
        <v>10.199999999999999</v>
      </c>
    </row>
    <row r="64" spans="1:7" s="108" customFormat="1" ht="14.1" customHeight="1">
      <c r="A64" s="251" t="s">
        <v>1291</v>
      </c>
      <c r="B64" s="252" t="s">
        <v>1822</v>
      </c>
      <c r="C64" s="254" t="s">
        <v>917</v>
      </c>
      <c r="D64" s="252" t="s">
        <v>1293</v>
      </c>
      <c r="E64" s="252" t="s">
        <v>929</v>
      </c>
      <c r="F64" s="252" t="s">
        <v>889</v>
      </c>
      <c r="G64" s="255">
        <v>10</v>
      </c>
    </row>
    <row r="65" spans="1:7" s="108" customFormat="1" ht="14.1" customHeight="1">
      <c r="A65" s="251" t="s">
        <v>1291</v>
      </c>
      <c r="B65" s="252" t="s">
        <v>1823</v>
      </c>
      <c r="C65" s="254" t="s">
        <v>1009</v>
      </c>
      <c r="D65" s="252" t="s">
        <v>1294</v>
      </c>
      <c r="E65" s="252" t="s">
        <v>888</v>
      </c>
      <c r="F65" s="252" t="s">
        <v>892</v>
      </c>
      <c r="G65" s="255">
        <v>12.5</v>
      </c>
    </row>
    <row r="66" spans="1:7" s="108" customFormat="1" ht="14.1" customHeight="1">
      <c r="A66" s="251" t="s">
        <v>1377</v>
      </c>
      <c r="B66" s="252" t="s">
        <v>1824</v>
      </c>
      <c r="C66" s="254" t="s">
        <v>968</v>
      </c>
      <c r="D66" s="252" t="s">
        <v>1825</v>
      </c>
      <c r="E66" s="252" t="s">
        <v>939</v>
      </c>
      <c r="F66" s="252" t="s">
        <v>889</v>
      </c>
      <c r="G66" s="255"/>
    </row>
    <row r="67" spans="1:7" s="108" customFormat="1" ht="14.1" customHeight="1">
      <c r="A67" s="251" t="s">
        <v>1377</v>
      </c>
      <c r="B67" s="252" t="s">
        <v>1826</v>
      </c>
      <c r="C67" s="254" t="s">
        <v>968</v>
      </c>
      <c r="D67" s="252" t="s">
        <v>1827</v>
      </c>
      <c r="E67" s="252" t="s">
        <v>939</v>
      </c>
      <c r="F67" s="252" t="s">
        <v>889</v>
      </c>
      <c r="G67" s="255"/>
    </row>
    <row r="68" spans="1:7" s="108" customFormat="1" ht="14.1" customHeight="1">
      <c r="A68" s="251" t="s">
        <v>1377</v>
      </c>
      <c r="B68" s="252" t="s">
        <v>1828</v>
      </c>
      <c r="C68" s="254" t="s">
        <v>968</v>
      </c>
      <c r="D68" s="252" t="s">
        <v>1829</v>
      </c>
      <c r="E68" s="252" t="s">
        <v>939</v>
      </c>
      <c r="F68" s="252" t="s">
        <v>889</v>
      </c>
      <c r="G68" s="255"/>
    </row>
    <row r="69" spans="1:7" s="108" customFormat="1" ht="14.1" customHeight="1">
      <c r="A69" s="251" t="s">
        <v>1377</v>
      </c>
      <c r="B69" s="252" t="s">
        <v>1830</v>
      </c>
      <c r="C69" s="254" t="s">
        <v>1030</v>
      </c>
      <c r="D69" s="252" t="s">
        <v>1831</v>
      </c>
      <c r="E69" s="252" t="s">
        <v>1142</v>
      </c>
      <c r="F69" s="252" t="s">
        <v>889</v>
      </c>
      <c r="G69" s="255"/>
    </row>
    <row r="70" spans="1:7" s="108" customFormat="1" ht="14.1" customHeight="1">
      <c r="A70" s="251" t="s">
        <v>1377</v>
      </c>
      <c r="B70" s="252" t="s">
        <v>1832</v>
      </c>
      <c r="C70" s="254" t="s">
        <v>1833</v>
      </c>
      <c r="D70" s="252" t="s">
        <v>1834</v>
      </c>
      <c r="E70" s="252" t="s">
        <v>888</v>
      </c>
      <c r="F70" s="252" t="s">
        <v>889</v>
      </c>
      <c r="G70" s="255"/>
    </row>
    <row r="71" spans="1:7" s="108" customFormat="1" ht="14.1" customHeight="1">
      <c r="A71" s="251" t="s">
        <v>1377</v>
      </c>
      <c r="B71" s="252" t="s">
        <v>1835</v>
      </c>
      <c r="C71" s="254" t="s">
        <v>887</v>
      </c>
      <c r="D71" s="252" t="s">
        <v>1356</v>
      </c>
      <c r="E71" s="252" t="s">
        <v>888</v>
      </c>
      <c r="F71" s="252" t="s">
        <v>889</v>
      </c>
      <c r="G71" s="255"/>
    </row>
    <row r="72" spans="1:7" s="108" customFormat="1" ht="14.1" customHeight="1">
      <c r="A72" s="251" t="s">
        <v>1377</v>
      </c>
      <c r="B72" s="252" t="s">
        <v>1836</v>
      </c>
      <c r="C72" s="254" t="s">
        <v>917</v>
      </c>
      <c r="D72" s="252" t="s">
        <v>1378</v>
      </c>
      <c r="E72" s="252" t="s">
        <v>918</v>
      </c>
      <c r="F72" s="252" t="s">
        <v>892</v>
      </c>
      <c r="G72" s="255">
        <v>9.1999999999999998E-2</v>
      </c>
    </row>
    <row r="73" spans="1:7" s="108" customFormat="1" ht="14.1" customHeight="1">
      <c r="A73" s="251" t="s">
        <v>1377</v>
      </c>
      <c r="B73" s="252" t="s">
        <v>1837</v>
      </c>
      <c r="C73" s="254" t="s">
        <v>894</v>
      </c>
      <c r="D73" s="252" t="s">
        <v>1044</v>
      </c>
      <c r="E73" s="252" t="s">
        <v>918</v>
      </c>
      <c r="F73" s="252" t="s">
        <v>892</v>
      </c>
      <c r="G73" s="255">
        <v>9.9499999999999993</v>
      </c>
    </row>
    <row r="74" spans="1:7" s="108" customFormat="1" ht="14.1" customHeight="1">
      <c r="A74" s="251" t="s">
        <v>1377</v>
      </c>
      <c r="B74" s="252" t="s">
        <v>1837</v>
      </c>
      <c r="C74" s="254" t="s">
        <v>894</v>
      </c>
      <c r="D74" s="252" t="s">
        <v>1044</v>
      </c>
      <c r="E74" s="252" t="s">
        <v>918</v>
      </c>
      <c r="F74" s="252" t="s">
        <v>889</v>
      </c>
      <c r="G74" s="255">
        <v>6</v>
      </c>
    </row>
    <row r="75" spans="1:7" s="108" customFormat="1" ht="14.1" customHeight="1">
      <c r="A75" s="251" t="s">
        <v>1377</v>
      </c>
      <c r="B75" s="252" t="s">
        <v>1838</v>
      </c>
      <c r="C75" s="254" t="s">
        <v>1000</v>
      </c>
      <c r="D75" s="252" t="s">
        <v>1839</v>
      </c>
      <c r="E75" s="252" t="s">
        <v>888</v>
      </c>
      <c r="F75" s="252" t="s">
        <v>889</v>
      </c>
      <c r="G75" s="255"/>
    </row>
    <row r="76" spans="1:7" s="108" customFormat="1" ht="14.1" customHeight="1">
      <c r="A76" s="251" t="s">
        <v>1377</v>
      </c>
      <c r="B76" s="252" t="s">
        <v>1840</v>
      </c>
      <c r="C76" s="254" t="s">
        <v>1000</v>
      </c>
      <c r="D76" s="252" t="s">
        <v>1841</v>
      </c>
      <c r="E76" s="252" t="s">
        <v>1136</v>
      </c>
      <c r="F76" s="252" t="s">
        <v>889</v>
      </c>
      <c r="G76" s="255"/>
    </row>
    <row r="77" spans="1:7" s="108" customFormat="1" ht="14.1" customHeight="1">
      <c r="A77" s="251" t="s">
        <v>1463</v>
      </c>
      <c r="B77" s="252" t="s">
        <v>1842</v>
      </c>
      <c r="C77" s="254" t="s">
        <v>968</v>
      </c>
      <c r="D77" s="252" t="s">
        <v>1843</v>
      </c>
      <c r="E77" s="252" t="s">
        <v>888</v>
      </c>
      <c r="F77" s="252" t="s">
        <v>889</v>
      </c>
      <c r="G77" s="255"/>
    </row>
    <row r="78" spans="1:7" s="108" customFormat="1" ht="14.1" customHeight="1">
      <c r="A78" s="251" t="s">
        <v>1463</v>
      </c>
      <c r="B78" s="252" t="s">
        <v>1844</v>
      </c>
      <c r="C78" s="254" t="s">
        <v>968</v>
      </c>
      <c r="D78" s="252" t="s">
        <v>1845</v>
      </c>
      <c r="E78" s="252" t="s">
        <v>895</v>
      </c>
      <c r="F78" s="252" t="s">
        <v>889</v>
      </c>
      <c r="G78" s="255"/>
    </row>
    <row r="79" spans="1:7" s="108" customFormat="1" ht="14.1" customHeight="1">
      <c r="A79" s="251" t="s">
        <v>1463</v>
      </c>
      <c r="B79" s="252" t="s">
        <v>1846</v>
      </c>
      <c r="C79" s="254" t="s">
        <v>944</v>
      </c>
      <c r="D79" s="252" t="s">
        <v>1472</v>
      </c>
      <c r="E79" s="252" t="s">
        <v>888</v>
      </c>
      <c r="F79" s="252" t="s">
        <v>889</v>
      </c>
      <c r="G79" s="255">
        <v>105</v>
      </c>
    </row>
    <row r="80" spans="1:7" s="108" customFormat="1" ht="14.1" customHeight="1">
      <c r="A80" s="251" t="s">
        <v>1463</v>
      </c>
      <c r="B80" s="252" t="s">
        <v>1847</v>
      </c>
      <c r="C80" s="254" t="s">
        <v>944</v>
      </c>
      <c r="D80" s="252" t="s">
        <v>1848</v>
      </c>
      <c r="E80" s="252" t="s">
        <v>1021</v>
      </c>
      <c r="F80" s="252" t="s">
        <v>889</v>
      </c>
      <c r="G80" s="255"/>
    </row>
    <row r="81" spans="1:7" s="108" customFormat="1" ht="14.1" customHeight="1">
      <c r="A81" s="251" t="s">
        <v>1463</v>
      </c>
      <c r="B81" s="252" t="s">
        <v>1849</v>
      </c>
      <c r="C81" s="254" t="s">
        <v>1030</v>
      </c>
      <c r="D81" s="252" t="s">
        <v>1473</v>
      </c>
      <c r="E81" s="252" t="s">
        <v>888</v>
      </c>
      <c r="F81" s="252" t="s">
        <v>889</v>
      </c>
      <c r="G81" s="255">
        <v>379.714</v>
      </c>
    </row>
    <row r="82" spans="1:7" s="108" customFormat="1" ht="14.1" customHeight="1">
      <c r="A82" s="251" t="s">
        <v>1463</v>
      </c>
      <c r="B82" s="252" t="s">
        <v>1850</v>
      </c>
      <c r="C82" s="254" t="s">
        <v>1088</v>
      </c>
      <c r="D82" s="252" t="s">
        <v>1851</v>
      </c>
      <c r="E82" s="252" t="s">
        <v>939</v>
      </c>
      <c r="F82" s="252" t="s">
        <v>889</v>
      </c>
      <c r="G82" s="255"/>
    </row>
    <row r="83" spans="1:7" s="108" customFormat="1" ht="14.1" customHeight="1">
      <c r="A83" s="251" t="s">
        <v>1463</v>
      </c>
      <c r="B83" s="252" t="s">
        <v>1852</v>
      </c>
      <c r="C83" s="254" t="s">
        <v>1088</v>
      </c>
      <c r="D83" s="252" t="s">
        <v>1853</v>
      </c>
      <c r="E83" s="252" t="s">
        <v>888</v>
      </c>
      <c r="F83" s="252" t="s">
        <v>889</v>
      </c>
      <c r="G83" s="255"/>
    </row>
    <row r="84" spans="1:7" s="108" customFormat="1" ht="14.1" customHeight="1">
      <c r="A84" s="251" t="s">
        <v>1463</v>
      </c>
      <c r="B84" s="252" t="s">
        <v>1854</v>
      </c>
      <c r="C84" s="254" t="s">
        <v>1032</v>
      </c>
      <c r="D84" s="252" t="s">
        <v>1855</v>
      </c>
      <c r="E84" s="252" t="s">
        <v>925</v>
      </c>
      <c r="F84" s="252" t="s">
        <v>1794</v>
      </c>
      <c r="G84" s="255"/>
    </row>
    <row r="85" spans="1:7" s="108" customFormat="1" ht="14.1" customHeight="1">
      <c r="A85" s="251" t="s">
        <v>1463</v>
      </c>
      <c r="B85" s="252" t="s">
        <v>1856</v>
      </c>
      <c r="C85" s="254" t="s">
        <v>906</v>
      </c>
      <c r="D85" s="252" t="s">
        <v>1857</v>
      </c>
      <c r="E85" s="252" t="s">
        <v>1327</v>
      </c>
      <c r="F85" s="252" t="s">
        <v>889</v>
      </c>
      <c r="G85" s="255"/>
    </row>
    <row r="86" spans="1:7" s="108" customFormat="1" ht="14.1" customHeight="1">
      <c r="A86" s="251" t="s">
        <v>1463</v>
      </c>
      <c r="B86" s="252" t="s">
        <v>1858</v>
      </c>
      <c r="C86" s="254" t="s">
        <v>906</v>
      </c>
      <c r="D86" s="252" t="s">
        <v>1857</v>
      </c>
      <c r="E86" s="252" t="s">
        <v>1327</v>
      </c>
      <c r="F86" s="252" t="s">
        <v>889</v>
      </c>
      <c r="G86" s="255"/>
    </row>
    <row r="87" spans="1:7" s="108" customFormat="1" ht="14.1" customHeight="1">
      <c r="A87" s="251" t="s">
        <v>1463</v>
      </c>
      <c r="B87" s="252" t="s">
        <v>1859</v>
      </c>
      <c r="C87" s="254" t="s">
        <v>1833</v>
      </c>
      <c r="D87" s="252" t="s">
        <v>1860</v>
      </c>
      <c r="E87" s="252" t="s">
        <v>888</v>
      </c>
      <c r="F87" s="252" t="s">
        <v>889</v>
      </c>
      <c r="G87" s="255"/>
    </row>
    <row r="88" spans="1:7" s="108" customFormat="1" ht="14.1" customHeight="1">
      <c r="A88" s="251" t="s">
        <v>1463</v>
      </c>
      <c r="B88" s="252" t="s">
        <v>1861</v>
      </c>
      <c r="C88" s="254" t="s">
        <v>1202</v>
      </c>
      <c r="D88" s="252" t="s">
        <v>1471</v>
      </c>
      <c r="E88" s="252" t="s">
        <v>888</v>
      </c>
      <c r="F88" s="252" t="s">
        <v>889</v>
      </c>
      <c r="G88" s="255">
        <v>23</v>
      </c>
    </row>
    <row r="89" spans="1:7" s="108" customFormat="1" ht="14.1" customHeight="1">
      <c r="A89" s="251" t="s">
        <v>1463</v>
      </c>
      <c r="B89" s="252" t="s">
        <v>1862</v>
      </c>
      <c r="C89" s="254" t="s">
        <v>917</v>
      </c>
      <c r="D89" s="252" t="s">
        <v>886</v>
      </c>
      <c r="E89" s="252" t="s">
        <v>1033</v>
      </c>
      <c r="F89" s="252" t="s">
        <v>889</v>
      </c>
      <c r="G89" s="255">
        <v>60</v>
      </c>
    </row>
    <row r="90" spans="1:7" s="108" customFormat="1" ht="14.1" customHeight="1">
      <c r="A90" s="251" t="s">
        <v>1463</v>
      </c>
      <c r="B90" s="252" t="s">
        <v>1863</v>
      </c>
      <c r="C90" s="254" t="s">
        <v>917</v>
      </c>
      <c r="D90" s="252" t="s">
        <v>1467</v>
      </c>
      <c r="E90" s="252" t="s">
        <v>918</v>
      </c>
      <c r="F90" s="252" t="s">
        <v>889</v>
      </c>
      <c r="G90" s="255">
        <v>0.71599999999999997</v>
      </c>
    </row>
    <row r="91" spans="1:7" s="108" customFormat="1" ht="14.1" customHeight="1">
      <c r="A91" s="251" t="s">
        <v>1463</v>
      </c>
      <c r="B91" s="252" t="s">
        <v>1864</v>
      </c>
      <c r="C91" s="254" t="s">
        <v>917</v>
      </c>
      <c r="D91" s="252" t="s">
        <v>1469</v>
      </c>
      <c r="E91" s="252" t="s">
        <v>888</v>
      </c>
      <c r="F91" s="252" t="s">
        <v>892</v>
      </c>
      <c r="G91" s="255">
        <v>5.9</v>
      </c>
    </row>
    <row r="92" spans="1:7" s="108" customFormat="1" ht="14.1" customHeight="1">
      <c r="A92" s="251" t="s">
        <v>1463</v>
      </c>
      <c r="B92" s="252" t="s">
        <v>1865</v>
      </c>
      <c r="C92" s="254" t="s">
        <v>917</v>
      </c>
      <c r="D92" s="252" t="s">
        <v>1866</v>
      </c>
      <c r="E92" s="252" t="s">
        <v>1306</v>
      </c>
      <c r="F92" s="252" t="s">
        <v>892</v>
      </c>
      <c r="G92" s="255"/>
    </row>
    <row r="93" spans="1:7" s="108" customFormat="1" ht="14.1" customHeight="1">
      <c r="A93" s="251" t="s">
        <v>1463</v>
      </c>
      <c r="B93" s="252" t="s">
        <v>1867</v>
      </c>
      <c r="C93" s="254" t="s">
        <v>917</v>
      </c>
      <c r="D93" s="252" t="s">
        <v>1470</v>
      </c>
      <c r="E93" s="252" t="s">
        <v>918</v>
      </c>
      <c r="F93" s="252" t="s">
        <v>913</v>
      </c>
      <c r="G93" s="255">
        <v>19.087</v>
      </c>
    </row>
    <row r="94" spans="1:7" s="108" customFormat="1" ht="14.1" customHeight="1">
      <c r="A94" s="251" t="s">
        <v>1463</v>
      </c>
      <c r="B94" s="252" t="s">
        <v>1867</v>
      </c>
      <c r="C94" s="254" t="s">
        <v>917</v>
      </c>
      <c r="D94" s="252" t="s">
        <v>1470</v>
      </c>
      <c r="E94" s="252" t="s">
        <v>918</v>
      </c>
      <c r="F94" s="252" t="s">
        <v>913</v>
      </c>
      <c r="G94" s="255">
        <v>5.9649999999999999</v>
      </c>
    </row>
    <row r="95" spans="1:7" s="108" customFormat="1" ht="14.1" customHeight="1">
      <c r="A95" s="251" t="s">
        <v>1463</v>
      </c>
      <c r="B95" s="252" t="s">
        <v>1868</v>
      </c>
      <c r="C95" s="254" t="s">
        <v>917</v>
      </c>
      <c r="D95" s="252" t="s">
        <v>1465</v>
      </c>
      <c r="E95" s="252" t="s">
        <v>888</v>
      </c>
      <c r="F95" s="252" t="s">
        <v>892</v>
      </c>
      <c r="G95" s="255">
        <v>0.47299999999999998</v>
      </c>
    </row>
    <row r="96" spans="1:7" s="108" customFormat="1" ht="14.1" customHeight="1">
      <c r="A96" s="251" t="s">
        <v>1463</v>
      </c>
      <c r="B96" s="252" t="s">
        <v>1869</v>
      </c>
      <c r="C96" s="254" t="s">
        <v>917</v>
      </c>
      <c r="D96" s="252" t="s">
        <v>1468</v>
      </c>
      <c r="E96" s="252" t="s">
        <v>888</v>
      </c>
      <c r="F96" s="252" t="s">
        <v>889</v>
      </c>
      <c r="G96" s="255">
        <v>2.3380000000000001</v>
      </c>
    </row>
    <row r="97" spans="1:7" s="108" customFormat="1" ht="14.1" customHeight="1">
      <c r="A97" s="251" t="s">
        <v>1463</v>
      </c>
      <c r="B97" s="252" t="s">
        <v>1870</v>
      </c>
      <c r="C97" s="254" t="s">
        <v>917</v>
      </c>
      <c r="D97" s="252" t="s">
        <v>1464</v>
      </c>
      <c r="E97" s="252" t="s">
        <v>918</v>
      </c>
      <c r="F97" s="252" t="s">
        <v>913</v>
      </c>
      <c r="G97" s="255">
        <v>7.1999999999999995E-2</v>
      </c>
    </row>
    <row r="98" spans="1:7" s="108" customFormat="1" ht="14.1" customHeight="1">
      <c r="A98" s="251" t="s">
        <v>1463</v>
      </c>
      <c r="B98" s="252" t="s">
        <v>1871</v>
      </c>
      <c r="C98" s="254" t="s">
        <v>1023</v>
      </c>
      <c r="D98" s="252" t="s">
        <v>1872</v>
      </c>
      <c r="E98" s="252" t="s">
        <v>895</v>
      </c>
      <c r="F98" s="252" t="s">
        <v>889</v>
      </c>
      <c r="G98" s="255"/>
    </row>
    <row r="99" spans="1:7" s="108" customFormat="1" ht="14.1" customHeight="1">
      <c r="A99" s="251" t="s">
        <v>1463</v>
      </c>
      <c r="B99" s="252" t="s">
        <v>1873</v>
      </c>
      <c r="C99" s="254" t="s">
        <v>1475</v>
      </c>
      <c r="D99" s="252" t="s">
        <v>1474</v>
      </c>
      <c r="E99" s="252" t="s">
        <v>888</v>
      </c>
      <c r="F99" s="252" t="s">
        <v>889</v>
      </c>
      <c r="G99" s="255">
        <v>700</v>
      </c>
    </row>
    <row r="100" spans="1:7" s="108" customFormat="1" ht="14.1" customHeight="1">
      <c r="A100" s="251" t="s">
        <v>1611</v>
      </c>
      <c r="B100" s="252" t="s">
        <v>1874</v>
      </c>
      <c r="C100" s="254" t="s">
        <v>1051</v>
      </c>
      <c r="D100" s="252" t="s">
        <v>1038</v>
      </c>
      <c r="E100" s="252" t="s">
        <v>888</v>
      </c>
      <c r="F100" s="252" t="s">
        <v>889</v>
      </c>
      <c r="G100" s="255"/>
    </row>
    <row r="101" spans="1:7" s="108" customFormat="1" ht="14.1" customHeight="1">
      <c r="A101" s="251" t="s">
        <v>1611</v>
      </c>
      <c r="B101" s="252" t="s">
        <v>1875</v>
      </c>
      <c r="C101" s="254" t="s">
        <v>1466</v>
      </c>
      <c r="D101" s="252" t="s">
        <v>1876</v>
      </c>
      <c r="E101" s="252" t="s">
        <v>888</v>
      </c>
      <c r="F101" s="252" t="s">
        <v>889</v>
      </c>
      <c r="G101" s="255"/>
    </row>
    <row r="102" spans="1:7" s="108" customFormat="1" ht="14.1" customHeight="1">
      <c r="A102" s="251" t="s">
        <v>1611</v>
      </c>
      <c r="B102" s="252" t="s">
        <v>1877</v>
      </c>
      <c r="C102" s="254" t="s">
        <v>1466</v>
      </c>
      <c r="D102" s="252" t="s">
        <v>886</v>
      </c>
      <c r="E102" s="252" t="s">
        <v>939</v>
      </c>
      <c r="F102" s="252" t="s">
        <v>892</v>
      </c>
      <c r="G102" s="255">
        <v>12.494</v>
      </c>
    </row>
    <row r="103" spans="1:7" s="108" customFormat="1" ht="14.1" customHeight="1">
      <c r="A103" s="251" t="s">
        <v>1611</v>
      </c>
      <c r="B103" s="252" t="s">
        <v>1878</v>
      </c>
      <c r="C103" s="254" t="s">
        <v>1088</v>
      </c>
      <c r="D103" s="252" t="s">
        <v>1613</v>
      </c>
      <c r="E103" s="252" t="s">
        <v>939</v>
      </c>
      <c r="F103" s="252" t="s">
        <v>889</v>
      </c>
      <c r="G103" s="255">
        <v>6.9</v>
      </c>
    </row>
    <row r="104" spans="1:7" s="108" customFormat="1" ht="14.1" customHeight="1">
      <c r="A104" s="251" t="s">
        <v>1611</v>
      </c>
      <c r="B104" s="252" t="s">
        <v>1879</v>
      </c>
      <c r="C104" s="254" t="s">
        <v>1088</v>
      </c>
      <c r="D104" s="252" t="s">
        <v>1880</v>
      </c>
      <c r="E104" s="252" t="s">
        <v>895</v>
      </c>
      <c r="F104" s="252" t="s">
        <v>889</v>
      </c>
      <c r="G104" s="255"/>
    </row>
    <row r="105" spans="1:7" s="108" customFormat="1" ht="14.1" customHeight="1">
      <c r="A105" s="251" t="s">
        <v>1611</v>
      </c>
      <c r="B105" s="252" t="s">
        <v>1881</v>
      </c>
      <c r="C105" s="254" t="s">
        <v>906</v>
      </c>
      <c r="D105" s="252" t="s">
        <v>1614</v>
      </c>
      <c r="E105" s="252" t="s">
        <v>1119</v>
      </c>
      <c r="F105" s="252" t="s">
        <v>889</v>
      </c>
      <c r="G105" s="255">
        <v>120.85</v>
      </c>
    </row>
    <row r="106" spans="1:7" s="108" customFormat="1" ht="14.1" customHeight="1">
      <c r="A106" s="251" t="s">
        <v>1611</v>
      </c>
      <c r="B106" s="252" t="s">
        <v>1881</v>
      </c>
      <c r="C106" s="254" t="s">
        <v>906</v>
      </c>
      <c r="D106" s="252" t="s">
        <v>1614</v>
      </c>
      <c r="E106" s="252" t="s">
        <v>1119</v>
      </c>
      <c r="F106" s="252" t="s">
        <v>931</v>
      </c>
      <c r="G106" s="255">
        <v>609.84</v>
      </c>
    </row>
    <row r="107" spans="1:7" s="108" customFormat="1" ht="14.1" customHeight="1">
      <c r="A107" s="251" t="s">
        <v>1611</v>
      </c>
      <c r="B107" s="252" t="s">
        <v>1881</v>
      </c>
      <c r="C107" s="254" t="s">
        <v>906</v>
      </c>
      <c r="D107" s="252" t="s">
        <v>1610</v>
      </c>
      <c r="E107" s="252" t="s">
        <v>945</v>
      </c>
      <c r="F107" s="252" t="s">
        <v>889</v>
      </c>
      <c r="G107" s="255">
        <v>639.48900000000003</v>
      </c>
    </row>
    <row r="108" spans="1:7" s="108" customFormat="1" ht="14.1" customHeight="1">
      <c r="A108" s="251" t="s">
        <v>1611</v>
      </c>
      <c r="B108" s="252" t="s">
        <v>1882</v>
      </c>
      <c r="C108" s="254" t="s">
        <v>986</v>
      </c>
      <c r="D108" s="252" t="s">
        <v>1883</v>
      </c>
      <c r="E108" s="252" t="s">
        <v>888</v>
      </c>
      <c r="F108" s="252" t="s">
        <v>889</v>
      </c>
      <c r="G108" s="255"/>
    </row>
    <row r="109" spans="1:7" s="108" customFormat="1" ht="14.1" customHeight="1">
      <c r="A109" s="251" t="s">
        <v>1611</v>
      </c>
      <c r="B109" s="252" t="s">
        <v>1884</v>
      </c>
      <c r="C109" s="254" t="s">
        <v>917</v>
      </c>
      <c r="D109" s="252" t="s">
        <v>1885</v>
      </c>
      <c r="E109" s="252" t="s">
        <v>888</v>
      </c>
      <c r="F109" s="252" t="s">
        <v>892</v>
      </c>
      <c r="G109" s="255"/>
    </row>
    <row r="110" spans="1:7" s="108" customFormat="1" ht="14.1" customHeight="1">
      <c r="A110" s="251" t="s">
        <v>1611</v>
      </c>
      <c r="B110" s="252" t="s">
        <v>1886</v>
      </c>
      <c r="C110" s="254" t="s">
        <v>917</v>
      </c>
      <c r="D110" s="252" t="s">
        <v>1887</v>
      </c>
      <c r="E110" s="252" t="s">
        <v>1888</v>
      </c>
      <c r="F110" s="252" t="s">
        <v>889</v>
      </c>
      <c r="G110" s="255"/>
    </row>
    <row r="111" spans="1:7" s="108" customFormat="1" ht="14.1" customHeight="1">
      <c r="A111" s="251" t="s">
        <v>1611</v>
      </c>
      <c r="B111" s="252" t="s">
        <v>1889</v>
      </c>
      <c r="C111" s="254" t="s">
        <v>917</v>
      </c>
      <c r="D111" s="252" t="s">
        <v>1612</v>
      </c>
      <c r="E111" s="252" t="s">
        <v>918</v>
      </c>
      <c r="F111" s="252" t="s">
        <v>889</v>
      </c>
      <c r="G111" s="255">
        <v>4.0110000000000001</v>
      </c>
    </row>
    <row r="112" spans="1:7" s="108" customFormat="1" ht="14.1" customHeight="1">
      <c r="A112" s="251" t="s">
        <v>1611</v>
      </c>
      <c r="B112" s="252" t="s">
        <v>1889</v>
      </c>
      <c r="C112" s="254" t="s">
        <v>917</v>
      </c>
      <c r="D112" s="252" t="s">
        <v>1612</v>
      </c>
      <c r="E112" s="252" t="s">
        <v>918</v>
      </c>
      <c r="F112" s="252" t="s">
        <v>889</v>
      </c>
      <c r="G112" s="255">
        <v>3.82</v>
      </c>
    </row>
    <row r="113" spans="1:7" s="108" customFormat="1" ht="14.1" customHeight="1">
      <c r="A113" s="251" t="s">
        <v>1611</v>
      </c>
      <c r="B113" s="252" t="s">
        <v>1890</v>
      </c>
      <c r="C113" s="254" t="s">
        <v>1023</v>
      </c>
      <c r="D113" s="252" t="s">
        <v>886</v>
      </c>
      <c r="E113" s="252" t="s">
        <v>939</v>
      </c>
      <c r="F113" s="252" t="s">
        <v>892</v>
      </c>
      <c r="G113" s="255"/>
    </row>
    <row r="114" spans="1:7" s="108" customFormat="1" ht="14.1" customHeight="1">
      <c r="A114" s="251" t="s">
        <v>909</v>
      </c>
      <c r="B114" s="252" t="s">
        <v>1891</v>
      </c>
      <c r="C114" s="254" t="s">
        <v>947</v>
      </c>
      <c r="D114" s="252" t="s">
        <v>1892</v>
      </c>
      <c r="E114" s="252" t="s">
        <v>888</v>
      </c>
      <c r="F114" s="252" t="s">
        <v>889</v>
      </c>
      <c r="G114" s="255"/>
    </row>
    <row r="115" spans="1:7" s="108" customFormat="1" ht="14.1" customHeight="1">
      <c r="A115" s="251" t="s">
        <v>909</v>
      </c>
      <c r="B115" s="252" t="s">
        <v>1893</v>
      </c>
      <c r="C115" s="254" t="s">
        <v>968</v>
      </c>
      <c r="D115" s="252" t="s">
        <v>896</v>
      </c>
      <c r="E115" s="252" t="s">
        <v>895</v>
      </c>
      <c r="F115" s="252" t="s">
        <v>889</v>
      </c>
      <c r="G115" s="255"/>
    </row>
    <row r="116" spans="1:7" s="108" customFormat="1" ht="14.1" customHeight="1">
      <c r="A116" s="251" t="s">
        <v>909</v>
      </c>
      <c r="B116" s="252" t="s">
        <v>1894</v>
      </c>
      <c r="C116" s="254" t="s">
        <v>1088</v>
      </c>
      <c r="D116" s="252" t="s">
        <v>886</v>
      </c>
      <c r="E116" s="252" t="s">
        <v>939</v>
      </c>
      <c r="F116" s="252" t="s">
        <v>889</v>
      </c>
      <c r="G116" s="255"/>
    </row>
    <row r="117" spans="1:7" s="108" customFormat="1" ht="14.1" customHeight="1">
      <c r="A117" s="251" t="s">
        <v>909</v>
      </c>
      <c r="B117" s="252" t="s">
        <v>1895</v>
      </c>
      <c r="C117" s="254" t="s">
        <v>1088</v>
      </c>
      <c r="D117" s="252" t="s">
        <v>886</v>
      </c>
      <c r="E117" s="252" t="s">
        <v>939</v>
      </c>
      <c r="F117" s="252" t="s">
        <v>889</v>
      </c>
      <c r="G117" s="255"/>
    </row>
    <row r="118" spans="1:7" s="108" customFormat="1" ht="14.1" customHeight="1">
      <c r="A118" s="251" t="s">
        <v>909</v>
      </c>
      <c r="B118" s="252" t="s">
        <v>1896</v>
      </c>
      <c r="C118" s="254" t="s">
        <v>986</v>
      </c>
      <c r="D118" s="252" t="s">
        <v>1897</v>
      </c>
      <c r="E118" s="252" t="s">
        <v>959</v>
      </c>
      <c r="F118" s="252" t="s">
        <v>889</v>
      </c>
      <c r="G118" s="255"/>
    </row>
    <row r="119" spans="1:7" s="108" customFormat="1" ht="14.1" customHeight="1">
      <c r="A119" s="251" t="s">
        <v>909</v>
      </c>
      <c r="B119" s="252" t="s">
        <v>1898</v>
      </c>
      <c r="C119" s="254" t="s">
        <v>917</v>
      </c>
      <c r="D119" s="252" t="s">
        <v>886</v>
      </c>
      <c r="E119" s="252" t="s">
        <v>1033</v>
      </c>
      <c r="F119" s="252" t="s">
        <v>889</v>
      </c>
      <c r="G119" s="255"/>
    </row>
    <row r="120" spans="1:7" s="108" customFormat="1" ht="14.1" customHeight="1">
      <c r="A120" s="251" t="s">
        <v>909</v>
      </c>
      <c r="B120" s="252" t="s">
        <v>1899</v>
      </c>
      <c r="C120" s="254" t="s">
        <v>1900</v>
      </c>
      <c r="D120" s="252" t="s">
        <v>1901</v>
      </c>
      <c r="E120" s="252" t="s">
        <v>888</v>
      </c>
      <c r="F120" s="252" t="s">
        <v>889</v>
      </c>
      <c r="G120" s="255"/>
    </row>
    <row r="121" spans="1:7" s="108" customFormat="1" ht="14.1" customHeight="1">
      <c r="A121" s="251" t="s">
        <v>909</v>
      </c>
      <c r="B121" s="252" t="s">
        <v>1902</v>
      </c>
      <c r="C121" s="254" t="s">
        <v>1903</v>
      </c>
      <c r="D121" s="252" t="s">
        <v>1904</v>
      </c>
      <c r="E121" s="252" t="s">
        <v>888</v>
      </c>
      <c r="F121" s="252" t="s">
        <v>889</v>
      </c>
      <c r="G121" s="255"/>
    </row>
    <row r="122" spans="1:7" s="108" customFormat="1" ht="14.1" customHeight="1">
      <c r="A122" s="251" t="s">
        <v>909</v>
      </c>
      <c r="B122" s="252" t="s">
        <v>1905</v>
      </c>
      <c r="C122" s="254" t="s">
        <v>911</v>
      </c>
      <c r="D122" s="252" t="s">
        <v>910</v>
      </c>
      <c r="E122" s="252" t="s">
        <v>912</v>
      </c>
      <c r="F122" s="252" t="s">
        <v>913</v>
      </c>
      <c r="G122" s="255">
        <v>1.954</v>
      </c>
    </row>
    <row r="123" spans="1:7" s="108" customFormat="1" ht="14.1" customHeight="1">
      <c r="A123" s="251" t="s">
        <v>1040</v>
      </c>
      <c r="B123" s="252" t="s">
        <v>1906</v>
      </c>
      <c r="C123" s="254" t="s">
        <v>897</v>
      </c>
      <c r="D123" s="252" t="s">
        <v>1907</v>
      </c>
      <c r="E123" s="252" t="s">
        <v>888</v>
      </c>
      <c r="F123" s="252" t="s">
        <v>889</v>
      </c>
      <c r="G123" s="255"/>
    </row>
    <row r="124" spans="1:7" s="108" customFormat="1" ht="14.1" customHeight="1">
      <c r="A124" s="251" t="s">
        <v>1040</v>
      </c>
      <c r="B124" s="252" t="s">
        <v>1908</v>
      </c>
      <c r="C124" s="254" t="s">
        <v>897</v>
      </c>
      <c r="D124" s="252" t="s">
        <v>1909</v>
      </c>
      <c r="E124" s="252" t="s">
        <v>907</v>
      </c>
      <c r="F124" s="252" t="s">
        <v>889</v>
      </c>
      <c r="G124" s="255"/>
    </row>
    <row r="125" spans="1:7" s="108" customFormat="1" ht="14.1" customHeight="1">
      <c r="A125" s="251" t="s">
        <v>1040</v>
      </c>
      <c r="B125" s="252" t="s">
        <v>1910</v>
      </c>
      <c r="C125" s="254" t="s">
        <v>968</v>
      </c>
      <c r="D125" s="252" t="s">
        <v>1911</v>
      </c>
      <c r="E125" s="252" t="s">
        <v>907</v>
      </c>
      <c r="F125" s="252" t="s">
        <v>889</v>
      </c>
      <c r="G125" s="255"/>
    </row>
    <row r="126" spans="1:7" s="108" customFormat="1" ht="14.1" customHeight="1">
      <c r="A126" s="251" t="s">
        <v>1040</v>
      </c>
      <c r="B126" s="252" t="s">
        <v>1912</v>
      </c>
      <c r="C126" s="254" t="s">
        <v>968</v>
      </c>
      <c r="D126" s="252" t="s">
        <v>1053</v>
      </c>
      <c r="E126" s="252" t="s">
        <v>895</v>
      </c>
      <c r="F126" s="252" t="s">
        <v>889</v>
      </c>
      <c r="G126" s="255">
        <v>33.814</v>
      </c>
    </row>
    <row r="127" spans="1:7" s="108" customFormat="1" ht="14.1" customHeight="1">
      <c r="A127" s="251" t="s">
        <v>1040</v>
      </c>
      <c r="B127" s="252" t="s">
        <v>1913</v>
      </c>
      <c r="C127" s="254" t="s">
        <v>968</v>
      </c>
      <c r="D127" s="252" t="s">
        <v>1914</v>
      </c>
      <c r="E127" s="252" t="s">
        <v>929</v>
      </c>
      <c r="F127" s="252" t="s">
        <v>889</v>
      </c>
      <c r="G127" s="255"/>
    </row>
    <row r="128" spans="1:7" s="108" customFormat="1" ht="14.1" customHeight="1">
      <c r="A128" s="251" t="s">
        <v>1040</v>
      </c>
      <c r="B128" s="252" t="s">
        <v>1915</v>
      </c>
      <c r="C128" s="254" t="s">
        <v>968</v>
      </c>
      <c r="D128" s="252" t="s">
        <v>1916</v>
      </c>
      <c r="E128" s="252" t="s">
        <v>895</v>
      </c>
      <c r="F128" s="252" t="s">
        <v>889</v>
      </c>
      <c r="G128" s="255"/>
    </row>
    <row r="129" spans="1:7" s="108" customFormat="1" ht="14.1" customHeight="1">
      <c r="A129" s="251" t="s">
        <v>1040</v>
      </c>
      <c r="B129" s="252" t="s">
        <v>1917</v>
      </c>
      <c r="C129" s="254" t="s">
        <v>968</v>
      </c>
      <c r="D129" s="252" t="s">
        <v>1060</v>
      </c>
      <c r="E129" s="252" t="s">
        <v>888</v>
      </c>
      <c r="F129" s="252" t="s">
        <v>889</v>
      </c>
      <c r="G129" s="255"/>
    </row>
    <row r="130" spans="1:7" s="108" customFormat="1" ht="14.1" customHeight="1">
      <c r="A130" s="251" t="s">
        <v>1040</v>
      </c>
      <c r="B130" s="252" t="s">
        <v>1918</v>
      </c>
      <c r="C130" s="254" t="s">
        <v>968</v>
      </c>
      <c r="D130" s="252" t="s">
        <v>1060</v>
      </c>
      <c r="E130" s="252" t="s">
        <v>888</v>
      </c>
      <c r="F130" s="252" t="s">
        <v>889</v>
      </c>
      <c r="G130" s="255">
        <v>300</v>
      </c>
    </row>
    <row r="131" spans="1:7" s="108" customFormat="1" ht="14.1" customHeight="1">
      <c r="A131" s="251" t="s">
        <v>1040</v>
      </c>
      <c r="B131" s="252" t="s">
        <v>1919</v>
      </c>
      <c r="C131" s="254" t="s">
        <v>1051</v>
      </c>
      <c r="D131" s="252" t="s">
        <v>1050</v>
      </c>
      <c r="E131" s="252" t="s">
        <v>1052</v>
      </c>
      <c r="F131" s="252" t="s">
        <v>931</v>
      </c>
      <c r="G131" s="255">
        <v>16.443000000000001</v>
      </c>
    </row>
    <row r="132" spans="1:7" s="108" customFormat="1" ht="14.1" customHeight="1">
      <c r="A132" s="251" t="s">
        <v>1040</v>
      </c>
      <c r="B132" s="252" t="s">
        <v>1920</v>
      </c>
      <c r="C132" s="254" t="s">
        <v>938</v>
      </c>
      <c r="D132" s="252" t="s">
        <v>1921</v>
      </c>
      <c r="E132" s="252" t="s">
        <v>888</v>
      </c>
      <c r="F132" s="252" t="s">
        <v>889</v>
      </c>
      <c r="G132" s="255"/>
    </row>
    <row r="133" spans="1:7" s="108" customFormat="1" ht="14.1" customHeight="1">
      <c r="A133" s="251" t="s">
        <v>1040</v>
      </c>
      <c r="B133" s="252" t="s">
        <v>1922</v>
      </c>
      <c r="C133" s="254" t="s">
        <v>1756</v>
      </c>
      <c r="D133" s="252" t="s">
        <v>1923</v>
      </c>
      <c r="E133" s="252" t="s">
        <v>888</v>
      </c>
      <c r="F133" s="252" t="s">
        <v>1794</v>
      </c>
      <c r="G133" s="255"/>
    </row>
    <row r="134" spans="1:7" s="108" customFormat="1" ht="14.1" customHeight="1">
      <c r="A134" s="251" t="s">
        <v>1040</v>
      </c>
      <c r="B134" s="252" t="s">
        <v>1924</v>
      </c>
      <c r="C134" s="254" t="s">
        <v>1756</v>
      </c>
      <c r="D134" s="252" t="s">
        <v>1925</v>
      </c>
      <c r="E134" s="252" t="s">
        <v>907</v>
      </c>
      <c r="F134" s="252" t="s">
        <v>889</v>
      </c>
      <c r="G134" s="255"/>
    </row>
    <row r="135" spans="1:7" s="108" customFormat="1" ht="14.1" customHeight="1">
      <c r="A135" s="251" t="s">
        <v>1040</v>
      </c>
      <c r="B135" s="252" t="s">
        <v>1926</v>
      </c>
      <c r="C135" s="254" t="s">
        <v>906</v>
      </c>
      <c r="D135" s="252" t="s">
        <v>1927</v>
      </c>
      <c r="E135" s="252" t="s">
        <v>939</v>
      </c>
      <c r="F135" s="252" t="s">
        <v>889</v>
      </c>
      <c r="G135" s="255"/>
    </row>
    <row r="136" spans="1:7" s="108" customFormat="1" ht="14.1" customHeight="1">
      <c r="A136" s="251" t="s">
        <v>1040</v>
      </c>
      <c r="B136" s="252" t="s">
        <v>1928</v>
      </c>
      <c r="C136" s="254" t="s">
        <v>906</v>
      </c>
      <c r="D136" s="252" t="s">
        <v>1929</v>
      </c>
      <c r="E136" s="252" t="s">
        <v>954</v>
      </c>
      <c r="F136" s="252" t="s">
        <v>889</v>
      </c>
      <c r="G136" s="255"/>
    </row>
    <row r="137" spans="1:7" s="108" customFormat="1" ht="14.1" customHeight="1">
      <c r="A137" s="251" t="s">
        <v>1040</v>
      </c>
      <c r="B137" s="252" t="s">
        <v>1930</v>
      </c>
      <c r="C137" s="254" t="s">
        <v>906</v>
      </c>
      <c r="D137" s="252" t="s">
        <v>1931</v>
      </c>
      <c r="E137" s="252" t="s">
        <v>888</v>
      </c>
      <c r="F137" s="252" t="s">
        <v>889</v>
      </c>
      <c r="G137" s="255"/>
    </row>
    <row r="138" spans="1:7" s="108" customFormat="1" ht="14.1" customHeight="1">
      <c r="A138" s="251" t="s">
        <v>1040</v>
      </c>
      <c r="B138" s="252" t="s">
        <v>1932</v>
      </c>
      <c r="C138" s="254" t="s">
        <v>906</v>
      </c>
      <c r="D138" s="252" t="s">
        <v>1933</v>
      </c>
      <c r="E138" s="252" t="s">
        <v>984</v>
      </c>
      <c r="F138" s="252" t="s">
        <v>889</v>
      </c>
      <c r="G138" s="255"/>
    </row>
    <row r="139" spans="1:7" s="108" customFormat="1" ht="14.1" customHeight="1">
      <c r="A139" s="251" t="s">
        <v>1040</v>
      </c>
      <c r="B139" s="252" t="s">
        <v>1934</v>
      </c>
      <c r="C139" s="254" t="s">
        <v>906</v>
      </c>
      <c r="D139" s="252" t="s">
        <v>1534</v>
      </c>
      <c r="E139" s="252" t="s">
        <v>904</v>
      </c>
      <c r="F139" s="252" t="s">
        <v>931</v>
      </c>
      <c r="G139" s="255"/>
    </row>
    <row r="140" spans="1:7" s="108" customFormat="1" ht="14.1" customHeight="1">
      <c r="A140" s="251" t="s">
        <v>1040</v>
      </c>
      <c r="B140" s="252" t="s">
        <v>1935</v>
      </c>
      <c r="C140" s="254" t="s">
        <v>906</v>
      </c>
      <c r="D140" s="252" t="s">
        <v>1936</v>
      </c>
      <c r="E140" s="252" t="s">
        <v>959</v>
      </c>
      <c r="F140" s="252" t="s">
        <v>889</v>
      </c>
      <c r="G140" s="255"/>
    </row>
    <row r="141" spans="1:7" s="108" customFormat="1" ht="14.1" customHeight="1">
      <c r="A141" s="251" t="s">
        <v>1040</v>
      </c>
      <c r="B141" s="252" t="s">
        <v>1937</v>
      </c>
      <c r="C141" s="254" t="s">
        <v>1833</v>
      </c>
      <c r="D141" s="252" t="s">
        <v>1059</v>
      </c>
      <c r="E141" s="252" t="s">
        <v>918</v>
      </c>
      <c r="F141" s="252" t="s">
        <v>889</v>
      </c>
      <c r="G141" s="255">
        <v>201.76</v>
      </c>
    </row>
    <row r="142" spans="1:7" s="108" customFormat="1" ht="14.1" customHeight="1">
      <c r="A142" s="251" t="s">
        <v>1040</v>
      </c>
      <c r="B142" s="252" t="s">
        <v>1938</v>
      </c>
      <c r="C142" s="254" t="s">
        <v>1150</v>
      </c>
      <c r="D142" s="252" t="s">
        <v>1057</v>
      </c>
      <c r="E142" s="252" t="s">
        <v>984</v>
      </c>
      <c r="F142" s="252" t="s">
        <v>931</v>
      </c>
      <c r="G142" s="255">
        <v>94.677000000000007</v>
      </c>
    </row>
    <row r="143" spans="1:7" s="108" customFormat="1" ht="14.1" customHeight="1">
      <c r="A143" s="251" t="s">
        <v>1040</v>
      </c>
      <c r="B143" s="252" t="s">
        <v>1939</v>
      </c>
      <c r="C143" s="254" t="s">
        <v>887</v>
      </c>
      <c r="D143" s="252" t="s">
        <v>1049</v>
      </c>
      <c r="E143" s="252" t="s">
        <v>1026</v>
      </c>
      <c r="F143" s="252" t="s">
        <v>889</v>
      </c>
      <c r="G143" s="255">
        <v>8.8309999999999995</v>
      </c>
    </row>
    <row r="144" spans="1:7" s="108" customFormat="1" ht="14.1" customHeight="1">
      <c r="A144" s="251" t="s">
        <v>1040</v>
      </c>
      <c r="B144" s="252" t="s">
        <v>1940</v>
      </c>
      <c r="C144" s="254" t="s">
        <v>890</v>
      </c>
      <c r="D144" s="252" t="s">
        <v>1941</v>
      </c>
      <c r="E144" s="252" t="s">
        <v>888</v>
      </c>
      <c r="F144" s="252" t="s">
        <v>889</v>
      </c>
      <c r="G144" s="255"/>
    </row>
    <row r="145" spans="1:7" s="108" customFormat="1" ht="14.1" customHeight="1">
      <c r="A145" s="251" t="s">
        <v>1040</v>
      </c>
      <c r="B145" s="252" t="s">
        <v>1942</v>
      </c>
      <c r="C145" s="254" t="s">
        <v>890</v>
      </c>
      <c r="D145" s="252" t="s">
        <v>1943</v>
      </c>
      <c r="E145" s="252" t="s">
        <v>888</v>
      </c>
      <c r="F145" s="252" t="s">
        <v>889</v>
      </c>
      <c r="G145" s="255"/>
    </row>
    <row r="146" spans="1:7" s="108" customFormat="1" ht="14.1" customHeight="1">
      <c r="A146" s="251" t="s">
        <v>1040</v>
      </c>
      <c r="B146" s="252" t="s">
        <v>1944</v>
      </c>
      <c r="C146" s="254" t="s">
        <v>1018</v>
      </c>
      <c r="D146" s="252" t="s">
        <v>1945</v>
      </c>
      <c r="E146" s="252" t="s">
        <v>888</v>
      </c>
      <c r="F146" s="252" t="s">
        <v>889</v>
      </c>
      <c r="G146" s="255"/>
    </row>
    <row r="147" spans="1:7" s="108" customFormat="1" ht="14.1" customHeight="1">
      <c r="A147" s="251" t="s">
        <v>1040</v>
      </c>
      <c r="B147" s="252" t="s">
        <v>1946</v>
      </c>
      <c r="C147" s="254" t="s">
        <v>917</v>
      </c>
      <c r="D147" s="252" t="s">
        <v>1048</v>
      </c>
      <c r="E147" s="252" t="s">
        <v>918</v>
      </c>
      <c r="F147" s="252" t="s">
        <v>931</v>
      </c>
      <c r="G147" s="255">
        <v>6.68</v>
      </c>
    </row>
    <row r="148" spans="1:7" s="108" customFormat="1" ht="14.1" customHeight="1">
      <c r="A148" s="251" t="s">
        <v>1040</v>
      </c>
      <c r="B148" s="252" t="s">
        <v>1947</v>
      </c>
      <c r="C148" s="254" t="s">
        <v>917</v>
      </c>
      <c r="D148" s="252" t="s">
        <v>1048</v>
      </c>
      <c r="E148" s="252" t="s">
        <v>918</v>
      </c>
      <c r="F148" s="252" t="s">
        <v>931</v>
      </c>
      <c r="G148" s="255"/>
    </row>
    <row r="149" spans="1:7" s="108" customFormat="1" ht="14.1" customHeight="1">
      <c r="A149" s="251" t="s">
        <v>1040</v>
      </c>
      <c r="B149" s="252" t="s">
        <v>1948</v>
      </c>
      <c r="C149" s="254" t="s">
        <v>917</v>
      </c>
      <c r="D149" s="252" t="s">
        <v>1056</v>
      </c>
      <c r="E149" s="252" t="s">
        <v>984</v>
      </c>
      <c r="F149" s="252" t="s">
        <v>889</v>
      </c>
      <c r="G149" s="255">
        <v>80</v>
      </c>
    </row>
    <row r="150" spans="1:7" s="108" customFormat="1" ht="14.1" customHeight="1">
      <c r="A150" s="251" t="s">
        <v>1040</v>
      </c>
      <c r="B150" s="252" t="s">
        <v>1949</v>
      </c>
      <c r="C150" s="254" t="s">
        <v>917</v>
      </c>
      <c r="D150" s="252" t="s">
        <v>1950</v>
      </c>
      <c r="E150" s="252" t="s">
        <v>918</v>
      </c>
      <c r="F150" s="252" t="s">
        <v>892</v>
      </c>
      <c r="G150" s="255"/>
    </row>
    <row r="151" spans="1:7" s="108" customFormat="1" ht="14.1" customHeight="1">
      <c r="A151" s="251" t="s">
        <v>1040</v>
      </c>
      <c r="B151" s="252" t="s">
        <v>1951</v>
      </c>
      <c r="C151" s="254" t="s">
        <v>1126</v>
      </c>
      <c r="D151" s="252" t="s">
        <v>1952</v>
      </c>
      <c r="E151" s="252" t="s">
        <v>1136</v>
      </c>
      <c r="F151" s="252" t="s">
        <v>889</v>
      </c>
      <c r="G151" s="255"/>
    </row>
    <row r="152" spans="1:7" s="108" customFormat="1" ht="14.1" customHeight="1">
      <c r="A152" s="251" t="s">
        <v>1040</v>
      </c>
      <c r="B152" s="252" t="s">
        <v>1953</v>
      </c>
      <c r="C152" s="254" t="s">
        <v>1023</v>
      </c>
      <c r="D152" s="252" t="s">
        <v>1954</v>
      </c>
      <c r="E152" s="252" t="s">
        <v>888</v>
      </c>
      <c r="F152" s="252" t="s">
        <v>889</v>
      </c>
      <c r="G152" s="255"/>
    </row>
    <row r="153" spans="1:7" s="108" customFormat="1" ht="14.1" customHeight="1">
      <c r="A153" s="251" t="s">
        <v>1040</v>
      </c>
      <c r="B153" s="252" t="s">
        <v>1955</v>
      </c>
      <c r="C153" s="254" t="s">
        <v>894</v>
      </c>
      <c r="D153" s="252" t="s">
        <v>1064</v>
      </c>
      <c r="E153" s="252" t="s">
        <v>925</v>
      </c>
      <c r="F153" s="252" t="s">
        <v>931</v>
      </c>
      <c r="G153" s="255">
        <v>1540</v>
      </c>
    </row>
    <row r="154" spans="1:7" s="108" customFormat="1" ht="14.1" customHeight="1">
      <c r="A154" s="251" t="s">
        <v>1040</v>
      </c>
      <c r="B154" s="252" t="s">
        <v>1956</v>
      </c>
      <c r="C154" s="254" t="s">
        <v>894</v>
      </c>
      <c r="D154" s="252" t="s">
        <v>886</v>
      </c>
      <c r="E154" s="252" t="s">
        <v>888</v>
      </c>
      <c r="F154" s="252" t="s">
        <v>889</v>
      </c>
      <c r="G154" s="255">
        <v>300</v>
      </c>
    </row>
    <row r="155" spans="1:7" s="108" customFormat="1" ht="14.1" customHeight="1">
      <c r="A155" s="251" t="s">
        <v>1040</v>
      </c>
      <c r="B155" s="252" t="s">
        <v>1957</v>
      </c>
      <c r="C155" s="254" t="s">
        <v>894</v>
      </c>
      <c r="D155" s="252" t="s">
        <v>1044</v>
      </c>
      <c r="E155" s="252" t="s">
        <v>918</v>
      </c>
      <c r="F155" s="252" t="s">
        <v>889</v>
      </c>
      <c r="G155" s="255">
        <v>4.0620000000000003</v>
      </c>
    </row>
    <row r="156" spans="1:7" s="108" customFormat="1" ht="14.1" customHeight="1">
      <c r="A156" s="251" t="s">
        <v>1040</v>
      </c>
      <c r="B156" s="252" t="s">
        <v>1958</v>
      </c>
      <c r="C156" s="254" t="s">
        <v>1441</v>
      </c>
      <c r="D156" s="252" t="s">
        <v>1959</v>
      </c>
      <c r="E156" s="252" t="s">
        <v>888</v>
      </c>
      <c r="F156" s="252" t="s">
        <v>889</v>
      </c>
      <c r="G156" s="255"/>
    </row>
    <row r="157" spans="1:7" s="108" customFormat="1" ht="14.1" customHeight="1">
      <c r="A157" s="251" t="s">
        <v>1040</v>
      </c>
      <c r="B157" s="252" t="s">
        <v>1960</v>
      </c>
      <c r="C157" s="254" t="s">
        <v>1071</v>
      </c>
      <c r="D157" s="252" t="s">
        <v>1931</v>
      </c>
      <c r="E157" s="252" t="s">
        <v>888</v>
      </c>
      <c r="F157" s="252" t="s">
        <v>889</v>
      </c>
      <c r="G157" s="255"/>
    </row>
    <row r="158" spans="1:7" s="108" customFormat="1" ht="14.1" customHeight="1">
      <c r="A158" s="251" t="s">
        <v>1040</v>
      </c>
      <c r="B158" s="252" t="s">
        <v>1961</v>
      </c>
      <c r="C158" s="254" t="s">
        <v>1071</v>
      </c>
      <c r="D158" s="252" t="s">
        <v>1045</v>
      </c>
      <c r="E158" s="252" t="s">
        <v>1047</v>
      </c>
      <c r="F158" s="252" t="s">
        <v>892</v>
      </c>
      <c r="G158" s="255">
        <v>5.5</v>
      </c>
    </row>
    <row r="159" spans="1:7" s="108" customFormat="1" ht="14.1" customHeight="1">
      <c r="A159" s="251" t="s">
        <v>1040</v>
      </c>
      <c r="B159" s="252" t="s">
        <v>1962</v>
      </c>
      <c r="C159" s="254" t="s">
        <v>1246</v>
      </c>
      <c r="D159" s="252" t="s">
        <v>1062</v>
      </c>
      <c r="E159" s="252" t="s">
        <v>918</v>
      </c>
      <c r="F159" s="252" t="s">
        <v>889</v>
      </c>
      <c r="G159" s="255">
        <v>480.94099999999997</v>
      </c>
    </row>
    <row r="160" spans="1:7" s="108" customFormat="1" ht="14.1" customHeight="1">
      <c r="A160" s="251" t="s">
        <v>1040</v>
      </c>
      <c r="B160" s="252" t="s">
        <v>1963</v>
      </c>
      <c r="C160" s="254" t="s">
        <v>1246</v>
      </c>
      <c r="D160" s="252" t="s">
        <v>1964</v>
      </c>
      <c r="E160" s="252" t="s">
        <v>888</v>
      </c>
      <c r="F160" s="252" t="s">
        <v>889</v>
      </c>
      <c r="G160" s="255"/>
    </row>
    <row r="161" spans="1:7" s="108" customFormat="1" ht="14.1" customHeight="1">
      <c r="A161" s="251" t="s">
        <v>1040</v>
      </c>
      <c r="B161" s="252" t="s">
        <v>1965</v>
      </c>
      <c r="C161" s="254" t="s">
        <v>1246</v>
      </c>
      <c r="D161" s="252" t="s">
        <v>1966</v>
      </c>
      <c r="E161" s="252" t="s">
        <v>891</v>
      </c>
      <c r="F161" s="252" t="s">
        <v>889</v>
      </c>
      <c r="G161" s="255"/>
    </row>
    <row r="162" spans="1:7" s="108" customFormat="1" ht="14.1" customHeight="1">
      <c r="A162" s="251" t="s">
        <v>1040</v>
      </c>
      <c r="B162" s="252" t="s">
        <v>1967</v>
      </c>
      <c r="C162" s="254" t="s">
        <v>1055</v>
      </c>
      <c r="D162" s="252" t="s">
        <v>1042</v>
      </c>
      <c r="E162" s="252" t="s">
        <v>945</v>
      </c>
      <c r="F162" s="252" t="s">
        <v>889</v>
      </c>
      <c r="G162" s="255">
        <v>0.46600000000000003</v>
      </c>
    </row>
    <row r="163" spans="1:7" s="108" customFormat="1" ht="14.1" customHeight="1">
      <c r="A163" s="251" t="s">
        <v>1040</v>
      </c>
      <c r="B163" s="252" t="s">
        <v>1968</v>
      </c>
      <c r="C163" s="254" t="s">
        <v>1055</v>
      </c>
      <c r="D163" s="252" t="s">
        <v>1969</v>
      </c>
      <c r="E163" s="252" t="s">
        <v>907</v>
      </c>
      <c r="F163" s="252" t="s">
        <v>889</v>
      </c>
      <c r="G163" s="255"/>
    </row>
    <row r="164" spans="1:7" s="108" customFormat="1" ht="14.1" customHeight="1">
      <c r="A164" s="251" t="s">
        <v>1040</v>
      </c>
      <c r="B164" s="252" t="s">
        <v>1970</v>
      </c>
      <c r="C164" s="254" t="s">
        <v>1055</v>
      </c>
      <c r="D164" s="252" t="s">
        <v>1054</v>
      </c>
      <c r="E164" s="252" t="s">
        <v>888</v>
      </c>
      <c r="F164" s="252" t="s">
        <v>889</v>
      </c>
      <c r="G164" s="255">
        <v>50</v>
      </c>
    </row>
    <row r="165" spans="1:7" s="108" customFormat="1" ht="14.1" customHeight="1">
      <c r="A165" s="251" t="s">
        <v>1040</v>
      </c>
      <c r="B165" s="252" t="s">
        <v>1971</v>
      </c>
      <c r="C165" s="254" t="s">
        <v>1972</v>
      </c>
      <c r="D165" s="252" t="s">
        <v>1058</v>
      </c>
      <c r="E165" s="252" t="s">
        <v>945</v>
      </c>
      <c r="F165" s="252" t="s">
        <v>889</v>
      </c>
      <c r="G165" s="255">
        <v>135.41</v>
      </c>
    </row>
    <row r="166" spans="1:7" s="108" customFormat="1" ht="14.1" customHeight="1">
      <c r="A166" s="251" t="s">
        <v>1040</v>
      </c>
      <c r="B166" s="252" t="s">
        <v>1973</v>
      </c>
      <c r="C166" s="254" t="s">
        <v>1020</v>
      </c>
      <c r="D166" s="252" t="s">
        <v>1061</v>
      </c>
      <c r="E166" s="252" t="s">
        <v>888</v>
      </c>
      <c r="F166" s="252" t="s">
        <v>889</v>
      </c>
      <c r="G166" s="255">
        <v>413</v>
      </c>
    </row>
    <row r="167" spans="1:7" s="108" customFormat="1" ht="14.1" customHeight="1">
      <c r="A167" s="251" t="s">
        <v>1040</v>
      </c>
      <c r="B167" s="252" t="s">
        <v>1974</v>
      </c>
      <c r="C167" s="254" t="s">
        <v>903</v>
      </c>
      <c r="D167" s="252" t="s">
        <v>1975</v>
      </c>
      <c r="E167" s="252" t="s">
        <v>1047</v>
      </c>
      <c r="F167" s="252" t="s">
        <v>889</v>
      </c>
      <c r="G167" s="255"/>
    </row>
    <row r="168" spans="1:7" s="108" customFormat="1" ht="14.1" customHeight="1">
      <c r="A168" s="251" t="s">
        <v>1040</v>
      </c>
      <c r="B168" s="252" t="s">
        <v>1976</v>
      </c>
      <c r="C168" s="254" t="s">
        <v>1000</v>
      </c>
      <c r="D168" s="252" t="s">
        <v>1977</v>
      </c>
      <c r="E168" s="252" t="s">
        <v>907</v>
      </c>
      <c r="F168" s="252" t="s">
        <v>889</v>
      </c>
      <c r="G168" s="255"/>
    </row>
    <row r="169" spans="1:7" s="108" customFormat="1" ht="14.1" customHeight="1">
      <c r="A169" s="251" t="s">
        <v>1040</v>
      </c>
      <c r="B169" s="252" t="s">
        <v>1978</v>
      </c>
      <c r="C169" s="254" t="s">
        <v>1000</v>
      </c>
      <c r="D169" s="252" t="s">
        <v>1979</v>
      </c>
      <c r="E169" s="252" t="s">
        <v>1022</v>
      </c>
      <c r="F169" s="252" t="s">
        <v>889</v>
      </c>
      <c r="G169" s="255"/>
    </row>
    <row r="170" spans="1:7" s="108" customFormat="1" ht="14.1" customHeight="1">
      <c r="A170" s="251" t="s">
        <v>1040</v>
      </c>
      <c r="B170" s="252" t="s">
        <v>1980</v>
      </c>
      <c r="C170" s="254" t="s">
        <v>1000</v>
      </c>
      <c r="D170" s="252" t="s">
        <v>1981</v>
      </c>
      <c r="E170" s="252" t="s">
        <v>888</v>
      </c>
      <c r="F170" s="252" t="s">
        <v>889</v>
      </c>
      <c r="G170" s="255"/>
    </row>
    <row r="171" spans="1:7" s="108" customFormat="1" ht="14.1" customHeight="1">
      <c r="A171" s="251" t="s">
        <v>1040</v>
      </c>
      <c r="B171" s="252" t="s">
        <v>1982</v>
      </c>
      <c r="C171" s="254" t="s">
        <v>1000</v>
      </c>
      <c r="D171" s="252" t="s">
        <v>1063</v>
      </c>
      <c r="E171" s="252" t="s">
        <v>1026</v>
      </c>
      <c r="F171" s="252" t="s">
        <v>889</v>
      </c>
      <c r="G171" s="255">
        <v>485.06400000000002</v>
      </c>
    </row>
    <row r="172" spans="1:7" s="108" customFormat="1" ht="14.1" customHeight="1">
      <c r="A172" s="251" t="s">
        <v>1040</v>
      </c>
      <c r="B172" s="252" t="s">
        <v>1983</v>
      </c>
      <c r="C172" s="254" t="s">
        <v>1068</v>
      </c>
      <c r="D172" s="252" t="s">
        <v>1124</v>
      </c>
      <c r="E172" s="252" t="s">
        <v>918</v>
      </c>
      <c r="F172" s="252" t="s">
        <v>889</v>
      </c>
      <c r="G172" s="255"/>
    </row>
    <row r="173" spans="1:7" s="108" customFormat="1" ht="14.1" customHeight="1">
      <c r="A173" s="251" t="s">
        <v>1040</v>
      </c>
      <c r="B173" s="252" t="s">
        <v>1984</v>
      </c>
      <c r="C173" s="254" t="s">
        <v>1164</v>
      </c>
      <c r="D173" s="252" t="s">
        <v>1041</v>
      </c>
      <c r="E173" s="252" t="s">
        <v>888</v>
      </c>
      <c r="F173" s="252" t="s">
        <v>889</v>
      </c>
      <c r="G173" s="255">
        <v>0.1</v>
      </c>
    </row>
    <row r="174" spans="1:7" s="108" customFormat="1" ht="14.1" customHeight="1">
      <c r="A174" s="251" t="s">
        <v>1040</v>
      </c>
      <c r="B174" s="252" t="s">
        <v>1985</v>
      </c>
      <c r="C174" s="254" t="s">
        <v>1164</v>
      </c>
      <c r="D174" s="252" t="s">
        <v>1986</v>
      </c>
      <c r="E174" s="252" t="s">
        <v>888</v>
      </c>
      <c r="F174" s="252" t="s">
        <v>889</v>
      </c>
      <c r="G174" s="255"/>
    </row>
    <row r="175" spans="1:7" s="108" customFormat="1" ht="14.1" customHeight="1">
      <c r="A175" s="251" t="s">
        <v>1040</v>
      </c>
      <c r="B175" s="252" t="s">
        <v>1987</v>
      </c>
      <c r="C175" s="254" t="s">
        <v>983</v>
      </c>
      <c r="D175" s="252" t="s">
        <v>1988</v>
      </c>
      <c r="E175" s="252" t="s">
        <v>954</v>
      </c>
      <c r="F175" s="252" t="s">
        <v>889</v>
      </c>
      <c r="G175" s="255"/>
    </row>
    <row r="176" spans="1:7" s="108" customFormat="1" ht="14.1" customHeight="1">
      <c r="A176" s="251" t="s">
        <v>1040</v>
      </c>
      <c r="B176" s="252" t="s">
        <v>1989</v>
      </c>
      <c r="C176" s="254" t="s">
        <v>983</v>
      </c>
      <c r="D176" s="252" t="s">
        <v>1043</v>
      </c>
      <c r="E176" s="252" t="s">
        <v>918</v>
      </c>
      <c r="F176" s="252" t="s">
        <v>889</v>
      </c>
      <c r="G176" s="255">
        <v>0.48099999999999998</v>
      </c>
    </row>
    <row r="177" spans="1:7" s="108" customFormat="1" ht="14.1" customHeight="1">
      <c r="A177" s="251" t="s">
        <v>1297</v>
      </c>
      <c r="B177" s="252" t="s">
        <v>1990</v>
      </c>
      <c r="C177" s="254" t="s">
        <v>968</v>
      </c>
      <c r="D177" s="252" t="s">
        <v>1991</v>
      </c>
      <c r="E177" s="252" t="s">
        <v>895</v>
      </c>
      <c r="F177" s="252" t="s">
        <v>889</v>
      </c>
      <c r="G177" s="255"/>
    </row>
    <row r="178" spans="1:7" s="108" customFormat="1" ht="14.1" customHeight="1">
      <c r="A178" s="251" t="s">
        <v>1297</v>
      </c>
      <c r="B178" s="252" t="s">
        <v>1992</v>
      </c>
      <c r="C178" s="254" t="s">
        <v>917</v>
      </c>
      <c r="D178" s="252" t="s">
        <v>1298</v>
      </c>
      <c r="E178" s="252" t="s">
        <v>918</v>
      </c>
      <c r="F178" s="252" t="s">
        <v>913</v>
      </c>
      <c r="G178" s="255">
        <v>1</v>
      </c>
    </row>
    <row r="179" spans="1:7" s="108" customFormat="1" ht="14.1" customHeight="1">
      <c r="A179" s="251" t="s">
        <v>1297</v>
      </c>
      <c r="B179" s="252" t="s">
        <v>1993</v>
      </c>
      <c r="C179" s="254" t="s">
        <v>917</v>
      </c>
      <c r="D179" s="252" t="s">
        <v>1994</v>
      </c>
      <c r="E179" s="252" t="s">
        <v>888</v>
      </c>
      <c r="F179" s="252" t="s">
        <v>889</v>
      </c>
      <c r="G179" s="255"/>
    </row>
    <row r="180" spans="1:7" s="108" customFormat="1" ht="14.1" customHeight="1">
      <c r="A180" s="251" t="s">
        <v>1297</v>
      </c>
      <c r="B180" s="252" t="s">
        <v>1995</v>
      </c>
      <c r="C180" s="254" t="s">
        <v>1023</v>
      </c>
      <c r="D180" s="252" t="s">
        <v>1996</v>
      </c>
      <c r="E180" s="252" t="s">
        <v>888</v>
      </c>
      <c r="F180" s="252" t="s">
        <v>889</v>
      </c>
      <c r="G180" s="255"/>
    </row>
    <row r="181" spans="1:7" s="108" customFormat="1" ht="14.1" customHeight="1">
      <c r="A181" s="251" t="s">
        <v>1297</v>
      </c>
      <c r="B181" s="252" t="s">
        <v>1997</v>
      </c>
      <c r="C181" s="254" t="s">
        <v>1903</v>
      </c>
      <c r="D181" s="252" t="s">
        <v>1299</v>
      </c>
      <c r="E181" s="252" t="s">
        <v>939</v>
      </c>
      <c r="F181" s="252" t="s">
        <v>889</v>
      </c>
      <c r="G181" s="255">
        <v>1.33</v>
      </c>
    </row>
    <row r="182" spans="1:7" s="108" customFormat="1" ht="14.1" customHeight="1">
      <c r="A182" s="251" t="s">
        <v>1297</v>
      </c>
      <c r="B182" s="252" t="s">
        <v>1998</v>
      </c>
      <c r="C182" s="254" t="s">
        <v>1020</v>
      </c>
      <c r="D182" s="252" t="s">
        <v>1019</v>
      </c>
      <c r="E182" s="252" t="s">
        <v>939</v>
      </c>
      <c r="F182" s="252" t="s">
        <v>889</v>
      </c>
      <c r="G182" s="255">
        <v>8</v>
      </c>
    </row>
    <row r="183" spans="1:7" s="108" customFormat="1" ht="14.1" customHeight="1">
      <c r="A183" s="251" t="s">
        <v>1379</v>
      </c>
      <c r="B183" s="252" t="s">
        <v>1999</v>
      </c>
      <c r="C183" s="254" t="s">
        <v>1168</v>
      </c>
      <c r="D183" s="252" t="s">
        <v>1380</v>
      </c>
      <c r="E183" s="252" t="s">
        <v>939</v>
      </c>
      <c r="F183" s="252" t="s">
        <v>889</v>
      </c>
      <c r="G183" s="255">
        <v>5.2850000000000001</v>
      </c>
    </row>
    <row r="184" spans="1:7" s="108" customFormat="1" ht="14.1" customHeight="1">
      <c r="A184" s="251" t="s">
        <v>1379</v>
      </c>
      <c r="B184" s="252" t="s">
        <v>2000</v>
      </c>
      <c r="C184" s="254" t="s">
        <v>1168</v>
      </c>
      <c r="D184" s="252" t="s">
        <v>1381</v>
      </c>
      <c r="E184" s="252" t="s">
        <v>895</v>
      </c>
      <c r="F184" s="252" t="s">
        <v>889</v>
      </c>
      <c r="G184" s="255">
        <v>10.025</v>
      </c>
    </row>
    <row r="185" spans="1:7" s="108" customFormat="1" ht="14.1" customHeight="1">
      <c r="A185" s="251" t="s">
        <v>1379</v>
      </c>
      <c r="B185" s="252" t="s">
        <v>2001</v>
      </c>
      <c r="C185" s="254" t="s">
        <v>968</v>
      </c>
      <c r="D185" s="252" t="s">
        <v>1382</v>
      </c>
      <c r="E185" s="252" t="s">
        <v>888</v>
      </c>
      <c r="F185" s="252" t="s">
        <v>892</v>
      </c>
      <c r="G185" s="255">
        <v>54</v>
      </c>
    </row>
    <row r="186" spans="1:7" s="108" customFormat="1" ht="14.1" customHeight="1">
      <c r="A186" s="251" t="s">
        <v>1379</v>
      </c>
      <c r="B186" s="252" t="s">
        <v>2002</v>
      </c>
      <c r="C186" s="254" t="s">
        <v>890</v>
      </c>
      <c r="D186" s="252" t="s">
        <v>2003</v>
      </c>
      <c r="E186" s="252" t="s">
        <v>888</v>
      </c>
      <c r="F186" s="252" t="s">
        <v>889</v>
      </c>
      <c r="G186" s="255"/>
    </row>
    <row r="187" spans="1:7" s="108" customFormat="1" ht="14.1" customHeight="1">
      <c r="A187" s="251" t="s">
        <v>1379</v>
      </c>
      <c r="B187" s="252" t="s">
        <v>2004</v>
      </c>
      <c r="C187" s="254" t="s">
        <v>894</v>
      </c>
      <c r="D187" s="252" t="s">
        <v>1793</v>
      </c>
      <c r="E187" s="252" t="s">
        <v>925</v>
      </c>
      <c r="F187" s="252" t="s">
        <v>1794</v>
      </c>
      <c r="G187" s="255"/>
    </row>
    <row r="188" spans="1:7" s="108" customFormat="1" ht="14.1" customHeight="1">
      <c r="A188" s="251" t="s">
        <v>1379</v>
      </c>
      <c r="B188" s="252" t="s">
        <v>2005</v>
      </c>
      <c r="C188" s="254" t="s">
        <v>894</v>
      </c>
      <c r="D188" s="252" t="s">
        <v>886</v>
      </c>
      <c r="E188" s="252" t="s">
        <v>888</v>
      </c>
      <c r="F188" s="252" t="s">
        <v>889</v>
      </c>
      <c r="G188" s="255"/>
    </row>
    <row r="189" spans="1:7" s="108" customFormat="1" ht="14.1" customHeight="1">
      <c r="A189" s="251" t="s">
        <v>1379</v>
      </c>
      <c r="B189" s="252" t="s">
        <v>2006</v>
      </c>
      <c r="C189" s="254" t="s">
        <v>894</v>
      </c>
      <c r="D189" s="252" t="s">
        <v>1038</v>
      </c>
      <c r="E189" s="252" t="s">
        <v>888</v>
      </c>
      <c r="F189" s="252" t="s">
        <v>892</v>
      </c>
      <c r="G189" s="255">
        <v>150</v>
      </c>
    </row>
    <row r="190" spans="1:7" s="108" customFormat="1" ht="14.1" customHeight="1">
      <c r="A190" s="251" t="s">
        <v>1379</v>
      </c>
      <c r="B190" s="252" t="s">
        <v>2007</v>
      </c>
      <c r="C190" s="254" t="s">
        <v>894</v>
      </c>
      <c r="D190" s="252" t="s">
        <v>1384</v>
      </c>
      <c r="E190" s="252" t="s">
        <v>907</v>
      </c>
      <c r="F190" s="252" t="s">
        <v>889</v>
      </c>
      <c r="G190" s="255">
        <v>380</v>
      </c>
    </row>
    <row r="191" spans="1:7" s="108" customFormat="1" ht="14.1" customHeight="1">
      <c r="A191" s="251" t="s">
        <v>1379</v>
      </c>
      <c r="B191" s="252" t="s">
        <v>2008</v>
      </c>
      <c r="C191" s="254" t="s">
        <v>1009</v>
      </c>
      <c r="D191" s="252" t="s">
        <v>1383</v>
      </c>
      <c r="E191" s="252" t="s">
        <v>912</v>
      </c>
      <c r="F191" s="252" t="s">
        <v>889</v>
      </c>
      <c r="G191" s="255">
        <v>65.552000000000007</v>
      </c>
    </row>
    <row r="192" spans="1:7" s="108" customFormat="1" ht="14.1" customHeight="1">
      <c r="A192" s="251" t="s">
        <v>2009</v>
      </c>
      <c r="B192" s="252" t="s">
        <v>2010</v>
      </c>
      <c r="C192" s="254" t="s">
        <v>906</v>
      </c>
      <c r="D192" s="252" t="s">
        <v>2011</v>
      </c>
      <c r="E192" s="252" t="s">
        <v>907</v>
      </c>
      <c r="F192" s="252" t="s">
        <v>889</v>
      </c>
      <c r="G192" s="255"/>
    </row>
    <row r="193" spans="1:7" s="108" customFormat="1" ht="14.1" customHeight="1">
      <c r="A193" s="251" t="s">
        <v>1476</v>
      </c>
      <c r="B193" s="252" t="s">
        <v>2012</v>
      </c>
      <c r="C193" s="254" t="s">
        <v>968</v>
      </c>
      <c r="D193" s="252" t="s">
        <v>2013</v>
      </c>
      <c r="E193" s="252" t="s">
        <v>939</v>
      </c>
      <c r="F193" s="252" t="s">
        <v>889</v>
      </c>
      <c r="G193" s="255"/>
    </row>
    <row r="194" spans="1:7" s="108" customFormat="1" ht="14.1" customHeight="1">
      <c r="A194" s="251" t="s">
        <v>1476</v>
      </c>
      <c r="B194" s="252" t="s">
        <v>2014</v>
      </c>
      <c r="C194" s="254" t="s">
        <v>968</v>
      </c>
      <c r="D194" s="252" t="s">
        <v>2015</v>
      </c>
      <c r="E194" s="252" t="s">
        <v>888</v>
      </c>
      <c r="F194" s="252" t="s">
        <v>892</v>
      </c>
      <c r="G194" s="255"/>
    </row>
    <row r="195" spans="1:7" s="108" customFormat="1" ht="14.1" customHeight="1">
      <c r="A195" s="251" t="s">
        <v>1476</v>
      </c>
      <c r="B195" s="252" t="s">
        <v>2016</v>
      </c>
      <c r="C195" s="254" t="s">
        <v>944</v>
      </c>
      <c r="D195" s="252" t="s">
        <v>2017</v>
      </c>
      <c r="E195" s="252" t="s">
        <v>984</v>
      </c>
      <c r="F195" s="252" t="s">
        <v>892</v>
      </c>
      <c r="G195" s="255"/>
    </row>
    <row r="196" spans="1:7" s="108" customFormat="1" ht="14.1" customHeight="1">
      <c r="A196" s="251" t="s">
        <v>1476</v>
      </c>
      <c r="B196" s="252" t="s">
        <v>2018</v>
      </c>
      <c r="C196" s="254" t="s">
        <v>1466</v>
      </c>
      <c r="D196" s="252" t="s">
        <v>1479</v>
      </c>
      <c r="E196" s="252" t="s">
        <v>907</v>
      </c>
      <c r="F196" s="252" t="s">
        <v>889</v>
      </c>
      <c r="G196" s="255">
        <v>120</v>
      </c>
    </row>
    <row r="197" spans="1:7" s="108" customFormat="1" ht="14.1" customHeight="1">
      <c r="A197" s="251" t="s">
        <v>1476</v>
      </c>
      <c r="B197" s="252" t="s">
        <v>2019</v>
      </c>
      <c r="C197" s="254" t="s">
        <v>938</v>
      </c>
      <c r="D197" s="252" t="s">
        <v>1043</v>
      </c>
      <c r="E197" s="252" t="s">
        <v>918</v>
      </c>
      <c r="F197" s="252" t="s">
        <v>892</v>
      </c>
      <c r="G197" s="255"/>
    </row>
    <row r="198" spans="1:7" s="108" customFormat="1" ht="14.1" customHeight="1">
      <c r="A198" s="251" t="s">
        <v>1476</v>
      </c>
      <c r="B198" s="252" t="s">
        <v>2020</v>
      </c>
      <c r="C198" s="254" t="s">
        <v>1150</v>
      </c>
      <c r="D198" s="252" t="s">
        <v>886</v>
      </c>
      <c r="E198" s="252" t="s">
        <v>888</v>
      </c>
      <c r="F198" s="252" t="s">
        <v>889</v>
      </c>
      <c r="G198" s="255"/>
    </row>
    <row r="199" spans="1:7" s="108" customFormat="1" ht="14.1" customHeight="1">
      <c r="A199" s="251" t="s">
        <v>1476</v>
      </c>
      <c r="B199" s="252" t="s">
        <v>2021</v>
      </c>
      <c r="C199" s="254" t="s">
        <v>1018</v>
      </c>
      <c r="D199" s="252" t="s">
        <v>2022</v>
      </c>
      <c r="E199" s="252" t="s">
        <v>888</v>
      </c>
      <c r="F199" s="252" t="s">
        <v>889</v>
      </c>
      <c r="G199" s="255"/>
    </row>
    <row r="200" spans="1:7" s="108" customFormat="1" ht="14.1" customHeight="1">
      <c r="A200" s="251" t="s">
        <v>1476</v>
      </c>
      <c r="B200" s="252" t="s">
        <v>2023</v>
      </c>
      <c r="C200" s="254" t="s">
        <v>917</v>
      </c>
      <c r="D200" s="252" t="s">
        <v>886</v>
      </c>
      <c r="E200" s="252" t="s">
        <v>1022</v>
      </c>
      <c r="F200" s="252" t="s">
        <v>889</v>
      </c>
      <c r="G200" s="255">
        <v>8</v>
      </c>
    </row>
    <row r="201" spans="1:7" s="108" customFormat="1" ht="14.1" customHeight="1">
      <c r="A201" s="251" t="s">
        <v>1476</v>
      </c>
      <c r="B201" s="252" t="s">
        <v>2024</v>
      </c>
      <c r="C201" s="254" t="s">
        <v>917</v>
      </c>
      <c r="D201" s="252" t="s">
        <v>2025</v>
      </c>
      <c r="E201" s="252" t="s">
        <v>888</v>
      </c>
      <c r="F201" s="252" t="s">
        <v>889</v>
      </c>
      <c r="G201" s="255"/>
    </row>
    <row r="202" spans="1:7" s="108" customFormat="1" ht="14.1" customHeight="1">
      <c r="A202" s="251" t="s">
        <v>1476</v>
      </c>
      <c r="B202" s="252" t="s">
        <v>2026</v>
      </c>
      <c r="C202" s="254" t="s">
        <v>917</v>
      </c>
      <c r="D202" s="252" t="s">
        <v>1477</v>
      </c>
      <c r="E202" s="252" t="s">
        <v>895</v>
      </c>
      <c r="F202" s="252" t="s">
        <v>889</v>
      </c>
      <c r="G202" s="255">
        <v>0.501</v>
      </c>
    </row>
    <row r="203" spans="1:7" s="108" customFormat="1" ht="14.1" customHeight="1">
      <c r="A203" s="251" t="s">
        <v>1476</v>
      </c>
      <c r="B203" s="252" t="s">
        <v>2027</v>
      </c>
      <c r="C203" s="254" t="s">
        <v>917</v>
      </c>
      <c r="D203" s="252" t="s">
        <v>1436</v>
      </c>
      <c r="E203" s="252" t="s">
        <v>918</v>
      </c>
      <c r="F203" s="252" t="s">
        <v>892</v>
      </c>
      <c r="G203" s="255">
        <v>1.0009999999999999</v>
      </c>
    </row>
    <row r="204" spans="1:7" s="108" customFormat="1" ht="14.1" customHeight="1">
      <c r="A204" s="251" t="s">
        <v>1476</v>
      </c>
      <c r="B204" s="252" t="s">
        <v>2028</v>
      </c>
      <c r="C204" s="254" t="s">
        <v>1126</v>
      </c>
      <c r="D204" s="252" t="s">
        <v>2029</v>
      </c>
      <c r="E204" s="252" t="s">
        <v>895</v>
      </c>
      <c r="F204" s="252" t="s">
        <v>889</v>
      </c>
      <c r="G204" s="255"/>
    </row>
    <row r="205" spans="1:7" s="108" customFormat="1" ht="14.1" customHeight="1">
      <c r="A205" s="251" t="s">
        <v>1476</v>
      </c>
      <c r="B205" s="252" t="s">
        <v>2030</v>
      </c>
      <c r="C205" s="254" t="s">
        <v>1080</v>
      </c>
      <c r="D205" s="252" t="s">
        <v>2031</v>
      </c>
      <c r="E205" s="252" t="s">
        <v>888</v>
      </c>
      <c r="F205" s="252" t="s">
        <v>889</v>
      </c>
      <c r="G205" s="255"/>
    </row>
    <row r="206" spans="1:7" s="108" customFormat="1" ht="14.1" customHeight="1">
      <c r="A206" s="251" t="s">
        <v>1476</v>
      </c>
      <c r="B206" s="252" t="s">
        <v>2032</v>
      </c>
      <c r="C206" s="254" t="s">
        <v>1246</v>
      </c>
      <c r="D206" s="252" t="s">
        <v>1478</v>
      </c>
      <c r="E206" s="252" t="s">
        <v>888</v>
      </c>
      <c r="F206" s="252" t="s">
        <v>892</v>
      </c>
      <c r="G206" s="255">
        <v>91.063999999999993</v>
      </c>
    </row>
    <row r="207" spans="1:7" s="108" customFormat="1" ht="14.1" customHeight="1">
      <c r="A207" s="251" t="s">
        <v>1476</v>
      </c>
      <c r="B207" s="252" t="s">
        <v>2033</v>
      </c>
      <c r="C207" s="254" t="s">
        <v>1020</v>
      </c>
      <c r="D207" s="252" t="s">
        <v>1480</v>
      </c>
      <c r="E207" s="252" t="s">
        <v>907</v>
      </c>
      <c r="F207" s="252" t="s">
        <v>889</v>
      </c>
      <c r="G207" s="255">
        <v>1142</v>
      </c>
    </row>
    <row r="208" spans="1:7" s="108" customFormat="1" ht="14.1" customHeight="1">
      <c r="A208" s="251" t="s">
        <v>1476</v>
      </c>
      <c r="B208" s="252" t="s">
        <v>2034</v>
      </c>
      <c r="C208" s="254" t="s">
        <v>1020</v>
      </c>
      <c r="D208" s="252" t="s">
        <v>1061</v>
      </c>
      <c r="E208" s="252" t="s">
        <v>888</v>
      </c>
      <c r="F208" s="252" t="s">
        <v>889</v>
      </c>
      <c r="G208" s="255">
        <v>397.57900000000001</v>
      </c>
    </row>
    <row r="209" spans="1:7" s="108" customFormat="1" ht="14.1" customHeight="1">
      <c r="A209" s="251" t="s">
        <v>1476</v>
      </c>
      <c r="B209" s="252" t="s">
        <v>2035</v>
      </c>
      <c r="C209" s="254" t="s">
        <v>1000</v>
      </c>
      <c r="D209" s="252" t="s">
        <v>1979</v>
      </c>
      <c r="E209" s="252" t="s">
        <v>1022</v>
      </c>
      <c r="F209" s="252" t="s">
        <v>889</v>
      </c>
      <c r="G209" s="255"/>
    </row>
    <row r="210" spans="1:7" s="108" customFormat="1" ht="14.1" customHeight="1">
      <c r="A210" s="251" t="s">
        <v>1476</v>
      </c>
      <c r="B210" s="252" t="s">
        <v>2036</v>
      </c>
      <c r="C210" s="254" t="s">
        <v>1164</v>
      </c>
      <c r="D210" s="252" t="s">
        <v>2037</v>
      </c>
      <c r="E210" s="252" t="s">
        <v>888</v>
      </c>
      <c r="F210" s="252" t="s">
        <v>892</v>
      </c>
      <c r="G210" s="255"/>
    </row>
    <row r="211" spans="1:7" s="108" customFormat="1" ht="14.1" customHeight="1">
      <c r="A211" s="251" t="s">
        <v>1476</v>
      </c>
      <c r="B211" s="252" t="s">
        <v>2038</v>
      </c>
      <c r="C211" s="254" t="s">
        <v>1164</v>
      </c>
      <c r="D211" s="252" t="s">
        <v>2039</v>
      </c>
      <c r="E211" s="252" t="s">
        <v>888</v>
      </c>
      <c r="F211" s="252" t="s">
        <v>889</v>
      </c>
      <c r="G211" s="255"/>
    </row>
    <row r="212" spans="1:7" s="108" customFormat="1" ht="14.1" customHeight="1">
      <c r="A212" s="251" t="s">
        <v>1615</v>
      </c>
      <c r="B212" s="252" t="s">
        <v>2040</v>
      </c>
      <c r="C212" s="254" t="s">
        <v>1146</v>
      </c>
      <c r="D212" s="252" t="s">
        <v>1616</v>
      </c>
      <c r="E212" s="252" t="s">
        <v>939</v>
      </c>
      <c r="F212" s="252" t="s">
        <v>889</v>
      </c>
      <c r="G212" s="255">
        <v>0.19800000000000001</v>
      </c>
    </row>
    <row r="213" spans="1:7" s="108" customFormat="1" ht="14.1" customHeight="1">
      <c r="A213" s="251" t="s">
        <v>1615</v>
      </c>
      <c r="B213" s="252" t="s">
        <v>1881</v>
      </c>
      <c r="C213" s="254" t="s">
        <v>906</v>
      </c>
      <c r="D213" s="252" t="s">
        <v>1610</v>
      </c>
      <c r="E213" s="252" t="s">
        <v>945</v>
      </c>
      <c r="F213" s="252" t="s">
        <v>889</v>
      </c>
      <c r="G213" s="255">
        <v>5.4320000000000004</v>
      </c>
    </row>
    <row r="214" spans="1:7" s="108" customFormat="1" ht="14.1" customHeight="1">
      <c r="A214" s="251" t="s">
        <v>1615</v>
      </c>
      <c r="B214" s="252" t="s">
        <v>2041</v>
      </c>
      <c r="C214" s="254" t="s">
        <v>917</v>
      </c>
      <c r="D214" s="252" t="s">
        <v>1617</v>
      </c>
      <c r="E214" s="252" t="s">
        <v>918</v>
      </c>
      <c r="F214" s="252" t="s">
        <v>892</v>
      </c>
      <c r="G214" s="255">
        <v>1.5</v>
      </c>
    </row>
    <row r="215" spans="1:7" s="108" customFormat="1" ht="14.1" customHeight="1">
      <c r="A215" s="251" t="s">
        <v>1615</v>
      </c>
      <c r="B215" s="252" t="s">
        <v>2042</v>
      </c>
      <c r="C215" s="254" t="s">
        <v>917</v>
      </c>
      <c r="D215" s="252" t="s">
        <v>1618</v>
      </c>
      <c r="E215" s="252" t="s">
        <v>929</v>
      </c>
      <c r="F215" s="252" t="s">
        <v>931</v>
      </c>
      <c r="G215" s="255">
        <v>4.2699999999999996</v>
      </c>
    </row>
    <row r="216" spans="1:7" s="108" customFormat="1" ht="14.1" customHeight="1">
      <c r="A216" s="251" t="s">
        <v>1615</v>
      </c>
      <c r="B216" s="252" t="s">
        <v>2043</v>
      </c>
      <c r="C216" s="254" t="s">
        <v>917</v>
      </c>
      <c r="D216" s="252" t="s">
        <v>2044</v>
      </c>
      <c r="E216" s="252" t="s">
        <v>918</v>
      </c>
      <c r="F216" s="252" t="s">
        <v>892</v>
      </c>
      <c r="G216" s="255"/>
    </row>
    <row r="217" spans="1:7" s="108" customFormat="1" ht="14.1" customHeight="1">
      <c r="A217" s="251" t="s">
        <v>1615</v>
      </c>
      <c r="B217" s="252" t="s">
        <v>2045</v>
      </c>
      <c r="C217" s="254" t="s">
        <v>894</v>
      </c>
      <c r="D217" s="252" t="s">
        <v>1420</v>
      </c>
      <c r="E217" s="252" t="s">
        <v>918</v>
      </c>
      <c r="F217" s="252" t="s">
        <v>892</v>
      </c>
      <c r="G217" s="255"/>
    </row>
    <row r="218" spans="1:7" s="108" customFormat="1" ht="14.1" customHeight="1">
      <c r="A218" s="251" t="s">
        <v>915</v>
      </c>
      <c r="B218" s="252" t="s">
        <v>2046</v>
      </c>
      <c r="C218" s="254" t="s">
        <v>917</v>
      </c>
      <c r="D218" s="252" t="s">
        <v>916</v>
      </c>
      <c r="E218" s="252" t="s">
        <v>918</v>
      </c>
      <c r="F218" s="252" t="s">
        <v>889</v>
      </c>
      <c r="G218" s="255">
        <v>1.7000000000000001E-2</v>
      </c>
    </row>
    <row r="219" spans="1:7" s="108" customFormat="1" ht="14.1" customHeight="1">
      <c r="A219" s="251" t="s">
        <v>915</v>
      </c>
      <c r="B219" s="252" t="s">
        <v>2047</v>
      </c>
      <c r="C219" s="254" t="s">
        <v>917</v>
      </c>
      <c r="D219" s="252" t="s">
        <v>886</v>
      </c>
      <c r="E219" s="252" t="s">
        <v>919</v>
      </c>
      <c r="F219" s="252" t="s">
        <v>889</v>
      </c>
      <c r="G219" s="255">
        <v>5</v>
      </c>
    </row>
    <row r="220" spans="1:7" s="108" customFormat="1" ht="14.1" customHeight="1">
      <c r="A220" s="251" t="s">
        <v>915</v>
      </c>
      <c r="B220" s="252" t="s">
        <v>2048</v>
      </c>
      <c r="C220" s="254" t="s">
        <v>894</v>
      </c>
      <c r="D220" s="252" t="s">
        <v>920</v>
      </c>
      <c r="E220" s="252" t="s">
        <v>888</v>
      </c>
      <c r="F220" s="252" t="s">
        <v>889</v>
      </c>
      <c r="G220" s="255">
        <v>118.34099999999999</v>
      </c>
    </row>
    <row r="221" spans="1:7" s="108" customFormat="1" ht="14.1" customHeight="1">
      <c r="A221" s="251" t="s">
        <v>915</v>
      </c>
      <c r="B221" s="252" t="s">
        <v>2049</v>
      </c>
      <c r="C221" s="254" t="s">
        <v>911</v>
      </c>
      <c r="D221" s="252" t="s">
        <v>2050</v>
      </c>
      <c r="E221" s="252" t="s">
        <v>888</v>
      </c>
      <c r="F221" s="252" t="s">
        <v>889</v>
      </c>
      <c r="G221" s="255"/>
    </row>
    <row r="222" spans="1:7" s="108" customFormat="1" ht="14.1" customHeight="1">
      <c r="A222" s="251" t="s">
        <v>915</v>
      </c>
      <c r="B222" s="252" t="s">
        <v>2051</v>
      </c>
      <c r="C222" s="254" t="s">
        <v>1020</v>
      </c>
      <c r="D222" s="252" t="s">
        <v>921</v>
      </c>
      <c r="E222" s="252" t="s">
        <v>888</v>
      </c>
      <c r="F222" s="252" t="s">
        <v>892</v>
      </c>
      <c r="G222" s="255"/>
    </row>
    <row r="223" spans="1:7" s="108" customFormat="1" ht="14.1" customHeight="1">
      <c r="A223" s="251" t="s">
        <v>915</v>
      </c>
      <c r="B223" s="252" t="s">
        <v>2052</v>
      </c>
      <c r="C223" s="254" t="s">
        <v>1020</v>
      </c>
      <c r="D223" s="252" t="s">
        <v>921</v>
      </c>
      <c r="E223" s="252" t="s">
        <v>888</v>
      </c>
      <c r="F223" s="252" t="s">
        <v>889</v>
      </c>
      <c r="G223" s="255">
        <v>550.6</v>
      </c>
    </row>
    <row r="224" spans="1:7" s="108" customFormat="1" ht="14.1" customHeight="1">
      <c r="A224" s="251" t="s">
        <v>1065</v>
      </c>
      <c r="B224" s="252" t="s">
        <v>2053</v>
      </c>
      <c r="C224" s="254" t="s">
        <v>897</v>
      </c>
      <c r="D224" s="252" t="s">
        <v>2054</v>
      </c>
      <c r="E224" s="252" t="s">
        <v>895</v>
      </c>
      <c r="F224" s="252" t="s">
        <v>889</v>
      </c>
      <c r="G224" s="255"/>
    </row>
    <row r="225" spans="1:7" s="108" customFormat="1" ht="14.1" customHeight="1">
      <c r="A225" s="251" t="s">
        <v>1065</v>
      </c>
      <c r="B225" s="252" t="s">
        <v>2055</v>
      </c>
      <c r="C225" s="254" t="s">
        <v>1146</v>
      </c>
      <c r="D225" s="252" t="s">
        <v>2056</v>
      </c>
      <c r="E225" s="252" t="s">
        <v>888</v>
      </c>
      <c r="F225" s="252" t="s">
        <v>889</v>
      </c>
      <c r="G225" s="255"/>
    </row>
    <row r="226" spans="1:7" s="108" customFormat="1" ht="14.1" customHeight="1">
      <c r="A226" s="251" t="s">
        <v>1065</v>
      </c>
      <c r="B226" s="252" t="s">
        <v>2057</v>
      </c>
      <c r="C226" s="254" t="s">
        <v>1168</v>
      </c>
      <c r="D226" s="252" t="s">
        <v>886</v>
      </c>
      <c r="E226" s="252" t="s">
        <v>888</v>
      </c>
      <c r="F226" s="252" t="s">
        <v>889</v>
      </c>
      <c r="G226" s="255"/>
    </row>
    <row r="227" spans="1:7" s="108" customFormat="1" ht="14.1" customHeight="1">
      <c r="A227" s="251" t="s">
        <v>1065</v>
      </c>
      <c r="B227" s="252" t="s">
        <v>2058</v>
      </c>
      <c r="C227" s="254" t="s">
        <v>947</v>
      </c>
      <c r="D227" s="252" t="s">
        <v>1075</v>
      </c>
      <c r="E227" s="252" t="s">
        <v>888</v>
      </c>
      <c r="F227" s="252" t="s">
        <v>889</v>
      </c>
      <c r="G227" s="255">
        <v>65.075999999999993</v>
      </c>
    </row>
    <row r="228" spans="1:7" s="108" customFormat="1" ht="14.1" customHeight="1">
      <c r="A228" s="251" t="s">
        <v>1065</v>
      </c>
      <c r="B228" s="252" t="s">
        <v>2059</v>
      </c>
      <c r="C228" s="254" t="s">
        <v>968</v>
      </c>
      <c r="D228" s="252" t="s">
        <v>1066</v>
      </c>
      <c r="E228" s="252" t="s">
        <v>888</v>
      </c>
      <c r="F228" s="252" t="s">
        <v>889</v>
      </c>
      <c r="G228" s="255">
        <v>0.14000000000000001</v>
      </c>
    </row>
    <row r="229" spans="1:7" s="108" customFormat="1" ht="14.1" customHeight="1">
      <c r="A229" s="251" t="s">
        <v>1065</v>
      </c>
      <c r="B229" s="252" t="s">
        <v>2060</v>
      </c>
      <c r="C229" s="254" t="s">
        <v>968</v>
      </c>
      <c r="D229" s="252" t="s">
        <v>2061</v>
      </c>
      <c r="E229" s="252" t="s">
        <v>959</v>
      </c>
      <c r="F229" s="252" t="s">
        <v>889</v>
      </c>
      <c r="G229" s="255"/>
    </row>
    <row r="230" spans="1:7" s="108" customFormat="1" ht="14.1" customHeight="1">
      <c r="A230" s="251" t="s">
        <v>1065</v>
      </c>
      <c r="B230" s="252" t="s">
        <v>2062</v>
      </c>
      <c r="C230" s="254" t="s">
        <v>968</v>
      </c>
      <c r="D230" s="252" t="s">
        <v>2063</v>
      </c>
      <c r="E230" s="252" t="s">
        <v>888</v>
      </c>
      <c r="F230" s="252" t="s">
        <v>889</v>
      </c>
      <c r="G230" s="255"/>
    </row>
    <row r="231" spans="1:7" s="108" customFormat="1" ht="14.1" customHeight="1">
      <c r="A231" s="251" t="s">
        <v>1065</v>
      </c>
      <c r="B231" s="252" t="s">
        <v>2064</v>
      </c>
      <c r="C231" s="254" t="s">
        <v>968</v>
      </c>
      <c r="D231" s="252" t="s">
        <v>2065</v>
      </c>
      <c r="E231" s="252" t="s">
        <v>904</v>
      </c>
      <c r="F231" s="252" t="s">
        <v>889</v>
      </c>
      <c r="G231" s="255"/>
    </row>
    <row r="232" spans="1:7" s="108" customFormat="1" ht="14.1" customHeight="1">
      <c r="A232" s="251" t="s">
        <v>1065</v>
      </c>
      <c r="B232" s="252" t="s">
        <v>2066</v>
      </c>
      <c r="C232" s="254" t="s">
        <v>968</v>
      </c>
      <c r="D232" s="252" t="s">
        <v>1069</v>
      </c>
      <c r="E232" s="252" t="s">
        <v>904</v>
      </c>
      <c r="F232" s="252" t="s">
        <v>889</v>
      </c>
      <c r="G232" s="255">
        <v>2.5609999999999999</v>
      </c>
    </row>
    <row r="233" spans="1:7" s="108" customFormat="1" ht="14.1" customHeight="1">
      <c r="A233" s="251" t="s">
        <v>1065</v>
      </c>
      <c r="B233" s="252" t="s">
        <v>2067</v>
      </c>
      <c r="C233" s="254" t="s">
        <v>968</v>
      </c>
      <c r="D233" s="252" t="s">
        <v>1073</v>
      </c>
      <c r="E233" s="252" t="s">
        <v>888</v>
      </c>
      <c r="F233" s="252" t="s">
        <v>889</v>
      </c>
      <c r="G233" s="255">
        <v>21.949000000000002</v>
      </c>
    </row>
    <row r="234" spans="1:7" s="108" customFormat="1" ht="14.1" customHeight="1">
      <c r="A234" s="251" t="s">
        <v>1065</v>
      </c>
      <c r="B234" s="252" t="s">
        <v>2068</v>
      </c>
      <c r="C234" s="254" t="s">
        <v>968</v>
      </c>
      <c r="D234" s="252" t="s">
        <v>2069</v>
      </c>
      <c r="E234" s="252" t="s">
        <v>888</v>
      </c>
      <c r="F234" s="252" t="s">
        <v>889</v>
      </c>
      <c r="G234" s="255"/>
    </row>
    <row r="235" spans="1:7" s="108" customFormat="1" ht="14.1" customHeight="1">
      <c r="A235" s="251" t="s">
        <v>1065</v>
      </c>
      <c r="B235" s="252" t="s">
        <v>2070</v>
      </c>
      <c r="C235" s="254" t="s">
        <v>968</v>
      </c>
      <c r="D235" s="252" t="s">
        <v>1184</v>
      </c>
      <c r="E235" s="252" t="s">
        <v>939</v>
      </c>
      <c r="F235" s="252" t="s">
        <v>892</v>
      </c>
      <c r="G235" s="255"/>
    </row>
    <row r="236" spans="1:7" s="108" customFormat="1" ht="14.1" customHeight="1">
      <c r="A236" s="251" t="s">
        <v>1065</v>
      </c>
      <c r="B236" s="252" t="s">
        <v>2070</v>
      </c>
      <c r="C236" s="254" t="s">
        <v>968</v>
      </c>
      <c r="D236" s="252" t="s">
        <v>1184</v>
      </c>
      <c r="E236" s="252" t="s">
        <v>939</v>
      </c>
      <c r="F236" s="252" t="s">
        <v>889</v>
      </c>
      <c r="G236" s="255"/>
    </row>
    <row r="237" spans="1:7" s="108" customFormat="1" ht="14.1" customHeight="1">
      <c r="A237" s="251" t="s">
        <v>1065</v>
      </c>
      <c r="B237" s="252" t="s">
        <v>2071</v>
      </c>
      <c r="C237" s="254" t="s">
        <v>968</v>
      </c>
      <c r="D237" s="252" t="s">
        <v>2072</v>
      </c>
      <c r="E237" s="252" t="s">
        <v>907</v>
      </c>
      <c r="F237" s="252" t="s">
        <v>889</v>
      </c>
      <c r="G237" s="255"/>
    </row>
    <row r="238" spans="1:7" s="108" customFormat="1" ht="14.1" customHeight="1">
      <c r="A238" s="251" t="s">
        <v>1065</v>
      </c>
      <c r="B238" s="252" t="s">
        <v>2073</v>
      </c>
      <c r="C238" s="254" t="s">
        <v>968</v>
      </c>
      <c r="D238" s="252" t="s">
        <v>2074</v>
      </c>
      <c r="E238" s="252" t="s">
        <v>888</v>
      </c>
      <c r="F238" s="252" t="s">
        <v>889</v>
      </c>
      <c r="G238" s="255"/>
    </row>
    <row r="239" spans="1:7" s="108" customFormat="1" ht="14.1" customHeight="1">
      <c r="A239" s="251" t="s">
        <v>1065</v>
      </c>
      <c r="B239" s="252" t="s">
        <v>2075</v>
      </c>
      <c r="C239" s="254" t="s">
        <v>944</v>
      </c>
      <c r="D239" s="252" t="s">
        <v>2076</v>
      </c>
      <c r="E239" s="252" t="s">
        <v>912</v>
      </c>
      <c r="F239" s="252" t="s">
        <v>889</v>
      </c>
      <c r="G239" s="255"/>
    </row>
    <row r="240" spans="1:7" s="108" customFormat="1" ht="14.1" customHeight="1">
      <c r="A240" s="251" t="s">
        <v>1065</v>
      </c>
      <c r="B240" s="252" t="s">
        <v>2077</v>
      </c>
      <c r="C240" s="254" t="s">
        <v>1051</v>
      </c>
      <c r="D240" s="252" t="s">
        <v>1078</v>
      </c>
      <c r="E240" s="252" t="s">
        <v>925</v>
      </c>
      <c r="F240" s="252" t="s">
        <v>889</v>
      </c>
      <c r="G240" s="255">
        <v>723.97400000000005</v>
      </c>
    </row>
    <row r="241" spans="1:7" s="108" customFormat="1" ht="14.1" customHeight="1">
      <c r="A241" s="251" t="s">
        <v>1065</v>
      </c>
      <c r="B241" s="252" t="s">
        <v>2078</v>
      </c>
      <c r="C241" s="254" t="s">
        <v>938</v>
      </c>
      <c r="D241" s="252" t="s">
        <v>2079</v>
      </c>
      <c r="E241" s="252" t="s">
        <v>888</v>
      </c>
      <c r="F241" s="252" t="s">
        <v>889</v>
      </c>
      <c r="G241" s="255"/>
    </row>
    <row r="242" spans="1:7" s="108" customFormat="1" ht="14.1" customHeight="1">
      <c r="A242" s="251" t="s">
        <v>1065</v>
      </c>
      <c r="B242" s="252" t="s">
        <v>2080</v>
      </c>
      <c r="C242" s="254" t="s">
        <v>938</v>
      </c>
      <c r="D242" s="252" t="s">
        <v>1074</v>
      </c>
      <c r="E242" s="252" t="s">
        <v>954</v>
      </c>
      <c r="F242" s="252" t="s">
        <v>892</v>
      </c>
      <c r="G242" s="255">
        <v>31.001000000000001</v>
      </c>
    </row>
    <row r="243" spans="1:7" s="108" customFormat="1" ht="14.1" customHeight="1">
      <c r="A243" s="251" t="s">
        <v>1065</v>
      </c>
      <c r="B243" s="252" t="s">
        <v>2081</v>
      </c>
      <c r="C243" s="254" t="s">
        <v>938</v>
      </c>
      <c r="D243" s="252" t="s">
        <v>2082</v>
      </c>
      <c r="E243" s="252" t="s">
        <v>2083</v>
      </c>
      <c r="F243" s="252" t="s">
        <v>913</v>
      </c>
      <c r="G243" s="255"/>
    </row>
    <row r="244" spans="1:7" s="108" customFormat="1" ht="14.1" customHeight="1">
      <c r="A244" s="251" t="s">
        <v>1065</v>
      </c>
      <c r="B244" s="252" t="s">
        <v>2081</v>
      </c>
      <c r="C244" s="254" t="s">
        <v>938</v>
      </c>
      <c r="D244" s="252" t="s">
        <v>2082</v>
      </c>
      <c r="E244" s="252" t="s">
        <v>2083</v>
      </c>
      <c r="F244" s="252" t="s">
        <v>889</v>
      </c>
      <c r="G244" s="255"/>
    </row>
    <row r="245" spans="1:7" s="108" customFormat="1" ht="14.1" customHeight="1">
      <c r="A245" s="251" t="s">
        <v>1065</v>
      </c>
      <c r="B245" s="252" t="s">
        <v>2084</v>
      </c>
      <c r="C245" s="254" t="s">
        <v>1756</v>
      </c>
      <c r="D245" s="252" t="s">
        <v>1079</v>
      </c>
      <c r="E245" s="252" t="s">
        <v>895</v>
      </c>
      <c r="F245" s="252" t="s">
        <v>889</v>
      </c>
      <c r="G245" s="255">
        <v>827.59400000000005</v>
      </c>
    </row>
    <row r="246" spans="1:7" s="108" customFormat="1" ht="14.1" customHeight="1">
      <c r="A246" s="251" t="s">
        <v>1065</v>
      </c>
      <c r="B246" s="252" t="s">
        <v>2085</v>
      </c>
      <c r="C246" s="254" t="s">
        <v>1032</v>
      </c>
      <c r="D246" s="252" t="s">
        <v>2086</v>
      </c>
      <c r="E246" s="252" t="s">
        <v>888</v>
      </c>
      <c r="F246" s="252" t="s">
        <v>889</v>
      </c>
      <c r="G246" s="255"/>
    </row>
    <row r="247" spans="1:7" s="108" customFormat="1" ht="14.1" customHeight="1">
      <c r="A247" s="251" t="s">
        <v>1065</v>
      </c>
      <c r="B247" s="252" t="s">
        <v>1764</v>
      </c>
      <c r="C247" s="254" t="s">
        <v>986</v>
      </c>
      <c r="D247" s="252" t="s">
        <v>1076</v>
      </c>
      <c r="E247" s="252" t="s">
        <v>984</v>
      </c>
      <c r="F247" s="252" t="s">
        <v>889</v>
      </c>
      <c r="G247" s="255">
        <v>334</v>
      </c>
    </row>
    <row r="248" spans="1:7" s="108" customFormat="1" ht="14.1" customHeight="1">
      <c r="A248" s="251" t="s">
        <v>1065</v>
      </c>
      <c r="B248" s="252" t="s">
        <v>2087</v>
      </c>
      <c r="C248" s="254" t="s">
        <v>890</v>
      </c>
      <c r="D248" s="252" t="s">
        <v>1067</v>
      </c>
      <c r="E248" s="252" t="s">
        <v>1010</v>
      </c>
      <c r="F248" s="252" t="s">
        <v>889</v>
      </c>
      <c r="G248" s="255">
        <v>2.0019999999999998</v>
      </c>
    </row>
    <row r="249" spans="1:7" s="108" customFormat="1" ht="14.1" customHeight="1">
      <c r="A249" s="251" t="s">
        <v>1065</v>
      </c>
      <c r="B249" s="252" t="s">
        <v>2088</v>
      </c>
      <c r="C249" s="254" t="s">
        <v>1202</v>
      </c>
      <c r="D249" s="252" t="s">
        <v>2089</v>
      </c>
      <c r="E249" s="252" t="s">
        <v>1033</v>
      </c>
      <c r="F249" s="252" t="s">
        <v>892</v>
      </c>
      <c r="G249" s="255"/>
    </row>
    <row r="250" spans="1:7" s="108" customFormat="1" ht="14.1" customHeight="1">
      <c r="A250" s="251" t="s">
        <v>1065</v>
      </c>
      <c r="B250" s="252" t="s">
        <v>2090</v>
      </c>
      <c r="C250" s="254" t="s">
        <v>1023</v>
      </c>
      <c r="D250" s="252" t="s">
        <v>2091</v>
      </c>
      <c r="E250" s="252" t="s">
        <v>895</v>
      </c>
      <c r="F250" s="252" t="s">
        <v>892</v>
      </c>
      <c r="G250" s="255"/>
    </row>
    <row r="251" spans="1:7" s="108" customFormat="1" ht="14.1" customHeight="1">
      <c r="A251" s="251" t="s">
        <v>1065</v>
      </c>
      <c r="B251" s="252" t="s">
        <v>2090</v>
      </c>
      <c r="C251" s="254" t="s">
        <v>1023</v>
      </c>
      <c r="D251" s="252" t="s">
        <v>2091</v>
      </c>
      <c r="E251" s="252" t="s">
        <v>895</v>
      </c>
      <c r="F251" s="252" t="s">
        <v>889</v>
      </c>
      <c r="G251" s="255"/>
    </row>
    <row r="252" spans="1:7" s="108" customFormat="1" ht="14.1" customHeight="1">
      <c r="A252" s="251" t="s">
        <v>1065</v>
      </c>
      <c r="B252" s="252" t="s">
        <v>1955</v>
      </c>
      <c r="C252" s="254" t="s">
        <v>894</v>
      </c>
      <c r="D252" s="252" t="s">
        <v>1077</v>
      </c>
      <c r="E252" s="252" t="s">
        <v>1021</v>
      </c>
      <c r="F252" s="252" t="s">
        <v>889</v>
      </c>
      <c r="G252" s="255">
        <v>529.03</v>
      </c>
    </row>
    <row r="253" spans="1:7" s="108" customFormat="1" ht="14.1" customHeight="1">
      <c r="A253" s="251" t="s">
        <v>1065</v>
      </c>
      <c r="B253" s="252" t="s">
        <v>2092</v>
      </c>
      <c r="C253" s="254" t="s">
        <v>894</v>
      </c>
      <c r="D253" s="252" t="s">
        <v>2093</v>
      </c>
      <c r="E253" s="252" t="s">
        <v>907</v>
      </c>
      <c r="F253" s="252" t="s">
        <v>889</v>
      </c>
      <c r="G253" s="255"/>
    </row>
    <row r="254" spans="1:7" s="108" customFormat="1" ht="14.1" customHeight="1">
      <c r="A254" s="251" t="s">
        <v>1065</v>
      </c>
      <c r="B254" s="252" t="s">
        <v>2094</v>
      </c>
      <c r="C254" s="254" t="s">
        <v>1441</v>
      </c>
      <c r="D254" s="252" t="s">
        <v>2095</v>
      </c>
      <c r="E254" s="252" t="s">
        <v>907</v>
      </c>
      <c r="F254" s="252" t="s">
        <v>889</v>
      </c>
      <c r="G254" s="255"/>
    </row>
    <row r="255" spans="1:7" s="108" customFormat="1" ht="14.1" customHeight="1">
      <c r="A255" s="251" t="s">
        <v>1065</v>
      </c>
      <c r="B255" s="252" t="s">
        <v>2096</v>
      </c>
      <c r="C255" s="254" t="s">
        <v>1071</v>
      </c>
      <c r="D255" s="252" t="s">
        <v>1776</v>
      </c>
      <c r="E255" s="252" t="s">
        <v>1157</v>
      </c>
      <c r="F255" s="252" t="s">
        <v>892</v>
      </c>
      <c r="G255" s="255"/>
    </row>
    <row r="256" spans="1:7" s="108" customFormat="1" ht="14.1" customHeight="1">
      <c r="A256" s="251" t="s">
        <v>1065</v>
      </c>
      <c r="B256" s="252" t="s">
        <v>2097</v>
      </c>
      <c r="C256" s="254" t="s">
        <v>1071</v>
      </c>
      <c r="D256" s="252" t="s">
        <v>1070</v>
      </c>
      <c r="E256" s="252" t="s">
        <v>939</v>
      </c>
      <c r="F256" s="252" t="s">
        <v>889</v>
      </c>
      <c r="G256" s="255">
        <v>2.964</v>
      </c>
    </row>
    <row r="257" spans="1:7" s="108" customFormat="1" ht="14.1" customHeight="1">
      <c r="A257" s="251" t="s">
        <v>1065</v>
      </c>
      <c r="B257" s="252" t="s">
        <v>2098</v>
      </c>
      <c r="C257" s="254" t="s">
        <v>1071</v>
      </c>
      <c r="D257" s="252" t="s">
        <v>2099</v>
      </c>
      <c r="E257" s="252" t="s">
        <v>912</v>
      </c>
      <c r="F257" s="252" t="s">
        <v>889</v>
      </c>
      <c r="G257" s="255"/>
    </row>
    <row r="258" spans="1:7" s="108" customFormat="1" ht="14.1" customHeight="1">
      <c r="A258" s="251" t="s">
        <v>1065</v>
      </c>
      <c r="B258" s="252" t="s">
        <v>2100</v>
      </c>
      <c r="C258" s="254" t="s">
        <v>1071</v>
      </c>
      <c r="D258" s="252" t="s">
        <v>2101</v>
      </c>
      <c r="E258" s="252" t="s">
        <v>888</v>
      </c>
      <c r="F258" s="252" t="s">
        <v>889</v>
      </c>
      <c r="G258" s="255"/>
    </row>
    <row r="259" spans="1:7" s="108" customFormat="1" ht="14.1" customHeight="1">
      <c r="A259" s="251" t="s">
        <v>1065</v>
      </c>
      <c r="B259" s="252" t="s">
        <v>2102</v>
      </c>
      <c r="C259" s="254" t="s">
        <v>1110</v>
      </c>
      <c r="D259" s="252" t="s">
        <v>2103</v>
      </c>
      <c r="E259" s="252" t="s">
        <v>925</v>
      </c>
      <c r="F259" s="252" t="s">
        <v>889</v>
      </c>
      <c r="G259" s="255"/>
    </row>
    <row r="260" spans="1:7" s="108" customFormat="1" ht="14.1" customHeight="1">
      <c r="A260" s="251" t="s">
        <v>1065</v>
      </c>
      <c r="B260" s="252" t="s">
        <v>2104</v>
      </c>
      <c r="C260" s="254" t="s">
        <v>1020</v>
      </c>
      <c r="D260" s="252" t="s">
        <v>2105</v>
      </c>
      <c r="E260" s="252" t="s">
        <v>888</v>
      </c>
      <c r="F260" s="252" t="s">
        <v>889</v>
      </c>
      <c r="G260" s="255"/>
    </row>
    <row r="261" spans="1:7" s="108" customFormat="1" ht="14.1" customHeight="1">
      <c r="A261" s="251" t="s">
        <v>1065</v>
      </c>
      <c r="B261" s="252" t="s">
        <v>2106</v>
      </c>
      <c r="C261" s="254" t="s">
        <v>1020</v>
      </c>
      <c r="D261" s="252" t="s">
        <v>1072</v>
      </c>
      <c r="E261" s="252" t="s">
        <v>939</v>
      </c>
      <c r="F261" s="252" t="s">
        <v>889</v>
      </c>
      <c r="G261" s="255">
        <v>6.6210000000000004</v>
      </c>
    </row>
    <row r="262" spans="1:7" s="108" customFormat="1" ht="14.1" customHeight="1">
      <c r="A262" s="251" t="s">
        <v>1065</v>
      </c>
      <c r="B262" s="252" t="s">
        <v>2107</v>
      </c>
      <c r="C262" s="254" t="s">
        <v>903</v>
      </c>
      <c r="D262" s="252" t="s">
        <v>886</v>
      </c>
      <c r="E262" s="252" t="s">
        <v>888</v>
      </c>
      <c r="F262" s="252" t="s">
        <v>889</v>
      </c>
      <c r="G262" s="255"/>
    </row>
    <row r="263" spans="1:7" s="108" customFormat="1" ht="14.1" customHeight="1">
      <c r="A263" s="251" t="s">
        <v>1065</v>
      </c>
      <c r="B263" s="252" t="s">
        <v>2108</v>
      </c>
      <c r="C263" s="254" t="s">
        <v>1000</v>
      </c>
      <c r="D263" s="252" t="s">
        <v>886</v>
      </c>
      <c r="E263" s="252" t="s">
        <v>1026</v>
      </c>
      <c r="F263" s="252" t="s">
        <v>889</v>
      </c>
      <c r="G263" s="255">
        <v>2346.83</v>
      </c>
    </row>
    <row r="264" spans="1:7" s="108" customFormat="1" ht="14.1" customHeight="1">
      <c r="A264" s="251" t="s">
        <v>1065</v>
      </c>
      <c r="B264" s="252" t="s">
        <v>2109</v>
      </c>
      <c r="C264" s="254" t="s">
        <v>1000</v>
      </c>
      <c r="D264" s="252" t="s">
        <v>2110</v>
      </c>
      <c r="E264" s="252" t="s">
        <v>939</v>
      </c>
      <c r="F264" s="252" t="s">
        <v>889</v>
      </c>
      <c r="G264" s="255"/>
    </row>
    <row r="265" spans="1:7" s="108" customFormat="1" ht="14.1" customHeight="1">
      <c r="A265" s="251" t="s">
        <v>1065</v>
      </c>
      <c r="B265" s="252" t="s">
        <v>2109</v>
      </c>
      <c r="C265" s="254" t="s">
        <v>1000</v>
      </c>
      <c r="D265" s="252" t="s">
        <v>2110</v>
      </c>
      <c r="E265" s="252" t="s">
        <v>939</v>
      </c>
      <c r="F265" s="252" t="s">
        <v>889</v>
      </c>
      <c r="G265" s="255"/>
    </row>
    <row r="266" spans="1:7" s="108" customFormat="1" ht="14.1" customHeight="1">
      <c r="A266" s="251" t="s">
        <v>1065</v>
      </c>
      <c r="B266" s="252" t="s">
        <v>2111</v>
      </c>
      <c r="C266" s="254" t="s">
        <v>1000</v>
      </c>
      <c r="D266" s="252" t="s">
        <v>1081</v>
      </c>
      <c r="E266" s="252" t="s">
        <v>918</v>
      </c>
      <c r="F266" s="252" t="s">
        <v>889</v>
      </c>
      <c r="G266" s="255">
        <v>848.60799999999995</v>
      </c>
    </row>
    <row r="267" spans="1:7" s="108" customFormat="1" ht="14.1" customHeight="1">
      <c r="A267" s="251" t="s">
        <v>1065</v>
      </c>
      <c r="B267" s="252" t="s">
        <v>2112</v>
      </c>
      <c r="C267" s="254" t="s">
        <v>1068</v>
      </c>
      <c r="D267" s="252" t="s">
        <v>2113</v>
      </c>
      <c r="E267" s="252" t="s">
        <v>939</v>
      </c>
      <c r="F267" s="252" t="s">
        <v>889</v>
      </c>
      <c r="G267" s="255"/>
    </row>
    <row r="268" spans="1:7" s="108" customFormat="1" ht="14.1" customHeight="1">
      <c r="A268" s="251" t="s">
        <v>1065</v>
      </c>
      <c r="B268" s="252" t="s">
        <v>2114</v>
      </c>
      <c r="C268" s="254" t="s">
        <v>1164</v>
      </c>
      <c r="D268" s="252" t="s">
        <v>2115</v>
      </c>
      <c r="E268" s="252" t="s">
        <v>895</v>
      </c>
      <c r="F268" s="252" t="s">
        <v>889</v>
      </c>
      <c r="G268" s="255"/>
    </row>
    <row r="269" spans="1:7" s="108" customFormat="1" ht="14.1" customHeight="1">
      <c r="A269" s="251" t="s">
        <v>1065</v>
      </c>
      <c r="B269" s="252" t="s">
        <v>2116</v>
      </c>
      <c r="C269" s="254" t="s">
        <v>983</v>
      </c>
      <c r="D269" s="252" t="s">
        <v>1066</v>
      </c>
      <c r="E269" s="252" t="s">
        <v>888</v>
      </c>
      <c r="F269" s="252" t="s">
        <v>889</v>
      </c>
      <c r="G269" s="255">
        <v>0.13500000000000001</v>
      </c>
    </row>
    <row r="270" spans="1:7" s="108" customFormat="1" ht="14.1" customHeight="1">
      <c r="A270" s="251" t="s">
        <v>1065</v>
      </c>
      <c r="B270" s="252" t="s">
        <v>2117</v>
      </c>
      <c r="C270" s="254" t="s">
        <v>983</v>
      </c>
      <c r="D270" s="252" t="s">
        <v>1243</v>
      </c>
      <c r="E270" s="252" t="s">
        <v>907</v>
      </c>
      <c r="F270" s="252" t="s">
        <v>1794</v>
      </c>
      <c r="G270" s="255"/>
    </row>
    <row r="271" spans="1:7" s="108" customFormat="1" ht="14.1" customHeight="1">
      <c r="A271" s="251" t="s">
        <v>1300</v>
      </c>
      <c r="B271" s="252" t="s">
        <v>2118</v>
      </c>
      <c r="C271" s="254" t="s">
        <v>1088</v>
      </c>
      <c r="D271" s="252" t="s">
        <v>1305</v>
      </c>
      <c r="E271" s="252" t="s">
        <v>1306</v>
      </c>
      <c r="F271" s="252" t="s">
        <v>889</v>
      </c>
      <c r="G271" s="255">
        <v>3</v>
      </c>
    </row>
    <row r="272" spans="1:7" s="108" customFormat="1" ht="14.1" customHeight="1">
      <c r="A272" s="251" t="s">
        <v>1300</v>
      </c>
      <c r="B272" s="252" t="s">
        <v>2119</v>
      </c>
      <c r="C272" s="254" t="s">
        <v>1032</v>
      </c>
      <c r="D272" s="252" t="s">
        <v>2120</v>
      </c>
      <c r="E272" s="252" t="s">
        <v>888</v>
      </c>
      <c r="F272" s="252" t="s">
        <v>889</v>
      </c>
      <c r="G272" s="255"/>
    </row>
    <row r="273" spans="1:7" s="108" customFormat="1" ht="14.1" customHeight="1">
      <c r="A273" s="251" t="s">
        <v>1300</v>
      </c>
      <c r="B273" s="252" t="s">
        <v>2121</v>
      </c>
      <c r="C273" s="254" t="s">
        <v>906</v>
      </c>
      <c r="D273" s="252" t="s">
        <v>2122</v>
      </c>
      <c r="E273" s="252" t="s">
        <v>1119</v>
      </c>
      <c r="F273" s="252" t="s">
        <v>892</v>
      </c>
      <c r="G273" s="255"/>
    </row>
    <row r="274" spans="1:7" s="108" customFormat="1" ht="14.1" customHeight="1">
      <c r="A274" s="251" t="s">
        <v>1300</v>
      </c>
      <c r="B274" s="252" t="s">
        <v>2123</v>
      </c>
      <c r="C274" s="254" t="s">
        <v>887</v>
      </c>
      <c r="D274" s="252" t="s">
        <v>1309</v>
      </c>
      <c r="E274" s="252" t="s">
        <v>888</v>
      </c>
      <c r="F274" s="252" t="s">
        <v>892</v>
      </c>
      <c r="G274" s="255">
        <v>200</v>
      </c>
    </row>
    <row r="275" spans="1:7" s="108" customFormat="1" ht="14.1" customHeight="1">
      <c r="A275" s="251" t="s">
        <v>1300</v>
      </c>
      <c r="B275" s="252" t="s">
        <v>2124</v>
      </c>
      <c r="C275" s="254" t="s">
        <v>917</v>
      </c>
      <c r="D275" s="252" t="s">
        <v>2125</v>
      </c>
      <c r="E275" s="252" t="s">
        <v>929</v>
      </c>
      <c r="F275" s="252" t="s">
        <v>892</v>
      </c>
      <c r="G275" s="255"/>
    </row>
    <row r="276" spans="1:7" s="108" customFormat="1" ht="14.1" customHeight="1">
      <c r="A276" s="251" t="s">
        <v>1300</v>
      </c>
      <c r="B276" s="252" t="s">
        <v>2126</v>
      </c>
      <c r="C276" s="254" t="s">
        <v>917</v>
      </c>
      <c r="D276" s="252" t="s">
        <v>1302</v>
      </c>
      <c r="E276" s="252" t="s">
        <v>929</v>
      </c>
      <c r="F276" s="252" t="s">
        <v>889</v>
      </c>
      <c r="G276" s="255">
        <v>0.22</v>
      </c>
    </row>
    <row r="277" spans="1:7" s="108" customFormat="1" ht="14.1" customHeight="1">
      <c r="A277" s="251" t="s">
        <v>1300</v>
      </c>
      <c r="B277" s="252" t="s">
        <v>2127</v>
      </c>
      <c r="C277" s="254" t="s">
        <v>917</v>
      </c>
      <c r="D277" s="252" t="s">
        <v>1303</v>
      </c>
      <c r="E277" s="252" t="s">
        <v>895</v>
      </c>
      <c r="F277" s="252" t="s">
        <v>892</v>
      </c>
      <c r="G277" s="255">
        <v>0.25</v>
      </c>
    </row>
    <row r="278" spans="1:7" s="108" customFormat="1" ht="14.1" customHeight="1">
      <c r="A278" s="251" t="s">
        <v>1300</v>
      </c>
      <c r="B278" s="252" t="s">
        <v>2128</v>
      </c>
      <c r="C278" s="254" t="s">
        <v>917</v>
      </c>
      <c r="D278" s="252" t="s">
        <v>1304</v>
      </c>
      <c r="E278" s="252" t="s">
        <v>929</v>
      </c>
      <c r="F278" s="252" t="s">
        <v>913</v>
      </c>
      <c r="G278" s="255">
        <v>2.0019999999999998</v>
      </c>
    </row>
    <row r="279" spans="1:7" s="108" customFormat="1" ht="14.1" customHeight="1">
      <c r="A279" s="251" t="s">
        <v>1300</v>
      </c>
      <c r="B279" s="252" t="s">
        <v>2129</v>
      </c>
      <c r="C279" s="254" t="s">
        <v>917</v>
      </c>
      <c r="D279" s="252" t="s">
        <v>1307</v>
      </c>
      <c r="E279" s="252" t="s">
        <v>918</v>
      </c>
      <c r="F279" s="252" t="s">
        <v>889</v>
      </c>
      <c r="G279" s="255">
        <v>19.332000000000001</v>
      </c>
    </row>
    <row r="280" spans="1:7" s="108" customFormat="1" ht="14.1" customHeight="1">
      <c r="A280" s="251" t="s">
        <v>1300</v>
      </c>
      <c r="B280" s="252" t="s">
        <v>2130</v>
      </c>
      <c r="C280" s="254" t="s">
        <v>1020</v>
      </c>
      <c r="D280" s="252" t="s">
        <v>1301</v>
      </c>
      <c r="E280" s="252" t="s">
        <v>895</v>
      </c>
      <c r="F280" s="252" t="s">
        <v>889</v>
      </c>
      <c r="G280" s="255">
        <v>1.4E-2</v>
      </c>
    </row>
    <row r="281" spans="1:7" s="108" customFormat="1" ht="14.1" customHeight="1">
      <c r="A281" s="251" t="s">
        <v>1300</v>
      </c>
      <c r="B281" s="252" t="s">
        <v>2131</v>
      </c>
      <c r="C281" s="254" t="s">
        <v>1000</v>
      </c>
      <c r="D281" s="252" t="s">
        <v>2132</v>
      </c>
      <c r="E281" s="252" t="s">
        <v>959</v>
      </c>
      <c r="F281" s="252" t="s">
        <v>889</v>
      </c>
      <c r="G281" s="255"/>
    </row>
    <row r="282" spans="1:7" s="108" customFormat="1" ht="14.1" customHeight="1">
      <c r="A282" s="251" t="s">
        <v>1300</v>
      </c>
      <c r="B282" s="252" t="s">
        <v>2133</v>
      </c>
      <c r="C282" s="254" t="s">
        <v>1164</v>
      </c>
      <c r="D282" s="252" t="s">
        <v>1308</v>
      </c>
      <c r="E282" s="252" t="s">
        <v>929</v>
      </c>
      <c r="F282" s="252" t="s">
        <v>889</v>
      </c>
      <c r="G282" s="255">
        <v>19.792000000000002</v>
      </c>
    </row>
    <row r="283" spans="1:7" s="108" customFormat="1" ht="14.1" customHeight="1">
      <c r="A283" s="251" t="s">
        <v>1385</v>
      </c>
      <c r="B283" s="252" t="s">
        <v>2134</v>
      </c>
      <c r="C283" s="254" t="s">
        <v>1466</v>
      </c>
      <c r="D283" s="252" t="s">
        <v>2135</v>
      </c>
      <c r="E283" s="252" t="s">
        <v>888</v>
      </c>
      <c r="F283" s="252" t="s">
        <v>889</v>
      </c>
      <c r="G283" s="255"/>
    </row>
    <row r="284" spans="1:7" s="108" customFormat="1" ht="14.1" customHeight="1">
      <c r="A284" s="251" t="s">
        <v>1385</v>
      </c>
      <c r="B284" s="252" t="s">
        <v>2136</v>
      </c>
      <c r="C284" s="254" t="s">
        <v>938</v>
      </c>
      <c r="D284" s="252" t="s">
        <v>1564</v>
      </c>
      <c r="E284" s="252" t="s">
        <v>959</v>
      </c>
      <c r="F284" s="252" t="s">
        <v>889</v>
      </c>
      <c r="G284" s="255"/>
    </row>
    <row r="285" spans="1:7" s="108" customFormat="1" ht="14.1" customHeight="1">
      <c r="A285" s="251" t="s">
        <v>1385</v>
      </c>
      <c r="B285" s="252" t="s">
        <v>2137</v>
      </c>
      <c r="C285" s="254" t="s">
        <v>1756</v>
      </c>
      <c r="D285" s="252" t="s">
        <v>1387</v>
      </c>
      <c r="E285" s="252" t="s">
        <v>888</v>
      </c>
      <c r="F285" s="252" t="s">
        <v>889</v>
      </c>
      <c r="G285" s="255">
        <v>5</v>
      </c>
    </row>
    <row r="286" spans="1:7" s="108" customFormat="1" ht="14.1" customHeight="1">
      <c r="A286" s="251" t="s">
        <v>1385</v>
      </c>
      <c r="B286" s="252" t="s">
        <v>2138</v>
      </c>
      <c r="C286" s="254" t="s">
        <v>1032</v>
      </c>
      <c r="D286" s="252" t="s">
        <v>2139</v>
      </c>
      <c r="E286" s="252" t="s">
        <v>888</v>
      </c>
      <c r="F286" s="252" t="s">
        <v>889</v>
      </c>
      <c r="G286" s="255"/>
    </row>
    <row r="287" spans="1:7" s="108" customFormat="1" ht="14.1" customHeight="1">
      <c r="A287" s="251" t="s">
        <v>1385</v>
      </c>
      <c r="B287" s="252" t="s">
        <v>2140</v>
      </c>
      <c r="C287" s="254" t="s">
        <v>986</v>
      </c>
      <c r="D287" s="252" t="s">
        <v>1391</v>
      </c>
      <c r="E287" s="252" t="s">
        <v>907</v>
      </c>
      <c r="F287" s="252" t="s">
        <v>889</v>
      </c>
      <c r="G287" s="255">
        <v>349.44</v>
      </c>
    </row>
    <row r="288" spans="1:7" s="108" customFormat="1" ht="14.1" customHeight="1">
      <c r="A288" s="251" t="s">
        <v>1385</v>
      </c>
      <c r="B288" s="252" t="s">
        <v>2141</v>
      </c>
      <c r="C288" s="254" t="s">
        <v>2142</v>
      </c>
      <c r="D288" s="252" t="s">
        <v>2143</v>
      </c>
      <c r="E288" s="252" t="s">
        <v>888</v>
      </c>
      <c r="F288" s="252" t="s">
        <v>889</v>
      </c>
      <c r="G288" s="255"/>
    </row>
    <row r="289" spans="1:7" s="108" customFormat="1" ht="14.1" customHeight="1">
      <c r="A289" s="251" t="s">
        <v>1385</v>
      </c>
      <c r="B289" s="252" t="s">
        <v>2144</v>
      </c>
      <c r="C289" s="254" t="s">
        <v>2142</v>
      </c>
      <c r="D289" s="252" t="s">
        <v>2145</v>
      </c>
      <c r="E289" s="252" t="s">
        <v>895</v>
      </c>
      <c r="F289" s="252" t="s">
        <v>889</v>
      </c>
      <c r="G289" s="255"/>
    </row>
    <row r="290" spans="1:7" s="108" customFormat="1" ht="14.1" customHeight="1">
      <c r="A290" s="251" t="s">
        <v>1385</v>
      </c>
      <c r="B290" s="252" t="s">
        <v>2146</v>
      </c>
      <c r="C290" s="254" t="s">
        <v>917</v>
      </c>
      <c r="D290" s="252" t="s">
        <v>2147</v>
      </c>
      <c r="E290" s="252" t="s">
        <v>888</v>
      </c>
      <c r="F290" s="252" t="s">
        <v>892</v>
      </c>
      <c r="G290" s="255"/>
    </row>
    <row r="291" spans="1:7" s="108" customFormat="1" ht="14.1" customHeight="1">
      <c r="A291" s="251" t="s">
        <v>1385</v>
      </c>
      <c r="B291" s="252" t="s">
        <v>2148</v>
      </c>
      <c r="C291" s="254" t="s">
        <v>917</v>
      </c>
      <c r="D291" s="252" t="s">
        <v>1389</v>
      </c>
      <c r="E291" s="252" t="s">
        <v>1390</v>
      </c>
      <c r="F291" s="252" t="s">
        <v>889</v>
      </c>
      <c r="G291" s="255">
        <v>125</v>
      </c>
    </row>
    <row r="292" spans="1:7" s="108" customFormat="1" ht="14.1" customHeight="1">
      <c r="A292" s="251" t="s">
        <v>1385</v>
      </c>
      <c r="B292" s="252" t="s">
        <v>2149</v>
      </c>
      <c r="C292" s="254" t="s">
        <v>917</v>
      </c>
      <c r="D292" s="252" t="s">
        <v>1376</v>
      </c>
      <c r="E292" s="252" t="s">
        <v>918</v>
      </c>
      <c r="F292" s="252" t="s">
        <v>892</v>
      </c>
      <c r="G292" s="255">
        <v>0.17799999999999999</v>
      </c>
    </row>
    <row r="293" spans="1:7" s="108" customFormat="1" ht="14.1" customHeight="1">
      <c r="A293" s="251" t="s">
        <v>1385</v>
      </c>
      <c r="B293" s="252" t="s">
        <v>2149</v>
      </c>
      <c r="C293" s="254" t="s">
        <v>917</v>
      </c>
      <c r="D293" s="252" t="s">
        <v>2150</v>
      </c>
      <c r="E293" s="252" t="s">
        <v>918</v>
      </c>
      <c r="F293" s="252" t="s">
        <v>892</v>
      </c>
      <c r="G293" s="255"/>
    </row>
    <row r="294" spans="1:7" s="108" customFormat="1" ht="14.1" customHeight="1">
      <c r="A294" s="251" t="s">
        <v>1385</v>
      </c>
      <c r="B294" s="252" t="s">
        <v>2151</v>
      </c>
      <c r="C294" s="254" t="s">
        <v>917</v>
      </c>
      <c r="D294" s="252" t="s">
        <v>1386</v>
      </c>
      <c r="E294" s="252" t="s">
        <v>929</v>
      </c>
      <c r="F294" s="252" t="s">
        <v>892</v>
      </c>
      <c r="G294" s="255">
        <v>1.365</v>
      </c>
    </row>
    <row r="295" spans="1:7" s="108" customFormat="1" ht="14.1" customHeight="1">
      <c r="A295" s="251" t="s">
        <v>1385</v>
      </c>
      <c r="B295" s="252" t="s">
        <v>2151</v>
      </c>
      <c r="C295" s="254" t="s">
        <v>917</v>
      </c>
      <c r="D295" s="252" t="s">
        <v>1386</v>
      </c>
      <c r="E295" s="252" t="s">
        <v>929</v>
      </c>
      <c r="F295" s="252" t="s">
        <v>892</v>
      </c>
      <c r="G295" s="255">
        <v>0.25</v>
      </c>
    </row>
    <row r="296" spans="1:7" s="108" customFormat="1" ht="14.1" customHeight="1">
      <c r="A296" s="251" t="s">
        <v>1385</v>
      </c>
      <c r="B296" s="252" t="s">
        <v>2151</v>
      </c>
      <c r="C296" s="254" t="s">
        <v>917</v>
      </c>
      <c r="D296" s="252" t="s">
        <v>1386</v>
      </c>
      <c r="E296" s="252" t="s">
        <v>929</v>
      </c>
      <c r="F296" s="252" t="s">
        <v>892</v>
      </c>
      <c r="G296" s="255">
        <v>0.73499999999999999</v>
      </c>
    </row>
    <row r="297" spans="1:7" s="108" customFormat="1" ht="14.1" customHeight="1">
      <c r="A297" s="251" t="s">
        <v>1385</v>
      </c>
      <c r="B297" s="252" t="s">
        <v>2151</v>
      </c>
      <c r="C297" s="254" t="s">
        <v>917</v>
      </c>
      <c r="D297" s="252" t="s">
        <v>1386</v>
      </c>
      <c r="E297" s="252" t="s">
        <v>929</v>
      </c>
      <c r="F297" s="252" t="s">
        <v>892</v>
      </c>
      <c r="G297" s="255">
        <v>0.73499999999999999</v>
      </c>
    </row>
    <row r="298" spans="1:7" s="108" customFormat="1" ht="14.1" customHeight="1">
      <c r="A298" s="251" t="s">
        <v>1385</v>
      </c>
      <c r="B298" s="252" t="s">
        <v>2152</v>
      </c>
      <c r="C298" s="254" t="s">
        <v>894</v>
      </c>
      <c r="D298" s="252" t="s">
        <v>1401</v>
      </c>
      <c r="E298" s="252" t="s">
        <v>918</v>
      </c>
      <c r="F298" s="252" t="s">
        <v>889</v>
      </c>
      <c r="G298" s="255"/>
    </row>
    <row r="299" spans="1:7" s="108" customFormat="1" ht="14.1" customHeight="1">
      <c r="A299" s="251" t="s">
        <v>1385</v>
      </c>
      <c r="B299" s="252" t="s">
        <v>2153</v>
      </c>
      <c r="C299" s="254" t="s">
        <v>894</v>
      </c>
      <c r="D299" s="252" t="s">
        <v>1388</v>
      </c>
      <c r="E299" s="252" t="s">
        <v>907</v>
      </c>
      <c r="F299" s="252" t="s">
        <v>889</v>
      </c>
      <c r="G299" s="255">
        <v>23</v>
      </c>
    </row>
    <row r="300" spans="1:7" s="108" customFormat="1" ht="14.1" customHeight="1">
      <c r="A300" s="251" t="s">
        <v>1385</v>
      </c>
      <c r="B300" s="252" t="s">
        <v>2154</v>
      </c>
      <c r="C300" s="254" t="s">
        <v>894</v>
      </c>
      <c r="D300" s="252" t="s">
        <v>2155</v>
      </c>
      <c r="E300" s="252" t="s">
        <v>939</v>
      </c>
      <c r="F300" s="252" t="s">
        <v>1794</v>
      </c>
      <c r="G300" s="255"/>
    </row>
    <row r="301" spans="1:7" s="108" customFormat="1" ht="14.1" customHeight="1">
      <c r="A301" s="251" t="s">
        <v>1385</v>
      </c>
      <c r="B301" s="252" t="s">
        <v>2156</v>
      </c>
      <c r="C301" s="254" t="s">
        <v>894</v>
      </c>
      <c r="D301" s="252" t="s">
        <v>2157</v>
      </c>
      <c r="E301" s="252" t="s">
        <v>1024</v>
      </c>
      <c r="F301" s="252" t="s">
        <v>889</v>
      </c>
      <c r="G301" s="255"/>
    </row>
    <row r="302" spans="1:7" s="108" customFormat="1" ht="14.1" customHeight="1">
      <c r="A302" s="251" t="s">
        <v>1385</v>
      </c>
      <c r="B302" s="252" t="s">
        <v>2158</v>
      </c>
      <c r="C302" s="254" t="s">
        <v>894</v>
      </c>
      <c r="D302" s="252" t="s">
        <v>886</v>
      </c>
      <c r="E302" s="252" t="s">
        <v>888</v>
      </c>
      <c r="F302" s="252" t="s">
        <v>889</v>
      </c>
      <c r="G302" s="255">
        <v>595</v>
      </c>
    </row>
    <row r="303" spans="1:7" s="108" customFormat="1" ht="14.1" customHeight="1">
      <c r="A303" s="251" t="s">
        <v>2159</v>
      </c>
      <c r="B303" s="252" t="s">
        <v>2160</v>
      </c>
      <c r="C303" s="254" t="s">
        <v>1018</v>
      </c>
      <c r="D303" s="252" t="s">
        <v>2161</v>
      </c>
      <c r="E303" s="252" t="s">
        <v>939</v>
      </c>
      <c r="F303" s="252" t="s">
        <v>889</v>
      </c>
      <c r="G303" s="255"/>
    </row>
    <row r="304" spans="1:7" s="108" customFormat="1" ht="14.1" customHeight="1">
      <c r="A304" s="251" t="s">
        <v>1481</v>
      </c>
      <c r="B304" s="252" t="s">
        <v>2162</v>
      </c>
      <c r="C304" s="254" t="s">
        <v>897</v>
      </c>
      <c r="D304" s="252" t="s">
        <v>2163</v>
      </c>
      <c r="E304" s="252" t="s">
        <v>907</v>
      </c>
      <c r="F304" s="252" t="s">
        <v>889</v>
      </c>
      <c r="G304" s="255"/>
    </row>
    <row r="305" spans="1:7" s="108" customFormat="1" ht="14.1" customHeight="1">
      <c r="A305" s="251" t="s">
        <v>1481</v>
      </c>
      <c r="B305" s="252" t="s">
        <v>2164</v>
      </c>
      <c r="C305" s="254" t="s">
        <v>968</v>
      </c>
      <c r="D305" s="252" t="s">
        <v>2165</v>
      </c>
      <c r="E305" s="252" t="s">
        <v>895</v>
      </c>
      <c r="F305" s="252" t="s">
        <v>892</v>
      </c>
      <c r="G305" s="255"/>
    </row>
    <row r="306" spans="1:7" s="108" customFormat="1" ht="14.1" customHeight="1">
      <c r="A306" s="251" t="s">
        <v>1481</v>
      </c>
      <c r="B306" s="252" t="s">
        <v>2166</v>
      </c>
      <c r="C306" s="254" t="s">
        <v>944</v>
      </c>
      <c r="D306" s="252" t="s">
        <v>2167</v>
      </c>
      <c r="E306" s="252" t="s">
        <v>939</v>
      </c>
      <c r="F306" s="252" t="s">
        <v>1794</v>
      </c>
      <c r="G306" s="255"/>
    </row>
    <row r="307" spans="1:7" s="108" customFormat="1" ht="14.1" customHeight="1">
      <c r="A307" s="251" t="s">
        <v>1481</v>
      </c>
      <c r="B307" s="252" t="s">
        <v>2168</v>
      </c>
      <c r="C307" s="254" t="s">
        <v>1051</v>
      </c>
      <c r="D307" s="252" t="s">
        <v>1491</v>
      </c>
      <c r="E307" s="252" t="s">
        <v>939</v>
      </c>
      <c r="F307" s="252" t="s">
        <v>889</v>
      </c>
      <c r="G307" s="255">
        <v>131.62299999999999</v>
      </c>
    </row>
    <row r="308" spans="1:7" s="108" customFormat="1" ht="14.1" customHeight="1">
      <c r="A308" s="251" t="s">
        <v>1481</v>
      </c>
      <c r="B308" s="252" t="s">
        <v>2169</v>
      </c>
      <c r="C308" s="254" t="s">
        <v>906</v>
      </c>
      <c r="D308" s="252" t="s">
        <v>2170</v>
      </c>
      <c r="E308" s="252" t="s">
        <v>888</v>
      </c>
      <c r="F308" s="252" t="s">
        <v>889</v>
      </c>
      <c r="G308" s="255"/>
    </row>
    <row r="309" spans="1:7" s="108" customFormat="1" ht="14.1" customHeight="1">
      <c r="A309" s="251" t="s">
        <v>1481</v>
      </c>
      <c r="B309" s="252" t="s">
        <v>2171</v>
      </c>
      <c r="C309" s="254" t="s">
        <v>1150</v>
      </c>
      <c r="D309" s="252" t="s">
        <v>1492</v>
      </c>
      <c r="E309" s="252" t="s">
        <v>888</v>
      </c>
      <c r="F309" s="252" t="s">
        <v>889</v>
      </c>
      <c r="G309" s="255">
        <v>200</v>
      </c>
    </row>
    <row r="310" spans="1:7" s="108" customFormat="1" ht="14.1" customHeight="1">
      <c r="A310" s="251" t="s">
        <v>1481</v>
      </c>
      <c r="B310" s="252" t="s">
        <v>2172</v>
      </c>
      <c r="C310" s="254" t="s">
        <v>986</v>
      </c>
      <c r="D310" s="252" t="s">
        <v>2173</v>
      </c>
      <c r="E310" s="252" t="s">
        <v>888</v>
      </c>
      <c r="F310" s="252" t="s">
        <v>889</v>
      </c>
      <c r="G310" s="255"/>
    </row>
    <row r="311" spans="1:7" s="108" customFormat="1" ht="14.1" customHeight="1">
      <c r="A311" s="251" t="s">
        <v>1481</v>
      </c>
      <c r="B311" s="252" t="s">
        <v>2174</v>
      </c>
      <c r="C311" s="254" t="s">
        <v>890</v>
      </c>
      <c r="D311" s="252" t="s">
        <v>2175</v>
      </c>
      <c r="E311" s="252" t="s">
        <v>1085</v>
      </c>
      <c r="F311" s="252" t="s">
        <v>889</v>
      </c>
      <c r="G311" s="255"/>
    </row>
    <row r="312" spans="1:7" s="108" customFormat="1" ht="14.1" customHeight="1">
      <c r="A312" s="251" t="s">
        <v>1481</v>
      </c>
      <c r="B312" s="252" t="s">
        <v>2176</v>
      </c>
      <c r="C312" s="254" t="s">
        <v>917</v>
      </c>
      <c r="D312" s="252" t="s">
        <v>1482</v>
      </c>
      <c r="E312" s="252" t="s">
        <v>918</v>
      </c>
      <c r="F312" s="252" t="s">
        <v>892</v>
      </c>
      <c r="G312" s="255">
        <v>1</v>
      </c>
    </row>
    <row r="313" spans="1:7" s="108" customFormat="1" ht="14.1" customHeight="1">
      <c r="A313" s="251" t="s">
        <v>1481</v>
      </c>
      <c r="B313" s="252" t="s">
        <v>2177</v>
      </c>
      <c r="C313" s="254" t="s">
        <v>917</v>
      </c>
      <c r="D313" s="252" t="s">
        <v>1488</v>
      </c>
      <c r="E313" s="252" t="s">
        <v>888</v>
      </c>
      <c r="F313" s="252" t="s">
        <v>889</v>
      </c>
      <c r="G313" s="255">
        <v>10</v>
      </c>
    </row>
    <row r="314" spans="1:7" s="108" customFormat="1" ht="14.1" customHeight="1">
      <c r="A314" s="251" t="s">
        <v>1481</v>
      </c>
      <c r="B314" s="252" t="s">
        <v>2178</v>
      </c>
      <c r="C314" s="254" t="s">
        <v>917</v>
      </c>
      <c r="D314" s="252" t="s">
        <v>1483</v>
      </c>
      <c r="E314" s="252" t="s">
        <v>918</v>
      </c>
      <c r="F314" s="252" t="s">
        <v>889</v>
      </c>
      <c r="G314" s="255">
        <v>1.4390000000000001</v>
      </c>
    </row>
    <row r="315" spans="1:7" s="108" customFormat="1" ht="14.1" customHeight="1">
      <c r="A315" s="251" t="s">
        <v>1481</v>
      </c>
      <c r="B315" s="252" t="s">
        <v>2179</v>
      </c>
      <c r="C315" s="254" t="s">
        <v>917</v>
      </c>
      <c r="D315" s="252" t="s">
        <v>1485</v>
      </c>
      <c r="E315" s="252" t="s">
        <v>918</v>
      </c>
      <c r="F315" s="252" t="s">
        <v>892</v>
      </c>
      <c r="G315" s="255">
        <v>2.2170000000000001</v>
      </c>
    </row>
    <row r="316" spans="1:7" s="108" customFormat="1" ht="14.1" customHeight="1">
      <c r="A316" s="251" t="s">
        <v>1481</v>
      </c>
      <c r="B316" s="252" t="s">
        <v>2180</v>
      </c>
      <c r="C316" s="254" t="s">
        <v>917</v>
      </c>
      <c r="D316" s="252" t="s">
        <v>1489</v>
      </c>
      <c r="E316" s="252" t="s">
        <v>888</v>
      </c>
      <c r="F316" s="252" t="s">
        <v>889</v>
      </c>
      <c r="G316" s="255">
        <v>75</v>
      </c>
    </row>
    <row r="317" spans="1:7" s="108" customFormat="1" ht="14.1" customHeight="1">
      <c r="A317" s="251" t="s">
        <v>1481</v>
      </c>
      <c r="B317" s="252" t="s">
        <v>2181</v>
      </c>
      <c r="C317" s="254" t="s">
        <v>917</v>
      </c>
      <c r="D317" s="252" t="s">
        <v>1532</v>
      </c>
      <c r="E317" s="252" t="s">
        <v>918</v>
      </c>
      <c r="F317" s="252" t="s">
        <v>892</v>
      </c>
      <c r="G317" s="255"/>
    </row>
    <row r="318" spans="1:7" s="108" customFormat="1" ht="14.1" customHeight="1">
      <c r="A318" s="251" t="s">
        <v>1481</v>
      </c>
      <c r="B318" s="252" t="s">
        <v>2182</v>
      </c>
      <c r="C318" s="254" t="s">
        <v>917</v>
      </c>
      <c r="D318" s="252" t="s">
        <v>1486</v>
      </c>
      <c r="E318" s="252" t="s">
        <v>918</v>
      </c>
      <c r="F318" s="252" t="s">
        <v>892</v>
      </c>
      <c r="G318" s="255">
        <v>4.6849999999999996</v>
      </c>
    </row>
    <row r="319" spans="1:7" s="108" customFormat="1" ht="14.1" customHeight="1">
      <c r="A319" s="251" t="s">
        <v>1481</v>
      </c>
      <c r="B319" s="252" t="s">
        <v>2183</v>
      </c>
      <c r="C319" s="254" t="s">
        <v>917</v>
      </c>
      <c r="D319" s="252" t="s">
        <v>1484</v>
      </c>
      <c r="E319" s="252" t="s">
        <v>918</v>
      </c>
      <c r="F319" s="252" t="s">
        <v>889</v>
      </c>
      <c r="G319" s="255">
        <v>2.169</v>
      </c>
    </row>
    <row r="320" spans="1:7" s="108" customFormat="1" ht="14.1" customHeight="1">
      <c r="A320" s="251" t="s">
        <v>1481</v>
      </c>
      <c r="B320" s="252" t="s">
        <v>2184</v>
      </c>
      <c r="C320" s="254" t="s">
        <v>917</v>
      </c>
      <c r="D320" s="252" t="s">
        <v>1487</v>
      </c>
      <c r="E320" s="252" t="s">
        <v>918</v>
      </c>
      <c r="F320" s="252" t="s">
        <v>892</v>
      </c>
      <c r="G320" s="255"/>
    </row>
    <row r="321" spans="1:7" s="108" customFormat="1" ht="14.1" customHeight="1">
      <c r="A321" s="251" t="s">
        <v>1481</v>
      </c>
      <c r="B321" s="252" t="s">
        <v>2184</v>
      </c>
      <c r="C321" s="254" t="s">
        <v>917</v>
      </c>
      <c r="D321" s="252" t="s">
        <v>1487</v>
      </c>
      <c r="E321" s="252" t="s">
        <v>918</v>
      </c>
      <c r="F321" s="252" t="s">
        <v>892</v>
      </c>
      <c r="G321" s="255">
        <v>6</v>
      </c>
    </row>
    <row r="322" spans="1:7" s="108" customFormat="1" ht="14.1" customHeight="1">
      <c r="A322" s="251" t="s">
        <v>1481</v>
      </c>
      <c r="B322" s="252" t="s">
        <v>2185</v>
      </c>
      <c r="C322" s="254" t="s">
        <v>894</v>
      </c>
      <c r="D322" s="252" t="s">
        <v>1490</v>
      </c>
      <c r="E322" s="252" t="s">
        <v>888</v>
      </c>
      <c r="F322" s="252" t="s">
        <v>889</v>
      </c>
      <c r="G322" s="255">
        <v>106.4</v>
      </c>
    </row>
    <row r="323" spans="1:7" s="108" customFormat="1" ht="14.1" customHeight="1">
      <c r="A323" s="251" t="s">
        <v>1481</v>
      </c>
      <c r="B323" s="252" t="s">
        <v>2186</v>
      </c>
      <c r="C323" s="254" t="s">
        <v>894</v>
      </c>
      <c r="D323" s="252" t="s">
        <v>2187</v>
      </c>
      <c r="E323" s="252" t="s">
        <v>939</v>
      </c>
      <c r="F323" s="252" t="s">
        <v>889</v>
      </c>
      <c r="G323" s="255"/>
    </row>
    <row r="324" spans="1:7" s="108" customFormat="1" ht="14.1" customHeight="1">
      <c r="A324" s="251" t="s">
        <v>1481</v>
      </c>
      <c r="B324" s="252" t="s">
        <v>2188</v>
      </c>
      <c r="C324" s="254" t="s">
        <v>1246</v>
      </c>
      <c r="D324" s="252" t="s">
        <v>1226</v>
      </c>
      <c r="E324" s="252" t="s">
        <v>888</v>
      </c>
      <c r="F324" s="252" t="s">
        <v>889</v>
      </c>
      <c r="G324" s="255"/>
    </row>
    <row r="325" spans="1:7" s="108" customFormat="1" ht="14.1" customHeight="1">
      <c r="A325" s="251" t="s">
        <v>1481</v>
      </c>
      <c r="B325" s="252" t="s">
        <v>2189</v>
      </c>
      <c r="C325" s="254" t="s">
        <v>1110</v>
      </c>
      <c r="D325" s="252" t="s">
        <v>2190</v>
      </c>
      <c r="E325" s="252" t="s">
        <v>1621</v>
      </c>
      <c r="F325" s="252" t="s">
        <v>889</v>
      </c>
      <c r="G325" s="255"/>
    </row>
    <row r="326" spans="1:7" s="108" customFormat="1" ht="14.1" customHeight="1">
      <c r="A326" s="251" t="s">
        <v>1481</v>
      </c>
      <c r="B326" s="252" t="s">
        <v>2191</v>
      </c>
      <c r="C326" s="254" t="s">
        <v>1068</v>
      </c>
      <c r="D326" s="252" t="s">
        <v>2192</v>
      </c>
      <c r="E326" s="252" t="s">
        <v>888</v>
      </c>
      <c r="F326" s="252" t="s">
        <v>889</v>
      </c>
      <c r="G326" s="255"/>
    </row>
    <row r="327" spans="1:7" s="108" customFormat="1" ht="14.1" customHeight="1">
      <c r="A327" s="251" t="s">
        <v>1481</v>
      </c>
      <c r="B327" s="252" t="s">
        <v>2193</v>
      </c>
      <c r="C327" s="254" t="s">
        <v>1068</v>
      </c>
      <c r="D327" s="252" t="s">
        <v>2194</v>
      </c>
      <c r="E327" s="252" t="s">
        <v>888</v>
      </c>
      <c r="F327" s="252" t="s">
        <v>889</v>
      </c>
      <c r="G327" s="255"/>
    </row>
    <row r="328" spans="1:7" s="108" customFormat="1" ht="14.1" customHeight="1">
      <c r="A328" s="251" t="s">
        <v>1481</v>
      </c>
      <c r="B328" s="252" t="s">
        <v>2195</v>
      </c>
      <c r="C328" s="254" t="s">
        <v>1164</v>
      </c>
      <c r="D328" s="252" t="s">
        <v>2196</v>
      </c>
      <c r="E328" s="252" t="s">
        <v>888</v>
      </c>
      <c r="F328" s="252" t="s">
        <v>889</v>
      </c>
      <c r="G328" s="255"/>
    </row>
    <row r="329" spans="1:7" s="108" customFormat="1" ht="14.1" customHeight="1">
      <c r="A329" s="251" t="s">
        <v>1481</v>
      </c>
      <c r="B329" s="252" t="s">
        <v>2197</v>
      </c>
      <c r="C329" s="254" t="s">
        <v>983</v>
      </c>
      <c r="D329" s="252" t="s">
        <v>886</v>
      </c>
      <c r="E329" s="252" t="s">
        <v>888</v>
      </c>
      <c r="F329" s="252" t="s">
        <v>889</v>
      </c>
      <c r="G329" s="255"/>
    </row>
    <row r="330" spans="1:7" s="108" customFormat="1" ht="14.1" customHeight="1">
      <c r="A330" s="251" t="s">
        <v>1481</v>
      </c>
      <c r="B330" s="252" t="s">
        <v>2198</v>
      </c>
      <c r="C330" s="254" t="s">
        <v>983</v>
      </c>
      <c r="D330" s="252" t="s">
        <v>2199</v>
      </c>
      <c r="E330" s="252" t="s">
        <v>984</v>
      </c>
      <c r="F330" s="252" t="s">
        <v>1794</v>
      </c>
      <c r="G330" s="255"/>
    </row>
    <row r="331" spans="1:7" s="108" customFormat="1" ht="14.1" customHeight="1">
      <c r="A331" s="251" t="s">
        <v>1481</v>
      </c>
      <c r="B331" s="252" t="s">
        <v>2198</v>
      </c>
      <c r="C331" s="254" t="s">
        <v>983</v>
      </c>
      <c r="D331" s="252" t="s">
        <v>886</v>
      </c>
      <c r="E331" s="252" t="s">
        <v>888</v>
      </c>
      <c r="F331" s="252" t="s">
        <v>889</v>
      </c>
      <c r="G331" s="255">
        <v>347.59800000000001</v>
      </c>
    </row>
    <row r="332" spans="1:7" s="108" customFormat="1" ht="14.1" customHeight="1">
      <c r="A332" s="251" t="s">
        <v>1481</v>
      </c>
      <c r="B332" s="252" t="s">
        <v>2200</v>
      </c>
      <c r="C332" s="254" t="s">
        <v>983</v>
      </c>
      <c r="D332" s="252" t="s">
        <v>2082</v>
      </c>
      <c r="E332" s="252" t="s">
        <v>2083</v>
      </c>
      <c r="F332" s="252" t="s">
        <v>892</v>
      </c>
      <c r="G332" s="255"/>
    </row>
    <row r="333" spans="1:7" s="108" customFormat="1" ht="14.1" customHeight="1">
      <c r="A333" s="251" t="s">
        <v>1481</v>
      </c>
      <c r="B333" s="252" t="s">
        <v>2200</v>
      </c>
      <c r="C333" s="254" t="s">
        <v>983</v>
      </c>
      <c r="D333" s="252" t="s">
        <v>2082</v>
      </c>
      <c r="E333" s="252" t="s">
        <v>2083</v>
      </c>
      <c r="F333" s="252" t="s">
        <v>892</v>
      </c>
      <c r="G333" s="255"/>
    </row>
    <row r="334" spans="1:7" s="108" customFormat="1" ht="14.1" customHeight="1">
      <c r="A334" s="251" t="s">
        <v>1481</v>
      </c>
      <c r="B334" s="252" t="s">
        <v>2201</v>
      </c>
      <c r="C334" s="254" t="s">
        <v>1009</v>
      </c>
      <c r="D334" s="252" t="s">
        <v>2029</v>
      </c>
      <c r="E334" s="252" t="s">
        <v>895</v>
      </c>
      <c r="F334" s="252" t="s">
        <v>889</v>
      </c>
      <c r="G334" s="255"/>
    </row>
    <row r="335" spans="1:7" s="108" customFormat="1" ht="14.1" customHeight="1">
      <c r="A335" s="251" t="s">
        <v>1619</v>
      </c>
      <c r="B335" s="252" t="s">
        <v>2202</v>
      </c>
      <c r="C335" s="254" t="s">
        <v>1051</v>
      </c>
      <c r="D335" s="252" t="s">
        <v>2203</v>
      </c>
      <c r="E335" s="252" t="s">
        <v>1136</v>
      </c>
      <c r="F335" s="252" t="s">
        <v>889</v>
      </c>
      <c r="G335" s="255"/>
    </row>
    <row r="336" spans="1:7" s="108" customFormat="1" ht="14.1" customHeight="1">
      <c r="A336" s="251" t="s">
        <v>1619</v>
      </c>
      <c r="B336" s="252" t="s">
        <v>2204</v>
      </c>
      <c r="C336" s="254" t="s">
        <v>1088</v>
      </c>
      <c r="D336" s="252" t="s">
        <v>1305</v>
      </c>
      <c r="E336" s="252" t="s">
        <v>1306</v>
      </c>
      <c r="F336" s="252" t="s">
        <v>889</v>
      </c>
      <c r="G336" s="255"/>
    </row>
    <row r="337" spans="1:7" s="108" customFormat="1" ht="14.1" customHeight="1">
      <c r="A337" s="251" t="s">
        <v>1619</v>
      </c>
      <c r="B337" s="252" t="s">
        <v>2205</v>
      </c>
      <c r="C337" s="254" t="s">
        <v>917</v>
      </c>
      <c r="D337" s="252" t="s">
        <v>1623</v>
      </c>
      <c r="E337" s="252" t="s">
        <v>945</v>
      </c>
      <c r="F337" s="252" t="s">
        <v>931</v>
      </c>
      <c r="G337" s="255">
        <v>10</v>
      </c>
    </row>
    <row r="338" spans="1:7" s="108" customFormat="1" ht="14.1" customHeight="1">
      <c r="A338" s="251" t="s">
        <v>1619</v>
      </c>
      <c r="B338" s="252" t="s">
        <v>2043</v>
      </c>
      <c r="C338" s="254" t="s">
        <v>917</v>
      </c>
      <c r="D338" s="252" t="s">
        <v>1620</v>
      </c>
      <c r="E338" s="252" t="s">
        <v>1621</v>
      </c>
      <c r="F338" s="252" t="s">
        <v>913</v>
      </c>
      <c r="G338" s="255">
        <v>0.48499999999999999</v>
      </c>
    </row>
    <row r="339" spans="1:7" s="108" customFormat="1" ht="14.1" customHeight="1">
      <c r="A339" s="251" t="s">
        <v>1619</v>
      </c>
      <c r="B339" s="252" t="s">
        <v>2206</v>
      </c>
      <c r="C339" s="254" t="s">
        <v>917</v>
      </c>
      <c r="D339" s="252" t="s">
        <v>1622</v>
      </c>
      <c r="E339" s="252" t="s">
        <v>918</v>
      </c>
      <c r="F339" s="252" t="s">
        <v>889</v>
      </c>
      <c r="G339" s="255">
        <v>0.91</v>
      </c>
    </row>
    <row r="340" spans="1:7" s="108" customFormat="1" ht="14.1" customHeight="1">
      <c r="A340" s="251" t="s">
        <v>1619</v>
      </c>
      <c r="B340" s="252" t="s">
        <v>2207</v>
      </c>
      <c r="C340" s="254" t="s">
        <v>894</v>
      </c>
      <c r="D340" s="252" t="s">
        <v>1624</v>
      </c>
      <c r="E340" s="252" t="s">
        <v>925</v>
      </c>
      <c r="F340" s="252" t="s">
        <v>889</v>
      </c>
      <c r="G340" s="255">
        <v>2600</v>
      </c>
    </row>
    <row r="341" spans="1:7" s="108" customFormat="1" ht="14.1" customHeight="1">
      <c r="A341" s="251" t="s">
        <v>923</v>
      </c>
      <c r="B341" s="252" t="s">
        <v>2208</v>
      </c>
      <c r="C341" s="254" t="s">
        <v>1146</v>
      </c>
      <c r="D341" s="252" t="s">
        <v>2209</v>
      </c>
      <c r="E341" s="252" t="s">
        <v>939</v>
      </c>
      <c r="F341" s="252" t="s">
        <v>889</v>
      </c>
      <c r="G341" s="255"/>
    </row>
    <row r="342" spans="1:7" s="108" customFormat="1" ht="14.1" customHeight="1">
      <c r="A342" s="251" t="s">
        <v>923</v>
      </c>
      <c r="B342" s="252" t="s">
        <v>2210</v>
      </c>
      <c r="C342" s="254" t="s">
        <v>968</v>
      </c>
      <c r="D342" s="252" t="s">
        <v>1829</v>
      </c>
      <c r="E342" s="252" t="s">
        <v>939</v>
      </c>
      <c r="F342" s="252" t="s">
        <v>889</v>
      </c>
      <c r="G342" s="255"/>
    </row>
    <row r="343" spans="1:7" s="108" customFormat="1" ht="14.1" customHeight="1">
      <c r="A343" s="251" t="s">
        <v>923</v>
      </c>
      <c r="B343" s="252" t="s">
        <v>2211</v>
      </c>
      <c r="C343" s="254" t="s">
        <v>968</v>
      </c>
      <c r="D343" s="252" t="s">
        <v>2212</v>
      </c>
      <c r="E343" s="252" t="s">
        <v>888</v>
      </c>
      <c r="F343" s="252" t="s">
        <v>889</v>
      </c>
      <c r="G343" s="255"/>
    </row>
    <row r="344" spans="1:7" s="108" customFormat="1" ht="14.1" customHeight="1">
      <c r="A344" s="251" t="s">
        <v>923</v>
      </c>
      <c r="B344" s="252" t="s">
        <v>2213</v>
      </c>
      <c r="C344" s="254" t="s">
        <v>944</v>
      </c>
      <c r="D344" s="252" t="s">
        <v>2214</v>
      </c>
      <c r="E344" s="252" t="s">
        <v>959</v>
      </c>
      <c r="F344" s="252" t="s">
        <v>889</v>
      </c>
      <c r="G344" s="255"/>
    </row>
    <row r="345" spans="1:7" s="108" customFormat="1" ht="14.1" customHeight="1">
      <c r="A345" s="251" t="s">
        <v>923</v>
      </c>
      <c r="B345" s="252" t="s">
        <v>2215</v>
      </c>
      <c r="C345" s="254" t="s">
        <v>986</v>
      </c>
      <c r="D345" s="252" t="s">
        <v>2216</v>
      </c>
      <c r="E345" s="252" t="s">
        <v>888</v>
      </c>
      <c r="F345" s="252" t="s">
        <v>889</v>
      </c>
      <c r="G345" s="255"/>
    </row>
    <row r="346" spans="1:7" s="108" customFormat="1" ht="14.1" customHeight="1">
      <c r="A346" s="251" t="s">
        <v>923</v>
      </c>
      <c r="B346" s="252" t="s">
        <v>2217</v>
      </c>
      <c r="C346" s="254" t="s">
        <v>986</v>
      </c>
      <c r="D346" s="252" t="s">
        <v>2216</v>
      </c>
      <c r="E346" s="252" t="s">
        <v>888</v>
      </c>
      <c r="F346" s="252" t="s">
        <v>889</v>
      </c>
      <c r="G346" s="255"/>
    </row>
    <row r="347" spans="1:7" s="108" customFormat="1" ht="14.1" customHeight="1">
      <c r="A347" s="251" t="s">
        <v>923</v>
      </c>
      <c r="B347" s="252" t="s">
        <v>1729</v>
      </c>
      <c r="C347" s="254" t="s">
        <v>917</v>
      </c>
      <c r="D347" s="252" t="s">
        <v>924</v>
      </c>
      <c r="E347" s="252" t="s">
        <v>925</v>
      </c>
      <c r="F347" s="252" t="s">
        <v>889</v>
      </c>
      <c r="G347" s="255"/>
    </row>
    <row r="348" spans="1:7" s="108" customFormat="1" ht="14.1" customHeight="1">
      <c r="A348" s="251" t="s">
        <v>923</v>
      </c>
      <c r="B348" s="252" t="s">
        <v>1729</v>
      </c>
      <c r="C348" s="254" t="s">
        <v>917</v>
      </c>
      <c r="D348" s="252" t="s">
        <v>924</v>
      </c>
      <c r="E348" s="252" t="s">
        <v>925</v>
      </c>
      <c r="F348" s="252" t="s">
        <v>892</v>
      </c>
      <c r="G348" s="255">
        <v>0.45</v>
      </c>
    </row>
    <row r="349" spans="1:7" s="108" customFormat="1" ht="14.1" customHeight="1">
      <c r="A349" s="251" t="s">
        <v>923</v>
      </c>
      <c r="B349" s="252" t="s">
        <v>2218</v>
      </c>
      <c r="C349" s="254" t="s">
        <v>917</v>
      </c>
      <c r="D349" s="252" t="s">
        <v>1293</v>
      </c>
      <c r="E349" s="252" t="s">
        <v>929</v>
      </c>
      <c r="F349" s="252" t="s">
        <v>931</v>
      </c>
      <c r="G349" s="255"/>
    </row>
    <row r="350" spans="1:7" s="108" customFormat="1" ht="14.1" customHeight="1">
      <c r="A350" s="251" t="s">
        <v>923</v>
      </c>
      <c r="B350" s="252" t="s">
        <v>2219</v>
      </c>
      <c r="C350" s="254" t="s">
        <v>1071</v>
      </c>
      <c r="D350" s="252" t="s">
        <v>2220</v>
      </c>
      <c r="E350" s="252" t="s">
        <v>888</v>
      </c>
      <c r="F350" s="252" t="s">
        <v>889</v>
      </c>
      <c r="G350" s="255"/>
    </row>
    <row r="351" spans="1:7" s="108" customFormat="1" ht="14.1" customHeight="1">
      <c r="A351" s="251" t="s">
        <v>1082</v>
      </c>
      <c r="B351" s="252" t="s">
        <v>2221</v>
      </c>
      <c r="C351" s="254" t="s">
        <v>897</v>
      </c>
      <c r="D351" s="252" t="s">
        <v>2222</v>
      </c>
      <c r="E351" s="252" t="s">
        <v>888</v>
      </c>
      <c r="F351" s="252" t="s">
        <v>889</v>
      </c>
      <c r="G351" s="255"/>
    </row>
    <row r="352" spans="1:7" s="108" customFormat="1" ht="14.1" customHeight="1">
      <c r="A352" s="251" t="s">
        <v>1082</v>
      </c>
      <c r="B352" s="252" t="s">
        <v>2223</v>
      </c>
      <c r="C352" s="254" t="s">
        <v>947</v>
      </c>
      <c r="D352" s="252" t="s">
        <v>2224</v>
      </c>
      <c r="E352" s="252" t="s">
        <v>925</v>
      </c>
      <c r="F352" s="252" t="s">
        <v>889</v>
      </c>
      <c r="G352" s="255"/>
    </row>
    <row r="353" spans="1:7" s="108" customFormat="1" ht="14.1" customHeight="1">
      <c r="A353" s="251" t="s">
        <v>1082</v>
      </c>
      <c r="B353" s="252" t="s">
        <v>2225</v>
      </c>
      <c r="C353" s="254" t="s">
        <v>968</v>
      </c>
      <c r="D353" s="252" t="s">
        <v>2226</v>
      </c>
      <c r="E353" s="252" t="s">
        <v>959</v>
      </c>
      <c r="F353" s="252" t="s">
        <v>889</v>
      </c>
      <c r="G353" s="255"/>
    </row>
    <row r="354" spans="1:7" s="108" customFormat="1" ht="14.1" customHeight="1">
      <c r="A354" s="251" t="s">
        <v>1082</v>
      </c>
      <c r="B354" s="252" t="s">
        <v>2227</v>
      </c>
      <c r="C354" s="254" t="s">
        <v>968</v>
      </c>
      <c r="D354" s="252" t="s">
        <v>2228</v>
      </c>
      <c r="E354" s="252" t="s">
        <v>939</v>
      </c>
      <c r="F354" s="252" t="s">
        <v>889</v>
      </c>
      <c r="G354" s="255"/>
    </row>
    <row r="355" spans="1:7" s="108" customFormat="1" ht="14.1" customHeight="1">
      <c r="A355" s="251" t="s">
        <v>1082</v>
      </c>
      <c r="B355" s="252" t="s">
        <v>2229</v>
      </c>
      <c r="C355" s="254" t="s">
        <v>944</v>
      </c>
      <c r="D355" s="252" t="s">
        <v>1084</v>
      </c>
      <c r="E355" s="252" t="s">
        <v>1085</v>
      </c>
      <c r="F355" s="252" t="s">
        <v>889</v>
      </c>
      <c r="G355" s="255">
        <v>19.972000000000001</v>
      </c>
    </row>
    <row r="356" spans="1:7" s="108" customFormat="1" ht="14.1" customHeight="1">
      <c r="A356" s="251" t="s">
        <v>1082</v>
      </c>
      <c r="B356" s="252" t="s">
        <v>2230</v>
      </c>
      <c r="C356" s="254" t="s">
        <v>944</v>
      </c>
      <c r="D356" s="252" t="s">
        <v>2231</v>
      </c>
      <c r="E356" s="252" t="s">
        <v>959</v>
      </c>
      <c r="F356" s="252" t="s">
        <v>1794</v>
      </c>
      <c r="G356" s="255"/>
    </row>
    <row r="357" spans="1:7" s="108" customFormat="1" ht="14.1" customHeight="1">
      <c r="A357" s="251" t="s">
        <v>1082</v>
      </c>
      <c r="B357" s="252" t="s">
        <v>2232</v>
      </c>
      <c r="C357" s="254" t="s">
        <v>944</v>
      </c>
      <c r="D357" s="252" t="s">
        <v>2017</v>
      </c>
      <c r="E357" s="252" t="s">
        <v>984</v>
      </c>
      <c r="F357" s="252" t="s">
        <v>892</v>
      </c>
      <c r="G357" s="255"/>
    </row>
    <row r="358" spans="1:7" s="108" customFormat="1" ht="14.1" customHeight="1">
      <c r="A358" s="251" t="s">
        <v>1082</v>
      </c>
      <c r="B358" s="252" t="s">
        <v>2233</v>
      </c>
      <c r="C358" s="254" t="s">
        <v>944</v>
      </c>
      <c r="D358" s="252" t="s">
        <v>2234</v>
      </c>
      <c r="E358" s="252" t="s">
        <v>1021</v>
      </c>
      <c r="F358" s="252" t="s">
        <v>889</v>
      </c>
      <c r="G358" s="255"/>
    </row>
    <row r="359" spans="1:7" s="108" customFormat="1" ht="14.1" customHeight="1">
      <c r="A359" s="251" t="s">
        <v>1082</v>
      </c>
      <c r="B359" s="252" t="s">
        <v>2235</v>
      </c>
      <c r="C359" s="254" t="s">
        <v>1088</v>
      </c>
      <c r="D359" s="252" t="s">
        <v>2236</v>
      </c>
      <c r="E359" s="252" t="s">
        <v>984</v>
      </c>
      <c r="F359" s="252" t="s">
        <v>889</v>
      </c>
      <c r="G359" s="255"/>
    </row>
    <row r="360" spans="1:7" s="108" customFormat="1" ht="14.1" customHeight="1">
      <c r="A360" s="251" t="s">
        <v>1082</v>
      </c>
      <c r="B360" s="252" t="s">
        <v>2237</v>
      </c>
      <c r="C360" s="254" t="s">
        <v>1088</v>
      </c>
      <c r="D360" s="252" t="s">
        <v>1087</v>
      </c>
      <c r="E360" s="252" t="s">
        <v>907</v>
      </c>
      <c r="F360" s="252" t="s">
        <v>889</v>
      </c>
      <c r="G360" s="255">
        <v>59.146000000000001</v>
      </c>
    </row>
    <row r="361" spans="1:7" s="108" customFormat="1" ht="14.1" customHeight="1">
      <c r="A361" s="251" t="s">
        <v>1082</v>
      </c>
      <c r="B361" s="252" t="s">
        <v>2238</v>
      </c>
      <c r="C361" s="254" t="s">
        <v>1032</v>
      </c>
      <c r="D361" s="252" t="s">
        <v>2239</v>
      </c>
      <c r="E361" s="252" t="s">
        <v>984</v>
      </c>
      <c r="F361" s="252" t="s">
        <v>889</v>
      </c>
      <c r="G361" s="255"/>
    </row>
    <row r="362" spans="1:7" s="108" customFormat="1" ht="14.1" customHeight="1">
      <c r="A362" s="251" t="s">
        <v>1082</v>
      </c>
      <c r="B362" s="252" t="s">
        <v>2240</v>
      </c>
      <c r="C362" s="254" t="s">
        <v>906</v>
      </c>
      <c r="D362" s="252" t="s">
        <v>1086</v>
      </c>
      <c r="E362" s="252" t="s">
        <v>895</v>
      </c>
      <c r="F362" s="252" t="s">
        <v>889</v>
      </c>
      <c r="G362" s="255">
        <v>40.286999999999999</v>
      </c>
    </row>
    <row r="363" spans="1:7" s="108" customFormat="1" ht="14.1" customHeight="1">
      <c r="A363" s="251" t="s">
        <v>1082</v>
      </c>
      <c r="B363" s="252" t="s">
        <v>2241</v>
      </c>
      <c r="C363" s="254" t="s">
        <v>887</v>
      </c>
      <c r="D363" s="252" t="s">
        <v>1091</v>
      </c>
      <c r="E363" s="252" t="s">
        <v>984</v>
      </c>
      <c r="F363" s="252" t="s">
        <v>889</v>
      </c>
      <c r="G363" s="255">
        <v>126.43</v>
      </c>
    </row>
    <row r="364" spans="1:7" s="108" customFormat="1" ht="14.1" customHeight="1">
      <c r="A364" s="251" t="s">
        <v>1082</v>
      </c>
      <c r="B364" s="252" t="s">
        <v>2242</v>
      </c>
      <c r="C364" s="254" t="s">
        <v>890</v>
      </c>
      <c r="D364" s="252" t="s">
        <v>2243</v>
      </c>
      <c r="E364" s="252" t="s">
        <v>954</v>
      </c>
      <c r="F364" s="252" t="s">
        <v>889</v>
      </c>
      <c r="G364" s="255"/>
    </row>
    <row r="365" spans="1:7" s="108" customFormat="1" ht="14.1" customHeight="1">
      <c r="A365" s="251" t="s">
        <v>1082</v>
      </c>
      <c r="B365" s="252" t="s">
        <v>2244</v>
      </c>
      <c r="C365" s="254" t="s">
        <v>890</v>
      </c>
      <c r="D365" s="252" t="s">
        <v>1089</v>
      </c>
      <c r="E365" s="252" t="s">
        <v>907</v>
      </c>
      <c r="F365" s="252" t="s">
        <v>889</v>
      </c>
      <c r="G365" s="255">
        <v>73.296999999999997</v>
      </c>
    </row>
    <row r="366" spans="1:7" s="108" customFormat="1" ht="14.1" customHeight="1">
      <c r="A366" s="251" t="s">
        <v>1082</v>
      </c>
      <c r="B366" s="252" t="s">
        <v>2245</v>
      </c>
      <c r="C366" s="254" t="s">
        <v>1018</v>
      </c>
      <c r="D366" s="252" t="s">
        <v>2246</v>
      </c>
      <c r="E366" s="252" t="s">
        <v>907</v>
      </c>
      <c r="F366" s="252" t="s">
        <v>889</v>
      </c>
      <c r="G366" s="255"/>
    </row>
    <row r="367" spans="1:7" s="108" customFormat="1" ht="14.1" customHeight="1">
      <c r="A367" s="251" t="s">
        <v>1082</v>
      </c>
      <c r="B367" s="252" t="s">
        <v>2247</v>
      </c>
      <c r="C367" s="254" t="s">
        <v>1018</v>
      </c>
      <c r="D367" s="252" t="s">
        <v>2248</v>
      </c>
      <c r="E367" s="252" t="s">
        <v>891</v>
      </c>
      <c r="F367" s="252" t="s">
        <v>889</v>
      </c>
      <c r="G367" s="255"/>
    </row>
    <row r="368" spans="1:7" s="108" customFormat="1" ht="14.1" customHeight="1">
      <c r="A368" s="251" t="s">
        <v>1082</v>
      </c>
      <c r="B368" s="252" t="s">
        <v>2249</v>
      </c>
      <c r="C368" s="254" t="s">
        <v>1202</v>
      </c>
      <c r="D368" s="252" t="s">
        <v>1083</v>
      </c>
      <c r="E368" s="252" t="s">
        <v>918</v>
      </c>
      <c r="F368" s="252" t="s">
        <v>889</v>
      </c>
      <c r="G368" s="255">
        <v>3.444</v>
      </c>
    </row>
    <row r="369" spans="1:7" s="108" customFormat="1" ht="14.1" customHeight="1">
      <c r="A369" s="251" t="s">
        <v>1082</v>
      </c>
      <c r="B369" s="252" t="s">
        <v>2250</v>
      </c>
      <c r="C369" s="254" t="s">
        <v>1202</v>
      </c>
      <c r="D369" s="252" t="s">
        <v>2251</v>
      </c>
      <c r="E369" s="252" t="s">
        <v>895</v>
      </c>
      <c r="F369" s="252" t="s">
        <v>889</v>
      </c>
      <c r="G369" s="255"/>
    </row>
    <row r="370" spans="1:7" s="108" customFormat="1" ht="14.1" customHeight="1">
      <c r="A370" s="251" t="s">
        <v>1082</v>
      </c>
      <c r="B370" s="252" t="s">
        <v>2252</v>
      </c>
      <c r="C370" s="254" t="s">
        <v>917</v>
      </c>
      <c r="D370" s="252" t="s">
        <v>1260</v>
      </c>
      <c r="E370" s="252" t="s">
        <v>929</v>
      </c>
      <c r="F370" s="252" t="s">
        <v>892</v>
      </c>
      <c r="G370" s="255"/>
    </row>
    <row r="371" spans="1:7" s="108" customFormat="1" ht="14.1" customHeight="1">
      <c r="A371" s="251" t="s">
        <v>1082</v>
      </c>
      <c r="B371" s="252" t="s">
        <v>2253</v>
      </c>
      <c r="C371" s="254" t="s">
        <v>1126</v>
      </c>
      <c r="D371" s="252" t="s">
        <v>2254</v>
      </c>
      <c r="E371" s="252" t="s">
        <v>954</v>
      </c>
      <c r="F371" s="252" t="s">
        <v>889</v>
      </c>
      <c r="G371" s="255"/>
    </row>
    <row r="372" spans="1:7" s="108" customFormat="1" ht="14.1" customHeight="1">
      <c r="A372" s="251" t="s">
        <v>1082</v>
      </c>
      <c r="B372" s="252" t="s">
        <v>1955</v>
      </c>
      <c r="C372" s="254" t="s">
        <v>894</v>
      </c>
      <c r="D372" s="252" t="s">
        <v>1093</v>
      </c>
      <c r="E372" s="252" t="s">
        <v>1094</v>
      </c>
      <c r="F372" s="252" t="s">
        <v>889</v>
      </c>
      <c r="G372" s="255">
        <v>1000</v>
      </c>
    </row>
    <row r="373" spans="1:7" s="108" customFormat="1" ht="14.1" customHeight="1">
      <c r="A373" s="251" t="s">
        <v>1082</v>
      </c>
      <c r="B373" s="252" t="s">
        <v>2255</v>
      </c>
      <c r="C373" s="254" t="s">
        <v>894</v>
      </c>
      <c r="D373" s="252" t="s">
        <v>1017</v>
      </c>
      <c r="E373" s="252" t="s">
        <v>888</v>
      </c>
      <c r="F373" s="252" t="s">
        <v>889</v>
      </c>
      <c r="G373" s="255"/>
    </row>
    <row r="374" spans="1:7" s="108" customFormat="1" ht="14.1" customHeight="1">
      <c r="A374" s="251" t="s">
        <v>1082</v>
      </c>
      <c r="B374" s="252" t="s">
        <v>2256</v>
      </c>
      <c r="C374" s="254" t="s">
        <v>1071</v>
      </c>
      <c r="D374" s="252" t="s">
        <v>2257</v>
      </c>
      <c r="E374" s="252" t="s">
        <v>888</v>
      </c>
      <c r="F374" s="252" t="s">
        <v>889</v>
      </c>
      <c r="G374" s="255"/>
    </row>
    <row r="375" spans="1:7" s="108" customFormat="1" ht="14.1" customHeight="1">
      <c r="A375" s="251" t="s">
        <v>1082</v>
      </c>
      <c r="B375" s="252" t="s">
        <v>2258</v>
      </c>
      <c r="C375" s="254" t="s">
        <v>1071</v>
      </c>
      <c r="D375" s="252" t="s">
        <v>2259</v>
      </c>
      <c r="E375" s="252" t="s">
        <v>888</v>
      </c>
      <c r="F375" s="252" t="s">
        <v>889</v>
      </c>
      <c r="G375" s="255"/>
    </row>
    <row r="376" spans="1:7" s="108" customFormat="1" ht="14.1" customHeight="1">
      <c r="A376" s="251" t="s">
        <v>1082</v>
      </c>
      <c r="B376" s="252" t="s">
        <v>2260</v>
      </c>
      <c r="C376" s="254" t="s">
        <v>1071</v>
      </c>
      <c r="D376" s="252" t="s">
        <v>2261</v>
      </c>
      <c r="E376" s="252" t="s">
        <v>888</v>
      </c>
      <c r="F376" s="252" t="s">
        <v>889</v>
      </c>
      <c r="G376" s="255"/>
    </row>
    <row r="377" spans="1:7" s="108" customFormat="1" ht="14.1" customHeight="1">
      <c r="A377" s="251" t="s">
        <v>1082</v>
      </c>
      <c r="B377" s="252" t="s">
        <v>2262</v>
      </c>
      <c r="C377" s="254" t="s">
        <v>1071</v>
      </c>
      <c r="D377" s="252" t="s">
        <v>2263</v>
      </c>
      <c r="E377" s="252" t="s">
        <v>888</v>
      </c>
      <c r="F377" s="252" t="s">
        <v>889</v>
      </c>
      <c r="G377" s="255"/>
    </row>
    <row r="378" spans="1:7" s="108" customFormat="1" ht="14.1" customHeight="1">
      <c r="A378" s="251" t="s">
        <v>1082</v>
      </c>
      <c r="B378" s="252" t="s">
        <v>2264</v>
      </c>
      <c r="C378" s="254" t="s">
        <v>1246</v>
      </c>
      <c r="D378" s="252" t="s">
        <v>1092</v>
      </c>
      <c r="E378" s="252" t="s">
        <v>959</v>
      </c>
      <c r="F378" s="252" t="s">
        <v>889</v>
      </c>
      <c r="G378" s="255">
        <v>343.6</v>
      </c>
    </row>
    <row r="379" spans="1:7" s="108" customFormat="1" ht="14.1" customHeight="1">
      <c r="A379" s="251" t="s">
        <v>1082</v>
      </c>
      <c r="B379" s="252" t="s">
        <v>2265</v>
      </c>
      <c r="C379" s="254" t="s">
        <v>1055</v>
      </c>
      <c r="D379" s="252" t="s">
        <v>886</v>
      </c>
      <c r="E379" s="252" t="s">
        <v>888</v>
      </c>
      <c r="F379" s="252" t="s">
        <v>889</v>
      </c>
      <c r="G379" s="255">
        <v>121.452</v>
      </c>
    </row>
    <row r="380" spans="1:7" s="108" customFormat="1" ht="14.1" customHeight="1">
      <c r="A380" s="251" t="s">
        <v>1082</v>
      </c>
      <c r="B380" s="252" t="s">
        <v>2266</v>
      </c>
      <c r="C380" s="254" t="s">
        <v>1000</v>
      </c>
      <c r="D380" s="252" t="s">
        <v>2267</v>
      </c>
      <c r="E380" s="252" t="s">
        <v>919</v>
      </c>
      <c r="F380" s="252" t="s">
        <v>889</v>
      </c>
      <c r="G380" s="255"/>
    </row>
    <row r="381" spans="1:7" s="108" customFormat="1" ht="14.1" customHeight="1">
      <c r="A381" s="251" t="s">
        <v>1082</v>
      </c>
      <c r="B381" s="252" t="s">
        <v>2268</v>
      </c>
      <c r="C381" s="254" t="s">
        <v>1068</v>
      </c>
      <c r="D381" s="252" t="s">
        <v>1787</v>
      </c>
      <c r="E381" s="252" t="s">
        <v>888</v>
      </c>
      <c r="F381" s="252" t="s">
        <v>889</v>
      </c>
      <c r="G381" s="255"/>
    </row>
    <row r="382" spans="1:7" s="108" customFormat="1" ht="14.1" customHeight="1">
      <c r="A382" s="251" t="s">
        <v>1082</v>
      </c>
      <c r="B382" s="252" t="s">
        <v>2269</v>
      </c>
      <c r="C382" s="254" t="s">
        <v>1164</v>
      </c>
      <c r="D382" s="252" t="s">
        <v>2270</v>
      </c>
      <c r="E382" s="252" t="s">
        <v>954</v>
      </c>
      <c r="F382" s="252" t="s">
        <v>889</v>
      </c>
      <c r="G382" s="255"/>
    </row>
    <row r="383" spans="1:7" s="108" customFormat="1" ht="14.1" customHeight="1">
      <c r="A383" s="251" t="s">
        <v>1082</v>
      </c>
      <c r="B383" s="252" t="s">
        <v>2271</v>
      </c>
      <c r="C383" s="254" t="s">
        <v>1164</v>
      </c>
      <c r="D383" s="252" t="s">
        <v>2029</v>
      </c>
      <c r="E383" s="252" t="s">
        <v>895</v>
      </c>
      <c r="F383" s="252" t="s">
        <v>889</v>
      </c>
      <c r="G383" s="255"/>
    </row>
    <row r="384" spans="1:7" s="108" customFormat="1" ht="14.1" customHeight="1">
      <c r="A384" s="251" t="s">
        <v>1082</v>
      </c>
      <c r="B384" s="252" t="s">
        <v>2272</v>
      </c>
      <c r="C384" s="254" t="s">
        <v>983</v>
      </c>
      <c r="D384" s="252" t="s">
        <v>2029</v>
      </c>
      <c r="E384" s="252" t="s">
        <v>895</v>
      </c>
      <c r="F384" s="252" t="s">
        <v>889</v>
      </c>
      <c r="G384" s="255"/>
    </row>
    <row r="385" spans="1:7" s="108" customFormat="1" ht="14.1" customHeight="1">
      <c r="A385" s="251" t="s">
        <v>1082</v>
      </c>
      <c r="B385" s="252" t="s">
        <v>2273</v>
      </c>
      <c r="C385" s="254" t="s">
        <v>983</v>
      </c>
      <c r="D385" s="252" t="s">
        <v>2086</v>
      </c>
      <c r="E385" s="252" t="s">
        <v>888</v>
      </c>
      <c r="F385" s="252" t="s">
        <v>889</v>
      </c>
      <c r="G385" s="255"/>
    </row>
    <row r="386" spans="1:7" s="108" customFormat="1" ht="14.1" customHeight="1">
      <c r="A386" s="251" t="s">
        <v>1082</v>
      </c>
      <c r="B386" s="252" t="s">
        <v>2274</v>
      </c>
      <c r="C386" s="254" t="s">
        <v>983</v>
      </c>
      <c r="D386" s="252" t="s">
        <v>1090</v>
      </c>
      <c r="E386" s="252" t="s">
        <v>1026</v>
      </c>
      <c r="F386" s="252" t="s">
        <v>889</v>
      </c>
      <c r="G386" s="255">
        <v>80.5</v>
      </c>
    </row>
    <row r="387" spans="1:7" s="108" customFormat="1" ht="14.1" customHeight="1">
      <c r="A387" s="251" t="s">
        <v>1082</v>
      </c>
      <c r="B387" s="252" t="s">
        <v>2275</v>
      </c>
      <c r="C387" s="254" t="s">
        <v>983</v>
      </c>
      <c r="D387" s="252" t="s">
        <v>2276</v>
      </c>
      <c r="E387" s="252" t="s">
        <v>888</v>
      </c>
      <c r="F387" s="252" t="s">
        <v>889</v>
      </c>
      <c r="G387" s="255"/>
    </row>
    <row r="388" spans="1:7" s="108" customFormat="1" ht="14.1" customHeight="1">
      <c r="A388" s="251" t="s">
        <v>1082</v>
      </c>
      <c r="B388" s="252" t="s">
        <v>2277</v>
      </c>
      <c r="C388" s="254" t="s">
        <v>983</v>
      </c>
      <c r="D388" s="252" t="s">
        <v>2278</v>
      </c>
      <c r="E388" s="252" t="s">
        <v>888</v>
      </c>
      <c r="F388" s="252" t="s">
        <v>889</v>
      </c>
      <c r="G388" s="255"/>
    </row>
    <row r="389" spans="1:7" s="108" customFormat="1" ht="14.1" customHeight="1">
      <c r="A389" s="251" t="s">
        <v>1310</v>
      </c>
      <c r="B389" s="252" t="s">
        <v>2279</v>
      </c>
      <c r="C389" s="254" t="s">
        <v>897</v>
      </c>
      <c r="D389" s="252" t="s">
        <v>2280</v>
      </c>
      <c r="E389" s="252" t="s">
        <v>939</v>
      </c>
      <c r="F389" s="252" t="s">
        <v>889</v>
      </c>
      <c r="G389" s="255"/>
    </row>
    <row r="390" spans="1:7" s="108" customFormat="1" ht="14.1" customHeight="1">
      <c r="A390" s="251" t="s">
        <v>1310</v>
      </c>
      <c r="B390" s="252" t="s">
        <v>2281</v>
      </c>
      <c r="C390" s="254" t="s">
        <v>968</v>
      </c>
      <c r="D390" s="252" t="s">
        <v>2282</v>
      </c>
      <c r="E390" s="252" t="s">
        <v>939</v>
      </c>
      <c r="F390" s="252" t="s">
        <v>889</v>
      </c>
      <c r="G390" s="255"/>
    </row>
    <row r="391" spans="1:7" s="108" customFormat="1" ht="14.1" customHeight="1">
      <c r="A391" s="251" t="s">
        <v>1310</v>
      </c>
      <c r="B391" s="252" t="s">
        <v>2283</v>
      </c>
      <c r="C391" s="254" t="s">
        <v>906</v>
      </c>
      <c r="D391" s="252" t="s">
        <v>1313</v>
      </c>
      <c r="E391" s="252" t="s">
        <v>907</v>
      </c>
      <c r="F391" s="252" t="s">
        <v>889</v>
      </c>
      <c r="G391" s="255">
        <v>3</v>
      </c>
    </row>
    <row r="392" spans="1:7" s="108" customFormat="1" ht="14.1" customHeight="1">
      <c r="A392" s="251" t="s">
        <v>1310</v>
      </c>
      <c r="B392" s="252" t="s">
        <v>2284</v>
      </c>
      <c r="C392" s="254" t="s">
        <v>917</v>
      </c>
      <c r="D392" s="252" t="s">
        <v>1312</v>
      </c>
      <c r="E392" s="252" t="s">
        <v>918</v>
      </c>
      <c r="F392" s="252" t="s">
        <v>892</v>
      </c>
      <c r="G392" s="255">
        <v>0.874</v>
      </c>
    </row>
    <row r="393" spans="1:7" s="108" customFormat="1" ht="14.1" customHeight="1">
      <c r="A393" s="251" t="s">
        <v>1310</v>
      </c>
      <c r="B393" s="252" t="s">
        <v>2285</v>
      </c>
      <c r="C393" s="254" t="s">
        <v>917</v>
      </c>
      <c r="D393" s="252" t="s">
        <v>1311</v>
      </c>
      <c r="E393" s="252" t="s">
        <v>918</v>
      </c>
      <c r="F393" s="252" t="s">
        <v>892</v>
      </c>
      <c r="G393" s="255">
        <v>0.71699999999999997</v>
      </c>
    </row>
    <row r="394" spans="1:7" s="108" customFormat="1" ht="14.1" customHeight="1">
      <c r="A394" s="251" t="s">
        <v>1310</v>
      </c>
      <c r="B394" s="252" t="s">
        <v>2286</v>
      </c>
      <c r="C394" s="254" t="s">
        <v>917</v>
      </c>
      <c r="D394" s="252" t="s">
        <v>1311</v>
      </c>
      <c r="E394" s="252" t="s">
        <v>918</v>
      </c>
      <c r="F394" s="252" t="s">
        <v>892</v>
      </c>
      <c r="G394" s="255">
        <v>0.71699999999999997</v>
      </c>
    </row>
    <row r="395" spans="1:7" s="108" customFormat="1" ht="14.1" customHeight="1">
      <c r="A395" s="251" t="s">
        <v>1310</v>
      </c>
      <c r="B395" s="252" t="s">
        <v>2287</v>
      </c>
      <c r="C395" s="254" t="s">
        <v>1972</v>
      </c>
      <c r="D395" s="252" t="s">
        <v>2288</v>
      </c>
      <c r="E395" s="252" t="s">
        <v>895</v>
      </c>
      <c r="F395" s="252" t="s">
        <v>889</v>
      </c>
      <c r="G395" s="255"/>
    </row>
    <row r="396" spans="1:7" s="108" customFormat="1" ht="14.1" customHeight="1">
      <c r="A396" s="251" t="s">
        <v>1310</v>
      </c>
      <c r="B396" s="252" t="s">
        <v>2289</v>
      </c>
      <c r="C396" s="254" t="s">
        <v>911</v>
      </c>
      <c r="D396" s="252" t="s">
        <v>1204</v>
      </c>
      <c r="E396" s="252" t="s">
        <v>918</v>
      </c>
      <c r="F396" s="252" t="s">
        <v>889</v>
      </c>
      <c r="G396" s="255">
        <v>1.2</v>
      </c>
    </row>
    <row r="397" spans="1:7" s="108" customFormat="1" ht="14.1" customHeight="1">
      <c r="A397" s="251" t="s">
        <v>1310</v>
      </c>
      <c r="B397" s="252" t="s">
        <v>2290</v>
      </c>
      <c r="C397" s="254" t="s">
        <v>1020</v>
      </c>
      <c r="D397" s="252" t="s">
        <v>1314</v>
      </c>
      <c r="E397" s="252" t="s">
        <v>895</v>
      </c>
      <c r="F397" s="252" t="s">
        <v>889</v>
      </c>
      <c r="G397" s="255">
        <v>438.74400000000003</v>
      </c>
    </row>
    <row r="398" spans="1:7" s="108" customFormat="1" ht="14.1" customHeight="1">
      <c r="A398" s="251" t="s">
        <v>1392</v>
      </c>
      <c r="B398" s="252" t="s">
        <v>2291</v>
      </c>
      <c r="C398" s="254" t="s">
        <v>968</v>
      </c>
      <c r="D398" s="252" t="s">
        <v>1395</v>
      </c>
      <c r="E398" s="252" t="s">
        <v>888</v>
      </c>
      <c r="F398" s="252" t="s">
        <v>889</v>
      </c>
      <c r="G398" s="255">
        <v>109</v>
      </c>
    </row>
    <row r="399" spans="1:7" s="108" customFormat="1" ht="14.1" customHeight="1">
      <c r="A399" s="251" t="s">
        <v>1392</v>
      </c>
      <c r="B399" s="252" t="s">
        <v>2292</v>
      </c>
      <c r="C399" s="254" t="s">
        <v>944</v>
      </c>
      <c r="D399" s="252" t="s">
        <v>2293</v>
      </c>
      <c r="E399" s="252" t="s">
        <v>954</v>
      </c>
      <c r="F399" s="252" t="s">
        <v>889</v>
      </c>
      <c r="G399" s="255"/>
    </row>
    <row r="400" spans="1:7" s="108" customFormat="1" ht="14.1" customHeight="1">
      <c r="A400" s="251" t="s">
        <v>1392</v>
      </c>
      <c r="B400" s="252" t="s">
        <v>2294</v>
      </c>
      <c r="C400" s="254" t="s">
        <v>944</v>
      </c>
      <c r="D400" s="252" t="s">
        <v>2293</v>
      </c>
      <c r="E400" s="252" t="s">
        <v>954</v>
      </c>
      <c r="F400" s="252" t="s">
        <v>889</v>
      </c>
      <c r="G400" s="255"/>
    </row>
    <row r="401" spans="1:7" s="108" customFormat="1" ht="14.1" customHeight="1">
      <c r="A401" s="251" t="s">
        <v>1392</v>
      </c>
      <c r="B401" s="252" t="s">
        <v>2295</v>
      </c>
      <c r="C401" s="254" t="s">
        <v>986</v>
      </c>
      <c r="D401" s="252" t="s">
        <v>1817</v>
      </c>
      <c r="E401" s="252" t="s">
        <v>895</v>
      </c>
      <c r="F401" s="252" t="s">
        <v>889</v>
      </c>
      <c r="G401" s="255"/>
    </row>
    <row r="402" spans="1:7" s="108" customFormat="1" ht="14.1" customHeight="1">
      <c r="A402" s="251" t="s">
        <v>1392</v>
      </c>
      <c r="B402" s="252" t="s">
        <v>2296</v>
      </c>
      <c r="C402" s="254" t="s">
        <v>986</v>
      </c>
      <c r="D402" s="252" t="s">
        <v>1817</v>
      </c>
      <c r="E402" s="252" t="s">
        <v>895</v>
      </c>
      <c r="F402" s="252" t="s">
        <v>889</v>
      </c>
      <c r="G402" s="255"/>
    </row>
    <row r="403" spans="1:7" s="108" customFormat="1" ht="14.1" customHeight="1">
      <c r="A403" s="251" t="s">
        <v>1392</v>
      </c>
      <c r="B403" s="252" t="s">
        <v>2297</v>
      </c>
      <c r="C403" s="254" t="s">
        <v>986</v>
      </c>
      <c r="D403" s="252" t="s">
        <v>1240</v>
      </c>
      <c r="E403" s="252" t="s">
        <v>984</v>
      </c>
      <c r="F403" s="252" t="s">
        <v>889</v>
      </c>
      <c r="G403" s="255"/>
    </row>
    <row r="404" spans="1:7" s="108" customFormat="1" ht="14.1" customHeight="1">
      <c r="A404" s="251" t="s">
        <v>1392</v>
      </c>
      <c r="B404" s="252" t="s">
        <v>2298</v>
      </c>
      <c r="C404" s="254" t="s">
        <v>986</v>
      </c>
      <c r="D404" s="252" t="s">
        <v>1817</v>
      </c>
      <c r="E404" s="252" t="s">
        <v>895</v>
      </c>
      <c r="F404" s="252" t="s">
        <v>892</v>
      </c>
      <c r="G404" s="255"/>
    </row>
    <row r="405" spans="1:7" s="108" customFormat="1" ht="14.1" customHeight="1">
      <c r="A405" s="251" t="s">
        <v>1392</v>
      </c>
      <c r="B405" s="252" t="s">
        <v>2299</v>
      </c>
      <c r="C405" s="254" t="s">
        <v>1202</v>
      </c>
      <c r="D405" s="252" t="s">
        <v>2300</v>
      </c>
      <c r="E405" s="252" t="s">
        <v>891</v>
      </c>
      <c r="F405" s="252" t="s">
        <v>889</v>
      </c>
      <c r="G405" s="255"/>
    </row>
    <row r="406" spans="1:7" s="108" customFormat="1" ht="14.1" customHeight="1">
      <c r="A406" s="251" t="s">
        <v>1392</v>
      </c>
      <c r="B406" s="252" t="s">
        <v>2301</v>
      </c>
      <c r="C406" s="254" t="s">
        <v>917</v>
      </c>
      <c r="D406" s="252" t="s">
        <v>1393</v>
      </c>
      <c r="E406" s="252" t="s">
        <v>918</v>
      </c>
      <c r="F406" s="252" t="s">
        <v>889</v>
      </c>
      <c r="G406" s="255">
        <v>3.95</v>
      </c>
    </row>
    <row r="407" spans="1:7" s="108" customFormat="1" ht="14.1" customHeight="1">
      <c r="A407" s="251" t="s">
        <v>1392</v>
      </c>
      <c r="B407" s="252" t="s">
        <v>2302</v>
      </c>
      <c r="C407" s="254" t="s">
        <v>917</v>
      </c>
      <c r="D407" s="252" t="s">
        <v>1386</v>
      </c>
      <c r="E407" s="252" t="s">
        <v>929</v>
      </c>
      <c r="F407" s="252" t="s">
        <v>892</v>
      </c>
      <c r="G407" s="255">
        <v>0.2</v>
      </c>
    </row>
    <row r="408" spans="1:7" s="108" customFormat="1" ht="14.1" customHeight="1">
      <c r="A408" s="251" t="s">
        <v>1392</v>
      </c>
      <c r="B408" s="252" t="s">
        <v>2303</v>
      </c>
      <c r="C408" s="254" t="s">
        <v>917</v>
      </c>
      <c r="D408" s="252" t="s">
        <v>2304</v>
      </c>
      <c r="E408" s="252" t="s">
        <v>888</v>
      </c>
      <c r="F408" s="252" t="s">
        <v>889</v>
      </c>
      <c r="G408" s="255"/>
    </row>
    <row r="409" spans="1:7" s="108" customFormat="1" ht="14.1" customHeight="1">
      <c r="A409" s="251" t="s">
        <v>1392</v>
      </c>
      <c r="B409" s="252" t="s">
        <v>2305</v>
      </c>
      <c r="C409" s="254" t="s">
        <v>917</v>
      </c>
      <c r="D409" s="252" t="s">
        <v>2306</v>
      </c>
      <c r="E409" s="252" t="s">
        <v>912</v>
      </c>
      <c r="F409" s="252" t="s">
        <v>889</v>
      </c>
      <c r="G409" s="255"/>
    </row>
    <row r="410" spans="1:7" s="108" customFormat="1" ht="14.1" customHeight="1">
      <c r="A410" s="251" t="s">
        <v>1392</v>
      </c>
      <c r="B410" s="252" t="s">
        <v>2307</v>
      </c>
      <c r="C410" s="254" t="s">
        <v>894</v>
      </c>
      <c r="D410" s="252" t="s">
        <v>1394</v>
      </c>
      <c r="E410" s="252" t="s">
        <v>1327</v>
      </c>
      <c r="F410" s="252" t="s">
        <v>892</v>
      </c>
      <c r="G410" s="255">
        <v>5</v>
      </c>
    </row>
    <row r="411" spans="1:7" s="108" customFormat="1" ht="14.1" customHeight="1">
      <c r="A411" s="251" t="s">
        <v>1493</v>
      </c>
      <c r="B411" s="252" t="s">
        <v>2308</v>
      </c>
      <c r="C411" s="254" t="s">
        <v>968</v>
      </c>
      <c r="D411" s="252" t="s">
        <v>1502</v>
      </c>
      <c r="E411" s="252" t="s">
        <v>888</v>
      </c>
      <c r="F411" s="252" t="s">
        <v>892</v>
      </c>
      <c r="G411" s="255"/>
    </row>
    <row r="412" spans="1:7" s="108" customFormat="1" ht="14.1" customHeight="1">
      <c r="A412" s="251" t="s">
        <v>1493</v>
      </c>
      <c r="B412" s="252" t="s">
        <v>2308</v>
      </c>
      <c r="C412" s="254" t="s">
        <v>968</v>
      </c>
      <c r="D412" s="252" t="s">
        <v>1502</v>
      </c>
      <c r="E412" s="252" t="s">
        <v>888</v>
      </c>
      <c r="F412" s="252" t="s">
        <v>889</v>
      </c>
      <c r="G412" s="255">
        <v>115</v>
      </c>
    </row>
    <row r="413" spans="1:7" s="108" customFormat="1" ht="14.1" customHeight="1">
      <c r="A413" s="251" t="s">
        <v>1493</v>
      </c>
      <c r="B413" s="252" t="s">
        <v>2309</v>
      </c>
      <c r="C413" s="254" t="s">
        <v>968</v>
      </c>
      <c r="D413" s="252" t="s">
        <v>2310</v>
      </c>
      <c r="E413" s="252" t="s">
        <v>888</v>
      </c>
      <c r="F413" s="252" t="s">
        <v>889</v>
      </c>
      <c r="G413" s="255"/>
    </row>
    <row r="414" spans="1:7" s="108" customFormat="1" ht="14.1" customHeight="1">
      <c r="A414" s="251" t="s">
        <v>1493</v>
      </c>
      <c r="B414" s="252" t="s">
        <v>2311</v>
      </c>
      <c r="C414" s="254" t="s">
        <v>968</v>
      </c>
      <c r="D414" s="252" t="s">
        <v>1501</v>
      </c>
      <c r="E414" s="252" t="s">
        <v>888</v>
      </c>
      <c r="F414" s="252" t="s">
        <v>889</v>
      </c>
      <c r="G414" s="255">
        <v>25</v>
      </c>
    </row>
    <row r="415" spans="1:7" s="108" customFormat="1" ht="14.1" customHeight="1">
      <c r="A415" s="251" t="s">
        <v>1493</v>
      </c>
      <c r="B415" s="252" t="s">
        <v>2312</v>
      </c>
      <c r="C415" s="254" t="s">
        <v>938</v>
      </c>
      <c r="D415" s="252" t="s">
        <v>2313</v>
      </c>
      <c r="E415" s="252" t="s">
        <v>1021</v>
      </c>
      <c r="F415" s="252" t="s">
        <v>889</v>
      </c>
      <c r="G415" s="255"/>
    </row>
    <row r="416" spans="1:7" s="108" customFormat="1" ht="14.1" customHeight="1">
      <c r="A416" s="251" t="s">
        <v>1493</v>
      </c>
      <c r="B416" s="252" t="s">
        <v>2314</v>
      </c>
      <c r="C416" s="254" t="s">
        <v>1032</v>
      </c>
      <c r="D416" s="252" t="s">
        <v>1495</v>
      </c>
      <c r="E416" s="252" t="s">
        <v>888</v>
      </c>
      <c r="F416" s="252" t="s">
        <v>892</v>
      </c>
      <c r="G416" s="255">
        <v>1.95</v>
      </c>
    </row>
    <row r="417" spans="1:7" s="108" customFormat="1" ht="14.1" customHeight="1">
      <c r="A417" s="251" t="s">
        <v>1493</v>
      </c>
      <c r="B417" s="252" t="s">
        <v>2315</v>
      </c>
      <c r="C417" s="254" t="s">
        <v>1032</v>
      </c>
      <c r="D417" s="252" t="s">
        <v>1495</v>
      </c>
      <c r="E417" s="252" t="s">
        <v>888</v>
      </c>
      <c r="F417" s="252" t="s">
        <v>892</v>
      </c>
      <c r="G417" s="255">
        <v>1.86</v>
      </c>
    </row>
    <row r="418" spans="1:7" s="108" customFormat="1" ht="14.1" customHeight="1">
      <c r="A418" s="251" t="s">
        <v>1493</v>
      </c>
      <c r="B418" s="252" t="s">
        <v>2316</v>
      </c>
      <c r="C418" s="254" t="s">
        <v>887</v>
      </c>
      <c r="D418" s="252" t="s">
        <v>2317</v>
      </c>
      <c r="E418" s="252" t="s">
        <v>984</v>
      </c>
      <c r="F418" s="252" t="s">
        <v>889</v>
      </c>
      <c r="G418" s="255"/>
    </row>
    <row r="419" spans="1:7" s="108" customFormat="1" ht="14.1" customHeight="1">
      <c r="A419" s="251" t="s">
        <v>1493</v>
      </c>
      <c r="B419" s="252" t="s">
        <v>2318</v>
      </c>
      <c r="C419" s="254" t="s">
        <v>890</v>
      </c>
      <c r="D419" s="252" t="s">
        <v>1494</v>
      </c>
      <c r="E419" s="252" t="s">
        <v>904</v>
      </c>
      <c r="F419" s="252" t="s">
        <v>889</v>
      </c>
      <c r="G419" s="255"/>
    </row>
    <row r="420" spans="1:7" s="108" customFormat="1" ht="14.1" customHeight="1">
      <c r="A420" s="251" t="s">
        <v>1493</v>
      </c>
      <c r="B420" s="252" t="s">
        <v>2318</v>
      </c>
      <c r="C420" s="254" t="s">
        <v>890</v>
      </c>
      <c r="D420" s="252" t="s">
        <v>1494</v>
      </c>
      <c r="E420" s="252" t="s">
        <v>904</v>
      </c>
      <c r="F420" s="252" t="s">
        <v>889</v>
      </c>
      <c r="G420" s="255">
        <v>1.367</v>
      </c>
    </row>
    <row r="421" spans="1:7" s="108" customFormat="1" ht="14.1" customHeight="1">
      <c r="A421" s="251" t="s">
        <v>1493</v>
      </c>
      <c r="B421" s="252" t="s">
        <v>2319</v>
      </c>
      <c r="C421" s="254" t="s">
        <v>1202</v>
      </c>
      <c r="D421" s="252" t="s">
        <v>2320</v>
      </c>
      <c r="E421" s="252" t="s">
        <v>888</v>
      </c>
      <c r="F421" s="252" t="s">
        <v>889</v>
      </c>
      <c r="G421" s="255"/>
    </row>
    <row r="422" spans="1:7" s="108" customFormat="1" ht="14.1" customHeight="1">
      <c r="A422" s="251" t="s">
        <v>1493</v>
      </c>
      <c r="B422" s="252" t="s">
        <v>2321</v>
      </c>
      <c r="C422" s="254" t="s">
        <v>917</v>
      </c>
      <c r="D422" s="252" t="s">
        <v>1498</v>
      </c>
      <c r="E422" s="252" t="s">
        <v>918</v>
      </c>
      <c r="F422" s="252" t="s">
        <v>913</v>
      </c>
      <c r="G422" s="255">
        <v>5.05</v>
      </c>
    </row>
    <row r="423" spans="1:7" s="108" customFormat="1" ht="14.1" customHeight="1">
      <c r="A423" s="251" t="s">
        <v>1493</v>
      </c>
      <c r="B423" s="252" t="s">
        <v>2321</v>
      </c>
      <c r="C423" s="254" t="s">
        <v>917</v>
      </c>
      <c r="D423" s="252" t="s">
        <v>1498</v>
      </c>
      <c r="E423" s="252" t="s">
        <v>918</v>
      </c>
      <c r="F423" s="252" t="s">
        <v>892</v>
      </c>
      <c r="G423" s="255">
        <v>3</v>
      </c>
    </row>
    <row r="424" spans="1:7" s="108" customFormat="1" ht="14.1" customHeight="1">
      <c r="A424" s="251" t="s">
        <v>1493</v>
      </c>
      <c r="B424" s="252" t="s">
        <v>2322</v>
      </c>
      <c r="C424" s="254" t="s">
        <v>917</v>
      </c>
      <c r="D424" s="252" t="s">
        <v>1496</v>
      </c>
      <c r="E424" s="252" t="s">
        <v>918</v>
      </c>
      <c r="F424" s="252" t="s">
        <v>913</v>
      </c>
      <c r="G424" s="255">
        <v>1.968</v>
      </c>
    </row>
    <row r="425" spans="1:7" s="108" customFormat="1" ht="14.1" customHeight="1">
      <c r="A425" s="251" t="s">
        <v>1493</v>
      </c>
      <c r="B425" s="252" t="s">
        <v>2323</v>
      </c>
      <c r="C425" s="254" t="s">
        <v>917</v>
      </c>
      <c r="D425" s="252" t="s">
        <v>1497</v>
      </c>
      <c r="E425" s="252" t="s">
        <v>918</v>
      </c>
      <c r="F425" s="252" t="s">
        <v>892</v>
      </c>
      <c r="G425" s="255">
        <v>2.6680000000000001</v>
      </c>
    </row>
    <row r="426" spans="1:7" s="108" customFormat="1" ht="14.1" customHeight="1">
      <c r="A426" s="251" t="s">
        <v>1493</v>
      </c>
      <c r="B426" s="252" t="s">
        <v>2323</v>
      </c>
      <c r="C426" s="254" t="s">
        <v>917</v>
      </c>
      <c r="D426" s="252" t="s">
        <v>1497</v>
      </c>
      <c r="E426" s="252" t="s">
        <v>918</v>
      </c>
      <c r="F426" s="252" t="s">
        <v>892</v>
      </c>
      <c r="G426" s="255"/>
    </row>
    <row r="427" spans="1:7" s="108" customFormat="1" ht="14.1" customHeight="1">
      <c r="A427" s="251" t="s">
        <v>1493</v>
      </c>
      <c r="B427" s="252" t="s">
        <v>2324</v>
      </c>
      <c r="C427" s="254" t="s">
        <v>917</v>
      </c>
      <c r="D427" s="252" t="s">
        <v>1499</v>
      </c>
      <c r="E427" s="252" t="s">
        <v>888</v>
      </c>
      <c r="F427" s="252" t="s">
        <v>892</v>
      </c>
      <c r="G427" s="255">
        <v>5.5</v>
      </c>
    </row>
    <row r="428" spans="1:7" s="108" customFormat="1" ht="14.1" customHeight="1">
      <c r="A428" s="251" t="s">
        <v>1493</v>
      </c>
      <c r="B428" s="252" t="s">
        <v>2325</v>
      </c>
      <c r="C428" s="254" t="s">
        <v>917</v>
      </c>
      <c r="D428" s="252" t="s">
        <v>1436</v>
      </c>
      <c r="E428" s="252" t="s">
        <v>918</v>
      </c>
      <c r="F428" s="252" t="s">
        <v>931</v>
      </c>
      <c r="G428" s="255"/>
    </row>
    <row r="429" spans="1:7" s="108" customFormat="1" ht="14.1" customHeight="1">
      <c r="A429" s="251" t="s">
        <v>1493</v>
      </c>
      <c r="B429" s="252" t="s">
        <v>2326</v>
      </c>
      <c r="C429" s="254" t="s">
        <v>917</v>
      </c>
      <c r="D429" s="252" t="s">
        <v>1500</v>
      </c>
      <c r="E429" s="252" t="s">
        <v>918</v>
      </c>
      <c r="F429" s="252" t="s">
        <v>913</v>
      </c>
      <c r="G429" s="255">
        <v>8.2210000000000001</v>
      </c>
    </row>
    <row r="430" spans="1:7" s="108" customFormat="1" ht="14.1" customHeight="1">
      <c r="A430" s="251" t="s">
        <v>1493</v>
      </c>
      <c r="B430" s="252" t="s">
        <v>2327</v>
      </c>
      <c r="C430" s="254" t="s">
        <v>894</v>
      </c>
      <c r="D430" s="252" t="s">
        <v>1503</v>
      </c>
      <c r="E430" s="252" t="s">
        <v>984</v>
      </c>
      <c r="F430" s="252" t="s">
        <v>889</v>
      </c>
      <c r="G430" s="255">
        <v>750</v>
      </c>
    </row>
    <row r="431" spans="1:7" s="108" customFormat="1" ht="14.1" customHeight="1">
      <c r="A431" s="251" t="s">
        <v>1493</v>
      </c>
      <c r="B431" s="252" t="s">
        <v>2328</v>
      </c>
      <c r="C431" s="254" t="s">
        <v>1020</v>
      </c>
      <c r="D431" s="252" t="s">
        <v>1181</v>
      </c>
      <c r="E431" s="252" t="s">
        <v>939</v>
      </c>
      <c r="F431" s="252" t="s">
        <v>1794</v>
      </c>
      <c r="G431" s="255"/>
    </row>
    <row r="432" spans="1:7" s="108" customFormat="1" ht="14.1" customHeight="1">
      <c r="A432" s="251" t="s">
        <v>1493</v>
      </c>
      <c r="B432" s="252" t="s">
        <v>2329</v>
      </c>
      <c r="C432" s="254" t="s">
        <v>1000</v>
      </c>
      <c r="D432" s="252" t="s">
        <v>886</v>
      </c>
      <c r="E432" s="252" t="s">
        <v>945</v>
      </c>
      <c r="F432" s="252" t="s">
        <v>889</v>
      </c>
      <c r="G432" s="255">
        <v>224.98400000000001</v>
      </c>
    </row>
    <row r="433" spans="1:7" s="108" customFormat="1" ht="14.1" customHeight="1">
      <c r="A433" s="251" t="s">
        <v>1625</v>
      </c>
      <c r="B433" s="252" t="s">
        <v>2330</v>
      </c>
      <c r="C433" s="254" t="s">
        <v>1088</v>
      </c>
      <c r="D433" s="252" t="s">
        <v>1062</v>
      </c>
      <c r="E433" s="252" t="s">
        <v>918</v>
      </c>
      <c r="F433" s="252" t="s">
        <v>889</v>
      </c>
      <c r="G433" s="255">
        <v>200</v>
      </c>
    </row>
    <row r="434" spans="1:7" s="108" customFormat="1" ht="14.1" customHeight="1">
      <c r="A434" s="251" t="s">
        <v>1625</v>
      </c>
      <c r="B434" s="252" t="s">
        <v>2330</v>
      </c>
      <c r="C434" s="254" t="s">
        <v>1088</v>
      </c>
      <c r="D434" s="252" t="s">
        <v>1627</v>
      </c>
      <c r="E434" s="252" t="s">
        <v>939</v>
      </c>
      <c r="F434" s="252" t="s">
        <v>889</v>
      </c>
      <c r="G434" s="255">
        <v>491</v>
      </c>
    </row>
    <row r="435" spans="1:7" s="108" customFormat="1" ht="14.1" customHeight="1">
      <c r="A435" s="251" t="s">
        <v>1625</v>
      </c>
      <c r="B435" s="252" t="s">
        <v>2330</v>
      </c>
      <c r="C435" s="254" t="s">
        <v>1088</v>
      </c>
      <c r="D435" s="252" t="s">
        <v>1628</v>
      </c>
      <c r="E435" s="252" t="s">
        <v>888</v>
      </c>
      <c r="F435" s="252" t="s">
        <v>889</v>
      </c>
      <c r="G435" s="255">
        <v>650</v>
      </c>
    </row>
    <row r="436" spans="1:7" s="108" customFormat="1" ht="14.1" customHeight="1">
      <c r="A436" s="251" t="s">
        <v>1625</v>
      </c>
      <c r="B436" s="252" t="s">
        <v>1881</v>
      </c>
      <c r="C436" s="254" t="s">
        <v>906</v>
      </c>
      <c r="D436" s="252" t="s">
        <v>1610</v>
      </c>
      <c r="E436" s="252" t="s">
        <v>945</v>
      </c>
      <c r="F436" s="252" t="s">
        <v>889</v>
      </c>
      <c r="G436" s="255">
        <v>1.748</v>
      </c>
    </row>
    <row r="437" spans="1:7" s="108" customFormat="1" ht="14.1" customHeight="1">
      <c r="A437" s="251" t="s">
        <v>1625</v>
      </c>
      <c r="B437" s="252" t="s">
        <v>2331</v>
      </c>
      <c r="C437" s="254" t="s">
        <v>986</v>
      </c>
      <c r="D437" s="252" t="s">
        <v>886</v>
      </c>
      <c r="E437" s="252" t="s">
        <v>888</v>
      </c>
      <c r="F437" s="252" t="s">
        <v>889</v>
      </c>
      <c r="G437" s="255"/>
    </row>
    <row r="438" spans="1:7" s="108" customFormat="1" ht="14.1" customHeight="1">
      <c r="A438" s="251" t="s">
        <v>1625</v>
      </c>
      <c r="B438" s="252" t="s">
        <v>2332</v>
      </c>
      <c r="C438" s="254" t="s">
        <v>917</v>
      </c>
      <c r="D438" s="252" t="s">
        <v>1626</v>
      </c>
      <c r="E438" s="252" t="s">
        <v>918</v>
      </c>
      <c r="F438" s="252" t="s">
        <v>889</v>
      </c>
      <c r="G438" s="255">
        <v>2.387</v>
      </c>
    </row>
    <row r="439" spans="1:7" s="108" customFormat="1" ht="14.1" customHeight="1">
      <c r="A439" s="251" t="s">
        <v>1625</v>
      </c>
      <c r="B439" s="252" t="s">
        <v>2333</v>
      </c>
      <c r="C439" s="254" t="s">
        <v>894</v>
      </c>
      <c r="D439" s="252" t="s">
        <v>1384</v>
      </c>
      <c r="E439" s="252" t="s">
        <v>907</v>
      </c>
      <c r="F439" s="252" t="s">
        <v>1794</v>
      </c>
      <c r="G439" s="255"/>
    </row>
    <row r="440" spans="1:7" s="108" customFormat="1" ht="14.1" customHeight="1">
      <c r="A440" s="251" t="s">
        <v>1625</v>
      </c>
      <c r="B440" s="252" t="s">
        <v>2334</v>
      </c>
      <c r="C440" s="254" t="s">
        <v>1000</v>
      </c>
      <c r="D440" s="252" t="s">
        <v>2335</v>
      </c>
      <c r="E440" s="252" t="s">
        <v>984</v>
      </c>
      <c r="F440" s="252" t="s">
        <v>889</v>
      </c>
      <c r="G440" s="255"/>
    </row>
    <row r="441" spans="1:7" s="108" customFormat="1" ht="14.1" customHeight="1">
      <c r="A441" s="251" t="s">
        <v>1674</v>
      </c>
      <c r="B441" s="252" t="s">
        <v>2336</v>
      </c>
      <c r="C441" s="254" t="s">
        <v>906</v>
      </c>
      <c r="D441" s="252" t="s">
        <v>1675</v>
      </c>
      <c r="E441" s="252" t="s">
        <v>1136</v>
      </c>
      <c r="F441" s="252" t="s">
        <v>889</v>
      </c>
      <c r="G441" s="255">
        <v>71.528999999999996</v>
      </c>
    </row>
    <row r="442" spans="1:7" s="108" customFormat="1" ht="14.1" customHeight="1">
      <c r="A442" s="251" t="s">
        <v>1674</v>
      </c>
      <c r="B442" s="252" t="s">
        <v>2337</v>
      </c>
      <c r="C442" s="254" t="s">
        <v>894</v>
      </c>
      <c r="D442" s="252" t="s">
        <v>2338</v>
      </c>
      <c r="E442" s="252" t="s">
        <v>1021</v>
      </c>
      <c r="F442" s="252" t="s">
        <v>892</v>
      </c>
      <c r="G442" s="255"/>
    </row>
    <row r="443" spans="1:7" s="108" customFormat="1" ht="14.1" customHeight="1">
      <c r="A443" s="251" t="s">
        <v>927</v>
      </c>
      <c r="B443" s="252" t="s">
        <v>2339</v>
      </c>
      <c r="C443" s="254" t="s">
        <v>917</v>
      </c>
      <c r="D443" s="252" t="s">
        <v>2340</v>
      </c>
      <c r="E443" s="252" t="s">
        <v>918</v>
      </c>
      <c r="F443" s="252" t="s">
        <v>889</v>
      </c>
      <c r="G443" s="255"/>
    </row>
    <row r="444" spans="1:7" s="108" customFormat="1" ht="14.1" customHeight="1">
      <c r="A444" s="251" t="s">
        <v>927</v>
      </c>
      <c r="B444" s="252" t="s">
        <v>2341</v>
      </c>
      <c r="C444" s="254" t="s">
        <v>917</v>
      </c>
      <c r="D444" s="252" t="s">
        <v>930</v>
      </c>
      <c r="E444" s="252" t="s">
        <v>918</v>
      </c>
      <c r="F444" s="252" t="s">
        <v>931</v>
      </c>
      <c r="G444" s="255">
        <v>5</v>
      </c>
    </row>
    <row r="445" spans="1:7" s="108" customFormat="1" ht="14.1" customHeight="1">
      <c r="A445" s="251" t="s">
        <v>927</v>
      </c>
      <c r="B445" s="252" t="s">
        <v>2342</v>
      </c>
      <c r="C445" s="254" t="s">
        <v>917</v>
      </c>
      <c r="D445" s="252" t="s">
        <v>928</v>
      </c>
      <c r="E445" s="252" t="s">
        <v>929</v>
      </c>
      <c r="F445" s="252" t="s">
        <v>892</v>
      </c>
      <c r="G445" s="255">
        <v>1.885</v>
      </c>
    </row>
    <row r="446" spans="1:7" s="108" customFormat="1" ht="14.1" customHeight="1">
      <c r="A446" s="251" t="s">
        <v>927</v>
      </c>
      <c r="B446" s="252" t="s">
        <v>2343</v>
      </c>
      <c r="C446" s="254" t="s">
        <v>894</v>
      </c>
      <c r="D446" s="252" t="s">
        <v>934</v>
      </c>
      <c r="E446" s="252" t="s">
        <v>888</v>
      </c>
      <c r="F446" s="252" t="s">
        <v>889</v>
      </c>
      <c r="G446" s="255">
        <v>1255.3119999999999</v>
      </c>
    </row>
    <row r="447" spans="1:7" s="108" customFormat="1" ht="14.1" customHeight="1">
      <c r="A447" s="251" t="s">
        <v>927</v>
      </c>
      <c r="B447" s="252" t="s">
        <v>2344</v>
      </c>
      <c r="C447" s="254" t="s">
        <v>894</v>
      </c>
      <c r="D447" s="252" t="s">
        <v>933</v>
      </c>
      <c r="E447" s="252" t="s">
        <v>918</v>
      </c>
      <c r="F447" s="252" t="s">
        <v>889</v>
      </c>
      <c r="G447" s="255">
        <v>65.043999999999997</v>
      </c>
    </row>
    <row r="448" spans="1:7" s="108" customFormat="1" ht="14.1" customHeight="1">
      <c r="A448" s="251" t="s">
        <v>927</v>
      </c>
      <c r="B448" s="252" t="s">
        <v>2345</v>
      </c>
      <c r="C448" s="254" t="s">
        <v>894</v>
      </c>
      <c r="D448" s="252" t="s">
        <v>2346</v>
      </c>
      <c r="E448" s="252" t="s">
        <v>929</v>
      </c>
      <c r="F448" s="252" t="s">
        <v>889</v>
      </c>
      <c r="G448" s="255"/>
    </row>
    <row r="449" spans="1:7" s="108" customFormat="1" ht="14.1" customHeight="1">
      <c r="A449" s="251" t="s">
        <v>927</v>
      </c>
      <c r="B449" s="252" t="s">
        <v>2347</v>
      </c>
      <c r="C449" s="254" t="s">
        <v>1071</v>
      </c>
      <c r="D449" s="252" t="s">
        <v>2348</v>
      </c>
      <c r="E449" s="252" t="s">
        <v>888</v>
      </c>
      <c r="F449" s="252" t="s">
        <v>889</v>
      </c>
      <c r="G449" s="255"/>
    </row>
    <row r="450" spans="1:7" s="108" customFormat="1" ht="14.1" customHeight="1">
      <c r="A450" s="251" t="s">
        <v>927</v>
      </c>
      <c r="B450" s="252" t="s">
        <v>2349</v>
      </c>
      <c r="C450" s="254" t="s">
        <v>1037</v>
      </c>
      <c r="D450" s="252" t="s">
        <v>932</v>
      </c>
      <c r="E450" s="252" t="s">
        <v>888</v>
      </c>
      <c r="F450" s="252" t="s">
        <v>889</v>
      </c>
      <c r="G450" s="255">
        <v>31.5</v>
      </c>
    </row>
    <row r="451" spans="1:7" s="108" customFormat="1" ht="14.1" customHeight="1">
      <c r="A451" s="251" t="s">
        <v>927</v>
      </c>
      <c r="B451" s="252" t="s">
        <v>2350</v>
      </c>
      <c r="C451" s="254" t="s">
        <v>1110</v>
      </c>
      <c r="D451" s="252" t="s">
        <v>2351</v>
      </c>
      <c r="E451" s="252" t="s">
        <v>888</v>
      </c>
      <c r="F451" s="252" t="s">
        <v>889</v>
      </c>
      <c r="G451" s="255"/>
    </row>
    <row r="452" spans="1:7" s="108" customFormat="1" ht="14.1" customHeight="1">
      <c r="A452" s="251" t="s">
        <v>1095</v>
      </c>
      <c r="B452" s="252" t="s">
        <v>2352</v>
      </c>
      <c r="C452" s="254" t="s">
        <v>897</v>
      </c>
      <c r="D452" s="252" t="s">
        <v>2353</v>
      </c>
      <c r="E452" s="252" t="s">
        <v>895</v>
      </c>
      <c r="F452" s="252" t="s">
        <v>889</v>
      </c>
      <c r="G452" s="255"/>
    </row>
    <row r="453" spans="1:7" s="108" customFormat="1" ht="14.1" customHeight="1">
      <c r="A453" s="251" t="s">
        <v>1095</v>
      </c>
      <c r="B453" s="252" t="s">
        <v>2354</v>
      </c>
      <c r="C453" s="254" t="s">
        <v>1146</v>
      </c>
      <c r="D453" s="252" t="s">
        <v>2355</v>
      </c>
      <c r="E453" s="252" t="s">
        <v>925</v>
      </c>
      <c r="F453" s="252" t="s">
        <v>1794</v>
      </c>
      <c r="G453" s="255"/>
    </row>
    <row r="454" spans="1:7" s="108" customFormat="1" ht="14.1" customHeight="1">
      <c r="A454" s="251" t="s">
        <v>1095</v>
      </c>
      <c r="B454" s="252" t="s">
        <v>2356</v>
      </c>
      <c r="C454" s="254" t="s">
        <v>968</v>
      </c>
      <c r="D454" s="252" t="s">
        <v>2357</v>
      </c>
      <c r="E454" s="252" t="s">
        <v>959</v>
      </c>
      <c r="F454" s="252" t="s">
        <v>889</v>
      </c>
      <c r="G454" s="255"/>
    </row>
    <row r="455" spans="1:7" s="108" customFormat="1" ht="14.1" customHeight="1">
      <c r="A455" s="251" t="s">
        <v>1095</v>
      </c>
      <c r="B455" s="252" t="s">
        <v>2358</v>
      </c>
      <c r="C455" s="254" t="s">
        <v>968</v>
      </c>
      <c r="D455" s="252" t="s">
        <v>2359</v>
      </c>
      <c r="E455" s="252" t="s">
        <v>907</v>
      </c>
      <c r="F455" s="252" t="s">
        <v>889</v>
      </c>
      <c r="G455" s="255"/>
    </row>
    <row r="456" spans="1:7" s="108" customFormat="1" ht="14.1" customHeight="1">
      <c r="A456" s="251" t="s">
        <v>1095</v>
      </c>
      <c r="B456" s="252" t="s">
        <v>2360</v>
      </c>
      <c r="C456" s="254" t="s">
        <v>944</v>
      </c>
      <c r="D456" s="252" t="s">
        <v>1104</v>
      </c>
      <c r="E456" s="252" t="s">
        <v>904</v>
      </c>
      <c r="F456" s="252" t="s">
        <v>889</v>
      </c>
      <c r="G456" s="255">
        <v>58.5</v>
      </c>
    </row>
    <row r="457" spans="1:7" s="108" customFormat="1" ht="14.1" customHeight="1">
      <c r="A457" s="251" t="s">
        <v>1095</v>
      </c>
      <c r="B457" s="252" t="s">
        <v>2361</v>
      </c>
      <c r="C457" s="254" t="s">
        <v>944</v>
      </c>
      <c r="D457" s="252" t="s">
        <v>1108</v>
      </c>
      <c r="E457" s="252" t="s">
        <v>888</v>
      </c>
      <c r="F457" s="252" t="s">
        <v>889</v>
      </c>
      <c r="G457" s="255">
        <v>350</v>
      </c>
    </row>
    <row r="458" spans="1:7" s="108" customFormat="1" ht="14.1" customHeight="1">
      <c r="A458" s="251" t="s">
        <v>1095</v>
      </c>
      <c r="B458" s="252" t="s">
        <v>2362</v>
      </c>
      <c r="C458" s="254" t="s">
        <v>944</v>
      </c>
      <c r="D458" s="252" t="s">
        <v>2363</v>
      </c>
      <c r="E458" s="252" t="s">
        <v>888</v>
      </c>
      <c r="F458" s="252" t="s">
        <v>889</v>
      </c>
      <c r="G458" s="255"/>
    </row>
    <row r="459" spans="1:7" s="108" customFormat="1" ht="14.1" customHeight="1">
      <c r="A459" s="251" t="s">
        <v>1095</v>
      </c>
      <c r="B459" s="252" t="s">
        <v>2364</v>
      </c>
      <c r="C459" s="254" t="s">
        <v>944</v>
      </c>
      <c r="D459" s="252" t="s">
        <v>1105</v>
      </c>
      <c r="E459" s="252" t="s">
        <v>1106</v>
      </c>
      <c r="F459" s="252" t="s">
        <v>889</v>
      </c>
      <c r="G459" s="255">
        <v>65.132999999999996</v>
      </c>
    </row>
    <row r="460" spans="1:7" s="108" customFormat="1" ht="14.1" customHeight="1">
      <c r="A460" s="251" t="s">
        <v>1095</v>
      </c>
      <c r="B460" s="252" t="s">
        <v>2365</v>
      </c>
      <c r="C460" s="254" t="s">
        <v>1051</v>
      </c>
      <c r="D460" s="252" t="s">
        <v>1111</v>
      </c>
      <c r="E460" s="252" t="s">
        <v>939</v>
      </c>
      <c r="F460" s="252" t="s">
        <v>889</v>
      </c>
      <c r="G460" s="255">
        <v>3258.8270000000002</v>
      </c>
    </row>
    <row r="461" spans="1:7" s="108" customFormat="1" ht="14.1" customHeight="1">
      <c r="A461" s="251" t="s">
        <v>1095</v>
      </c>
      <c r="B461" s="252" t="s">
        <v>2366</v>
      </c>
      <c r="C461" s="254" t="s">
        <v>2367</v>
      </c>
      <c r="D461" s="252" t="s">
        <v>2368</v>
      </c>
      <c r="E461" s="252" t="s">
        <v>888</v>
      </c>
      <c r="F461" s="252" t="s">
        <v>889</v>
      </c>
      <c r="G461" s="255"/>
    </row>
    <row r="462" spans="1:7" s="108" customFormat="1" ht="14.1" customHeight="1">
      <c r="A462" s="251" t="s">
        <v>1095</v>
      </c>
      <c r="B462" s="252" t="s">
        <v>2369</v>
      </c>
      <c r="C462" s="254" t="s">
        <v>938</v>
      </c>
      <c r="D462" s="252" t="s">
        <v>2370</v>
      </c>
      <c r="E462" s="252" t="s">
        <v>959</v>
      </c>
      <c r="F462" s="252" t="s">
        <v>889</v>
      </c>
      <c r="G462" s="255"/>
    </row>
    <row r="463" spans="1:7" s="108" customFormat="1" ht="14.1" customHeight="1">
      <c r="A463" s="251" t="s">
        <v>1095</v>
      </c>
      <c r="B463" s="252" t="s">
        <v>2371</v>
      </c>
      <c r="C463" s="254" t="s">
        <v>1088</v>
      </c>
      <c r="D463" s="252" t="s">
        <v>2372</v>
      </c>
      <c r="E463" s="252" t="s">
        <v>1142</v>
      </c>
      <c r="F463" s="252" t="s">
        <v>889</v>
      </c>
      <c r="G463" s="255"/>
    </row>
    <row r="464" spans="1:7" s="108" customFormat="1" ht="14.1" customHeight="1">
      <c r="A464" s="251" t="s">
        <v>1095</v>
      </c>
      <c r="B464" s="252" t="s">
        <v>2373</v>
      </c>
      <c r="C464" s="254" t="s">
        <v>1833</v>
      </c>
      <c r="D464" s="252" t="s">
        <v>2374</v>
      </c>
      <c r="E464" s="252" t="s">
        <v>888</v>
      </c>
      <c r="F464" s="252" t="s">
        <v>1794</v>
      </c>
      <c r="G464" s="255"/>
    </row>
    <row r="465" spans="1:7" s="108" customFormat="1" ht="14.1" customHeight="1">
      <c r="A465" s="251" t="s">
        <v>1095</v>
      </c>
      <c r="B465" s="252" t="s">
        <v>2375</v>
      </c>
      <c r="C465" s="254" t="s">
        <v>986</v>
      </c>
      <c r="D465" s="252" t="s">
        <v>2376</v>
      </c>
      <c r="E465" s="252" t="s">
        <v>888</v>
      </c>
      <c r="F465" s="252" t="s">
        <v>889</v>
      </c>
      <c r="G465" s="255"/>
    </row>
    <row r="466" spans="1:7" s="108" customFormat="1" ht="14.1" customHeight="1">
      <c r="A466" s="251" t="s">
        <v>1095</v>
      </c>
      <c r="B466" s="252" t="s">
        <v>2377</v>
      </c>
      <c r="C466" s="254" t="s">
        <v>887</v>
      </c>
      <c r="D466" s="252" t="s">
        <v>2378</v>
      </c>
      <c r="E466" s="252" t="s">
        <v>1327</v>
      </c>
      <c r="F466" s="252" t="s">
        <v>889</v>
      </c>
      <c r="G466" s="255"/>
    </row>
    <row r="467" spans="1:7" s="108" customFormat="1" ht="14.1" customHeight="1">
      <c r="A467" s="251" t="s">
        <v>1095</v>
      </c>
      <c r="B467" s="252" t="s">
        <v>2379</v>
      </c>
      <c r="C467" s="254" t="s">
        <v>887</v>
      </c>
      <c r="D467" s="252" t="s">
        <v>1811</v>
      </c>
      <c r="E467" s="252" t="s">
        <v>888</v>
      </c>
      <c r="F467" s="252" t="s">
        <v>889</v>
      </c>
      <c r="G467" s="255"/>
    </row>
    <row r="468" spans="1:7" s="108" customFormat="1" ht="14.1" customHeight="1">
      <c r="A468" s="251" t="s">
        <v>1095</v>
      </c>
      <c r="B468" s="252" t="s">
        <v>2380</v>
      </c>
      <c r="C468" s="254" t="s">
        <v>887</v>
      </c>
      <c r="D468" s="252" t="s">
        <v>886</v>
      </c>
      <c r="E468" s="252" t="s">
        <v>888</v>
      </c>
      <c r="F468" s="252" t="s">
        <v>889</v>
      </c>
      <c r="G468" s="255">
        <v>386.589</v>
      </c>
    </row>
    <row r="469" spans="1:7" s="108" customFormat="1" ht="14.1" customHeight="1">
      <c r="A469" s="251" t="s">
        <v>1095</v>
      </c>
      <c r="B469" s="252" t="s">
        <v>2381</v>
      </c>
      <c r="C469" s="254" t="s">
        <v>890</v>
      </c>
      <c r="D469" s="252" t="s">
        <v>1101</v>
      </c>
      <c r="E469" s="252" t="s">
        <v>1102</v>
      </c>
      <c r="F469" s="252" t="s">
        <v>889</v>
      </c>
      <c r="G469" s="255">
        <v>14.942</v>
      </c>
    </row>
    <row r="470" spans="1:7" s="108" customFormat="1" ht="14.1" customHeight="1">
      <c r="A470" s="251" t="s">
        <v>1095</v>
      </c>
      <c r="B470" s="252" t="s">
        <v>2382</v>
      </c>
      <c r="C470" s="254" t="s">
        <v>890</v>
      </c>
      <c r="D470" s="252" t="s">
        <v>2383</v>
      </c>
      <c r="E470" s="252" t="s">
        <v>888</v>
      </c>
      <c r="F470" s="252" t="s">
        <v>889</v>
      </c>
      <c r="G470" s="255"/>
    </row>
    <row r="471" spans="1:7" s="108" customFormat="1" ht="14.1" customHeight="1">
      <c r="A471" s="251" t="s">
        <v>1095</v>
      </c>
      <c r="B471" s="252" t="s">
        <v>2384</v>
      </c>
      <c r="C471" s="254" t="s">
        <v>890</v>
      </c>
      <c r="D471" s="252" t="s">
        <v>2385</v>
      </c>
      <c r="E471" s="252" t="s">
        <v>888</v>
      </c>
      <c r="F471" s="252" t="s">
        <v>889</v>
      </c>
      <c r="G471" s="255"/>
    </row>
    <row r="472" spans="1:7" s="108" customFormat="1" ht="14.1" customHeight="1">
      <c r="A472" s="251" t="s">
        <v>1095</v>
      </c>
      <c r="B472" s="252" t="s">
        <v>2386</v>
      </c>
      <c r="C472" s="254" t="s">
        <v>1018</v>
      </c>
      <c r="D472" s="252" t="s">
        <v>1096</v>
      </c>
      <c r="E472" s="252" t="s">
        <v>954</v>
      </c>
      <c r="F472" s="252" t="s">
        <v>889</v>
      </c>
      <c r="G472" s="255">
        <v>0.56200000000000006</v>
      </c>
    </row>
    <row r="473" spans="1:7" s="108" customFormat="1" ht="14.1" customHeight="1">
      <c r="A473" s="251" t="s">
        <v>1095</v>
      </c>
      <c r="B473" s="252" t="s">
        <v>2387</v>
      </c>
      <c r="C473" s="254" t="s">
        <v>1018</v>
      </c>
      <c r="D473" s="252" t="s">
        <v>2388</v>
      </c>
      <c r="E473" s="252" t="s">
        <v>888</v>
      </c>
      <c r="F473" s="252" t="s">
        <v>889</v>
      </c>
      <c r="G473" s="255"/>
    </row>
    <row r="474" spans="1:7" s="108" customFormat="1" ht="14.1" customHeight="1">
      <c r="A474" s="251" t="s">
        <v>1095</v>
      </c>
      <c r="B474" s="252" t="s">
        <v>2389</v>
      </c>
      <c r="C474" s="254" t="s">
        <v>917</v>
      </c>
      <c r="D474" s="252" t="s">
        <v>1097</v>
      </c>
      <c r="E474" s="252" t="s">
        <v>929</v>
      </c>
      <c r="F474" s="252" t="s">
        <v>889</v>
      </c>
      <c r="G474" s="255">
        <v>1.0840000000000001</v>
      </c>
    </row>
    <row r="475" spans="1:7" s="108" customFormat="1" ht="14.1" customHeight="1">
      <c r="A475" s="251" t="s">
        <v>1095</v>
      </c>
      <c r="B475" s="252" t="s">
        <v>2390</v>
      </c>
      <c r="C475" s="254" t="s">
        <v>1023</v>
      </c>
      <c r="D475" s="252" t="s">
        <v>2391</v>
      </c>
      <c r="E475" s="252" t="s">
        <v>888</v>
      </c>
      <c r="F475" s="252" t="s">
        <v>1794</v>
      </c>
      <c r="G475" s="255"/>
    </row>
    <row r="476" spans="1:7" s="108" customFormat="1" ht="14.1" customHeight="1">
      <c r="A476" s="251" t="s">
        <v>1095</v>
      </c>
      <c r="B476" s="252" t="s">
        <v>2255</v>
      </c>
      <c r="C476" s="254" t="s">
        <v>894</v>
      </c>
      <c r="D476" s="252" t="s">
        <v>1017</v>
      </c>
      <c r="E476" s="252" t="s">
        <v>888</v>
      </c>
      <c r="F476" s="252" t="s">
        <v>889</v>
      </c>
      <c r="G476" s="255">
        <v>11</v>
      </c>
    </row>
    <row r="477" spans="1:7" s="108" customFormat="1" ht="14.1" customHeight="1">
      <c r="A477" s="251" t="s">
        <v>1095</v>
      </c>
      <c r="B477" s="252" t="s">
        <v>2392</v>
      </c>
      <c r="C477" s="254" t="s">
        <v>1071</v>
      </c>
      <c r="D477" s="252" t="s">
        <v>2393</v>
      </c>
      <c r="E477" s="252" t="s">
        <v>888</v>
      </c>
      <c r="F477" s="252" t="s">
        <v>892</v>
      </c>
      <c r="G477" s="255"/>
    </row>
    <row r="478" spans="1:7" s="108" customFormat="1" ht="14.1" customHeight="1">
      <c r="A478" s="251" t="s">
        <v>1095</v>
      </c>
      <c r="B478" s="252" t="s">
        <v>2392</v>
      </c>
      <c r="C478" s="254" t="s">
        <v>1071</v>
      </c>
      <c r="D478" s="252" t="s">
        <v>2393</v>
      </c>
      <c r="E478" s="252" t="s">
        <v>888</v>
      </c>
      <c r="F478" s="252" t="s">
        <v>889</v>
      </c>
      <c r="G478" s="255"/>
    </row>
    <row r="479" spans="1:7" s="108" customFormat="1" ht="14.1" customHeight="1">
      <c r="A479" s="251" t="s">
        <v>1095</v>
      </c>
      <c r="B479" s="252" t="s">
        <v>2394</v>
      </c>
      <c r="C479" s="254" t="s">
        <v>1071</v>
      </c>
      <c r="D479" s="252" t="s">
        <v>1776</v>
      </c>
      <c r="E479" s="252" t="s">
        <v>1157</v>
      </c>
      <c r="F479" s="252" t="s">
        <v>889</v>
      </c>
      <c r="G479" s="255"/>
    </row>
    <row r="480" spans="1:7" s="108" customFormat="1" ht="14.1" customHeight="1">
      <c r="A480" s="251" t="s">
        <v>1095</v>
      </c>
      <c r="B480" s="252" t="s">
        <v>2395</v>
      </c>
      <c r="C480" s="254" t="s">
        <v>1071</v>
      </c>
      <c r="D480" s="252" t="s">
        <v>1109</v>
      </c>
      <c r="E480" s="252" t="s">
        <v>984</v>
      </c>
      <c r="F480" s="252" t="s">
        <v>889</v>
      </c>
      <c r="G480" s="255">
        <v>718.13300000000004</v>
      </c>
    </row>
    <row r="481" spans="1:7" s="108" customFormat="1" ht="14.1" customHeight="1">
      <c r="A481" s="251" t="s">
        <v>1095</v>
      </c>
      <c r="B481" s="252" t="s">
        <v>2396</v>
      </c>
      <c r="C481" s="254" t="s">
        <v>1080</v>
      </c>
      <c r="D481" s="252" t="s">
        <v>1191</v>
      </c>
      <c r="E481" s="252" t="s">
        <v>888</v>
      </c>
      <c r="F481" s="252" t="s">
        <v>889</v>
      </c>
      <c r="G481" s="255"/>
    </row>
    <row r="482" spans="1:7" s="108" customFormat="1" ht="14.1" customHeight="1">
      <c r="A482" s="251" t="s">
        <v>1095</v>
      </c>
      <c r="B482" s="252" t="s">
        <v>2397</v>
      </c>
      <c r="C482" s="254" t="s">
        <v>1099</v>
      </c>
      <c r="D482" s="252" t="s">
        <v>1098</v>
      </c>
      <c r="E482" s="252" t="s">
        <v>907</v>
      </c>
      <c r="F482" s="252" t="s">
        <v>889</v>
      </c>
      <c r="G482" s="255">
        <v>7.8019999999999996</v>
      </c>
    </row>
    <row r="483" spans="1:7" s="108" customFormat="1" ht="14.1" customHeight="1">
      <c r="A483" s="251" t="s">
        <v>1095</v>
      </c>
      <c r="B483" s="252" t="s">
        <v>2398</v>
      </c>
      <c r="C483" s="254" t="s">
        <v>903</v>
      </c>
      <c r="D483" s="252" t="s">
        <v>1100</v>
      </c>
      <c r="E483" s="252" t="s">
        <v>1026</v>
      </c>
      <c r="F483" s="252" t="s">
        <v>889</v>
      </c>
      <c r="G483" s="255">
        <v>11.46</v>
      </c>
    </row>
    <row r="484" spans="1:7" s="108" customFormat="1" ht="14.1" customHeight="1">
      <c r="A484" s="251" t="s">
        <v>1095</v>
      </c>
      <c r="B484" s="252" t="s">
        <v>2399</v>
      </c>
      <c r="C484" s="254" t="s">
        <v>1000</v>
      </c>
      <c r="D484" s="252" t="s">
        <v>886</v>
      </c>
      <c r="E484" s="252" t="s">
        <v>888</v>
      </c>
      <c r="F484" s="252" t="s">
        <v>889</v>
      </c>
      <c r="G484" s="255">
        <v>89.186000000000007</v>
      </c>
    </row>
    <row r="485" spans="1:7" s="108" customFormat="1" ht="14.1" customHeight="1">
      <c r="A485" s="251" t="s">
        <v>1095</v>
      </c>
      <c r="B485" s="252" t="s">
        <v>2400</v>
      </c>
      <c r="C485" s="254" t="s">
        <v>1068</v>
      </c>
      <c r="D485" s="252" t="s">
        <v>1107</v>
      </c>
      <c r="E485" s="252" t="s">
        <v>939</v>
      </c>
      <c r="F485" s="252" t="s">
        <v>889</v>
      </c>
      <c r="G485" s="255">
        <v>273.709</v>
      </c>
    </row>
    <row r="486" spans="1:7" s="108" customFormat="1" ht="14.1" customHeight="1">
      <c r="A486" s="251" t="s">
        <v>1095</v>
      </c>
      <c r="B486" s="252" t="s">
        <v>2401</v>
      </c>
      <c r="C486" s="254" t="s">
        <v>1068</v>
      </c>
      <c r="D486" s="252" t="s">
        <v>2402</v>
      </c>
      <c r="E486" s="252" t="s">
        <v>907</v>
      </c>
      <c r="F486" s="252" t="s">
        <v>889</v>
      </c>
      <c r="G486" s="255"/>
    </row>
    <row r="487" spans="1:7" s="108" customFormat="1" ht="14.1" customHeight="1">
      <c r="A487" s="251" t="s">
        <v>1095</v>
      </c>
      <c r="B487" s="252" t="s">
        <v>2403</v>
      </c>
      <c r="C487" s="254" t="s">
        <v>1164</v>
      </c>
      <c r="D487" s="252" t="s">
        <v>2404</v>
      </c>
      <c r="E487" s="252" t="s">
        <v>888</v>
      </c>
      <c r="F487" s="252" t="s">
        <v>889</v>
      </c>
      <c r="G487" s="255"/>
    </row>
    <row r="488" spans="1:7" s="108" customFormat="1" ht="14.1" customHeight="1">
      <c r="A488" s="251" t="s">
        <v>1095</v>
      </c>
      <c r="B488" s="252" t="s">
        <v>2405</v>
      </c>
      <c r="C488" s="254" t="s">
        <v>983</v>
      </c>
      <c r="D488" s="252" t="s">
        <v>1103</v>
      </c>
      <c r="E488" s="252" t="s">
        <v>959</v>
      </c>
      <c r="F488" s="252" t="s">
        <v>892</v>
      </c>
      <c r="G488" s="255">
        <v>56.249000000000002</v>
      </c>
    </row>
    <row r="489" spans="1:7" s="108" customFormat="1" ht="14.1" customHeight="1">
      <c r="A489" s="251" t="s">
        <v>1095</v>
      </c>
      <c r="B489" s="252" t="s">
        <v>2406</v>
      </c>
      <c r="C489" s="254" t="s">
        <v>983</v>
      </c>
      <c r="D489" s="252" t="s">
        <v>2029</v>
      </c>
      <c r="E489" s="252" t="s">
        <v>895</v>
      </c>
      <c r="F489" s="252" t="s">
        <v>889</v>
      </c>
      <c r="G489" s="255"/>
    </row>
    <row r="490" spans="1:7" s="108" customFormat="1" ht="14.1" customHeight="1">
      <c r="A490" s="251" t="s">
        <v>1315</v>
      </c>
      <c r="B490" s="252" t="s">
        <v>2407</v>
      </c>
      <c r="C490" s="254" t="s">
        <v>1146</v>
      </c>
      <c r="D490" s="252" t="s">
        <v>1318</v>
      </c>
      <c r="E490" s="252" t="s">
        <v>888</v>
      </c>
      <c r="F490" s="252" t="s">
        <v>889</v>
      </c>
      <c r="G490" s="255">
        <v>204.46</v>
      </c>
    </row>
    <row r="491" spans="1:7" s="108" customFormat="1" ht="14.1" customHeight="1">
      <c r="A491" s="251" t="s">
        <v>1315</v>
      </c>
      <c r="B491" s="252" t="s">
        <v>2408</v>
      </c>
      <c r="C491" s="254" t="s">
        <v>968</v>
      </c>
      <c r="D491" s="252" t="s">
        <v>2409</v>
      </c>
      <c r="E491" s="252" t="s">
        <v>907</v>
      </c>
      <c r="F491" s="252" t="s">
        <v>889</v>
      </c>
      <c r="G491" s="255"/>
    </row>
    <row r="492" spans="1:7" s="108" customFormat="1" ht="14.1" customHeight="1">
      <c r="A492" s="251" t="s">
        <v>1315</v>
      </c>
      <c r="B492" s="252" t="s">
        <v>2410</v>
      </c>
      <c r="C492" s="254" t="s">
        <v>944</v>
      </c>
      <c r="D492" s="252" t="s">
        <v>2411</v>
      </c>
      <c r="E492" s="252" t="s">
        <v>1021</v>
      </c>
      <c r="F492" s="252" t="s">
        <v>889</v>
      </c>
      <c r="G492" s="255"/>
    </row>
    <row r="493" spans="1:7" s="108" customFormat="1" ht="14.1" customHeight="1">
      <c r="A493" s="251" t="s">
        <v>1315</v>
      </c>
      <c r="B493" s="252" t="s">
        <v>2412</v>
      </c>
      <c r="C493" s="254" t="s">
        <v>1466</v>
      </c>
      <c r="D493" s="252" t="s">
        <v>1319</v>
      </c>
      <c r="E493" s="252" t="s">
        <v>918</v>
      </c>
      <c r="F493" s="252" t="s">
        <v>889</v>
      </c>
      <c r="G493" s="255">
        <v>280</v>
      </c>
    </row>
    <row r="494" spans="1:7" s="108" customFormat="1" ht="14.1" customHeight="1">
      <c r="A494" s="251" t="s">
        <v>1315</v>
      </c>
      <c r="B494" s="252" t="s">
        <v>2413</v>
      </c>
      <c r="C494" s="254" t="s">
        <v>938</v>
      </c>
      <c r="D494" s="252" t="s">
        <v>1320</v>
      </c>
      <c r="E494" s="252" t="s">
        <v>888</v>
      </c>
      <c r="F494" s="252" t="s">
        <v>889</v>
      </c>
      <c r="G494" s="255">
        <v>3334.2950000000001</v>
      </c>
    </row>
    <row r="495" spans="1:7" s="108" customFormat="1" ht="14.1" customHeight="1">
      <c r="A495" s="251" t="s">
        <v>1315</v>
      </c>
      <c r="B495" s="252" t="s">
        <v>2414</v>
      </c>
      <c r="C495" s="254" t="s">
        <v>1088</v>
      </c>
      <c r="D495" s="252" t="s">
        <v>1317</v>
      </c>
      <c r="E495" s="252" t="s">
        <v>888</v>
      </c>
      <c r="F495" s="252" t="s">
        <v>889</v>
      </c>
      <c r="G495" s="255">
        <v>45.35</v>
      </c>
    </row>
    <row r="496" spans="1:7" s="108" customFormat="1" ht="14.1" customHeight="1">
      <c r="A496" s="251" t="s">
        <v>1315</v>
      </c>
      <c r="B496" s="252" t="s">
        <v>2415</v>
      </c>
      <c r="C496" s="254" t="s">
        <v>1833</v>
      </c>
      <c r="D496" s="252" t="s">
        <v>2416</v>
      </c>
      <c r="E496" s="252" t="s">
        <v>888</v>
      </c>
      <c r="F496" s="252" t="s">
        <v>889</v>
      </c>
      <c r="G496" s="255"/>
    </row>
    <row r="497" spans="1:7" s="108" customFormat="1" ht="14.1" customHeight="1">
      <c r="A497" s="251" t="s">
        <v>1315</v>
      </c>
      <c r="B497" s="252" t="s">
        <v>2417</v>
      </c>
      <c r="C497" s="254" t="s">
        <v>917</v>
      </c>
      <c r="D497" s="252" t="s">
        <v>1316</v>
      </c>
      <c r="E497" s="252" t="s">
        <v>929</v>
      </c>
      <c r="F497" s="252" t="s">
        <v>892</v>
      </c>
      <c r="G497" s="255">
        <v>1.667</v>
      </c>
    </row>
    <row r="498" spans="1:7" s="108" customFormat="1" ht="14.1" customHeight="1">
      <c r="A498" s="251" t="s">
        <v>1315</v>
      </c>
      <c r="B498" s="252" t="s">
        <v>2417</v>
      </c>
      <c r="C498" s="254" t="s">
        <v>917</v>
      </c>
      <c r="D498" s="252" t="s">
        <v>1316</v>
      </c>
      <c r="E498" s="252" t="s">
        <v>929</v>
      </c>
      <c r="F498" s="252" t="s">
        <v>892</v>
      </c>
      <c r="G498" s="255"/>
    </row>
    <row r="499" spans="1:7" s="108" customFormat="1" ht="14.1" customHeight="1">
      <c r="A499" s="251" t="s">
        <v>1396</v>
      </c>
      <c r="B499" s="252" t="s">
        <v>2418</v>
      </c>
      <c r="C499" s="254" t="s">
        <v>968</v>
      </c>
      <c r="D499" s="252" t="s">
        <v>2419</v>
      </c>
      <c r="E499" s="252" t="s">
        <v>939</v>
      </c>
      <c r="F499" s="252" t="s">
        <v>889</v>
      </c>
      <c r="G499" s="255"/>
    </row>
    <row r="500" spans="1:7" s="108" customFormat="1" ht="14.1" customHeight="1">
      <c r="A500" s="251" t="s">
        <v>1396</v>
      </c>
      <c r="B500" s="252" t="s">
        <v>2420</v>
      </c>
      <c r="C500" s="254" t="s">
        <v>968</v>
      </c>
      <c r="D500" s="252" t="s">
        <v>1829</v>
      </c>
      <c r="E500" s="252" t="s">
        <v>939</v>
      </c>
      <c r="F500" s="252" t="s">
        <v>889</v>
      </c>
      <c r="G500" s="255"/>
    </row>
    <row r="501" spans="1:7" s="108" customFormat="1" ht="14.1" customHeight="1">
      <c r="A501" s="251" t="s">
        <v>1396</v>
      </c>
      <c r="B501" s="252" t="s">
        <v>2421</v>
      </c>
      <c r="C501" s="254" t="s">
        <v>1202</v>
      </c>
      <c r="D501" s="252" t="s">
        <v>2422</v>
      </c>
      <c r="E501" s="252" t="s">
        <v>939</v>
      </c>
      <c r="F501" s="252" t="s">
        <v>889</v>
      </c>
      <c r="G501" s="255"/>
    </row>
    <row r="502" spans="1:7" s="108" customFormat="1" ht="14.1" customHeight="1">
      <c r="A502" s="251" t="s">
        <v>1396</v>
      </c>
      <c r="B502" s="252" t="s">
        <v>2149</v>
      </c>
      <c r="C502" s="254" t="s">
        <v>917</v>
      </c>
      <c r="D502" s="252" t="s">
        <v>1397</v>
      </c>
      <c r="E502" s="252" t="s">
        <v>929</v>
      </c>
      <c r="F502" s="252" t="s">
        <v>892</v>
      </c>
      <c r="G502" s="255">
        <v>0.71099999999999997</v>
      </c>
    </row>
    <row r="503" spans="1:7" s="108" customFormat="1" ht="14.1" customHeight="1">
      <c r="A503" s="251" t="s">
        <v>1396</v>
      </c>
      <c r="B503" s="252" t="s">
        <v>2423</v>
      </c>
      <c r="C503" s="254" t="s">
        <v>894</v>
      </c>
      <c r="D503" s="252" t="s">
        <v>1394</v>
      </c>
      <c r="E503" s="252" t="s">
        <v>1327</v>
      </c>
      <c r="F503" s="252" t="s">
        <v>931</v>
      </c>
      <c r="G503" s="255">
        <v>1</v>
      </c>
    </row>
    <row r="504" spans="1:7" s="108" customFormat="1" ht="14.1" customHeight="1">
      <c r="A504" s="251" t="s">
        <v>1396</v>
      </c>
      <c r="B504" s="252" t="s">
        <v>2424</v>
      </c>
      <c r="C504" s="254" t="s">
        <v>894</v>
      </c>
      <c r="D504" s="252" t="s">
        <v>1401</v>
      </c>
      <c r="E504" s="252" t="s">
        <v>918</v>
      </c>
      <c r="F504" s="252" t="s">
        <v>889</v>
      </c>
      <c r="G504" s="255">
        <v>217.322</v>
      </c>
    </row>
    <row r="505" spans="1:7" s="108" customFormat="1" ht="14.1" customHeight="1">
      <c r="A505" s="251" t="s">
        <v>1396</v>
      </c>
      <c r="B505" s="252" t="s">
        <v>2425</v>
      </c>
      <c r="C505" s="254" t="s">
        <v>894</v>
      </c>
      <c r="D505" s="252" t="s">
        <v>1399</v>
      </c>
      <c r="E505" s="252" t="s">
        <v>918</v>
      </c>
      <c r="F505" s="252" t="s">
        <v>892</v>
      </c>
      <c r="G505" s="255">
        <v>17</v>
      </c>
    </row>
    <row r="506" spans="1:7" s="108" customFormat="1" ht="14.1" customHeight="1">
      <c r="A506" s="251" t="s">
        <v>1396</v>
      </c>
      <c r="B506" s="252" t="s">
        <v>2426</v>
      </c>
      <c r="C506" s="254" t="s">
        <v>894</v>
      </c>
      <c r="D506" s="252" t="s">
        <v>1400</v>
      </c>
      <c r="E506" s="252" t="s">
        <v>918</v>
      </c>
      <c r="F506" s="252" t="s">
        <v>889</v>
      </c>
      <c r="G506" s="255">
        <v>40.529000000000003</v>
      </c>
    </row>
    <row r="507" spans="1:7" s="108" customFormat="1" ht="14.1" customHeight="1">
      <c r="A507" s="251" t="s">
        <v>1396</v>
      </c>
      <c r="B507" s="252" t="s">
        <v>2427</v>
      </c>
      <c r="C507" s="254" t="s">
        <v>1000</v>
      </c>
      <c r="D507" s="252" t="s">
        <v>1398</v>
      </c>
      <c r="E507" s="252" t="s">
        <v>939</v>
      </c>
      <c r="F507" s="252" t="s">
        <v>889</v>
      </c>
      <c r="G507" s="255">
        <v>1.208</v>
      </c>
    </row>
    <row r="508" spans="1:7" s="108" customFormat="1" ht="14.1" customHeight="1">
      <c r="A508" s="251" t="s">
        <v>2428</v>
      </c>
      <c r="B508" s="252" t="s">
        <v>2429</v>
      </c>
      <c r="C508" s="254" t="s">
        <v>968</v>
      </c>
      <c r="D508" s="252" t="s">
        <v>2430</v>
      </c>
      <c r="E508" s="252" t="s">
        <v>959</v>
      </c>
      <c r="F508" s="252" t="s">
        <v>889</v>
      </c>
      <c r="G508" s="255"/>
    </row>
    <row r="509" spans="1:7" s="108" customFormat="1" ht="14.1" customHeight="1">
      <c r="A509" s="251" t="s">
        <v>1504</v>
      </c>
      <c r="B509" s="252" t="s">
        <v>2431</v>
      </c>
      <c r="C509" s="254" t="s">
        <v>968</v>
      </c>
      <c r="D509" s="252" t="s">
        <v>2432</v>
      </c>
      <c r="E509" s="252" t="s">
        <v>895</v>
      </c>
      <c r="F509" s="252" t="s">
        <v>889</v>
      </c>
      <c r="G509" s="255"/>
    </row>
    <row r="510" spans="1:7" s="108" customFormat="1" ht="14.1" customHeight="1">
      <c r="A510" s="251" t="s">
        <v>1504</v>
      </c>
      <c r="B510" s="252" t="s">
        <v>2433</v>
      </c>
      <c r="C510" s="254" t="s">
        <v>944</v>
      </c>
      <c r="D510" s="252" t="s">
        <v>1514</v>
      </c>
      <c r="E510" s="252" t="s">
        <v>888</v>
      </c>
      <c r="F510" s="252" t="s">
        <v>889</v>
      </c>
      <c r="G510" s="255">
        <v>2298.212</v>
      </c>
    </row>
    <row r="511" spans="1:7" s="108" customFormat="1" ht="14.1" customHeight="1">
      <c r="A511" s="251" t="s">
        <v>1504</v>
      </c>
      <c r="B511" s="252" t="s">
        <v>2434</v>
      </c>
      <c r="C511" s="254" t="s">
        <v>1046</v>
      </c>
      <c r="D511" s="252" t="s">
        <v>1510</v>
      </c>
      <c r="E511" s="252" t="s">
        <v>925</v>
      </c>
      <c r="F511" s="252" t="s">
        <v>889</v>
      </c>
      <c r="G511" s="255">
        <v>15.471</v>
      </c>
    </row>
    <row r="512" spans="1:7" s="108" customFormat="1" ht="14.1" customHeight="1">
      <c r="A512" s="251" t="s">
        <v>1504</v>
      </c>
      <c r="B512" s="252" t="s">
        <v>2435</v>
      </c>
      <c r="C512" s="254" t="s">
        <v>1466</v>
      </c>
      <c r="D512" s="252" t="s">
        <v>2436</v>
      </c>
      <c r="E512" s="252" t="s">
        <v>888</v>
      </c>
      <c r="F512" s="252" t="s">
        <v>889</v>
      </c>
      <c r="G512" s="255"/>
    </row>
    <row r="513" spans="1:7" s="108" customFormat="1" ht="14.1" customHeight="1">
      <c r="A513" s="251" t="s">
        <v>1504</v>
      </c>
      <c r="B513" s="252" t="s">
        <v>2437</v>
      </c>
      <c r="C513" s="254" t="s">
        <v>938</v>
      </c>
      <c r="D513" s="252" t="s">
        <v>1191</v>
      </c>
      <c r="E513" s="252" t="s">
        <v>888</v>
      </c>
      <c r="F513" s="252" t="s">
        <v>1794</v>
      </c>
      <c r="G513" s="255"/>
    </row>
    <row r="514" spans="1:7" s="108" customFormat="1" ht="14.1" customHeight="1">
      <c r="A514" s="251" t="s">
        <v>1504</v>
      </c>
      <c r="B514" s="252" t="s">
        <v>2438</v>
      </c>
      <c r="C514" s="254" t="s">
        <v>938</v>
      </c>
      <c r="D514" s="252" t="s">
        <v>1513</v>
      </c>
      <c r="E514" s="252" t="s">
        <v>888</v>
      </c>
      <c r="F514" s="252" t="s">
        <v>889</v>
      </c>
      <c r="G514" s="255">
        <v>268.75</v>
      </c>
    </row>
    <row r="515" spans="1:7" s="108" customFormat="1" ht="14.1" customHeight="1">
      <c r="A515" s="251" t="s">
        <v>1504</v>
      </c>
      <c r="B515" s="252" t="s">
        <v>2439</v>
      </c>
      <c r="C515" s="254" t="s">
        <v>887</v>
      </c>
      <c r="D515" s="252" t="s">
        <v>2440</v>
      </c>
      <c r="E515" s="252" t="s">
        <v>888</v>
      </c>
      <c r="F515" s="252" t="s">
        <v>889</v>
      </c>
      <c r="G515" s="255"/>
    </row>
    <row r="516" spans="1:7" s="108" customFormat="1" ht="14.1" customHeight="1">
      <c r="A516" s="251" t="s">
        <v>1504</v>
      </c>
      <c r="B516" s="252" t="s">
        <v>2441</v>
      </c>
      <c r="C516" s="254" t="s">
        <v>887</v>
      </c>
      <c r="D516" s="252" t="s">
        <v>1049</v>
      </c>
      <c r="E516" s="252" t="s">
        <v>1026</v>
      </c>
      <c r="F516" s="252" t="s">
        <v>889</v>
      </c>
      <c r="G516" s="255">
        <v>8.1270000000000007</v>
      </c>
    </row>
    <row r="517" spans="1:7" s="108" customFormat="1" ht="14.1" customHeight="1">
      <c r="A517" s="251" t="s">
        <v>1504</v>
      </c>
      <c r="B517" s="252" t="s">
        <v>2442</v>
      </c>
      <c r="C517" s="254" t="s">
        <v>1018</v>
      </c>
      <c r="D517" s="252" t="s">
        <v>1508</v>
      </c>
      <c r="E517" s="252" t="s">
        <v>1047</v>
      </c>
      <c r="F517" s="252" t="s">
        <v>892</v>
      </c>
      <c r="G517" s="255"/>
    </row>
    <row r="518" spans="1:7" s="108" customFormat="1" ht="14.1" customHeight="1">
      <c r="A518" s="251" t="s">
        <v>1504</v>
      </c>
      <c r="B518" s="252" t="s">
        <v>2442</v>
      </c>
      <c r="C518" s="254" t="s">
        <v>1018</v>
      </c>
      <c r="D518" s="252" t="s">
        <v>1508</v>
      </c>
      <c r="E518" s="252" t="s">
        <v>1047</v>
      </c>
      <c r="F518" s="252" t="s">
        <v>889</v>
      </c>
      <c r="G518" s="255">
        <v>2.04</v>
      </c>
    </row>
    <row r="519" spans="1:7" s="108" customFormat="1" ht="14.1" customHeight="1">
      <c r="A519" s="251" t="s">
        <v>1504</v>
      </c>
      <c r="B519" s="252" t="s">
        <v>2443</v>
      </c>
      <c r="C519" s="254" t="s">
        <v>917</v>
      </c>
      <c r="D519" s="252" t="s">
        <v>1505</v>
      </c>
      <c r="E519" s="252" t="s">
        <v>918</v>
      </c>
      <c r="F519" s="252" t="s">
        <v>889</v>
      </c>
      <c r="G519" s="255">
        <v>0.13600000000000001</v>
      </c>
    </row>
    <row r="520" spans="1:7" s="108" customFormat="1" ht="14.1" customHeight="1">
      <c r="A520" s="251" t="s">
        <v>1504</v>
      </c>
      <c r="B520" s="252" t="s">
        <v>2177</v>
      </c>
      <c r="C520" s="254" t="s">
        <v>917</v>
      </c>
      <c r="D520" s="252" t="s">
        <v>1488</v>
      </c>
      <c r="E520" s="252" t="s">
        <v>888</v>
      </c>
      <c r="F520" s="252" t="s">
        <v>889</v>
      </c>
      <c r="G520" s="255">
        <v>56.264000000000003</v>
      </c>
    </row>
    <row r="521" spans="1:7" s="108" customFormat="1" ht="14.1" customHeight="1">
      <c r="A521" s="251" t="s">
        <v>1504</v>
      </c>
      <c r="B521" s="252" t="s">
        <v>2444</v>
      </c>
      <c r="C521" s="254" t="s">
        <v>917</v>
      </c>
      <c r="D521" s="252" t="s">
        <v>1509</v>
      </c>
      <c r="E521" s="252" t="s">
        <v>918</v>
      </c>
      <c r="F521" s="252" t="s">
        <v>913</v>
      </c>
      <c r="G521" s="255">
        <v>3.3780000000000001</v>
      </c>
    </row>
    <row r="522" spans="1:7" s="108" customFormat="1" ht="14.1" customHeight="1">
      <c r="A522" s="251" t="s">
        <v>1504</v>
      </c>
      <c r="B522" s="252" t="s">
        <v>2445</v>
      </c>
      <c r="C522" s="254" t="s">
        <v>917</v>
      </c>
      <c r="D522" s="252" t="s">
        <v>1506</v>
      </c>
      <c r="E522" s="252" t="s">
        <v>918</v>
      </c>
      <c r="F522" s="252" t="s">
        <v>892</v>
      </c>
      <c r="G522" s="255">
        <v>0.47599999999999998</v>
      </c>
    </row>
    <row r="523" spans="1:7" s="108" customFormat="1" ht="14.1" customHeight="1">
      <c r="A523" s="251" t="s">
        <v>1504</v>
      </c>
      <c r="B523" s="252" t="s">
        <v>2446</v>
      </c>
      <c r="C523" s="254" t="s">
        <v>917</v>
      </c>
      <c r="D523" s="252" t="s">
        <v>1507</v>
      </c>
      <c r="E523" s="252" t="s">
        <v>918</v>
      </c>
      <c r="F523" s="252" t="s">
        <v>889</v>
      </c>
      <c r="G523" s="255">
        <v>0.86399999999999999</v>
      </c>
    </row>
    <row r="524" spans="1:7" s="108" customFormat="1" ht="14.1" customHeight="1">
      <c r="A524" s="251" t="s">
        <v>1504</v>
      </c>
      <c r="B524" s="252" t="s">
        <v>2447</v>
      </c>
      <c r="C524" s="254" t="s">
        <v>917</v>
      </c>
      <c r="D524" s="252" t="s">
        <v>2448</v>
      </c>
      <c r="E524" s="252" t="s">
        <v>918</v>
      </c>
      <c r="F524" s="252" t="s">
        <v>889</v>
      </c>
      <c r="G524" s="255"/>
    </row>
    <row r="525" spans="1:7" s="108" customFormat="1" ht="14.1" customHeight="1">
      <c r="A525" s="251" t="s">
        <v>1504</v>
      </c>
      <c r="B525" s="252" t="s">
        <v>2449</v>
      </c>
      <c r="C525" s="254" t="s">
        <v>1023</v>
      </c>
      <c r="D525" s="252" t="s">
        <v>1511</v>
      </c>
      <c r="E525" s="252" t="s">
        <v>895</v>
      </c>
      <c r="F525" s="252" t="s">
        <v>889</v>
      </c>
      <c r="G525" s="255">
        <v>17.513999999999999</v>
      </c>
    </row>
    <row r="526" spans="1:7" s="108" customFormat="1" ht="14.1" customHeight="1">
      <c r="A526" s="251" t="s">
        <v>1504</v>
      </c>
      <c r="B526" s="252" t="s">
        <v>2450</v>
      </c>
      <c r="C526" s="254" t="s">
        <v>1246</v>
      </c>
      <c r="D526" s="252" t="s">
        <v>1512</v>
      </c>
      <c r="E526" s="252" t="s">
        <v>918</v>
      </c>
      <c r="F526" s="252" t="s">
        <v>889</v>
      </c>
      <c r="G526" s="255">
        <v>105</v>
      </c>
    </row>
    <row r="527" spans="1:7" s="108" customFormat="1" ht="14.1" customHeight="1">
      <c r="A527" s="251" t="s">
        <v>1504</v>
      </c>
      <c r="B527" s="252" t="s">
        <v>2451</v>
      </c>
      <c r="C527" s="254" t="s">
        <v>1345</v>
      </c>
      <c r="D527" s="252" t="s">
        <v>2452</v>
      </c>
      <c r="E527" s="252" t="s">
        <v>888</v>
      </c>
      <c r="F527" s="252" t="s">
        <v>889</v>
      </c>
      <c r="G527" s="255"/>
    </row>
    <row r="528" spans="1:7" s="108" customFormat="1" ht="14.1" customHeight="1">
      <c r="A528" s="251" t="s">
        <v>1504</v>
      </c>
      <c r="B528" s="252" t="s">
        <v>2453</v>
      </c>
      <c r="C528" s="254" t="s">
        <v>1020</v>
      </c>
      <c r="D528" s="252" t="s">
        <v>2454</v>
      </c>
      <c r="E528" s="252" t="s">
        <v>895</v>
      </c>
      <c r="F528" s="252" t="s">
        <v>892</v>
      </c>
      <c r="G528" s="255"/>
    </row>
    <row r="529" spans="1:7" s="108" customFormat="1" ht="14.1" customHeight="1">
      <c r="A529" s="251" t="s">
        <v>1629</v>
      </c>
      <c r="B529" s="252" t="s">
        <v>2455</v>
      </c>
      <c r="C529" s="254" t="s">
        <v>897</v>
      </c>
      <c r="D529" s="252" t="s">
        <v>2456</v>
      </c>
      <c r="E529" s="252" t="s">
        <v>888</v>
      </c>
      <c r="F529" s="252" t="s">
        <v>889</v>
      </c>
      <c r="G529" s="255"/>
    </row>
    <row r="530" spans="1:7" s="108" customFormat="1" ht="14.1" customHeight="1">
      <c r="A530" s="251" t="s">
        <v>1629</v>
      </c>
      <c r="B530" s="252" t="s">
        <v>2457</v>
      </c>
      <c r="C530" s="254" t="s">
        <v>968</v>
      </c>
      <c r="D530" s="252" t="s">
        <v>2458</v>
      </c>
      <c r="E530" s="252" t="s">
        <v>888</v>
      </c>
      <c r="F530" s="252" t="s">
        <v>889</v>
      </c>
      <c r="G530" s="255"/>
    </row>
    <row r="531" spans="1:7" s="108" customFormat="1" ht="14.1" customHeight="1">
      <c r="A531" s="251" t="s">
        <v>1629</v>
      </c>
      <c r="B531" s="252" t="s">
        <v>2459</v>
      </c>
      <c r="C531" s="254" t="s">
        <v>917</v>
      </c>
      <c r="D531" s="252" t="s">
        <v>1620</v>
      </c>
      <c r="E531" s="252" t="s">
        <v>1621</v>
      </c>
      <c r="F531" s="252" t="s">
        <v>913</v>
      </c>
      <c r="G531" s="255">
        <v>1.1000000000000001</v>
      </c>
    </row>
    <row r="532" spans="1:7" s="108" customFormat="1" ht="14.1" customHeight="1">
      <c r="A532" s="251" t="s">
        <v>1629</v>
      </c>
      <c r="B532" s="252" t="s">
        <v>2460</v>
      </c>
      <c r="C532" s="254" t="s">
        <v>917</v>
      </c>
      <c r="D532" s="252" t="s">
        <v>1633</v>
      </c>
      <c r="E532" s="252" t="s">
        <v>1022</v>
      </c>
      <c r="F532" s="252" t="s">
        <v>889</v>
      </c>
      <c r="G532" s="255">
        <v>7011.2560000000003</v>
      </c>
    </row>
    <row r="533" spans="1:7" s="108" customFormat="1" ht="14.1" customHeight="1">
      <c r="A533" s="251" t="s">
        <v>1629</v>
      </c>
      <c r="B533" s="252" t="s">
        <v>2206</v>
      </c>
      <c r="C533" s="254" t="s">
        <v>917</v>
      </c>
      <c r="D533" s="252" t="s">
        <v>1631</v>
      </c>
      <c r="E533" s="252" t="s">
        <v>918</v>
      </c>
      <c r="F533" s="252" t="s">
        <v>889</v>
      </c>
      <c r="G533" s="255">
        <v>5.6749999999999998</v>
      </c>
    </row>
    <row r="534" spans="1:7" s="108" customFormat="1" ht="14.1" customHeight="1">
      <c r="A534" s="251" t="s">
        <v>1629</v>
      </c>
      <c r="B534" s="252" t="s">
        <v>2461</v>
      </c>
      <c r="C534" s="254" t="s">
        <v>917</v>
      </c>
      <c r="D534" s="252" t="s">
        <v>2462</v>
      </c>
      <c r="E534" s="252" t="s">
        <v>1024</v>
      </c>
      <c r="F534" s="252" t="s">
        <v>889</v>
      </c>
      <c r="G534" s="255"/>
    </row>
    <row r="535" spans="1:7" s="108" customFormat="1" ht="14.1" customHeight="1">
      <c r="A535" s="251" t="s">
        <v>1629</v>
      </c>
      <c r="B535" s="252" t="s">
        <v>2463</v>
      </c>
      <c r="C535" s="254" t="s">
        <v>917</v>
      </c>
      <c r="D535" s="252" t="s">
        <v>1630</v>
      </c>
      <c r="E535" s="252" t="s">
        <v>918</v>
      </c>
      <c r="F535" s="252" t="s">
        <v>931</v>
      </c>
      <c r="G535" s="255">
        <v>0.48899999999999999</v>
      </c>
    </row>
    <row r="536" spans="1:7" s="108" customFormat="1" ht="14.1" customHeight="1">
      <c r="A536" s="251" t="s">
        <v>1629</v>
      </c>
      <c r="B536" s="252" t="s">
        <v>2464</v>
      </c>
      <c r="C536" s="254" t="s">
        <v>917</v>
      </c>
      <c r="D536" s="252" t="s">
        <v>1632</v>
      </c>
      <c r="E536" s="252" t="s">
        <v>1026</v>
      </c>
      <c r="F536" s="252" t="s">
        <v>889</v>
      </c>
      <c r="G536" s="255">
        <v>231.036</v>
      </c>
    </row>
    <row r="537" spans="1:7" s="108" customFormat="1" ht="14.1" customHeight="1">
      <c r="A537" s="251" t="s">
        <v>1629</v>
      </c>
      <c r="B537" s="252" t="s">
        <v>2465</v>
      </c>
      <c r="C537" s="254" t="s">
        <v>917</v>
      </c>
      <c r="D537" s="252" t="s">
        <v>1482</v>
      </c>
      <c r="E537" s="252" t="s">
        <v>918</v>
      </c>
      <c r="F537" s="252" t="s">
        <v>892</v>
      </c>
      <c r="G537" s="255">
        <v>7.4999999999999997E-2</v>
      </c>
    </row>
    <row r="538" spans="1:7" s="108" customFormat="1" ht="14.1" customHeight="1">
      <c r="A538" s="251" t="s">
        <v>1629</v>
      </c>
      <c r="B538" s="252" t="s">
        <v>2466</v>
      </c>
      <c r="C538" s="254" t="s">
        <v>894</v>
      </c>
      <c r="D538" s="252" t="s">
        <v>886</v>
      </c>
      <c r="E538" s="252" t="s">
        <v>929</v>
      </c>
      <c r="F538" s="252" t="s">
        <v>889</v>
      </c>
      <c r="G538" s="255"/>
    </row>
    <row r="539" spans="1:7" s="108" customFormat="1" ht="14.1" customHeight="1">
      <c r="A539" s="251" t="s">
        <v>936</v>
      </c>
      <c r="B539" s="252" t="s">
        <v>2467</v>
      </c>
      <c r="C539" s="254" t="s">
        <v>938</v>
      </c>
      <c r="D539" s="252" t="s">
        <v>2468</v>
      </c>
      <c r="E539" s="252" t="s">
        <v>907</v>
      </c>
      <c r="F539" s="252" t="s">
        <v>889</v>
      </c>
      <c r="G539" s="255"/>
    </row>
    <row r="540" spans="1:7" s="108" customFormat="1" ht="14.1" customHeight="1">
      <c r="A540" s="251" t="s">
        <v>936</v>
      </c>
      <c r="B540" s="252" t="s">
        <v>2469</v>
      </c>
      <c r="C540" s="254" t="s">
        <v>938</v>
      </c>
      <c r="D540" s="252" t="s">
        <v>937</v>
      </c>
      <c r="E540" s="252" t="s">
        <v>888</v>
      </c>
      <c r="F540" s="252" t="s">
        <v>892</v>
      </c>
      <c r="G540" s="255">
        <v>0.27500000000000002</v>
      </c>
    </row>
    <row r="541" spans="1:7" s="108" customFormat="1" ht="14.1" customHeight="1">
      <c r="A541" s="251" t="s">
        <v>936</v>
      </c>
      <c r="B541" s="252" t="s">
        <v>2470</v>
      </c>
      <c r="C541" s="254" t="s">
        <v>906</v>
      </c>
      <c r="D541" s="252" t="s">
        <v>2471</v>
      </c>
      <c r="E541" s="252" t="s">
        <v>895</v>
      </c>
      <c r="F541" s="252" t="s">
        <v>889</v>
      </c>
      <c r="G541" s="255"/>
    </row>
    <row r="542" spans="1:7" s="108" customFormat="1" ht="14.1" customHeight="1">
      <c r="A542" s="251" t="s">
        <v>936</v>
      </c>
      <c r="B542" s="252" t="s">
        <v>2472</v>
      </c>
      <c r="C542" s="254" t="s">
        <v>906</v>
      </c>
      <c r="D542" s="252" t="s">
        <v>886</v>
      </c>
      <c r="E542" s="252" t="s">
        <v>939</v>
      </c>
      <c r="F542" s="252" t="s">
        <v>889</v>
      </c>
      <c r="G542" s="255">
        <v>0.5</v>
      </c>
    </row>
    <row r="543" spans="1:7" s="108" customFormat="1" ht="14.1" customHeight="1">
      <c r="A543" s="251" t="s">
        <v>936</v>
      </c>
      <c r="B543" s="252" t="s">
        <v>2473</v>
      </c>
      <c r="C543" s="254" t="s">
        <v>986</v>
      </c>
      <c r="D543" s="252" t="s">
        <v>2474</v>
      </c>
      <c r="E543" s="252" t="s">
        <v>904</v>
      </c>
      <c r="F543" s="252" t="s">
        <v>892</v>
      </c>
      <c r="G543" s="255"/>
    </row>
    <row r="544" spans="1:7" s="108" customFormat="1" ht="14.1" customHeight="1">
      <c r="A544" s="251" t="s">
        <v>936</v>
      </c>
      <c r="B544" s="252" t="s">
        <v>2475</v>
      </c>
      <c r="C544" s="254" t="s">
        <v>986</v>
      </c>
      <c r="D544" s="252" t="s">
        <v>2474</v>
      </c>
      <c r="E544" s="252" t="s">
        <v>904</v>
      </c>
      <c r="F544" s="252" t="s">
        <v>892</v>
      </c>
      <c r="G544" s="255"/>
    </row>
    <row r="545" spans="1:7" s="108" customFormat="1" ht="14.1" customHeight="1">
      <c r="A545" s="251" t="s">
        <v>936</v>
      </c>
      <c r="B545" s="252" t="s">
        <v>2476</v>
      </c>
      <c r="C545" s="254" t="s">
        <v>894</v>
      </c>
      <c r="D545" s="252" t="s">
        <v>2477</v>
      </c>
      <c r="E545" s="252" t="s">
        <v>919</v>
      </c>
      <c r="F545" s="252" t="s">
        <v>1794</v>
      </c>
      <c r="G545" s="255"/>
    </row>
    <row r="546" spans="1:7" s="108" customFormat="1" ht="14.1" customHeight="1">
      <c r="A546" s="251" t="s">
        <v>936</v>
      </c>
      <c r="B546" s="252" t="s">
        <v>2478</v>
      </c>
      <c r="C546" s="254" t="s">
        <v>894</v>
      </c>
      <c r="D546" s="252" t="s">
        <v>940</v>
      </c>
      <c r="E546" s="252" t="s">
        <v>895</v>
      </c>
      <c r="F546" s="252" t="s">
        <v>889</v>
      </c>
      <c r="G546" s="255">
        <v>6.88</v>
      </c>
    </row>
    <row r="547" spans="1:7" s="108" customFormat="1" ht="14.1" customHeight="1">
      <c r="A547" s="251" t="s">
        <v>936</v>
      </c>
      <c r="B547" s="252" t="s">
        <v>2479</v>
      </c>
      <c r="C547" s="254" t="s">
        <v>1071</v>
      </c>
      <c r="D547" s="252" t="s">
        <v>2480</v>
      </c>
      <c r="E547" s="252" t="s">
        <v>939</v>
      </c>
      <c r="F547" s="252" t="s">
        <v>889</v>
      </c>
      <c r="G547" s="255"/>
    </row>
    <row r="548" spans="1:7" s="108" customFormat="1" ht="14.1" customHeight="1">
      <c r="A548" s="251" t="s">
        <v>936</v>
      </c>
      <c r="B548" s="252" t="s">
        <v>2481</v>
      </c>
      <c r="C548" s="254" t="s">
        <v>1110</v>
      </c>
      <c r="D548" s="252" t="s">
        <v>2482</v>
      </c>
      <c r="E548" s="252" t="s">
        <v>918</v>
      </c>
      <c r="F548" s="252" t="s">
        <v>889</v>
      </c>
      <c r="G548" s="255"/>
    </row>
    <row r="549" spans="1:7" s="108" customFormat="1" ht="14.1" customHeight="1">
      <c r="A549" s="251" t="s">
        <v>936</v>
      </c>
      <c r="B549" s="252" t="s">
        <v>2483</v>
      </c>
      <c r="C549" s="254" t="s">
        <v>1000</v>
      </c>
      <c r="D549" s="252" t="s">
        <v>2335</v>
      </c>
      <c r="E549" s="252" t="s">
        <v>984</v>
      </c>
      <c r="F549" s="252" t="s">
        <v>889</v>
      </c>
      <c r="G549" s="255"/>
    </row>
    <row r="550" spans="1:7" s="108" customFormat="1" ht="14.1" customHeight="1">
      <c r="A550" s="251" t="s">
        <v>1112</v>
      </c>
      <c r="B550" s="252" t="s">
        <v>2484</v>
      </c>
      <c r="C550" s="254" t="s">
        <v>897</v>
      </c>
      <c r="D550" s="252" t="s">
        <v>2485</v>
      </c>
      <c r="E550" s="252" t="s">
        <v>895</v>
      </c>
      <c r="F550" s="252" t="s">
        <v>889</v>
      </c>
      <c r="G550" s="255"/>
    </row>
    <row r="551" spans="1:7" s="108" customFormat="1" ht="14.1" customHeight="1">
      <c r="A551" s="251" t="s">
        <v>1112</v>
      </c>
      <c r="B551" s="252" t="s">
        <v>2486</v>
      </c>
      <c r="C551" s="254" t="s">
        <v>2487</v>
      </c>
      <c r="D551" s="252" t="s">
        <v>2488</v>
      </c>
      <c r="E551" s="252" t="s">
        <v>907</v>
      </c>
      <c r="F551" s="252" t="s">
        <v>889</v>
      </c>
      <c r="G551" s="255"/>
    </row>
    <row r="552" spans="1:7" s="108" customFormat="1" ht="14.1" customHeight="1">
      <c r="A552" s="251" t="s">
        <v>1112</v>
      </c>
      <c r="B552" s="252" t="s">
        <v>2489</v>
      </c>
      <c r="C552" s="254" t="s">
        <v>1146</v>
      </c>
      <c r="D552" s="252" t="s">
        <v>2490</v>
      </c>
      <c r="E552" s="252" t="s">
        <v>888</v>
      </c>
      <c r="F552" s="252" t="s">
        <v>889</v>
      </c>
      <c r="G552" s="255"/>
    </row>
    <row r="553" spans="1:7" s="108" customFormat="1" ht="14.1" customHeight="1">
      <c r="A553" s="251" t="s">
        <v>1112</v>
      </c>
      <c r="B553" s="252" t="s">
        <v>2491</v>
      </c>
      <c r="C553" s="254" t="s">
        <v>947</v>
      </c>
      <c r="D553" s="252" t="s">
        <v>1075</v>
      </c>
      <c r="E553" s="252" t="s">
        <v>888</v>
      </c>
      <c r="F553" s="252" t="s">
        <v>889</v>
      </c>
      <c r="G553" s="255"/>
    </row>
    <row r="554" spans="1:7" s="108" customFormat="1" ht="14.1" customHeight="1">
      <c r="A554" s="251" t="s">
        <v>1112</v>
      </c>
      <c r="B554" s="252" t="s">
        <v>2492</v>
      </c>
      <c r="C554" s="254" t="s">
        <v>968</v>
      </c>
      <c r="D554" s="252" t="s">
        <v>2493</v>
      </c>
      <c r="E554" s="252" t="s">
        <v>1026</v>
      </c>
      <c r="F554" s="252" t="s">
        <v>892</v>
      </c>
      <c r="G554" s="255"/>
    </row>
    <row r="555" spans="1:7" s="108" customFormat="1" ht="14.1" customHeight="1">
      <c r="A555" s="251" t="s">
        <v>1112</v>
      </c>
      <c r="B555" s="252" t="s">
        <v>2494</v>
      </c>
      <c r="C555" s="254" t="s">
        <v>968</v>
      </c>
      <c r="D555" s="252" t="s">
        <v>2495</v>
      </c>
      <c r="E555" s="252" t="s">
        <v>888</v>
      </c>
      <c r="F555" s="252" t="s">
        <v>889</v>
      </c>
      <c r="G555" s="255"/>
    </row>
    <row r="556" spans="1:7" s="108" customFormat="1" ht="14.1" customHeight="1">
      <c r="A556" s="251" t="s">
        <v>1112</v>
      </c>
      <c r="B556" s="252" t="s">
        <v>2496</v>
      </c>
      <c r="C556" s="254" t="s">
        <v>968</v>
      </c>
      <c r="D556" s="252" t="s">
        <v>2497</v>
      </c>
      <c r="E556" s="252" t="s">
        <v>959</v>
      </c>
      <c r="F556" s="252" t="s">
        <v>889</v>
      </c>
      <c r="G556" s="255"/>
    </row>
    <row r="557" spans="1:7" s="108" customFormat="1" ht="14.1" customHeight="1">
      <c r="A557" s="251" t="s">
        <v>1112</v>
      </c>
      <c r="B557" s="252" t="s">
        <v>2498</v>
      </c>
      <c r="C557" s="254" t="s">
        <v>968</v>
      </c>
      <c r="D557" s="252" t="s">
        <v>2499</v>
      </c>
      <c r="E557" s="252" t="s">
        <v>888</v>
      </c>
      <c r="F557" s="252" t="s">
        <v>889</v>
      </c>
      <c r="G557" s="255"/>
    </row>
    <row r="558" spans="1:7" s="108" customFormat="1" ht="14.1" customHeight="1">
      <c r="A558" s="251" t="s">
        <v>1112</v>
      </c>
      <c r="B558" s="252" t="s">
        <v>2500</v>
      </c>
      <c r="C558" s="254" t="s">
        <v>968</v>
      </c>
      <c r="D558" s="252" t="s">
        <v>2501</v>
      </c>
      <c r="E558" s="252" t="s">
        <v>888</v>
      </c>
      <c r="F558" s="252" t="s">
        <v>889</v>
      </c>
      <c r="G558" s="255"/>
    </row>
    <row r="559" spans="1:7" s="108" customFormat="1" ht="14.1" customHeight="1">
      <c r="A559" s="251" t="s">
        <v>1112</v>
      </c>
      <c r="B559" s="252" t="s">
        <v>2502</v>
      </c>
      <c r="C559" s="254" t="s">
        <v>968</v>
      </c>
      <c r="D559" s="252" t="s">
        <v>2501</v>
      </c>
      <c r="E559" s="252" t="s">
        <v>888</v>
      </c>
      <c r="F559" s="252" t="s">
        <v>889</v>
      </c>
      <c r="G559" s="255"/>
    </row>
    <row r="560" spans="1:7" s="108" customFormat="1" ht="14.1" customHeight="1">
      <c r="A560" s="251" t="s">
        <v>1112</v>
      </c>
      <c r="B560" s="252" t="s">
        <v>2503</v>
      </c>
      <c r="C560" s="254" t="s">
        <v>968</v>
      </c>
      <c r="D560" s="252" t="s">
        <v>1073</v>
      </c>
      <c r="E560" s="252" t="s">
        <v>888</v>
      </c>
      <c r="F560" s="252" t="s">
        <v>889</v>
      </c>
      <c r="G560" s="255"/>
    </row>
    <row r="561" spans="1:7" s="108" customFormat="1" ht="14.1" customHeight="1">
      <c r="A561" s="251" t="s">
        <v>1112</v>
      </c>
      <c r="B561" s="252" t="s">
        <v>2504</v>
      </c>
      <c r="C561" s="254" t="s">
        <v>968</v>
      </c>
      <c r="D561" s="252" t="s">
        <v>886</v>
      </c>
      <c r="E561" s="252" t="s">
        <v>888</v>
      </c>
      <c r="F561" s="252" t="s">
        <v>889</v>
      </c>
      <c r="G561" s="255">
        <v>5.6890000000000001</v>
      </c>
    </row>
    <row r="562" spans="1:7" s="108" customFormat="1" ht="14.1" customHeight="1">
      <c r="A562" s="251" t="s">
        <v>1112</v>
      </c>
      <c r="B562" s="252" t="s">
        <v>2505</v>
      </c>
      <c r="C562" s="254" t="s">
        <v>944</v>
      </c>
      <c r="D562" s="252" t="s">
        <v>1118</v>
      </c>
      <c r="E562" s="252" t="s">
        <v>1119</v>
      </c>
      <c r="F562" s="252" t="s">
        <v>889</v>
      </c>
      <c r="G562" s="255">
        <v>314.83600000000001</v>
      </c>
    </row>
    <row r="563" spans="1:7" s="108" customFormat="1" ht="14.1" customHeight="1">
      <c r="A563" s="251" t="s">
        <v>1112</v>
      </c>
      <c r="B563" s="252" t="s">
        <v>2506</v>
      </c>
      <c r="C563" s="254" t="s">
        <v>1046</v>
      </c>
      <c r="D563" s="252" t="s">
        <v>2507</v>
      </c>
      <c r="E563" s="252" t="s">
        <v>1350</v>
      </c>
      <c r="F563" s="252" t="s">
        <v>889</v>
      </c>
      <c r="G563" s="255"/>
    </row>
    <row r="564" spans="1:7" s="108" customFormat="1" ht="14.1" customHeight="1">
      <c r="A564" s="251" t="s">
        <v>1112</v>
      </c>
      <c r="B564" s="252" t="s">
        <v>2508</v>
      </c>
      <c r="C564" s="254" t="s">
        <v>1088</v>
      </c>
      <c r="D564" s="252" t="s">
        <v>1025</v>
      </c>
      <c r="E564" s="252" t="s">
        <v>1026</v>
      </c>
      <c r="F564" s="252" t="s">
        <v>913</v>
      </c>
      <c r="G564" s="255"/>
    </row>
    <row r="565" spans="1:7" s="108" customFormat="1" ht="14.1" customHeight="1">
      <c r="A565" s="251" t="s">
        <v>1112</v>
      </c>
      <c r="B565" s="252" t="s">
        <v>2508</v>
      </c>
      <c r="C565" s="254" t="s">
        <v>1088</v>
      </c>
      <c r="D565" s="252" t="s">
        <v>1025</v>
      </c>
      <c r="E565" s="252" t="s">
        <v>1026</v>
      </c>
      <c r="F565" s="252" t="s">
        <v>889</v>
      </c>
      <c r="G565" s="255">
        <v>180.99600000000001</v>
      </c>
    </row>
    <row r="566" spans="1:7" s="108" customFormat="1" ht="14.1" customHeight="1">
      <c r="A566" s="251" t="s">
        <v>1112</v>
      </c>
      <c r="B566" s="252" t="s">
        <v>2509</v>
      </c>
      <c r="C566" s="254" t="s">
        <v>906</v>
      </c>
      <c r="D566" s="252" t="s">
        <v>2510</v>
      </c>
      <c r="E566" s="252" t="s">
        <v>888</v>
      </c>
      <c r="F566" s="252" t="s">
        <v>892</v>
      </c>
      <c r="G566" s="255"/>
    </row>
    <row r="567" spans="1:7" s="108" customFormat="1" ht="14.1" customHeight="1">
      <c r="A567" s="251" t="s">
        <v>1112</v>
      </c>
      <c r="B567" s="252" t="s">
        <v>2511</v>
      </c>
      <c r="C567" s="254" t="s">
        <v>906</v>
      </c>
      <c r="D567" s="252" t="s">
        <v>2510</v>
      </c>
      <c r="E567" s="252" t="s">
        <v>888</v>
      </c>
      <c r="F567" s="252" t="s">
        <v>892</v>
      </c>
      <c r="G567" s="255"/>
    </row>
    <row r="568" spans="1:7" s="108" customFormat="1" ht="14.1" customHeight="1">
      <c r="A568" s="251" t="s">
        <v>1112</v>
      </c>
      <c r="B568" s="252" t="s">
        <v>2512</v>
      </c>
      <c r="C568" s="254" t="s">
        <v>906</v>
      </c>
      <c r="D568" s="252" t="s">
        <v>2513</v>
      </c>
      <c r="E568" s="252" t="s">
        <v>907</v>
      </c>
      <c r="F568" s="252" t="s">
        <v>889</v>
      </c>
      <c r="G568" s="255"/>
    </row>
    <row r="569" spans="1:7" s="108" customFormat="1" ht="14.1" customHeight="1">
      <c r="A569" s="251" t="s">
        <v>1112</v>
      </c>
      <c r="B569" s="252" t="s">
        <v>2514</v>
      </c>
      <c r="C569" s="254" t="s">
        <v>906</v>
      </c>
      <c r="D569" s="252" t="s">
        <v>2515</v>
      </c>
      <c r="E569" s="252" t="s">
        <v>888</v>
      </c>
      <c r="F569" s="252" t="s">
        <v>889</v>
      </c>
      <c r="G569" s="255"/>
    </row>
    <row r="570" spans="1:7" s="108" customFormat="1" ht="14.1" customHeight="1">
      <c r="A570" s="251" t="s">
        <v>1112</v>
      </c>
      <c r="B570" s="252" t="s">
        <v>2516</v>
      </c>
      <c r="C570" s="254" t="s">
        <v>986</v>
      </c>
      <c r="D570" s="252" t="s">
        <v>1299</v>
      </c>
      <c r="E570" s="252" t="s">
        <v>939</v>
      </c>
      <c r="F570" s="252" t="s">
        <v>889</v>
      </c>
      <c r="G570" s="255"/>
    </row>
    <row r="571" spans="1:7" s="108" customFormat="1" ht="14.1" customHeight="1">
      <c r="A571" s="251" t="s">
        <v>1112</v>
      </c>
      <c r="B571" s="252" t="s">
        <v>2517</v>
      </c>
      <c r="C571" s="254" t="s">
        <v>986</v>
      </c>
      <c r="D571" s="252" t="s">
        <v>1038</v>
      </c>
      <c r="E571" s="252" t="s">
        <v>888</v>
      </c>
      <c r="F571" s="252" t="s">
        <v>889</v>
      </c>
      <c r="G571" s="255">
        <v>35.003</v>
      </c>
    </row>
    <row r="572" spans="1:7" s="108" customFormat="1" ht="14.1" customHeight="1">
      <c r="A572" s="251" t="s">
        <v>1112</v>
      </c>
      <c r="B572" s="252" t="s">
        <v>2518</v>
      </c>
      <c r="C572" s="254" t="s">
        <v>887</v>
      </c>
      <c r="D572" s="252" t="s">
        <v>1113</v>
      </c>
      <c r="E572" s="252" t="s">
        <v>1026</v>
      </c>
      <c r="F572" s="252" t="s">
        <v>892</v>
      </c>
      <c r="G572" s="255">
        <v>0.66100000000000003</v>
      </c>
    </row>
    <row r="573" spans="1:7" s="108" customFormat="1" ht="14.1" customHeight="1">
      <c r="A573" s="251" t="s">
        <v>1112</v>
      </c>
      <c r="B573" s="252" t="s">
        <v>2519</v>
      </c>
      <c r="C573" s="254" t="s">
        <v>1018</v>
      </c>
      <c r="D573" s="252" t="s">
        <v>1117</v>
      </c>
      <c r="E573" s="252" t="s">
        <v>895</v>
      </c>
      <c r="F573" s="252" t="s">
        <v>889</v>
      </c>
      <c r="G573" s="255">
        <v>38.094999999999999</v>
      </c>
    </row>
    <row r="574" spans="1:7" s="108" customFormat="1" ht="14.1" customHeight="1">
      <c r="A574" s="251" t="s">
        <v>1112</v>
      </c>
      <c r="B574" s="252" t="s">
        <v>2520</v>
      </c>
      <c r="C574" s="254" t="s">
        <v>1202</v>
      </c>
      <c r="D574" s="252" t="s">
        <v>2521</v>
      </c>
      <c r="E574" s="252" t="s">
        <v>888</v>
      </c>
      <c r="F574" s="252" t="s">
        <v>889</v>
      </c>
      <c r="G574" s="255"/>
    </row>
    <row r="575" spans="1:7" s="108" customFormat="1" ht="14.1" customHeight="1">
      <c r="A575" s="251" t="s">
        <v>1112</v>
      </c>
      <c r="B575" s="252" t="s">
        <v>2522</v>
      </c>
      <c r="C575" s="254" t="s">
        <v>917</v>
      </c>
      <c r="D575" s="252" t="s">
        <v>2523</v>
      </c>
      <c r="E575" s="252" t="s">
        <v>1024</v>
      </c>
      <c r="F575" s="252" t="s">
        <v>892</v>
      </c>
      <c r="G575" s="255"/>
    </row>
    <row r="576" spans="1:7" s="108" customFormat="1" ht="14.1" customHeight="1">
      <c r="A576" s="251" t="s">
        <v>1112</v>
      </c>
      <c r="B576" s="252" t="s">
        <v>2524</v>
      </c>
      <c r="C576" s="254" t="s">
        <v>917</v>
      </c>
      <c r="D576" s="252" t="s">
        <v>1115</v>
      </c>
      <c r="E576" s="252" t="s">
        <v>918</v>
      </c>
      <c r="F576" s="252" t="s">
        <v>889</v>
      </c>
      <c r="G576" s="255">
        <v>5</v>
      </c>
    </row>
    <row r="577" spans="1:7" s="108" customFormat="1" ht="14.1" customHeight="1">
      <c r="A577" s="251" t="s">
        <v>1112</v>
      </c>
      <c r="B577" s="252" t="s">
        <v>2525</v>
      </c>
      <c r="C577" s="254" t="s">
        <v>917</v>
      </c>
      <c r="D577" s="252" t="s">
        <v>1114</v>
      </c>
      <c r="E577" s="252" t="s">
        <v>918</v>
      </c>
      <c r="F577" s="252" t="s">
        <v>889</v>
      </c>
      <c r="G577" s="255">
        <v>3.63</v>
      </c>
    </row>
    <row r="578" spans="1:7" s="108" customFormat="1" ht="14.1" customHeight="1">
      <c r="A578" s="251" t="s">
        <v>1112</v>
      </c>
      <c r="B578" s="252" t="s">
        <v>2526</v>
      </c>
      <c r="C578" s="254" t="s">
        <v>1023</v>
      </c>
      <c r="D578" s="252" t="s">
        <v>2527</v>
      </c>
      <c r="E578" s="252" t="s">
        <v>888</v>
      </c>
      <c r="F578" s="252" t="s">
        <v>913</v>
      </c>
      <c r="G578" s="255"/>
    </row>
    <row r="579" spans="1:7" s="108" customFormat="1" ht="14.1" customHeight="1">
      <c r="A579" s="251" t="s">
        <v>1112</v>
      </c>
      <c r="B579" s="252" t="s">
        <v>2528</v>
      </c>
      <c r="C579" s="254" t="s">
        <v>1071</v>
      </c>
      <c r="D579" s="252" t="s">
        <v>1191</v>
      </c>
      <c r="E579" s="252" t="s">
        <v>888</v>
      </c>
      <c r="F579" s="252" t="s">
        <v>889</v>
      </c>
      <c r="G579" s="255"/>
    </row>
    <row r="580" spans="1:7" s="108" customFormat="1" ht="14.1" customHeight="1">
      <c r="A580" s="251" t="s">
        <v>1112</v>
      </c>
      <c r="B580" s="252" t="s">
        <v>2529</v>
      </c>
      <c r="C580" s="254" t="s">
        <v>1071</v>
      </c>
      <c r="D580" s="252" t="s">
        <v>1116</v>
      </c>
      <c r="E580" s="252" t="s">
        <v>888</v>
      </c>
      <c r="F580" s="252" t="s">
        <v>889</v>
      </c>
      <c r="G580" s="255">
        <v>18.75</v>
      </c>
    </row>
    <row r="581" spans="1:7" s="108" customFormat="1" ht="14.1" customHeight="1">
      <c r="A581" s="251" t="s">
        <v>1112</v>
      </c>
      <c r="B581" s="252" t="s">
        <v>2530</v>
      </c>
      <c r="C581" s="254" t="s">
        <v>1071</v>
      </c>
      <c r="D581" s="252" t="s">
        <v>2531</v>
      </c>
      <c r="E581" s="252" t="s">
        <v>888</v>
      </c>
      <c r="F581" s="252" t="s">
        <v>889</v>
      </c>
      <c r="G581" s="255"/>
    </row>
    <row r="582" spans="1:7" s="108" customFormat="1" ht="14.1" customHeight="1">
      <c r="A582" s="251" t="s">
        <v>1112</v>
      </c>
      <c r="B582" s="252" t="s">
        <v>2532</v>
      </c>
      <c r="C582" s="254" t="s">
        <v>1071</v>
      </c>
      <c r="D582" s="252" t="s">
        <v>2533</v>
      </c>
      <c r="E582" s="252" t="s">
        <v>954</v>
      </c>
      <c r="F582" s="252" t="s">
        <v>892</v>
      </c>
      <c r="G582" s="255"/>
    </row>
    <row r="583" spans="1:7" s="108" customFormat="1" ht="14.1" customHeight="1">
      <c r="A583" s="251" t="s">
        <v>1112</v>
      </c>
      <c r="B583" s="252" t="s">
        <v>2534</v>
      </c>
      <c r="C583" s="254" t="s">
        <v>1080</v>
      </c>
      <c r="D583" s="252" t="s">
        <v>2535</v>
      </c>
      <c r="E583" s="252" t="s">
        <v>1026</v>
      </c>
      <c r="F583" s="252" t="s">
        <v>889</v>
      </c>
      <c r="G583" s="255"/>
    </row>
    <row r="584" spans="1:7" s="108" customFormat="1" ht="14.1" customHeight="1">
      <c r="A584" s="251" t="s">
        <v>1112</v>
      </c>
      <c r="B584" s="252" t="s">
        <v>2536</v>
      </c>
      <c r="C584" s="254" t="s">
        <v>1037</v>
      </c>
      <c r="D584" s="252" t="s">
        <v>1038</v>
      </c>
      <c r="E584" s="252" t="s">
        <v>888</v>
      </c>
      <c r="F584" s="252" t="s">
        <v>889</v>
      </c>
      <c r="G584" s="255">
        <v>27.5</v>
      </c>
    </row>
    <row r="585" spans="1:7" s="108" customFormat="1" ht="14.1" customHeight="1">
      <c r="A585" s="251" t="s">
        <v>1112</v>
      </c>
      <c r="B585" s="252" t="s">
        <v>2537</v>
      </c>
      <c r="C585" s="254" t="s">
        <v>1246</v>
      </c>
      <c r="D585" s="252" t="s">
        <v>886</v>
      </c>
      <c r="E585" s="252" t="s">
        <v>945</v>
      </c>
      <c r="F585" s="252" t="s">
        <v>889</v>
      </c>
      <c r="G585" s="255">
        <v>89.524000000000001</v>
      </c>
    </row>
    <row r="586" spans="1:7" s="108" customFormat="1" ht="14.1" customHeight="1">
      <c r="A586" s="251" t="s">
        <v>1112</v>
      </c>
      <c r="B586" s="252" t="s">
        <v>2538</v>
      </c>
      <c r="C586" s="254" t="s">
        <v>1020</v>
      </c>
      <c r="D586" s="252" t="s">
        <v>2539</v>
      </c>
      <c r="E586" s="252" t="s">
        <v>888</v>
      </c>
      <c r="F586" s="252" t="s">
        <v>889</v>
      </c>
      <c r="G586" s="255"/>
    </row>
    <row r="587" spans="1:7" s="108" customFormat="1" ht="14.1" customHeight="1">
      <c r="A587" s="251" t="s">
        <v>1112</v>
      </c>
      <c r="B587" s="252" t="s">
        <v>2540</v>
      </c>
      <c r="C587" s="254" t="s">
        <v>1020</v>
      </c>
      <c r="D587" s="252" t="s">
        <v>2541</v>
      </c>
      <c r="E587" s="252" t="s">
        <v>895</v>
      </c>
      <c r="F587" s="252" t="s">
        <v>1794</v>
      </c>
      <c r="G587" s="255"/>
    </row>
    <row r="588" spans="1:7" s="108" customFormat="1" ht="14.1" customHeight="1">
      <c r="A588" s="251" t="s">
        <v>1112</v>
      </c>
      <c r="B588" s="252" t="s">
        <v>2542</v>
      </c>
      <c r="C588" s="254" t="s">
        <v>1000</v>
      </c>
      <c r="D588" s="252" t="s">
        <v>2523</v>
      </c>
      <c r="E588" s="252" t="s">
        <v>1024</v>
      </c>
      <c r="F588" s="252" t="s">
        <v>892</v>
      </c>
      <c r="G588" s="255"/>
    </row>
    <row r="589" spans="1:7" s="108" customFormat="1" ht="14.1" customHeight="1">
      <c r="A589" s="251" t="s">
        <v>1112</v>
      </c>
      <c r="B589" s="252" t="s">
        <v>2543</v>
      </c>
      <c r="C589" s="254" t="s">
        <v>1068</v>
      </c>
      <c r="D589" s="252" t="s">
        <v>2544</v>
      </c>
      <c r="E589" s="252" t="s">
        <v>888</v>
      </c>
      <c r="F589" s="252" t="s">
        <v>889</v>
      </c>
      <c r="G589" s="255"/>
    </row>
    <row r="590" spans="1:7" s="108" customFormat="1" ht="14.1" customHeight="1">
      <c r="A590" s="251" t="s">
        <v>1112</v>
      </c>
      <c r="B590" s="252" t="s">
        <v>2545</v>
      </c>
      <c r="C590" s="254" t="s">
        <v>983</v>
      </c>
      <c r="D590" s="252" t="s">
        <v>2546</v>
      </c>
      <c r="E590" s="252" t="s">
        <v>959</v>
      </c>
      <c r="F590" s="252" t="s">
        <v>889</v>
      </c>
      <c r="G590" s="255"/>
    </row>
    <row r="591" spans="1:7" s="108" customFormat="1" ht="14.1" customHeight="1">
      <c r="A591" s="251" t="s">
        <v>1321</v>
      </c>
      <c r="B591" s="252" t="s">
        <v>2547</v>
      </c>
      <c r="C591" s="254" t="s">
        <v>1146</v>
      </c>
      <c r="D591" s="252" t="s">
        <v>1325</v>
      </c>
      <c r="E591" s="252" t="s">
        <v>1119</v>
      </c>
      <c r="F591" s="252" t="s">
        <v>889</v>
      </c>
      <c r="G591" s="255">
        <v>180</v>
      </c>
    </row>
    <row r="592" spans="1:7" s="108" customFormat="1" ht="14.1" customHeight="1">
      <c r="A592" s="251" t="s">
        <v>1321</v>
      </c>
      <c r="B592" s="252" t="s">
        <v>2548</v>
      </c>
      <c r="C592" s="254" t="s">
        <v>1146</v>
      </c>
      <c r="D592" s="252" t="s">
        <v>1323</v>
      </c>
      <c r="E592" s="252" t="s">
        <v>1119</v>
      </c>
      <c r="F592" s="252" t="s">
        <v>889</v>
      </c>
      <c r="G592" s="255">
        <v>120</v>
      </c>
    </row>
    <row r="593" spans="1:7" s="108" customFormat="1" ht="14.1" customHeight="1">
      <c r="A593" s="251" t="s">
        <v>1321</v>
      </c>
      <c r="B593" s="252" t="s">
        <v>2549</v>
      </c>
      <c r="C593" s="254" t="s">
        <v>947</v>
      </c>
      <c r="D593" s="252" t="s">
        <v>1326</v>
      </c>
      <c r="E593" s="252" t="s">
        <v>1327</v>
      </c>
      <c r="F593" s="252" t="s">
        <v>889</v>
      </c>
      <c r="G593" s="255">
        <v>464</v>
      </c>
    </row>
    <row r="594" spans="1:7" s="108" customFormat="1" ht="14.1" customHeight="1">
      <c r="A594" s="251" t="s">
        <v>1321</v>
      </c>
      <c r="B594" s="252" t="s">
        <v>2550</v>
      </c>
      <c r="C594" s="254" t="s">
        <v>944</v>
      </c>
      <c r="D594" s="252" t="s">
        <v>2551</v>
      </c>
      <c r="E594" s="252" t="s">
        <v>939</v>
      </c>
      <c r="F594" s="252" t="s">
        <v>889</v>
      </c>
      <c r="G594" s="255"/>
    </row>
    <row r="595" spans="1:7" s="108" customFormat="1" ht="14.1" customHeight="1">
      <c r="A595" s="251" t="s">
        <v>1321</v>
      </c>
      <c r="B595" s="252" t="s">
        <v>2552</v>
      </c>
      <c r="C595" s="254" t="s">
        <v>1088</v>
      </c>
      <c r="D595" s="252" t="s">
        <v>2553</v>
      </c>
      <c r="E595" s="252" t="s">
        <v>939</v>
      </c>
      <c r="F595" s="252" t="s">
        <v>889</v>
      </c>
      <c r="G595" s="255"/>
    </row>
    <row r="596" spans="1:7" s="108" customFormat="1" ht="14.1" customHeight="1">
      <c r="A596" s="251" t="s">
        <v>1321</v>
      </c>
      <c r="B596" s="252" t="s">
        <v>2554</v>
      </c>
      <c r="C596" s="254" t="s">
        <v>1202</v>
      </c>
      <c r="D596" s="252" t="s">
        <v>1322</v>
      </c>
      <c r="E596" s="252" t="s">
        <v>918</v>
      </c>
      <c r="F596" s="252" t="s">
        <v>892</v>
      </c>
      <c r="G596" s="255">
        <v>0.13700000000000001</v>
      </c>
    </row>
    <row r="597" spans="1:7" s="108" customFormat="1" ht="14.1" customHeight="1">
      <c r="A597" s="251" t="s">
        <v>1321</v>
      </c>
      <c r="B597" s="252" t="s">
        <v>2555</v>
      </c>
      <c r="C597" s="254" t="s">
        <v>917</v>
      </c>
      <c r="D597" s="252" t="s">
        <v>2556</v>
      </c>
      <c r="E597" s="252" t="s">
        <v>918</v>
      </c>
      <c r="F597" s="252" t="s">
        <v>889</v>
      </c>
      <c r="G597" s="255"/>
    </row>
    <row r="598" spans="1:7" s="108" customFormat="1" ht="14.1" customHeight="1">
      <c r="A598" s="251" t="s">
        <v>1321</v>
      </c>
      <c r="B598" s="252" t="s">
        <v>2557</v>
      </c>
      <c r="C598" s="254" t="s">
        <v>1000</v>
      </c>
      <c r="D598" s="252" t="s">
        <v>1324</v>
      </c>
      <c r="E598" s="252" t="s">
        <v>959</v>
      </c>
      <c r="F598" s="252" t="s">
        <v>889</v>
      </c>
      <c r="G598" s="255">
        <v>160</v>
      </c>
    </row>
    <row r="599" spans="1:7" s="108" customFormat="1" ht="14.1" customHeight="1">
      <c r="A599" s="251" t="s">
        <v>1402</v>
      </c>
      <c r="B599" s="252" t="s">
        <v>2558</v>
      </c>
      <c r="C599" s="254" t="s">
        <v>1168</v>
      </c>
      <c r="D599" s="252" t="s">
        <v>2559</v>
      </c>
      <c r="E599" s="252" t="s">
        <v>888</v>
      </c>
      <c r="F599" s="252" t="s">
        <v>892</v>
      </c>
      <c r="G599" s="255"/>
    </row>
    <row r="600" spans="1:7" s="108" customFormat="1" ht="14.1" customHeight="1">
      <c r="A600" s="251" t="s">
        <v>1402</v>
      </c>
      <c r="B600" s="252" t="s">
        <v>1828</v>
      </c>
      <c r="C600" s="254" t="s">
        <v>968</v>
      </c>
      <c r="D600" s="252" t="s">
        <v>2560</v>
      </c>
      <c r="E600" s="252" t="s">
        <v>959</v>
      </c>
      <c r="F600" s="252" t="s">
        <v>889</v>
      </c>
      <c r="G600" s="255"/>
    </row>
    <row r="601" spans="1:7" s="108" customFormat="1" ht="14.1" customHeight="1">
      <c r="A601" s="251" t="s">
        <v>1402</v>
      </c>
      <c r="B601" s="252" t="s">
        <v>2561</v>
      </c>
      <c r="C601" s="254" t="s">
        <v>906</v>
      </c>
      <c r="D601" s="252" t="s">
        <v>2562</v>
      </c>
      <c r="E601" s="252" t="s">
        <v>1157</v>
      </c>
      <c r="F601" s="252" t="s">
        <v>889</v>
      </c>
      <c r="G601" s="255"/>
    </row>
    <row r="602" spans="1:7" s="108" customFormat="1" ht="14.1" customHeight="1">
      <c r="A602" s="251" t="s">
        <v>1402</v>
      </c>
      <c r="B602" s="252" t="s">
        <v>2563</v>
      </c>
      <c r="C602" s="254" t="s">
        <v>894</v>
      </c>
      <c r="D602" s="252" t="s">
        <v>893</v>
      </c>
      <c r="E602" s="252" t="s">
        <v>895</v>
      </c>
      <c r="F602" s="252" t="s">
        <v>913</v>
      </c>
      <c r="G602" s="255">
        <v>12</v>
      </c>
    </row>
    <row r="603" spans="1:7" s="108" customFormat="1" ht="14.1" customHeight="1">
      <c r="A603" s="251" t="s">
        <v>1402</v>
      </c>
      <c r="B603" s="252" t="s">
        <v>2564</v>
      </c>
      <c r="C603" s="254" t="s">
        <v>894</v>
      </c>
      <c r="D603" s="252" t="s">
        <v>893</v>
      </c>
      <c r="E603" s="252" t="s">
        <v>895</v>
      </c>
      <c r="F603" s="252" t="s">
        <v>913</v>
      </c>
      <c r="G603" s="255"/>
    </row>
    <row r="604" spans="1:7" s="108" customFormat="1" ht="14.1" customHeight="1">
      <c r="A604" s="251" t="s">
        <v>1402</v>
      </c>
      <c r="B604" s="252" t="s">
        <v>2565</v>
      </c>
      <c r="C604" s="254" t="s">
        <v>894</v>
      </c>
      <c r="D604" s="252" t="s">
        <v>1289</v>
      </c>
      <c r="E604" s="252" t="s">
        <v>1119</v>
      </c>
      <c r="F604" s="252" t="s">
        <v>889</v>
      </c>
      <c r="G604" s="255"/>
    </row>
    <row r="605" spans="1:7" s="108" customFormat="1" ht="14.1" customHeight="1">
      <c r="A605" s="251" t="s">
        <v>2566</v>
      </c>
      <c r="B605" s="252" t="s">
        <v>2567</v>
      </c>
      <c r="C605" s="254" t="s">
        <v>968</v>
      </c>
      <c r="D605" s="252" t="s">
        <v>2568</v>
      </c>
      <c r="E605" s="252" t="s">
        <v>929</v>
      </c>
      <c r="F605" s="252" t="s">
        <v>889</v>
      </c>
      <c r="G605" s="255"/>
    </row>
    <row r="606" spans="1:7" s="108" customFormat="1" ht="14.1" customHeight="1">
      <c r="A606" s="251" t="s">
        <v>2566</v>
      </c>
      <c r="B606" s="252" t="s">
        <v>2569</v>
      </c>
      <c r="C606" s="254" t="s">
        <v>938</v>
      </c>
      <c r="D606" s="252" t="s">
        <v>2370</v>
      </c>
      <c r="E606" s="252" t="s">
        <v>959</v>
      </c>
      <c r="F606" s="252" t="s">
        <v>889</v>
      </c>
      <c r="G606" s="255"/>
    </row>
    <row r="607" spans="1:7" s="108" customFormat="1" ht="14.1" customHeight="1">
      <c r="A607" s="251" t="s">
        <v>2566</v>
      </c>
      <c r="B607" s="252" t="s">
        <v>2570</v>
      </c>
      <c r="C607" s="254" t="s">
        <v>938</v>
      </c>
      <c r="D607" s="252" t="s">
        <v>2370</v>
      </c>
      <c r="E607" s="252" t="s">
        <v>959</v>
      </c>
      <c r="F607" s="252" t="s">
        <v>889</v>
      </c>
      <c r="G607" s="255"/>
    </row>
    <row r="608" spans="1:7" s="108" customFormat="1" ht="14.1" customHeight="1">
      <c r="A608" s="251" t="s">
        <v>2566</v>
      </c>
      <c r="B608" s="252" t="s">
        <v>2571</v>
      </c>
      <c r="C608" s="254" t="s">
        <v>1202</v>
      </c>
      <c r="D608" s="252" t="s">
        <v>2572</v>
      </c>
      <c r="E608" s="252" t="s">
        <v>888</v>
      </c>
      <c r="F608" s="252" t="s">
        <v>889</v>
      </c>
      <c r="G608" s="255"/>
    </row>
    <row r="609" spans="1:7" s="108" customFormat="1" ht="14.1" customHeight="1">
      <c r="A609" s="251" t="s">
        <v>1515</v>
      </c>
      <c r="B609" s="252" t="s">
        <v>2573</v>
      </c>
      <c r="C609" s="254" t="s">
        <v>897</v>
      </c>
      <c r="D609" s="252" t="s">
        <v>1909</v>
      </c>
      <c r="E609" s="252" t="s">
        <v>907</v>
      </c>
      <c r="F609" s="252" t="s">
        <v>889</v>
      </c>
      <c r="G609" s="255"/>
    </row>
    <row r="610" spans="1:7" s="108" customFormat="1" ht="14.1" customHeight="1">
      <c r="A610" s="251" t="s">
        <v>1515</v>
      </c>
      <c r="B610" s="252" t="s">
        <v>2574</v>
      </c>
      <c r="C610" s="254" t="s">
        <v>897</v>
      </c>
      <c r="D610" s="252" t="s">
        <v>2575</v>
      </c>
      <c r="E610" s="252" t="s">
        <v>888</v>
      </c>
      <c r="F610" s="252" t="s">
        <v>889</v>
      </c>
      <c r="G610" s="255"/>
    </row>
    <row r="611" spans="1:7" s="108" customFormat="1" ht="14.1" customHeight="1">
      <c r="A611" s="251" t="s">
        <v>1515</v>
      </c>
      <c r="B611" s="252" t="s">
        <v>2576</v>
      </c>
      <c r="C611" s="254" t="s">
        <v>968</v>
      </c>
      <c r="D611" s="252" t="s">
        <v>1299</v>
      </c>
      <c r="E611" s="252" t="s">
        <v>939</v>
      </c>
      <c r="F611" s="252" t="s">
        <v>889</v>
      </c>
      <c r="G611" s="255"/>
    </row>
    <row r="612" spans="1:7" s="108" customFormat="1" ht="14.1" customHeight="1">
      <c r="A612" s="251" t="s">
        <v>1515</v>
      </c>
      <c r="B612" s="252" t="s">
        <v>2577</v>
      </c>
      <c r="C612" s="254" t="s">
        <v>968</v>
      </c>
      <c r="D612" s="252" t="s">
        <v>2578</v>
      </c>
      <c r="E612" s="252" t="s">
        <v>1157</v>
      </c>
      <c r="F612" s="252" t="s">
        <v>889</v>
      </c>
      <c r="G612" s="255"/>
    </row>
    <row r="613" spans="1:7" s="108" customFormat="1" ht="14.1" customHeight="1">
      <c r="A613" s="251" t="s">
        <v>1515</v>
      </c>
      <c r="B613" s="252" t="s">
        <v>2579</v>
      </c>
      <c r="C613" s="254" t="s">
        <v>968</v>
      </c>
      <c r="D613" s="252" t="s">
        <v>2580</v>
      </c>
      <c r="E613" s="252" t="s">
        <v>939</v>
      </c>
      <c r="F613" s="252" t="s">
        <v>892</v>
      </c>
      <c r="G613" s="255"/>
    </row>
    <row r="614" spans="1:7" s="108" customFormat="1" ht="14.1" customHeight="1">
      <c r="A614" s="251" t="s">
        <v>1515</v>
      </c>
      <c r="B614" s="252" t="s">
        <v>2581</v>
      </c>
      <c r="C614" s="254" t="s">
        <v>944</v>
      </c>
      <c r="D614" s="252" t="s">
        <v>2582</v>
      </c>
      <c r="E614" s="252" t="s">
        <v>959</v>
      </c>
      <c r="F614" s="252" t="s">
        <v>889</v>
      </c>
      <c r="G614" s="255"/>
    </row>
    <row r="615" spans="1:7" s="108" customFormat="1" ht="14.1" customHeight="1">
      <c r="A615" s="251" t="s">
        <v>1515</v>
      </c>
      <c r="B615" s="252" t="s">
        <v>2583</v>
      </c>
      <c r="C615" s="254" t="s">
        <v>1030</v>
      </c>
      <c r="D615" s="252" t="s">
        <v>2584</v>
      </c>
      <c r="E615" s="252" t="s">
        <v>939</v>
      </c>
      <c r="F615" s="252" t="s">
        <v>892</v>
      </c>
      <c r="G615" s="255"/>
    </row>
    <row r="616" spans="1:7" s="108" customFormat="1" ht="14.1" customHeight="1">
      <c r="A616" s="251" t="s">
        <v>1515</v>
      </c>
      <c r="B616" s="252" t="s">
        <v>2585</v>
      </c>
      <c r="C616" s="254" t="s">
        <v>906</v>
      </c>
      <c r="D616" s="252" t="s">
        <v>1521</v>
      </c>
      <c r="E616" s="252" t="s">
        <v>888</v>
      </c>
      <c r="F616" s="252" t="s">
        <v>889</v>
      </c>
      <c r="G616" s="255">
        <v>400</v>
      </c>
    </row>
    <row r="617" spans="1:7" s="108" customFormat="1" ht="14.1" customHeight="1">
      <c r="A617" s="251" t="s">
        <v>1515</v>
      </c>
      <c r="B617" s="252" t="s">
        <v>2586</v>
      </c>
      <c r="C617" s="254" t="s">
        <v>906</v>
      </c>
      <c r="D617" s="252" t="s">
        <v>1462</v>
      </c>
      <c r="E617" s="252" t="s">
        <v>888</v>
      </c>
      <c r="F617" s="252" t="s">
        <v>889</v>
      </c>
      <c r="G617" s="255"/>
    </row>
    <row r="618" spans="1:7" s="108" customFormat="1" ht="14.1" customHeight="1">
      <c r="A618" s="251" t="s">
        <v>1515</v>
      </c>
      <c r="B618" s="252" t="s">
        <v>2587</v>
      </c>
      <c r="C618" s="254" t="s">
        <v>2142</v>
      </c>
      <c r="D618" s="252" t="s">
        <v>2588</v>
      </c>
      <c r="E618" s="252" t="s">
        <v>895</v>
      </c>
      <c r="F618" s="252" t="s">
        <v>889</v>
      </c>
      <c r="G618" s="255"/>
    </row>
    <row r="619" spans="1:7" s="108" customFormat="1" ht="14.1" customHeight="1">
      <c r="A619" s="251" t="s">
        <v>1515</v>
      </c>
      <c r="B619" s="252" t="s">
        <v>2589</v>
      </c>
      <c r="C619" s="254" t="s">
        <v>1018</v>
      </c>
      <c r="D619" s="252" t="s">
        <v>2590</v>
      </c>
      <c r="E619" s="252" t="s">
        <v>888</v>
      </c>
      <c r="F619" s="252" t="s">
        <v>889</v>
      </c>
      <c r="G619" s="255"/>
    </row>
    <row r="620" spans="1:7" s="108" customFormat="1" ht="14.1" customHeight="1">
      <c r="A620" s="251" t="s">
        <v>1515</v>
      </c>
      <c r="B620" s="252" t="s">
        <v>2591</v>
      </c>
      <c r="C620" s="254" t="s">
        <v>1018</v>
      </c>
      <c r="D620" s="252" t="s">
        <v>2592</v>
      </c>
      <c r="E620" s="252" t="s">
        <v>888</v>
      </c>
      <c r="F620" s="252" t="s">
        <v>889</v>
      </c>
      <c r="G620" s="255"/>
    </row>
    <row r="621" spans="1:7" s="108" customFormat="1" ht="14.1" customHeight="1">
      <c r="A621" s="251" t="s">
        <v>1515</v>
      </c>
      <c r="B621" s="252" t="s">
        <v>2593</v>
      </c>
      <c r="C621" s="254" t="s">
        <v>1202</v>
      </c>
      <c r="D621" s="252" t="s">
        <v>1522</v>
      </c>
      <c r="E621" s="252" t="s">
        <v>888</v>
      </c>
      <c r="F621" s="252" t="s">
        <v>889</v>
      </c>
      <c r="G621" s="255">
        <v>1225</v>
      </c>
    </row>
    <row r="622" spans="1:7" s="108" customFormat="1" ht="14.1" customHeight="1">
      <c r="A622" s="251" t="s">
        <v>1515</v>
      </c>
      <c r="B622" s="252" t="s">
        <v>2594</v>
      </c>
      <c r="C622" s="254" t="s">
        <v>917</v>
      </c>
      <c r="D622" s="252" t="s">
        <v>2025</v>
      </c>
      <c r="E622" s="252" t="s">
        <v>888</v>
      </c>
      <c r="F622" s="252" t="s">
        <v>892</v>
      </c>
      <c r="G622" s="255"/>
    </row>
    <row r="623" spans="1:7" s="108" customFormat="1" ht="14.1" customHeight="1">
      <c r="A623" s="251" t="s">
        <v>1515</v>
      </c>
      <c r="B623" s="252" t="s">
        <v>2595</v>
      </c>
      <c r="C623" s="254" t="s">
        <v>917</v>
      </c>
      <c r="D623" s="252" t="s">
        <v>1518</v>
      </c>
      <c r="E623" s="252" t="s">
        <v>888</v>
      </c>
      <c r="F623" s="252" t="s">
        <v>892</v>
      </c>
      <c r="G623" s="255">
        <v>1.6</v>
      </c>
    </row>
    <row r="624" spans="1:7" s="108" customFormat="1" ht="14.1" customHeight="1">
      <c r="A624" s="251" t="s">
        <v>1515</v>
      </c>
      <c r="B624" s="252" t="s">
        <v>2596</v>
      </c>
      <c r="C624" s="254" t="s">
        <v>917</v>
      </c>
      <c r="D624" s="252" t="s">
        <v>1517</v>
      </c>
      <c r="E624" s="252" t="s">
        <v>918</v>
      </c>
      <c r="F624" s="252" t="s">
        <v>889</v>
      </c>
      <c r="G624" s="255">
        <v>0.50700000000000001</v>
      </c>
    </row>
    <row r="625" spans="1:7" s="108" customFormat="1" ht="14.1" customHeight="1">
      <c r="A625" s="251" t="s">
        <v>1515</v>
      </c>
      <c r="B625" s="252" t="s">
        <v>2597</v>
      </c>
      <c r="C625" s="254" t="s">
        <v>917</v>
      </c>
      <c r="D625" s="252" t="s">
        <v>1516</v>
      </c>
      <c r="E625" s="252" t="s">
        <v>918</v>
      </c>
      <c r="F625" s="252" t="s">
        <v>889</v>
      </c>
      <c r="G625" s="255">
        <v>0.5</v>
      </c>
    </row>
    <row r="626" spans="1:7" s="108" customFormat="1" ht="14.1" customHeight="1">
      <c r="A626" s="251" t="s">
        <v>1515</v>
      </c>
      <c r="B626" s="252" t="s">
        <v>2598</v>
      </c>
      <c r="C626" s="254" t="s">
        <v>917</v>
      </c>
      <c r="D626" s="252" t="s">
        <v>1661</v>
      </c>
      <c r="E626" s="252" t="s">
        <v>918</v>
      </c>
      <c r="F626" s="252" t="s">
        <v>892</v>
      </c>
      <c r="G626" s="255"/>
    </row>
    <row r="627" spans="1:7" s="108" customFormat="1" ht="14.1" customHeight="1">
      <c r="A627" s="251" t="s">
        <v>1515</v>
      </c>
      <c r="B627" s="252" t="s">
        <v>2599</v>
      </c>
      <c r="C627" s="254" t="s">
        <v>1023</v>
      </c>
      <c r="D627" s="252" t="s">
        <v>1520</v>
      </c>
      <c r="E627" s="252" t="s">
        <v>888</v>
      </c>
      <c r="F627" s="252" t="s">
        <v>889</v>
      </c>
      <c r="G627" s="255">
        <v>28.5</v>
      </c>
    </row>
    <row r="628" spans="1:7" s="108" customFormat="1" ht="14.1" customHeight="1">
      <c r="A628" s="251" t="s">
        <v>1515</v>
      </c>
      <c r="B628" s="252" t="s">
        <v>2600</v>
      </c>
      <c r="C628" s="254" t="s">
        <v>894</v>
      </c>
      <c r="D628" s="252" t="s">
        <v>886</v>
      </c>
      <c r="E628" s="252" t="s">
        <v>888</v>
      </c>
      <c r="F628" s="252" t="s">
        <v>889</v>
      </c>
      <c r="G628" s="255">
        <v>525</v>
      </c>
    </row>
    <row r="629" spans="1:7" s="108" customFormat="1" ht="14.1" customHeight="1">
      <c r="A629" s="251" t="s">
        <v>1515</v>
      </c>
      <c r="B629" s="252" t="s">
        <v>2601</v>
      </c>
      <c r="C629" s="254" t="s">
        <v>911</v>
      </c>
      <c r="D629" s="252" t="s">
        <v>2602</v>
      </c>
      <c r="E629" s="252" t="s">
        <v>939</v>
      </c>
      <c r="F629" s="252" t="s">
        <v>889</v>
      </c>
      <c r="G629" s="255"/>
    </row>
    <row r="630" spans="1:7" s="108" customFormat="1" ht="14.1" customHeight="1">
      <c r="A630" s="251" t="s">
        <v>1515</v>
      </c>
      <c r="B630" s="252" t="s">
        <v>2603</v>
      </c>
      <c r="C630" s="254" t="s">
        <v>1020</v>
      </c>
      <c r="D630" s="252" t="s">
        <v>2539</v>
      </c>
      <c r="E630" s="252" t="s">
        <v>888</v>
      </c>
      <c r="F630" s="252" t="s">
        <v>889</v>
      </c>
      <c r="G630" s="255"/>
    </row>
    <row r="631" spans="1:7" s="108" customFormat="1" ht="14.1" customHeight="1">
      <c r="A631" s="251" t="s">
        <v>1515</v>
      </c>
      <c r="B631" s="252" t="s">
        <v>2604</v>
      </c>
      <c r="C631" s="254" t="s">
        <v>903</v>
      </c>
      <c r="D631" s="252" t="s">
        <v>2605</v>
      </c>
      <c r="E631" s="252" t="s">
        <v>888</v>
      </c>
      <c r="F631" s="252" t="s">
        <v>889</v>
      </c>
      <c r="G631" s="255"/>
    </row>
    <row r="632" spans="1:7" s="108" customFormat="1" ht="14.1" customHeight="1">
      <c r="A632" s="251" t="s">
        <v>1515</v>
      </c>
      <c r="B632" s="252" t="s">
        <v>2606</v>
      </c>
      <c r="C632" s="254" t="s">
        <v>983</v>
      </c>
      <c r="D632" s="252" t="s">
        <v>1519</v>
      </c>
      <c r="E632" s="252" t="s">
        <v>918</v>
      </c>
      <c r="F632" s="252" t="s">
        <v>892</v>
      </c>
      <c r="G632" s="255">
        <v>15</v>
      </c>
    </row>
    <row r="633" spans="1:7" s="108" customFormat="1" ht="14.1" customHeight="1">
      <c r="A633" s="251" t="s">
        <v>1634</v>
      </c>
      <c r="B633" s="252" t="s">
        <v>2607</v>
      </c>
      <c r="C633" s="254" t="s">
        <v>947</v>
      </c>
      <c r="D633" s="252" t="s">
        <v>2608</v>
      </c>
      <c r="E633" s="252" t="s">
        <v>939</v>
      </c>
      <c r="F633" s="252" t="s">
        <v>889</v>
      </c>
      <c r="G633" s="255"/>
    </row>
    <row r="634" spans="1:7" s="108" customFormat="1" ht="14.1" customHeight="1">
      <c r="A634" s="251" t="s">
        <v>1634</v>
      </c>
      <c r="B634" s="252" t="s">
        <v>2609</v>
      </c>
      <c r="C634" s="254" t="s">
        <v>968</v>
      </c>
      <c r="D634" s="252" t="s">
        <v>2610</v>
      </c>
      <c r="E634" s="252" t="s">
        <v>888</v>
      </c>
      <c r="F634" s="252" t="s">
        <v>889</v>
      </c>
      <c r="G634" s="255"/>
    </row>
    <row r="635" spans="1:7" s="108" customFormat="1" ht="14.1" customHeight="1">
      <c r="A635" s="251" t="s">
        <v>1634</v>
      </c>
      <c r="B635" s="252" t="s">
        <v>2611</v>
      </c>
      <c r="C635" s="254" t="s">
        <v>944</v>
      </c>
      <c r="D635" s="252" t="s">
        <v>2612</v>
      </c>
      <c r="E635" s="252" t="s">
        <v>895</v>
      </c>
      <c r="F635" s="252" t="s">
        <v>889</v>
      </c>
      <c r="G635" s="255"/>
    </row>
    <row r="636" spans="1:7" s="108" customFormat="1" ht="14.1" customHeight="1">
      <c r="A636" s="251" t="s">
        <v>1634</v>
      </c>
      <c r="B636" s="252" t="s">
        <v>2202</v>
      </c>
      <c r="C636" s="254" t="s">
        <v>1051</v>
      </c>
      <c r="D636" s="252" t="s">
        <v>2613</v>
      </c>
      <c r="E636" s="252" t="s">
        <v>888</v>
      </c>
      <c r="F636" s="252" t="s">
        <v>889</v>
      </c>
      <c r="G636" s="255"/>
    </row>
    <row r="637" spans="1:7" s="108" customFormat="1" ht="14.1" customHeight="1">
      <c r="A637" s="251" t="s">
        <v>1634</v>
      </c>
      <c r="B637" s="252" t="s">
        <v>2614</v>
      </c>
      <c r="C637" s="254" t="s">
        <v>906</v>
      </c>
      <c r="D637" s="252" t="s">
        <v>1231</v>
      </c>
      <c r="E637" s="252" t="s">
        <v>1047</v>
      </c>
      <c r="F637" s="252" t="s">
        <v>889</v>
      </c>
      <c r="G637" s="255">
        <v>35</v>
      </c>
    </row>
    <row r="638" spans="1:7" s="108" customFormat="1" ht="14.1" customHeight="1">
      <c r="A638" s="251" t="s">
        <v>1634</v>
      </c>
      <c r="B638" s="252" t="s">
        <v>2615</v>
      </c>
      <c r="C638" s="254" t="s">
        <v>986</v>
      </c>
      <c r="D638" s="252" t="s">
        <v>2616</v>
      </c>
      <c r="E638" s="252" t="s">
        <v>895</v>
      </c>
      <c r="F638" s="252" t="s">
        <v>889</v>
      </c>
      <c r="G638" s="255"/>
    </row>
    <row r="639" spans="1:7" s="108" customFormat="1" ht="14.1" customHeight="1">
      <c r="A639" s="251" t="s">
        <v>1634</v>
      </c>
      <c r="B639" s="252" t="s">
        <v>2617</v>
      </c>
      <c r="C639" s="254" t="s">
        <v>1202</v>
      </c>
      <c r="D639" s="252" t="s">
        <v>1636</v>
      </c>
      <c r="E639" s="252" t="s">
        <v>929</v>
      </c>
      <c r="F639" s="252" t="s">
        <v>889</v>
      </c>
      <c r="G639" s="255">
        <v>5.5</v>
      </c>
    </row>
    <row r="640" spans="1:7" s="108" customFormat="1" ht="14.1" customHeight="1">
      <c r="A640" s="251" t="s">
        <v>1634</v>
      </c>
      <c r="B640" s="252" t="s">
        <v>2618</v>
      </c>
      <c r="C640" s="254" t="s">
        <v>917</v>
      </c>
      <c r="D640" s="252" t="s">
        <v>1553</v>
      </c>
      <c r="E640" s="252" t="s">
        <v>888</v>
      </c>
      <c r="F640" s="252" t="s">
        <v>1794</v>
      </c>
      <c r="G640" s="255"/>
    </row>
    <row r="641" spans="1:7" s="108" customFormat="1" ht="14.1" customHeight="1">
      <c r="A641" s="251" t="s">
        <v>1634</v>
      </c>
      <c r="B641" s="252" t="s">
        <v>2619</v>
      </c>
      <c r="C641" s="254" t="s">
        <v>1246</v>
      </c>
      <c r="D641" s="252" t="s">
        <v>1635</v>
      </c>
      <c r="E641" s="252" t="s">
        <v>918</v>
      </c>
      <c r="F641" s="252" t="s">
        <v>889</v>
      </c>
      <c r="G641" s="255">
        <v>1.988</v>
      </c>
    </row>
    <row r="642" spans="1:7" s="108" customFormat="1" ht="14.1" customHeight="1">
      <c r="A642" s="251" t="s">
        <v>1676</v>
      </c>
      <c r="B642" s="252" t="s">
        <v>2620</v>
      </c>
      <c r="C642" s="254" t="s">
        <v>894</v>
      </c>
      <c r="D642" s="252" t="s">
        <v>1677</v>
      </c>
      <c r="E642" s="252" t="s">
        <v>919</v>
      </c>
      <c r="F642" s="252" t="s">
        <v>889</v>
      </c>
      <c r="G642" s="255">
        <v>500</v>
      </c>
    </row>
    <row r="643" spans="1:7" s="108" customFormat="1" ht="14.1" customHeight="1">
      <c r="A643" s="251" t="s">
        <v>1676</v>
      </c>
      <c r="B643" s="252" t="s">
        <v>2621</v>
      </c>
      <c r="C643" s="254" t="s">
        <v>1080</v>
      </c>
      <c r="D643" s="252" t="s">
        <v>2622</v>
      </c>
      <c r="E643" s="252" t="s">
        <v>939</v>
      </c>
      <c r="F643" s="252" t="s">
        <v>889</v>
      </c>
      <c r="G643" s="255"/>
    </row>
    <row r="644" spans="1:7" s="108" customFormat="1" ht="14.1" customHeight="1">
      <c r="A644" s="251" t="s">
        <v>942</v>
      </c>
      <c r="B644" s="252" t="s">
        <v>2623</v>
      </c>
      <c r="C644" s="254" t="s">
        <v>947</v>
      </c>
      <c r="D644" s="252" t="s">
        <v>946</v>
      </c>
      <c r="E644" s="252" t="s">
        <v>888</v>
      </c>
      <c r="F644" s="252" t="s">
        <v>892</v>
      </c>
      <c r="G644" s="255"/>
    </row>
    <row r="645" spans="1:7" s="108" customFormat="1" ht="14.1" customHeight="1">
      <c r="A645" s="251" t="s">
        <v>942</v>
      </c>
      <c r="B645" s="252" t="s">
        <v>2623</v>
      </c>
      <c r="C645" s="254" t="s">
        <v>947</v>
      </c>
      <c r="D645" s="252" t="s">
        <v>946</v>
      </c>
      <c r="E645" s="252" t="s">
        <v>888</v>
      </c>
      <c r="F645" s="252" t="s">
        <v>889</v>
      </c>
      <c r="G645" s="255">
        <v>1</v>
      </c>
    </row>
    <row r="646" spans="1:7" s="108" customFormat="1" ht="14.1" customHeight="1">
      <c r="A646" s="251" t="s">
        <v>942</v>
      </c>
      <c r="B646" s="252" t="s">
        <v>2624</v>
      </c>
      <c r="C646" s="254" t="s">
        <v>968</v>
      </c>
      <c r="D646" s="252" t="s">
        <v>2560</v>
      </c>
      <c r="E646" s="252" t="s">
        <v>959</v>
      </c>
      <c r="F646" s="252" t="s">
        <v>889</v>
      </c>
      <c r="G646" s="255"/>
    </row>
    <row r="647" spans="1:7" s="108" customFormat="1" ht="14.1" customHeight="1">
      <c r="A647" s="251" t="s">
        <v>942</v>
      </c>
      <c r="B647" s="252" t="s">
        <v>2625</v>
      </c>
      <c r="C647" s="254" t="s">
        <v>944</v>
      </c>
      <c r="D647" s="252" t="s">
        <v>2626</v>
      </c>
      <c r="E647" s="252" t="s">
        <v>888</v>
      </c>
      <c r="F647" s="252" t="s">
        <v>889</v>
      </c>
      <c r="G647" s="255"/>
    </row>
    <row r="648" spans="1:7" s="108" customFormat="1" ht="14.1" customHeight="1">
      <c r="A648" s="251" t="s">
        <v>942</v>
      </c>
      <c r="B648" s="252" t="s">
        <v>2052</v>
      </c>
      <c r="C648" s="254" t="s">
        <v>1020</v>
      </c>
      <c r="D648" s="252" t="s">
        <v>921</v>
      </c>
      <c r="E648" s="252" t="s">
        <v>888</v>
      </c>
      <c r="F648" s="252" t="s">
        <v>889</v>
      </c>
      <c r="G648" s="255">
        <v>215.7</v>
      </c>
    </row>
    <row r="649" spans="1:7" s="108" customFormat="1" ht="14.1" customHeight="1">
      <c r="A649" s="251" t="s">
        <v>942</v>
      </c>
      <c r="B649" s="252" t="s">
        <v>2627</v>
      </c>
      <c r="C649" s="254" t="s">
        <v>983</v>
      </c>
      <c r="D649" s="252" t="s">
        <v>943</v>
      </c>
      <c r="E649" s="252" t="s">
        <v>945</v>
      </c>
      <c r="F649" s="252" t="s">
        <v>892</v>
      </c>
      <c r="G649" s="255">
        <v>0.251</v>
      </c>
    </row>
    <row r="650" spans="1:7" s="108" customFormat="1" ht="14.1" customHeight="1">
      <c r="A650" s="251" t="s">
        <v>1120</v>
      </c>
      <c r="B650" s="252" t="s">
        <v>2628</v>
      </c>
      <c r="C650" s="254" t="s">
        <v>897</v>
      </c>
      <c r="D650" s="252" t="s">
        <v>2353</v>
      </c>
      <c r="E650" s="252" t="s">
        <v>895</v>
      </c>
      <c r="F650" s="252" t="s">
        <v>889</v>
      </c>
      <c r="G650" s="255"/>
    </row>
    <row r="651" spans="1:7" s="108" customFormat="1" ht="14.1" customHeight="1">
      <c r="A651" s="251" t="s">
        <v>1120</v>
      </c>
      <c r="B651" s="252" t="s">
        <v>2629</v>
      </c>
      <c r="C651" s="254" t="s">
        <v>1168</v>
      </c>
      <c r="D651" s="252" t="s">
        <v>2630</v>
      </c>
      <c r="E651" s="252" t="s">
        <v>907</v>
      </c>
      <c r="F651" s="252" t="s">
        <v>889</v>
      </c>
      <c r="G651" s="255"/>
    </row>
    <row r="652" spans="1:7" s="108" customFormat="1" ht="14.1" customHeight="1">
      <c r="A652" s="251" t="s">
        <v>1120</v>
      </c>
      <c r="B652" s="252" t="s">
        <v>2631</v>
      </c>
      <c r="C652" s="254" t="s">
        <v>947</v>
      </c>
      <c r="D652" s="252" t="s">
        <v>1058</v>
      </c>
      <c r="E652" s="252" t="s">
        <v>945</v>
      </c>
      <c r="F652" s="252" t="s">
        <v>889</v>
      </c>
      <c r="G652" s="255"/>
    </row>
    <row r="653" spans="1:7" s="108" customFormat="1" ht="14.1" customHeight="1">
      <c r="A653" s="251" t="s">
        <v>1120</v>
      </c>
      <c r="B653" s="252" t="s">
        <v>2632</v>
      </c>
      <c r="C653" s="254" t="s">
        <v>968</v>
      </c>
      <c r="D653" s="252" t="s">
        <v>2633</v>
      </c>
      <c r="E653" s="252" t="s">
        <v>925</v>
      </c>
      <c r="F653" s="252" t="s">
        <v>889</v>
      </c>
      <c r="G653" s="255"/>
    </row>
    <row r="654" spans="1:7" s="108" customFormat="1" ht="14.1" customHeight="1">
      <c r="A654" s="251" t="s">
        <v>1120</v>
      </c>
      <c r="B654" s="252" t="s">
        <v>2634</v>
      </c>
      <c r="C654" s="254" t="s">
        <v>968</v>
      </c>
      <c r="D654" s="252" t="s">
        <v>2560</v>
      </c>
      <c r="E654" s="252" t="s">
        <v>959</v>
      </c>
      <c r="F654" s="252" t="s">
        <v>889</v>
      </c>
      <c r="G654" s="255"/>
    </row>
    <row r="655" spans="1:7" s="108" customFormat="1" ht="14.1" customHeight="1">
      <c r="A655" s="251" t="s">
        <v>1120</v>
      </c>
      <c r="B655" s="252" t="s">
        <v>2635</v>
      </c>
      <c r="C655" s="254" t="s">
        <v>968</v>
      </c>
      <c r="D655" s="252" t="s">
        <v>1127</v>
      </c>
      <c r="E655" s="252" t="s">
        <v>939</v>
      </c>
      <c r="F655" s="252" t="s">
        <v>889</v>
      </c>
      <c r="G655" s="255">
        <v>7.016</v>
      </c>
    </row>
    <row r="656" spans="1:7" s="108" customFormat="1" ht="14.1" customHeight="1">
      <c r="A656" s="251" t="s">
        <v>1120</v>
      </c>
      <c r="B656" s="252" t="s">
        <v>2636</v>
      </c>
      <c r="C656" s="254" t="s">
        <v>968</v>
      </c>
      <c r="D656" s="252" t="s">
        <v>2637</v>
      </c>
      <c r="E656" s="252" t="s">
        <v>1621</v>
      </c>
      <c r="F656" s="252" t="s">
        <v>889</v>
      </c>
      <c r="G656" s="255"/>
    </row>
    <row r="657" spans="1:7" s="108" customFormat="1" ht="14.1" customHeight="1">
      <c r="A657" s="251" t="s">
        <v>1120</v>
      </c>
      <c r="B657" s="252" t="s">
        <v>2638</v>
      </c>
      <c r="C657" s="254" t="s">
        <v>968</v>
      </c>
      <c r="D657" s="252" t="s">
        <v>886</v>
      </c>
      <c r="E657" s="252" t="s">
        <v>1022</v>
      </c>
      <c r="F657" s="252" t="s">
        <v>889</v>
      </c>
      <c r="G657" s="255">
        <v>14.821</v>
      </c>
    </row>
    <row r="658" spans="1:7" s="108" customFormat="1" ht="14.1" customHeight="1">
      <c r="A658" s="251" t="s">
        <v>1120</v>
      </c>
      <c r="B658" s="252" t="s">
        <v>2639</v>
      </c>
      <c r="C658" s="254" t="s">
        <v>968</v>
      </c>
      <c r="D658" s="252" t="s">
        <v>2640</v>
      </c>
      <c r="E658" s="252" t="s">
        <v>2641</v>
      </c>
      <c r="F658" s="252" t="s">
        <v>889</v>
      </c>
      <c r="G658" s="255"/>
    </row>
    <row r="659" spans="1:7" s="108" customFormat="1" ht="14.1" customHeight="1">
      <c r="A659" s="251" t="s">
        <v>1120</v>
      </c>
      <c r="B659" s="252" t="s">
        <v>2642</v>
      </c>
      <c r="C659" s="254" t="s">
        <v>968</v>
      </c>
      <c r="D659" s="252" t="s">
        <v>2643</v>
      </c>
      <c r="E659" s="252" t="s">
        <v>888</v>
      </c>
      <c r="F659" s="252" t="s">
        <v>889</v>
      </c>
      <c r="G659" s="255"/>
    </row>
    <row r="660" spans="1:7" s="108" customFormat="1" ht="14.1" customHeight="1">
      <c r="A660" s="251" t="s">
        <v>1120</v>
      </c>
      <c r="B660" s="252" t="s">
        <v>2644</v>
      </c>
      <c r="C660" s="254" t="s">
        <v>968</v>
      </c>
      <c r="D660" s="252" t="s">
        <v>2645</v>
      </c>
      <c r="E660" s="252" t="s">
        <v>888</v>
      </c>
      <c r="F660" s="252" t="s">
        <v>892</v>
      </c>
      <c r="G660" s="255"/>
    </row>
    <row r="661" spans="1:7" s="108" customFormat="1" ht="14.1" customHeight="1">
      <c r="A661" s="251" t="s">
        <v>1120</v>
      </c>
      <c r="B661" s="252" t="s">
        <v>2646</v>
      </c>
      <c r="C661" s="254" t="s">
        <v>968</v>
      </c>
      <c r="D661" s="252" t="s">
        <v>2645</v>
      </c>
      <c r="E661" s="252" t="s">
        <v>888</v>
      </c>
      <c r="F661" s="252" t="s">
        <v>889</v>
      </c>
      <c r="G661" s="255"/>
    </row>
    <row r="662" spans="1:7" s="108" customFormat="1" ht="14.1" customHeight="1">
      <c r="A662" s="251" t="s">
        <v>1120</v>
      </c>
      <c r="B662" s="252" t="s">
        <v>2647</v>
      </c>
      <c r="C662" s="254" t="s">
        <v>968</v>
      </c>
      <c r="D662" s="252" t="s">
        <v>2645</v>
      </c>
      <c r="E662" s="252" t="s">
        <v>888</v>
      </c>
      <c r="F662" s="252" t="s">
        <v>889</v>
      </c>
      <c r="G662" s="255"/>
    </row>
    <row r="663" spans="1:7" s="108" customFormat="1" ht="14.1" customHeight="1">
      <c r="A663" s="251" t="s">
        <v>1120</v>
      </c>
      <c r="B663" s="252" t="s">
        <v>2648</v>
      </c>
      <c r="C663" s="254" t="s">
        <v>968</v>
      </c>
      <c r="D663" s="252" t="s">
        <v>2649</v>
      </c>
      <c r="E663" s="252" t="s">
        <v>888</v>
      </c>
      <c r="F663" s="252" t="s">
        <v>889</v>
      </c>
      <c r="G663" s="255"/>
    </row>
    <row r="664" spans="1:7" s="108" customFormat="1" ht="14.1" customHeight="1">
      <c r="A664" s="251" t="s">
        <v>1120</v>
      </c>
      <c r="B664" s="252" t="s">
        <v>2650</v>
      </c>
      <c r="C664" s="254" t="s">
        <v>968</v>
      </c>
      <c r="D664" s="252" t="s">
        <v>2651</v>
      </c>
      <c r="E664" s="252" t="s">
        <v>2652</v>
      </c>
      <c r="F664" s="252" t="s">
        <v>889</v>
      </c>
      <c r="G664" s="255"/>
    </row>
    <row r="665" spans="1:7" s="108" customFormat="1" ht="14.1" customHeight="1">
      <c r="A665" s="251" t="s">
        <v>1120</v>
      </c>
      <c r="B665" s="252" t="s">
        <v>2653</v>
      </c>
      <c r="C665" s="254" t="s">
        <v>944</v>
      </c>
      <c r="D665" s="252" t="s">
        <v>1130</v>
      </c>
      <c r="E665" s="252" t="s">
        <v>918</v>
      </c>
      <c r="F665" s="252" t="s">
        <v>931</v>
      </c>
      <c r="G665" s="255">
        <v>11.999000000000001</v>
      </c>
    </row>
    <row r="666" spans="1:7" s="108" customFormat="1" ht="14.1" customHeight="1">
      <c r="A666" s="251" t="s">
        <v>1120</v>
      </c>
      <c r="B666" s="252" t="s">
        <v>2654</v>
      </c>
      <c r="C666" s="254" t="s">
        <v>944</v>
      </c>
      <c r="D666" s="252" t="s">
        <v>1975</v>
      </c>
      <c r="E666" s="252" t="s">
        <v>1047</v>
      </c>
      <c r="F666" s="252" t="s">
        <v>889</v>
      </c>
      <c r="G666" s="255"/>
    </row>
    <row r="667" spans="1:7" s="108" customFormat="1" ht="14.1" customHeight="1">
      <c r="A667" s="251" t="s">
        <v>1120</v>
      </c>
      <c r="B667" s="252" t="s">
        <v>2655</v>
      </c>
      <c r="C667" s="254" t="s">
        <v>944</v>
      </c>
      <c r="D667" s="252" t="s">
        <v>2076</v>
      </c>
      <c r="E667" s="252" t="s">
        <v>912</v>
      </c>
      <c r="F667" s="252" t="s">
        <v>889</v>
      </c>
      <c r="G667" s="255"/>
    </row>
    <row r="668" spans="1:7" s="108" customFormat="1" ht="14.1" customHeight="1">
      <c r="A668" s="251" t="s">
        <v>1120</v>
      </c>
      <c r="B668" s="252" t="s">
        <v>2656</v>
      </c>
      <c r="C668" s="254" t="s">
        <v>944</v>
      </c>
      <c r="D668" s="252" t="s">
        <v>2657</v>
      </c>
      <c r="E668" s="252" t="s">
        <v>954</v>
      </c>
      <c r="F668" s="252" t="s">
        <v>1794</v>
      </c>
      <c r="G668" s="255"/>
    </row>
    <row r="669" spans="1:7" s="108" customFormat="1" ht="14.1" customHeight="1">
      <c r="A669" s="251" t="s">
        <v>1120</v>
      </c>
      <c r="B669" s="252" t="s">
        <v>2658</v>
      </c>
      <c r="C669" s="254" t="s">
        <v>944</v>
      </c>
      <c r="D669" s="252" t="s">
        <v>1123</v>
      </c>
      <c r="E669" s="252" t="s">
        <v>918</v>
      </c>
      <c r="F669" s="252" t="s">
        <v>889</v>
      </c>
      <c r="G669" s="255">
        <v>0.14599999999999999</v>
      </c>
    </row>
    <row r="670" spans="1:7" s="108" customFormat="1" ht="14.1" customHeight="1">
      <c r="A670" s="251" t="s">
        <v>1120</v>
      </c>
      <c r="B670" s="252" t="s">
        <v>2656</v>
      </c>
      <c r="C670" s="254" t="s">
        <v>944</v>
      </c>
      <c r="D670" s="252" t="s">
        <v>1038</v>
      </c>
      <c r="E670" s="252" t="s">
        <v>888</v>
      </c>
      <c r="F670" s="252" t="s">
        <v>892</v>
      </c>
      <c r="G670" s="255">
        <v>47.154000000000003</v>
      </c>
    </row>
    <row r="671" spans="1:7" s="108" customFormat="1" ht="14.1" customHeight="1">
      <c r="A671" s="251" t="s">
        <v>1120</v>
      </c>
      <c r="B671" s="252" t="s">
        <v>2659</v>
      </c>
      <c r="C671" s="254" t="s">
        <v>944</v>
      </c>
      <c r="D671" s="252" t="s">
        <v>2660</v>
      </c>
      <c r="E671" s="252" t="s">
        <v>959</v>
      </c>
      <c r="F671" s="252" t="s">
        <v>889</v>
      </c>
      <c r="G671" s="255"/>
    </row>
    <row r="672" spans="1:7" s="108" customFormat="1" ht="14.1" customHeight="1">
      <c r="A672" s="251" t="s">
        <v>1120</v>
      </c>
      <c r="B672" s="252" t="s">
        <v>2661</v>
      </c>
      <c r="C672" s="254" t="s">
        <v>944</v>
      </c>
      <c r="D672" s="252" t="s">
        <v>2660</v>
      </c>
      <c r="E672" s="252" t="s">
        <v>959</v>
      </c>
      <c r="F672" s="252" t="s">
        <v>889</v>
      </c>
      <c r="G672" s="255"/>
    </row>
    <row r="673" spans="1:7" s="108" customFormat="1" ht="14.1" customHeight="1">
      <c r="A673" s="251" t="s">
        <v>1120</v>
      </c>
      <c r="B673" s="252" t="s">
        <v>2662</v>
      </c>
      <c r="C673" s="254" t="s">
        <v>1030</v>
      </c>
      <c r="D673" s="252" t="s">
        <v>2663</v>
      </c>
      <c r="E673" s="252" t="s">
        <v>959</v>
      </c>
      <c r="F673" s="252" t="s">
        <v>889</v>
      </c>
      <c r="G673" s="255"/>
    </row>
    <row r="674" spans="1:7" s="108" customFormat="1" ht="14.1" customHeight="1">
      <c r="A674" s="251" t="s">
        <v>1120</v>
      </c>
      <c r="B674" s="252" t="s">
        <v>2664</v>
      </c>
      <c r="C674" s="254" t="s">
        <v>1030</v>
      </c>
      <c r="D674" s="252" t="s">
        <v>2665</v>
      </c>
      <c r="E674" s="252" t="s">
        <v>959</v>
      </c>
      <c r="F674" s="252" t="s">
        <v>889</v>
      </c>
      <c r="G674" s="255"/>
    </row>
    <row r="675" spans="1:7" s="108" customFormat="1" ht="14.1" customHeight="1">
      <c r="A675" s="251" t="s">
        <v>1120</v>
      </c>
      <c r="B675" s="252" t="s">
        <v>2666</v>
      </c>
      <c r="C675" s="254" t="s">
        <v>1466</v>
      </c>
      <c r="D675" s="252" t="s">
        <v>886</v>
      </c>
      <c r="E675" s="252" t="s">
        <v>1026</v>
      </c>
      <c r="F675" s="252" t="s">
        <v>889</v>
      </c>
      <c r="G675" s="255"/>
    </row>
    <row r="676" spans="1:7" s="108" customFormat="1" ht="14.1" customHeight="1">
      <c r="A676" s="251" t="s">
        <v>1120</v>
      </c>
      <c r="B676" s="252" t="s">
        <v>2667</v>
      </c>
      <c r="C676" s="254" t="s">
        <v>1756</v>
      </c>
      <c r="D676" s="252" t="s">
        <v>1132</v>
      </c>
      <c r="E676" s="252" t="s">
        <v>888</v>
      </c>
      <c r="F676" s="252" t="s">
        <v>889</v>
      </c>
      <c r="G676" s="255">
        <v>28.503</v>
      </c>
    </row>
    <row r="677" spans="1:7" s="108" customFormat="1" ht="14.1" customHeight="1">
      <c r="A677" s="251" t="s">
        <v>1120</v>
      </c>
      <c r="B677" s="252" t="s">
        <v>2668</v>
      </c>
      <c r="C677" s="254" t="s">
        <v>1756</v>
      </c>
      <c r="D677" s="252" t="s">
        <v>2669</v>
      </c>
      <c r="E677" s="252" t="s">
        <v>895</v>
      </c>
      <c r="F677" s="252" t="s">
        <v>889</v>
      </c>
      <c r="G677" s="255"/>
    </row>
    <row r="678" spans="1:7" s="108" customFormat="1" ht="14.1" customHeight="1">
      <c r="A678" s="251" t="s">
        <v>1120</v>
      </c>
      <c r="B678" s="252" t="s">
        <v>2670</v>
      </c>
      <c r="C678" s="254" t="s">
        <v>1088</v>
      </c>
      <c r="D678" s="252" t="s">
        <v>2671</v>
      </c>
      <c r="E678" s="252" t="s">
        <v>929</v>
      </c>
      <c r="F678" s="252" t="s">
        <v>892</v>
      </c>
      <c r="G678" s="255"/>
    </row>
    <row r="679" spans="1:7" s="108" customFormat="1" ht="14.1" customHeight="1">
      <c r="A679" s="251" t="s">
        <v>1120</v>
      </c>
      <c r="B679" s="252" t="s">
        <v>2672</v>
      </c>
      <c r="C679" s="254" t="s">
        <v>1088</v>
      </c>
      <c r="D679" s="252" t="s">
        <v>1133</v>
      </c>
      <c r="E679" s="252" t="s">
        <v>939</v>
      </c>
      <c r="F679" s="252" t="s">
        <v>889</v>
      </c>
      <c r="G679" s="255">
        <v>49.594000000000001</v>
      </c>
    </row>
    <row r="680" spans="1:7" s="108" customFormat="1" ht="14.1" customHeight="1">
      <c r="A680" s="251" t="s">
        <v>1120</v>
      </c>
      <c r="B680" s="252" t="s">
        <v>2673</v>
      </c>
      <c r="C680" s="254" t="s">
        <v>906</v>
      </c>
      <c r="D680" s="252" t="s">
        <v>2674</v>
      </c>
      <c r="E680" s="252" t="s">
        <v>891</v>
      </c>
      <c r="F680" s="252" t="s">
        <v>889</v>
      </c>
      <c r="G680" s="255"/>
    </row>
    <row r="681" spans="1:7" s="108" customFormat="1" ht="14.1" customHeight="1">
      <c r="A681" s="251" t="s">
        <v>1120</v>
      </c>
      <c r="B681" s="252" t="s">
        <v>2675</v>
      </c>
      <c r="C681" s="254" t="s">
        <v>906</v>
      </c>
      <c r="D681" s="252" t="s">
        <v>1134</v>
      </c>
      <c r="E681" s="252" t="s">
        <v>1136</v>
      </c>
      <c r="F681" s="252" t="s">
        <v>889</v>
      </c>
      <c r="G681" s="255">
        <v>50.295999999999999</v>
      </c>
    </row>
    <row r="682" spans="1:7" s="108" customFormat="1" ht="14.1" customHeight="1">
      <c r="A682" s="251" t="s">
        <v>1120</v>
      </c>
      <c r="B682" s="252" t="s">
        <v>2676</v>
      </c>
      <c r="C682" s="254" t="s">
        <v>906</v>
      </c>
      <c r="D682" s="252" t="s">
        <v>2677</v>
      </c>
      <c r="E682" s="252" t="s">
        <v>895</v>
      </c>
      <c r="F682" s="252" t="s">
        <v>913</v>
      </c>
      <c r="G682" s="255"/>
    </row>
    <row r="683" spans="1:7" s="108" customFormat="1" ht="14.1" customHeight="1">
      <c r="A683" s="251" t="s">
        <v>1120</v>
      </c>
      <c r="B683" s="252" t="s">
        <v>2676</v>
      </c>
      <c r="C683" s="254" t="s">
        <v>906</v>
      </c>
      <c r="D683" s="252" t="s">
        <v>2677</v>
      </c>
      <c r="E683" s="252" t="s">
        <v>895</v>
      </c>
      <c r="F683" s="252" t="s">
        <v>889</v>
      </c>
      <c r="G683" s="255"/>
    </row>
    <row r="684" spans="1:7" s="108" customFormat="1" ht="14.1" customHeight="1">
      <c r="A684" s="251" t="s">
        <v>1120</v>
      </c>
      <c r="B684" s="252" t="s">
        <v>2678</v>
      </c>
      <c r="C684" s="254" t="s">
        <v>1833</v>
      </c>
      <c r="D684" s="252" t="s">
        <v>2679</v>
      </c>
      <c r="E684" s="252" t="s">
        <v>1350</v>
      </c>
      <c r="F684" s="252" t="s">
        <v>889</v>
      </c>
      <c r="G684" s="255"/>
    </row>
    <row r="685" spans="1:7" s="108" customFormat="1" ht="14.1" customHeight="1">
      <c r="A685" s="251" t="s">
        <v>1120</v>
      </c>
      <c r="B685" s="252" t="s">
        <v>2680</v>
      </c>
      <c r="C685" s="254" t="s">
        <v>1150</v>
      </c>
      <c r="D685" s="252" t="s">
        <v>2681</v>
      </c>
      <c r="E685" s="252" t="s">
        <v>888</v>
      </c>
      <c r="F685" s="252" t="s">
        <v>889</v>
      </c>
      <c r="G685" s="255"/>
    </row>
    <row r="686" spans="1:7" s="108" customFormat="1" ht="14.1" customHeight="1">
      <c r="A686" s="251" t="s">
        <v>1120</v>
      </c>
      <c r="B686" s="252" t="s">
        <v>2680</v>
      </c>
      <c r="C686" s="254" t="s">
        <v>1150</v>
      </c>
      <c r="D686" s="252" t="s">
        <v>2682</v>
      </c>
      <c r="E686" s="252" t="s">
        <v>888</v>
      </c>
      <c r="F686" s="252" t="s">
        <v>889</v>
      </c>
      <c r="G686" s="255"/>
    </row>
    <row r="687" spans="1:7" s="108" customFormat="1" ht="14.1" customHeight="1">
      <c r="A687" s="251" t="s">
        <v>1120</v>
      </c>
      <c r="B687" s="252" t="s">
        <v>2683</v>
      </c>
      <c r="C687" s="254" t="s">
        <v>986</v>
      </c>
      <c r="D687" s="252" t="s">
        <v>1817</v>
      </c>
      <c r="E687" s="252" t="s">
        <v>895</v>
      </c>
      <c r="F687" s="252" t="s">
        <v>892</v>
      </c>
      <c r="G687" s="255"/>
    </row>
    <row r="688" spans="1:7" s="108" customFormat="1" ht="14.1" customHeight="1">
      <c r="A688" s="251" t="s">
        <v>1120</v>
      </c>
      <c r="B688" s="252" t="s">
        <v>2684</v>
      </c>
      <c r="C688" s="254" t="s">
        <v>887</v>
      </c>
      <c r="D688" s="252" t="s">
        <v>1122</v>
      </c>
      <c r="E688" s="252" t="s">
        <v>888</v>
      </c>
      <c r="F688" s="252" t="s">
        <v>889</v>
      </c>
      <c r="G688" s="255">
        <v>0.05</v>
      </c>
    </row>
    <row r="689" spans="1:7" s="108" customFormat="1" ht="14.1" customHeight="1">
      <c r="A689" s="251" t="s">
        <v>1120</v>
      </c>
      <c r="B689" s="252" t="s">
        <v>2685</v>
      </c>
      <c r="C689" s="254" t="s">
        <v>890</v>
      </c>
      <c r="D689" s="252" t="s">
        <v>1494</v>
      </c>
      <c r="E689" s="252" t="s">
        <v>904</v>
      </c>
      <c r="F689" s="252" t="s">
        <v>892</v>
      </c>
      <c r="G689" s="255"/>
    </row>
    <row r="690" spans="1:7" s="108" customFormat="1" ht="14.1" customHeight="1">
      <c r="A690" s="251" t="s">
        <v>1120</v>
      </c>
      <c r="B690" s="252" t="s">
        <v>2686</v>
      </c>
      <c r="C690" s="254" t="s">
        <v>1202</v>
      </c>
      <c r="D690" s="252" t="s">
        <v>2687</v>
      </c>
      <c r="E690" s="252" t="s">
        <v>1157</v>
      </c>
      <c r="F690" s="252" t="s">
        <v>889</v>
      </c>
      <c r="G690" s="255"/>
    </row>
    <row r="691" spans="1:7" s="108" customFormat="1" ht="14.1" customHeight="1">
      <c r="A691" s="251" t="s">
        <v>1120</v>
      </c>
      <c r="B691" s="252" t="s">
        <v>2688</v>
      </c>
      <c r="C691" s="254" t="s">
        <v>1202</v>
      </c>
      <c r="D691" s="252" t="s">
        <v>2687</v>
      </c>
      <c r="E691" s="252" t="s">
        <v>1157</v>
      </c>
      <c r="F691" s="252" t="s">
        <v>892</v>
      </c>
      <c r="G691" s="255"/>
    </row>
    <row r="692" spans="1:7" s="108" customFormat="1" ht="14.1" customHeight="1">
      <c r="A692" s="251" t="s">
        <v>1120</v>
      </c>
      <c r="B692" s="252" t="s">
        <v>2689</v>
      </c>
      <c r="C692" s="254" t="s">
        <v>1202</v>
      </c>
      <c r="D692" s="252" t="s">
        <v>2690</v>
      </c>
      <c r="E692" s="252" t="s">
        <v>888</v>
      </c>
      <c r="F692" s="252" t="s">
        <v>889</v>
      </c>
      <c r="G692" s="255"/>
    </row>
    <row r="693" spans="1:7" s="108" customFormat="1" ht="14.1" customHeight="1">
      <c r="A693" s="251" t="s">
        <v>1120</v>
      </c>
      <c r="B693" s="252" t="s">
        <v>2691</v>
      </c>
      <c r="C693" s="254" t="s">
        <v>917</v>
      </c>
      <c r="D693" s="252" t="s">
        <v>1661</v>
      </c>
      <c r="E693" s="252" t="s">
        <v>918</v>
      </c>
      <c r="F693" s="252" t="s">
        <v>1794</v>
      </c>
      <c r="G693" s="255"/>
    </row>
    <row r="694" spans="1:7" s="108" customFormat="1" ht="14.1" customHeight="1">
      <c r="A694" s="251" t="s">
        <v>1120</v>
      </c>
      <c r="B694" s="252" t="s">
        <v>2692</v>
      </c>
      <c r="C694" s="254" t="s">
        <v>1126</v>
      </c>
      <c r="D694" s="252" t="s">
        <v>1125</v>
      </c>
      <c r="E694" s="252" t="s">
        <v>959</v>
      </c>
      <c r="F694" s="252" t="s">
        <v>889</v>
      </c>
      <c r="G694" s="255">
        <v>4.0629999999999997</v>
      </c>
    </row>
    <row r="695" spans="1:7" s="108" customFormat="1" ht="14.1" customHeight="1">
      <c r="A695" s="251" t="s">
        <v>1120</v>
      </c>
      <c r="B695" s="252" t="s">
        <v>2693</v>
      </c>
      <c r="C695" s="254" t="s">
        <v>894</v>
      </c>
      <c r="D695" s="252" t="s">
        <v>1128</v>
      </c>
      <c r="E695" s="252" t="s">
        <v>888</v>
      </c>
      <c r="F695" s="252" t="s">
        <v>889</v>
      </c>
      <c r="G695" s="255">
        <v>7.4</v>
      </c>
    </row>
    <row r="696" spans="1:7" s="108" customFormat="1" ht="14.1" customHeight="1">
      <c r="A696" s="251" t="s">
        <v>1120</v>
      </c>
      <c r="B696" s="252" t="s">
        <v>2694</v>
      </c>
      <c r="C696" s="254" t="s">
        <v>1080</v>
      </c>
      <c r="D696" s="252" t="s">
        <v>2695</v>
      </c>
      <c r="E696" s="252" t="s">
        <v>888</v>
      </c>
      <c r="F696" s="252" t="s">
        <v>889</v>
      </c>
      <c r="G696" s="255"/>
    </row>
    <row r="697" spans="1:7" s="108" customFormat="1" ht="14.1" customHeight="1">
      <c r="A697" s="251" t="s">
        <v>1120</v>
      </c>
      <c r="B697" s="252" t="s">
        <v>2696</v>
      </c>
      <c r="C697" s="254" t="s">
        <v>1080</v>
      </c>
      <c r="D697" s="252" t="s">
        <v>1131</v>
      </c>
      <c r="E697" s="252" t="s">
        <v>954</v>
      </c>
      <c r="F697" s="252" t="s">
        <v>889</v>
      </c>
      <c r="G697" s="255">
        <v>25</v>
      </c>
    </row>
    <row r="698" spans="1:7" s="108" customFormat="1" ht="14.1" customHeight="1">
      <c r="A698" s="251" t="s">
        <v>1120</v>
      </c>
      <c r="B698" s="252" t="s">
        <v>2697</v>
      </c>
      <c r="C698" s="254" t="s">
        <v>1246</v>
      </c>
      <c r="D698" s="252" t="s">
        <v>1129</v>
      </c>
      <c r="E698" s="252" t="s">
        <v>888</v>
      </c>
      <c r="F698" s="252" t="s">
        <v>889</v>
      </c>
      <c r="G698" s="255">
        <v>11.86</v>
      </c>
    </row>
    <row r="699" spans="1:7" s="108" customFormat="1" ht="14.1" customHeight="1">
      <c r="A699" s="251" t="s">
        <v>1120</v>
      </c>
      <c r="B699" s="252" t="s">
        <v>2698</v>
      </c>
      <c r="C699" s="254" t="s">
        <v>1345</v>
      </c>
      <c r="D699" s="252" t="s">
        <v>1137</v>
      </c>
      <c r="E699" s="252" t="s">
        <v>945</v>
      </c>
      <c r="F699" s="252" t="s">
        <v>889</v>
      </c>
      <c r="G699" s="255">
        <v>100</v>
      </c>
    </row>
    <row r="700" spans="1:7" s="108" customFormat="1" ht="14.1" customHeight="1">
      <c r="A700" s="251" t="s">
        <v>1120</v>
      </c>
      <c r="B700" s="252" t="s">
        <v>2699</v>
      </c>
      <c r="C700" s="254" t="s">
        <v>911</v>
      </c>
      <c r="D700" s="252" t="s">
        <v>2700</v>
      </c>
      <c r="E700" s="252" t="s">
        <v>888</v>
      </c>
      <c r="F700" s="252" t="s">
        <v>889</v>
      </c>
      <c r="G700" s="255"/>
    </row>
    <row r="701" spans="1:7" s="108" customFormat="1" ht="14.1" customHeight="1">
      <c r="A701" s="251" t="s">
        <v>1120</v>
      </c>
      <c r="B701" s="252" t="s">
        <v>2701</v>
      </c>
      <c r="C701" s="254" t="s">
        <v>1000</v>
      </c>
      <c r="D701" s="252" t="s">
        <v>2702</v>
      </c>
      <c r="E701" s="252" t="s">
        <v>888</v>
      </c>
      <c r="F701" s="252" t="s">
        <v>889</v>
      </c>
      <c r="G701" s="255"/>
    </row>
    <row r="702" spans="1:7" s="108" customFormat="1" ht="14.1" customHeight="1">
      <c r="A702" s="251" t="s">
        <v>1120</v>
      </c>
      <c r="B702" s="252" t="s">
        <v>2703</v>
      </c>
      <c r="C702" s="254" t="s">
        <v>1068</v>
      </c>
      <c r="D702" s="252" t="s">
        <v>2704</v>
      </c>
      <c r="E702" s="252" t="s">
        <v>939</v>
      </c>
      <c r="F702" s="252" t="s">
        <v>889</v>
      </c>
      <c r="G702" s="255"/>
    </row>
    <row r="703" spans="1:7" s="108" customFormat="1" ht="14.1" customHeight="1">
      <c r="A703" s="251" t="s">
        <v>1120</v>
      </c>
      <c r="B703" s="252" t="s">
        <v>2705</v>
      </c>
      <c r="C703" s="254" t="s">
        <v>1164</v>
      </c>
      <c r="D703" s="252" t="s">
        <v>1356</v>
      </c>
      <c r="E703" s="252" t="s">
        <v>888</v>
      </c>
      <c r="F703" s="252" t="s">
        <v>889</v>
      </c>
      <c r="G703" s="255"/>
    </row>
    <row r="704" spans="1:7" s="108" customFormat="1" ht="14.1" customHeight="1">
      <c r="A704" s="251" t="s">
        <v>1120</v>
      </c>
      <c r="B704" s="252" t="s">
        <v>2706</v>
      </c>
      <c r="C704" s="254" t="s">
        <v>983</v>
      </c>
      <c r="D704" s="252" t="s">
        <v>2707</v>
      </c>
      <c r="E704" s="252" t="s">
        <v>907</v>
      </c>
      <c r="F704" s="252" t="s">
        <v>889</v>
      </c>
      <c r="G704" s="255"/>
    </row>
    <row r="705" spans="1:7" s="108" customFormat="1" ht="14.1" customHeight="1">
      <c r="A705" s="251" t="s">
        <v>1120</v>
      </c>
      <c r="B705" s="252" t="s">
        <v>2708</v>
      </c>
      <c r="C705" s="254" t="s">
        <v>983</v>
      </c>
      <c r="D705" s="252" t="s">
        <v>2709</v>
      </c>
      <c r="E705" s="252" t="s">
        <v>1268</v>
      </c>
      <c r="F705" s="252" t="s">
        <v>889</v>
      </c>
      <c r="G705" s="255"/>
    </row>
    <row r="706" spans="1:7" s="108" customFormat="1" ht="14.1" customHeight="1">
      <c r="A706" s="251" t="s">
        <v>1120</v>
      </c>
      <c r="B706" s="252" t="s">
        <v>2710</v>
      </c>
      <c r="C706" s="254" t="s">
        <v>983</v>
      </c>
      <c r="D706" s="252" t="s">
        <v>1121</v>
      </c>
      <c r="E706" s="252" t="s">
        <v>925</v>
      </c>
      <c r="F706" s="252" t="s">
        <v>892</v>
      </c>
      <c r="G706" s="255">
        <v>2.9000000000000001E-2</v>
      </c>
    </row>
    <row r="707" spans="1:7" s="108" customFormat="1" ht="14.1" customHeight="1">
      <c r="A707" s="251" t="s">
        <v>1120</v>
      </c>
      <c r="B707" s="252" t="s">
        <v>2711</v>
      </c>
      <c r="C707" s="254" t="s">
        <v>1009</v>
      </c>
      <c r="D707" s="252" t="s">
        <v>1124</v>
      </c>
      <c r="E707" s="252" t="s">
        <v>918</v>
      </c>
      <c r="F707" s="252" t="s">
        <v>892</v>
      </c>
      <c r="G707" s="255">
        <v>1.595</v>
      </c>
    </row>
    <row r="708" spans="1:7" s="108" customFormat="1" ht="14.1" customHeight="1">
      <c r="A708" s="251" t="s">
        <v>1328</v>
      </c>
      <c r="B708" s="252" t="s">
        <v>2712</v>
      </c>
      <c r="C708" s="254" t="s">
        <v>968</v>
      </c>
      <c r="D708" s="252" t="s">
        <v>2713</v>
      </c>
      <c r="E708" s="252" t="s">
        <v>888</v>
      </c>
      <c r="F708" s="252" t="s">
        <v>889</v>
      </c>
      <c r="G708" s="255"/>
    </row>
    <row r="709" spans="1:7" s="108" customFormat="1" ht="14.1" customHeight="1">
      <c r="A709" s="251" t="s">
        <v>1328</v>
      </c>
      <c r="B709" s="252" t="s">
        <v>2714</v>
      </c>
      <c r="C709" s="254" t="s">
        <v>968</v>
      </c>
      <c r="D709" s="252" t="s">
        <v>2713</v>
      </c>
      <c r="E709" s="252" t="s">
        <v>888</v>
      </c>
      <c r="F709" s="252" t="s">
        <v>889</v>
      </c>
      <c r="G709" s="255"/>
    </row>
    <row r="710" spans="1:7" s="108" customFormat="1" ht="14.1" customHeight="1">
      <c r="A710" s="251" t="s">
        <v>1328</v>
      </c>
      <c r="B710" s="252" t="s">
        <v>2715</v>
      </c>
      <c r="C710" s="254" t="s">
        <v>1088</v>
      </c>
      <c r="D710" s="252" t="s">
        <v>2716</v>
      </c>
      <c r="E710" s="252" t="s">
        <v>912</v>
      </c>
      <c r="F710" s="252" t="s">
        <v>889</v>
      </c>
      <c r="G710" s="255"/>
    </row>
    <row r="711" spans="1:7" s="108" customFormat="1" ht="14.1" customHeight="1">
      <c r="A711" s="251" t="s">
        <v>1328</v>
      </c>
      <c r="B711" s="252" t="s">
        <v>2552</v>
      </c>
      <c r="C711" s="254" t="s">
        <v>1088</v>
      </c>
      <c r="D711" s="252" t="s">
        <v>2553</v>
      </c>
      <c r="E711" s="252" t="s">
        <v>939</v>
      </c>
      <c r="F711" s="252" t="s">
        <v>1794</v>
      </c>
      <c r="G711" s="255"/>
    </row>
    <row r="712" spans="1:7" s="108" customFormat="1" ht="14.1" customHeight="1">
      <c r="A712" s="251" t="s">
        <v>1328</v>
      </c>
      <c r="B712" s="252" t="s">
        <v>2717</v>
      </c>
      <c r="C712" s="254" t="s">
        <v>986</v>
      </c>
      <c r="D712" s="252" t="s">
        <v>1329</v>
      </c>
      <c r="E712" s="252" t="s">
        <v>888</v>
      </c>
      <c r="F712" s="252" t="s">
        <v>889</v>
      </c>
      <c r="G712" s="255">
        <v>644.00800000000004</v>
      </c>
    </row>
    <row r="713" spans="1:7" s="108" customFormat="1" ht="14.1" customHeight="1">
      <c r="A713" s="251" t="s">
        <v>1328</v>
      </c>
      <c r="B713" s="252" t="s">
        <v>2718</v>
      </c>
      <c r="C713" s="254" t="s">
        <v>1202</v>
      </c>
      <c r="D713" s="252" t="s">
        <v>2687</v>
      </c>
      <c r="E713" s="252" t="s">
        <v>1157</v>
      </c>
      <c r="F713" s="252" t="s">
        <v>892</v>
      </c>
      <c r="G713" s="255"/>
    </row>
    <row r="714" spans="1:7" s="108" customFormat="1" ht="14.1" customHeight="1">
      <c r="A714" s="251" t="s">
        <v>1328</v>
      </c>
      <c r="B714" s="252" t="s">
        <v>2719</v>
      </c>
      <c r="C714" s="254" t="s">
        <v>917</v>
      </c>
      <c r="D714" s="252" t="s">
        <v>1330</v>
      </c>
      <c r="E714" s="252" t="s">
        <v>918</v>
      </c>
      <c r="F714" s="252" t="s">
        <v>889</v>
      </c>
      <c r="G714" s="255">
        <v>2000</v>
      </c>
    </row>
    <row r="715" spans="1:7" s="108" customFormat="1" ht="14.1" customHeight="1">
      <c r="A715" s="251" t="s">
        <v>1328</v>
      </c>
      <c r="B715" s="252" t="s">
        <v>2720</v>
      </c>
      <c r="C715" s="254" t="s">
        <v>1164</v>
      </c>
      <c r="D715" s="252" t="s">
        <v>1038</v>
      </c>
      <c r="E715" s="252" t="s">
        <v>888</v>
      </c>
      <c r="F715" s="252" t="s">
        <v>889</v>
      </c>
      <c r="G715" s="255">
        <v>15</v>
      </c>
    </row>
    <row r="716" spans="1:7" s="108" customFormat="1" ht="14.1" customHeight="1">
      <c r="A716" s="251" t="s">
        <v>1328</v>
      </c>
      <c r="B716" s="252" t="s">
        <v>2721</v>
      </c>
      <c r="C716" s="254" t="s">
        <v>983</v>
      </c>
      <c r="D716" s="252" t="s">
        <v>2722</v>
      </c>
      <c r="E716" s="252" t="s">
        <v>939</v>
      </c>
      <c r="F716" s="252" t="s">
        <v>889</v>
      </c>
      <c r="G716" s="255"/>
    </row>
    <row r="717" spans="1:7" s="108" customFormat="1" ht="14.1" customHeight="1">
      <c r="A717" s="251" t="s">
        <v>1403</v>
      </c>
      <c r="B717" s="252" t="s">
        <v>2723</v>
      </c>
      <c r="C717" s="254" t="s">
        <v>968</v>
      </c>
      <c r="D717" s="252" t="s">
        <v>2724</v>
      </c>
      <c r="E717" s="252" t="s">
        <v>888</v>
      </c>
      <c r="F717" s="252" t="s">
        <v>889</v>
      </c>
      <c r="G717" s="255"/>
    </row>
    <row r="718" spans="1:7" s="108" customFormat="1" ht="14.1" customHeight="1">
      <c r="A718" s="251" t="s">
        <v>1403</v>
      </c>
      <c r="B718" s="252" t="s">
        <v>2725</v>
      </c>
      <c r="C718" s="254" t="s">
        <v>968</v>
      </c>
      <c r="D718" s="252" t="s">
        <v>2726</v>
      </c>
      <c r="E718" s="252" t="s">
        <v>918</v>
      </c>
      <c r="F718" s="252" t="s">
        <v>889</v>
      </c>
      <c r="G718" s="255"/>
    </row>
    <row r="719" spans="1:7" s="108" customFormat="1" ht="14.1" customHeight="1">
      <c r="A719" s="251" t="s">
        <v>1403</v>
      </c>
      <c r="B719" s="252" t="s">
        <v>2727</v>
      </c>
      <c r="C719" s="254" t="s">
        <v>938</v>
      </c>
      <c r="D719" s="252" t="s">
        <v>2728</v>
      </c>
      <c r="E719" s="252" t="s">
        <v>939</v>
      </c>
      <c r="F719" s="252" t="s">
        <v>889</v>
      </c>
      <c r="G719" s="255"/>
    </row>
    <row r="720" spans="1:7" s="108" customFormat="1" ht="14.1" customHeight="1">
      <c r="A720" s="251" t="s">
        <v>1403</v>
      </c>
      <c r="B720" s="252" t="s">
        <v>2729</v>
      </c>
      <c r="C720" s="254" t="s">
        <v>917</v>
      </c>
      <c r="D720" s="252" t="s">
        <v>1606</v>
      </c>
      <c r="E720" s="252" t="s">
        <v>918</v>
      </c>
      <c r="F720" s="252" t="s">
        <v>931</v>
      </c>
      <c r="G720" s="255"/>
    </row>
    <row r="721" spans="1:7" s="108" customFormat="1" ht="14.1" customHeight="1">
      <c r="A721" s="251" t="s">
        <v>1403</v>
      </c>
      <c r="B721" s="252" t="s">
        <v>2730</v>
      </c>
      <c r="C721" s="254" t="s">
        <v>917</v>
      </c>
      <c r="D721" s="252" t="s">
        <v>1404</v>
      </c>
      <c r="E721" s="252" t="s">
        <v>918</v>
      </c>
      <c r="F721" s="252" t="s">
        <v>913</v>
      </c>
      <c r="G721" s="255">
        <v>7.2</v>
      </c>
    </row>
    <row r="722" spans="1:7" s="108" customFormat="1" ht="14.1" customHeight="1">
      <c r="A722" s="251" t="s">
        <v>1403</v>
      </c>
      <c r="B722" s="252" t="s">
        <v>2731</v>
      </c>
      <c r="C722" s="254" t="s">
        <v>1023</v>
      </c>
      <c r="D722" s="252" t="s">
        <v>2732</v>
      </c>
      <c r="E722" s="252" t="s">
        <v>1010</v>
      </c>
      <c r="F722" s="252" t="s">
        <v>889</v>
      </c>
      <c r="G722" s="255"/>
    </row>
    <row r="723" spans="1:7" s="108" customFormat="1" ht="14.1" customHeight="1">
      <c r="A723" s="251" t="s">
        <v>1403</v>
      </c>
      <c r="B723" s="252" t="s">
        <v>2733</v>
      </c>
      <c r="C723" s="254" t="s">
        <v>894</v>
      </c>
      <c r="D723" s="252" t="s">
        <v>886</v>
      </c>
      <c r="E723" s="252" t="s">
        <v>888</v>
      </c>
      <c r="F723" s="252" t="s">
        <v>889</v>
      </c>
      <c r="G723" s="255">
        <v>380</v>
      </c>
    </row>
    <row r="724" spans="1:7" s="108" customFormat="1" ht="14.1" customHeight="1">
      <c r="A724" s="251" t="s">
        <v>1403</v>
      </c>
      <c r="B724" s="252" t="s">
        <v>2734</v>
      </c>
      <c r="C724" s="254" t="s">
        <v>983</v>
      </c>
      <c r="D724" s="252" t="s">
        <v>1103</v>
      </c>
      <c r="E724" s="252" t="s">
        <v>959</v>
      </c>
      <c r="F724" s="252" t="s">
        <v>892</v>
      </c>
      <c r="G724" s="255"/>
    </row>
    <row r="725" spans="1:7" s="108" customFormat="1" ht="14.1" customHeight="1">
      <c r="A725" s="251" t="s">
        <v>1449</v>
      </c>
      <c r="B725" s="252" t="s">
        <v>2735</v>
      </c>
      <c r="C725" s="254" t="s">
        <v>968</v>
      </c>
      <c r="D725" s="252" t="s">
        <v>1907</v>
      </c>
      <c r="E725" s="252" t="s">
        <v>888</v>
      </c>
      <c r="F725" s="252" t="s">
        <v>889</v>
      </c>
      <c r="G725" s="255"/>
    </row>
    <row r="726" spans="1:7" s="108" customFormat="1" ht="14.1" customHeight="1">
      <c r="A726" s="251" t="s">
        <v>1449</v>
      </c>
      <c r="B726" s="252" t="s">
        <v>2736</v>
      </c>
      <c r="C726" s="254" t="s">
        <v>1032</v>
      </c>
      <c r="D726" s="252" t="s">
        <v>2737</v>
      </c>
      <c r="E726" s="252" t="s">
        <v>904</v>
      </c>
      <c r="F726" s="252" t="s">
        <v>889</v>
      </c>
      <c r="G726" s="255"/>
    </row>
    <row r="727" spans="1:7" s="108" customFormat="1" ht="14.1" customHeight="1">
      <c r="A727" s="251" t="s">
        <v>1449</v>
      </c>
      <c r="B727" s="252" t="s">
        <v>2738</v>
      </c>
      <c r="C727" s="254" t="s">
        <v>917</v>
      </c>
      <c r="D727" s="252" t="s">
        <v>1450</v>
      </c>
      <c r="E727" s="252" t="s">
        <v>918</v>
      </c>
      <c r="F727" s="252" t="s">
        <v>889</v>
      </c>
      <c r="G727" s="255">
        <v>213.846</v>
      </c>
    </row>
    <row r="728" spans="1:7" s="108" customFormat="1" ht="14.1" customHeight="1">
      <c r="A728" s="251" t="s">
        <v>1523</v>
      </c>
      <c r="B728" s="252" t="s">
        <v>2739</v>
      </c>
      <c r="C728" s="254" t="s">
        <v>968</v>
      </c>
      <c r="D728" s="252" t="s">
        <v>2568</v>
      </c>
      <c r="E728" s="252" t="s">
        <v>929</v>
      </c>
      <c r="F728" s="252" t="s">
        <v>889</v>
      </c>
      <c r="G728" s="255"/>
    </row>
    <row r="729" spans="1:7" s="108" customFormat="1" ht="14.1" customHeight="1">
      <c r="A729" s="251" t="s">
        <v>1523</v>
      </c>
      <c r="B729" s="252" t="s">
        <v>2740</v>
      </c>
      <c r="C729" s="254" t="s">
        <v>968</v>
      </c>
      <c r="D729" s="252" t="s">
        <v>2741</v>
      </c>
      <c r="E729" s="252" t="s">
        <v>939</v>
      </c>
      <c r="F729" s="252" t="s">
        <v>889</v>
      </c>
      <c r="G729" s="255"/>
    </row>
    <row r="730" spans="1:7" s="108" customFormat="1" ht="14.1" customHeight="1">
      <c r="A730" s="251" t="s">
        <v>1523</v>
      </c>
      <c r="B730" s="252" t="s">
        <v>2742</v>
      </c>
      <c r="C730" s="254" t="s">
        <v>1032</v>
      </c>
      <c r="D730" s="252" t="s">
        <v>2743</v>
      </c>
      <c r="E730" s="252" t="s">
        <v>939</v>
      </c>
      <c r="F730" s="252" t="s">
        <v>889</v>
      </c>
      <c r="G730" s="255"/>
    </row>
    <row r="731" spans="1:7" s="108" customFormat="1" ht="14.1" customHeight="1">
      <c r="A731" s="251" t="s">
        <v>1523</v>
      </c>
      <c r="B731" s="252" t="s">
        <v>2744</v>
      </c>
      <c r="C731" s="254" t="s">
        <v>906</v>
      </c>
      <c r="D731" s="252" t="s">
        <v>2745</v>
      </c>
      <c r="E731" s="252" t="s">
        <v>895</v>
      </c>
      <c r="F731" s="252" t="s">
        <v>889</v>
      </c>
      <c r="G731" s="255"/>
    </row>
    <row r="732" spans="1:7" s="108" customFormat="1" ht="14.1" customHeight="1">
      <c r="A732" s="251" t="s">
        <v>1523</v>
      </c>
      <c r="B732" s="252" t="s">
        <v>2746</v>
      </c>
      <c r="C732" s="254" t="s">
        <v>906</v>
      </c>
      <c r="D732" s="252" t="s">
        <v>2747</v>
      </c>
      <c r="E732" s="252" t="s">
        <v>959</v>
      </c>
      <c r="F732" s="252" t="s">
        <v>889</v>
      </c>
      <c r="G732" s="255"/>
    </row>
    <row r="733" spans="1:7" s="108" customFormat="1" ht="14.1" customHeight="1">
      <c r="A733" s="251" t="s">
        <v>1523</v>
      </c>
      <c r="B733" s="252" t="s">
        <v>2748</v>
      </c>
      <c r="C733" s="254" t="s">
        <v>1833</v>
      </c>
      <c r="D733" s="252" t="s">
        <v>2749</v>
      </c>
      <c r="E733" s="252" t="s">
        <v>939</v>
      </c>
      <c r="F733" s="252" t="s">
        <v>889</v>
      </c>
      <c r="G733" s="255"/>
    </row>
    <row r="734" spans="1:7" s="108" customFormat="1" ht="14.1" customHeight="1">
      <c r="A734" s="251" t="s">
        <v>1523</v>
      </c>
      <c r="B734" s="252" t="s">
        <v>2750</v>
      </c>
      <c r="C734" s="254" t="s">
        <v>890</v>
      </c>
      <c r="D734" s="252" t="s">
        <v>2751</v>
      </c>
      <c r="E734" s="252" t="s">
        <v>954</v>
      </c>
      <c r="F734" s="252" t="s">
        <v>889</v>
      </c>
      <c r="G734" s="255"/>
    </row>
    <row r="735" spans="1:7" s="108" customFormat="1" ht="14.1" customHeight="1">
      <c r="A735" s="251" t="s">
        <v>1523</v>
      </c>
      <c r="B735" s="252" t="s">
        <v>2752</v>
      </c>
      <c r="C735" s="254" t="s">
        <v>1202</v>
      </c>
      <c r="D735" s="252" t="s">
        <v>2753</v>
      </c>
      <c r="E735" s="252" t="s">
        <v>888</v>
      </c>
      <c r="F735" s="252" t="s">
        <v>889</v>
      </c>
      <c r="G735" s="255"/>
    </row>
    <row r="736" spans="1:7" s="108" customFormat="1" ht="14.1" customHeight="1">
      <c r="A736" s="251" t="s">
        <v>1523</v>
      </c>
      <c r="B736" s="252" t="s">
        <v>2754</v>
      </c>
      <c r="C736" s="254" t="s">
        <v>917</v>
      </c>
      <c r="D736" s="252" t="s">
        <v>1661</v>
      </c>
      <c r="E736" s="252" t="s">
        <v>918</v>
      </c>
      <c r="F736" s="252" t="s">
        <v>892</v>
      </c>
      <c r="G736" s="255"/>
    </row>
    <row r="737" spans="1:7" s="108" customFormat="1" ht="14.1" customHeight="1">
      <c r="A737" s="251" t="s">
        <v>1523</v>
      </c>
      <c r="B737" s="252" t="s">
        <v>2755</v>
      </c>
      <c r="C737" s="254" t="s">
        <v>917</v>
      </c>
      <c r="D737" s="252" t="s">
        <v>886</v>
      </c>
      <c r="E737" s="252" t="s">
        <v>918</v>
      </c>
      <c r="F737" s="252" t="s">
        <v>889</v>
      </c>
      <c r="G737" s="255">
        <v>0.60299999999999998</v>
      </c>
    </row>
    <row r="738" spans="1:7" s="108" customFormat="1" ht="14.1" customHeight="1">
      <c r="A738" s="251" t="s">
        <v>1523</v>
      </c>
      <c r="B738" s="252" t="s">
        <v>2756</v>
      </c>
      <c r="C738" s="254" t="s">
        <v>917</v>
      </c>
      <c r="D738" s="252" t="s">
        <v>1525</v>
      </c>
      <c r="E738" s="252" t="s">
        <v>918</v>
      </c>
      <c r="F738" s="252" t="s">
        <v>913</v>
      </c>
      <c r="G738" s="255">
        <v>0.70799999999999996</v>
      </c>
    </row>
    <row r="739" spans="1:7" s="108" customFormat="1" ht="14.1" customHeight="1">
      <c r="A739" s="251" t="s">
        <v>1523</v>
      </c>
      <c r="B739" s="252" t="s">
        <v>2757</v>
      </c>
      <c r="C739" s="254" t="s">
        <v>917</v>
      </c>
      <c r="D739" s="252" t="s">
        <v>1538</v>
      </c>
      <c r="E739" s="252" t="s">
        <v>918</v>
      </c>
      <c r="F739" s="252" t="s">
        <v>931</v>
      </c>
      <c r="G739" s="255"/>
    </row>
    <row r="740" spans="1:7" s="108" customFormat="1" ht="14.1" customHeight="1">
      <c r="A740" s="251" t="s">
        <v>1523</v>
      </c>
      <c r="B740" s="252" t="s">
        <v>2758</v>
      </c>
      <c r="C740" s="254" t="s">
        <v>917</v>
      </c>
      <c r="D740" s="252" t="s">
        <v>1528</v>
      </c>
      <c r="E740" s="252" t="s">
        <v>918</v>
      </c>
      <c r="F740" s="252" t="s">
        <v>889</v>
      </c>
      <c r="G740" s="255">
        <v>29.707000000000001</v>
      </c>
    </row>
    <row r="741" spans="1:7" s="108" customFormat="1" ht="14.1" customHeight="1">
      <c r="A741" s="251" t="s">
        <v>1523</v>
      </c>
      <c r="B741" s="252" t="s">
        <v>2759</v>
      </c>
      <c r="C741" s="254" t="s">
        <v>917</v>
      </c>
      <c r="D741" s="252" t="s">
        <v>1524</v>
      </c>
      <c r="E741" s="252" t="s">
        <v>918</v>
      </c>
      <c r="F741" s="252" t="s">
        <v>892</v>
      </c>
      <c r="G741" s="255">
        <v>2.5999999999999999E-2</v>
      </c>
    </row>
    <row r="742" spans="1:7" s="108" customFormat="1" ht="14.1" customHeight="1">
      <c r="A742" s="251" t="s">
        <v>1523</v>
      </c>
      <c r="B742" s="252" t="s">
        <v>2760</v>
      </c>
      <c r="C742" s="254" t="s">
        <v>917</v>
      </c>
      <c r="D742" s="252" t="s">
        <v>2761</v>
      </c>
      <c r="E742" s="252" t="s">
        <v>918</v>
      </c>
      <c r="F742" s="252" t="s">
        <v>892</v>
      </c>
      <c r="G742" s="255"/>
    </row>
    <row r="743" spans="1:7" s="108" customFormat="1" ht="14.1" customHeight="1">
      <c r="A743" s="251" t="s">
        <v>1523</v>
      </c>
      <c r="B743" s="252" t="s">
        <v>2762</v>
      </c>
      <c r="C743" s="254" t="s">
        <v>1246</v>
      </c>
      <c r="D743" s="252" t="s">
        <v>1527</v>
      </c>
      <c r="E743" s="252" t="s">
        <v>895</v>
      </c>
      <c r="F743" s="252" t="s">
        <v>889</v>
      </c>
      <c r="G743" s="255">
        <v>16.957999999999998</v>
      </c>
    </row>
    <row r="744" spans="1:7" s="108" customFormat="1" ht="14.1" customHeight="1">
      <c r="A744" s="251" t="s">
        <v>1523</v>
      </c>
      <c r="B744" s="252" t="s">
        <v>2763</v>
      </c>
      <c r="C744" s="254" t="s">
        <v>1246</v>
      </c>
      <c r="D744" s="252" t="s">
        <v>2764</v>
      </c>
      <c r="E744" s="252" t="s">
        <v>959</v>
      </c>
      <c r="F744" s="252" t="s">
        <v>889</v>
      </c>
      <c r="G744" s="255"/>
    </row>
    <row r="745" spans="1:7" s="108" customFormat="1" ht="14.1" customHeight="1">
      <c r="A745" s="251" t="s">
        <v>1523</v>
      </c>
      <c r="B745" s="252" t="s">
        <v>2765</v>
      </c>
      <c r="C745" s="254" t="s">
        <v>1246</v>
      </c>
      <c r="D745" s="252" t="s">
        <v>2766</v>
      </c>
      <c r="E745" s="252" t="s">
        <v>939</v>
      </c>
      <c r="F745" s="252" t="s">
        <v>889</v>
      </c>
      <c r="G745" s="255"/>
    </row>
    <row r="746" spans="1:7" s="108" customFormat="1" ht="14.1" customHeight="1">
      <c r="A746" s="251" t="s">
        <v>1523</v>
      </c>
      <c r="B746" s="252" t="s">
        <v>2767</v>
      </c>
      <c r="C746" s="254" t="s">
        <v>1246</v>
      </c>
      <c r="D746" s="252" t="s">
        <v>886</v>
      </c>
      <c r="E746" s="252" t="s">
        <v>888</v>
      </c>
      <c r="F746" s="252" t="s">
        <v>889</v>
      </c>
      <c r="G746" s="255"/>
    </row>
    <row r="747" spans="1:7" s="108" customFormat="1" ht="14.1" customHeight="1">
      <c r="A747" s="251" t="s">
        <v>1523</v>
      </c>
      <c r="B747" s="252" t="s">
        <v>2768</v>
      </c>
      <c r="C747" s="254" t="s">
        <v>1099</v>
      </c>
      <c r="D747" s="252" t="s">
        <v>2769</v>
      </c>
      <c r="E747" s="252" t="s">
        <v>895</v>
      </c>
      <c r="F747" s="252" t="s">
        <v>889</v>
      </c>
      <c r="G747" s="255"/>
    </row>
    <row r="748" spans="1:7" s="108" customFormat="1" ht="14.1" customHeight="1">
      <c r="A748" s="251" t="s">
        <v>1523</v>
      </c>
      <c r="B748" s="252" t="s">
        <v>2770</v>
      </c>
      <c r="C748" s="254" t="s">
        <v>911</v>
      </c>
      <c r="D748" s="252" t="s">
        <v>1529</v>
      </c>
      <c r="E748" s="252" t="s">
        <v>888</v>
      </c>
      <c r="F748" s="252" t="s">
        <v>892</v>
      </c>
      <c r="G748" s="255">
        <v>100</v>
      </c>
    </row>
    <row r="749" spans="1:7" s="108" customFormat="1" ht="14.1" customHeight="1">
      <c r="A749" s="251" t="s">
        <v>1523</v>
      </c>
      <c r="B749" s="252" t="s">
        <v>2770</v>
      </c>
      <c r="C749" s="254" t="s">
        <v>911</v>
      </c>
      <c r="D749" s="252" t="s">
        <v>1462</v>
      </c>
      <c r="E749" s="252" t="s">
        <v>888</v>
      </c>
      <c r="F749" s="252" t="s">
        <v>889</v>
      </c>
      <c r="G749" s="255">
        <v>300</v>
      </c>
    </row>
    <row r="750" spans="1:7" s="108" customFormat="1" ht="14.1" customHeight="1">
      <c r="A750" s="251" t="s">
        <v>1523</v>
      </c>
      <c r="B750" s="252" t="s">
        <v>2771</v>
      </c>
      <c r="C750" s="254" t="s">
        <v>1020</v>
      </c>
      <c r="D750" s="252" t="s">
        <v>2772</v>
      </c>
      <c r="E750" s="252" t="s">
        <v>888</v>
      </c>
      <c r="F750" s="252" t="s">
        <v>892</v>
      </c>
      <c r="G750" s="255"/>
    </row>
    <row r="751" spans="1:7" s="108" customFormat="1" ht="14.1" customHeight="1">
      <c r="A751" s="251" t="s">
        <v>1523</v>
      </c>
      <c r="B751" s="252" t="s">
        <v>2328</v>
      </c>
      <c r="C751" s="254" t="s">
        <v>1020</v>
      </c>
      <c r="D751" s="252" t="s">
        <v>1530</v>
      </c>
      <c r="E751" s="252" t="s">
        <v>888</v>
      </c>
      <c r="F751" s="252" t="s">
        <v>889</v>
      </c>
      <c r="G751" s="255">
        <v>2500</v>
      </c>
    </row>
    <row r="752" spans="1:7" s="108" customFormat="1" ht="14.1" customHeight="1">
      <c r="A752" s="251" t="s">
        <v>1523</v>
      </c>
      <c r="B752" s="252" t="s">
        <v>2773</v>
      </c>
      <c r="C752" s="254" t="s">
        <v>1000</v>
      </c>
      <c r="D752" s="252" t="s">
        <v>2774</v>
      </c>
      <c r="E752" s="252" t="s">
        <v>888</v>
      </c>
      <c r="F752" s="252" t="s">
        <v>892</v>
      </c>
      <c r="G752" s="255"/>
    </row>
    <row r="753" spans="1:7" s="108" customFormat="1" ht="14.1" customHeight="1">
      <c r="A753" s="251" t="s">
        <v>1523</v>
      </c>
      <c r="B753" s="252" t="s">
        <v>2775</v>
      </c>
      <c r="C753" s="254" t="s">
        <v>1164</v>
      </c>
      <c r="D753" s="252" t="s">
        <v>2776</v>
      </c>
      <c r="E753" s="252" t="s">
        <v>918</v>
      </c>
      <c r="F753" s="252" t="s">
        <v>889</v>
      </c>
      <c r="G753" s="255"/>
    </row>
    <row r="754" spans="1:7" s="108" customFormat="1" ht="14.1" customHeight="1">
      <c r="A754" s="251" t="s">
        <v>1523</v>
      </c>
      <c r="B754" s="252" t="s">
        <v>2777</v>
      </c>
      <c r="C754" s="254" t="s">
        <v>1164</v>
      </c>
      <c r="D754" s="252" t="s">
        <v>2778</v>
      </c>
      <c r="E754" s="252" t="s">
        <v>888</v>
      </c>
      <c r="F754" s="252" t="s">
        <v>889</v>
      </c>
      <c r="G754" s="255"/>
    </row>
    <row r="755" spans="1:7" s="108" customFormat="1" ht="14.1" customHeight="1">
      <c r="A755" s="251" t="s">
        <v>1523</v>
      </c>
      <c r="B755" s="252" t="s">
        <v>2779</v>
      </c>
      <c r="C755" s="254" t="s">
        <v>983</v>
      </c>
      <c r="D755" s="252" t="s">
        <v>2780</v>
      </c>
      <c r="E755" s="252" t="s">
        <v>959</v>
      </c>
      <c r="F755" s="252" t="s">
        <v>889</v>
      </c>
      <c r="G755" s="255"/>
    </row>
    <row r="756" spans="1:7" s="108" customFormat="1" ht="14.1" customHeight="1">
      <c r="A756" s="251" t="s">
        <v>1523</v>
      </c>
      <c r="B756" s="252" t="s">
        <v>2781</v>
      </c>
      <c r="C756" s="254" t="s">
        <v>1009</v>
      </c>
      <c r="D756" s="252" t="s">
        <v>1526</v>
      </c>
      <c r="E756" s="252" t="s">
        <v>1085</v>
      </c>
      <c r="F756" s="252" t="s">
        <v>889</v>
      </c>
      <c r="G756" s="255">
        <v>10</v>
      </c>
    </row>
    <row r="757" spans="1:7" s="108" customFormat="1" ht="14.1" customHeight="1">
      <c r="A757" s="251" t="s">
        <v>1637</v>
      </c>
      <c r="B757" s="252" t="s">
        <v>2782</v>
      </c>
      <c r="C757" s="254" t="s">
        <v>1088</v>
      </c>
      <c r="D757" s="252" t="s">
        <v>2783</v>
      </c>
      <c r="E757" s="252" t="s">
        <v>939</v>
      </c>
      <c r="F757" s="252" t="s">
        <v>889</v>
      </c>
      <c r="G757" s="255"/>
    </row>
    <row r="758" spans="1:7" s="108" customFormat="1" ht="14.1" customHeight="1">
      <c r="A758" s="251" t="s">
        <v>1637</v>
      </c>
      <c r="B758" s="252" t="s">
        <v>2784</v>
      </c>
      <c r="C758" s="254" t="s">
        <v>986</v>
      </c>
      <c r="D758" s="252" t="s">
        <v>2785</v>
      </c>
      <c r="E758" s="252" t="s">
        <v>895</v>
      </c>
      <c r="F758" s="252" t="s">
        <v>889</v>
      </c>
      <c r="G758" s="255"/>
    </row>
    <row r="759" spans="1:7" s="108" customFormat="1" ht="14.1" customHeight="1">
      <c r="A759" s="251" t="s">
        <v>1637</v>
      </c>
      <c r="B759" s="252" t="s">
        <v>2786</v>
      </c>
      <c r="C759" s="254" t="s">
        <v>986</v>
      </c>
      <c r="D759" s="252" t="s">
        <v>2787</v>
      </c>
      <c r="E759" s="252" t="s">
        <v>895</v>
      </c>
      <c r="F759" s="252" t="s">
        <v>892</v>
      </c>
      <c r="G759" s="255"/>
    </row>
    <row r="760" spans="1:7" s="108" customFormat="1" ht="14.1" customHeight="1">
      <c r="A760" s="251" t="s">
        <v>1637</v>
      </c>
      <c r="B760" s="252" t="s">
        <v>2788</v>
      </c>
      <c r="C760" s="254" t="s">
        <v>917</v>
      </c>
      <c r="D760" s="252" t="s">
        <v>1638</v>
      </c>
      <c r="E760" s="252" t="s">
        <v>918</v>
      </c>
      <c r="F760" s="252" t="s">
        <v>889</v>
      </c>
      <c r="G760" s="255">
        <v>0.19900000000000001</v>
      </c>
    </row>
    <row r="761" spans="1:7" s="108" customFormat="1" ht="14.1" customHeight="1">
      <c r="A761" s="251" t="s">
        <v>1637</v>
      </c>
      <c r="B761" s="252" t="s">
        <v>2789</v>
      </c>
      <c r="C761" s="254" t="s">
        <v>917</v>
      </c>
      <c r="D761" s="252" t="s">
        <v>1639</v>
      </c>
      <c r="E761" s="252" t="s">
        <v>895</v>
      </c>
      <c r="F761" s="252" t="s">
        <v>931</v>
      </c>
      <c r="G761" s="255">
        <v>8.3859999999999992</v>
      </c>
    </row>
    <row r="762" spans="1:7" s="108" customFormat="1" ht="14.1" customHeight="1">
      <c r="A762" s="251" t="s">
        <v>949</v>
      </c>
      <c r="B762" s="252" t="s">
        <v>2790</v>
      </c>
      <c r="C762" s="254" t="s">
        <v>1202</v>
      </c>
      <c r="D762" s="252" t="s">
        <v>2791</v>
      </c>
      <c r="E762" s="252" t="s">
        <v>1157</v>
      </c>
      <c r="F762" s="252" t="s">
        <v>889</v>
      </c>
      <c r="G762" s="255"/>
    </row>
    <row r="763" spans="1:7" s="108" customFormat="1" ht="14.1" customHeight="1">
      <c r="A763" s="251" t="s">
        <v>949</v>
      </c>
      <c r="B763" s="252" t="s">
        <v>2792</v>
      </c>
      <c r="C763" s="254" t="s">
        <v>917</v>
      </c>
      <c r="D763" s="252" t="s">
        <v>2793</v>
      </c>
      <c r="E763" s="252" t="s">
        <v>918</v>
      </c>
      <c r="F763" s="252" t="s">
        <v>889</v>
      </c>
      <c r="G763" s="255"/>
    </row>
    <row r="764" spans="1:7" s="108" customFormat="1" ht="14.1" customHeight="1">
      <c r="A764" s="251" t="s">
        <v>949</v>
      </c>
      <c r="B764" s="252" t="s">
        <v>2794</v>
      </c>
      <c r="C764" s="254" t="s">
        <v>917</v>
      </c>
      <c r="D764" s="252" t="s">
        <v>950</v>
      </c>
      <c r="E764" s="252" t="s">
        <v>918</v>
      </c>
      <c r="F764" s="252" t="s">
        <v>892</v>
      </c>
      <c r="G764" s="255">
        <v>4.75</v>
      </c>
    </row>
    <row r="765" spans="1:7" s="108" customFormat="1" ht="14.1" customHeight="1">
      <c r="A765" s="251" t="s">
        <v>949</v>
      </c>
      <c r="B765" s="252" t="s">
        <v>2047</v>
      </c>
      <c r="C765" s="254" t="s">
        <v>917</v>
      </c>
      <c r="D765" s="252" t="s">
        <v>886</v>
      </c>
      <c r="E765" s="252" t="s">
        <v>919</v>
      </c>
      <c r="F765" s="252" t="s">
        <v>889</v>
      </c>
      <c r="G765" s="255">
        <v>1.3</v>
      </c>
    </row>
    <row r="766" spans="1:7" s="108" customFormat="1" ht="14.1" customHeight="1">
      <c r="A766" s="251" t="s">
        <v>949</v>
      </c>
      <c r="B766" s="252" t="s">
        <v>2795</v>
      </c>
      <c r="C766" s="254" t="s">
        <v>983</v>
      </c>
      <c r="D766" s="252" t="s">
        <v>2796</v>
      </c>
      <c r="E766" s="252" t="s">
        <v>929</v>
      </c>
      <c r="F766" s="252" t="s">
        <v>889</v>
      </c>
      <c r="G766" s="255"/>
    </row>
    <row r="767" spans="1:7" s="108" customFormat="1" ht="14.1" customHeight="1">
      <c r="A767" s="251" t="s">
        <v>1138</v>
      </c>
      <c r="B767" s="252" t="s">
        <v>2797</v>
      </c>
      <c r="C767" s="254" t="s">
        <v>1146</v>
      </c>
      <c r="D767" s="252" t="s">
        <v>1145</v>
      </c>
      <c r="E767" s="252" t="s">
        <v>888</v>
      </c>
      <c r="F767" s="252" t="s">
        <v>889</v>
      </c>
      <c r="G767" s="255">
        <v>14.43</v>
      </c>
    </row>
    <row r="768" spans="1:7" s="108" customFormat="1" ht="14.1" customHeight="1">
      <c r="A768" s="251" t="s">
        <v>1138</v>
      </c>
      <c r="B768" s="252" t="s">
        <v>2797</v>
      </c>
      <c r="C768" s="254" t="s">
        <v>1146</v>
      </c>
      <c r="D768" s="252" t="s">
        <v>1145</v>
      </c>
      <c r="E768" s="252" t="s">
        <v>888</v>
      </c>
      <c r="F768" s="252" t="s">
        <v>889</v>
      </c>
      <c r="G768" s="255">
        <v>7.069</v>
      </c>
    </row>
    <row r="769" spans="1:7" s="108" customFormat="1" ht="14.1" customHeight="1">
      <c r="A769" s="251" t="s">
        <v>1138</v>
      </c>
      <c r="B769" s="252" t="s">
        <v>2798</v>
      </c>
      <c r="C769" s="254" t="s">
        <v>947</v>
      </c>
      <c r="D769" s="252" t="s">
        <v>2523</v>
      </c>
      <c r="E769" s="252" t="s">
        <v>1024</v>
      </c>
      <c r="F769" s="252" t="s">
        <v>889</v>
      </c>
      <c r="G769" s="255"/>
    </row>
    <row r="770" spans="1:7" s="108" customFormat="1" ht="14.1" customHeight="1">
      <c r="A770" s="251" t="s">
        <v>1138</v>
      </c>
      <c r="B770" s="252" t="s">
        <v>2799</v>
      </c>
      <c r="C770" s="254" t="s">
        <v>968</v>
      </c>
      <c r="D770" s="252" t="s">
        <v>1143</v>
      </c>
      <c r="E770" s="252" t="s">
        <v>888</v>
      </c>
      <c r="F770" s="252" t="s">
        <v>889</v>
      </c>
      <c r="G770" s="255">
        <v>1.8640000000000001</v>
      </c>
    </row>
    <row r="771" spans="1:7" s="108" customFormat="1" ht="14.1" customHeight="1">
      <c r="A771" s="251" t="s">
        <v>1138</v>
      </c>
      <c r="B771" s="252" t="s">
        <v>2800</v>
      </c>
      <c r="C771" s="254" t="s">
        <v>968</v>
      </c>
      <c r="D771" s="252" t="s">
        <v>1741</v>
      </c>
      <c r="E771" s="252" t="s">
        <v>984</v>
      </c>
      <c r="F771" s="252" t="s">
        <v>889</v>
      </c>
      <c r="G771" s="255"/>
    </row>
    <row r="772" spans="1:7" s="108" customFormat="1" ht="14.1" customHeight="1">
      <c r="A772" s="251" t="s">
        <v>1138</v>
      </c>
      <c r="B772" s="252" t="s">
        <v>2801</v>
      </c>
      <c r="C772" s="254" t="s">
        <v>968</v>
      </c>
      <c r="D772" s="252" t="s">
        <v>1741</v>
      </c>
      <c r="E772" s="252" t="s">
        <v>984</v>
      </c>
      <c r="F772" s="252" t="s">
        <v>889</v>
      </c>
      <c r="G772" s="255"/>
    </row>
    <row r="773" spans="1:7" s="108" customFormat="1" ht="14.1" customHeight="1">
      <c r="A773" s="251" t="s">
        <v>1138</v>
      </c>
      <c r="B773" s="252" t="s">
        <v>2802</v>
      </c>
      <c r="C773" s="254" t="s">
        <v>968</v>
      </c>
      <c r="D773" s="252" t="s">
        <v>2803</v>
      </c>
      <c r="E773" s="252" t="s">
        <v>907</v>
      </c>
      <c r="F773" s="252" t="s">
        <v>889</v>
      </c>
      <c r="G773" s="255"/>
    </row>
    <row r="774" spans="1:7" s="108" customFormat="1" ht="14.1" customHeight="1">
      <c r="A774" s="251" t="s">
        <v>1138</v>
      </c>
      <c r="B774" s="252" t="s">
        <v>2804</v>
      </c>
      <c r="C774" s="254" t="s">
        <v>968</v>
      </c>
      <c r="D774" s="252" t="s">
        <v>2805</v>
      </c>
      <c r="E774" s="252" t="s">
        <v>895</v>
      </c>
      <c r="F774" s="252" t="s">
        <v>889</v>
      </c>
      <c r="G774" s="255"/>
    </row>
    <row r="775" spans="1:7" s="108" customFormat="1" ht="14.1" customHeight="1">
      <c r="A775" s="251" t="s">
        <v>1138</v>
      </c>
      <c r="B775" s="252" t="s">
        <v>2806</v>
      </c>
      <c r="C775" s="254" t="s">
        <v>968</v>
      </c>
      <c r="D775" s="252" t="s">
        <v>2807</v>
      </c>
      <c r="E775" s="252" t="s">
        <v>959</v>
      </c>
      <c r="F775" s="252" t="s">
        <v>889</v>
      </c>
      <c r="G775" s="255"/>
    </row>
    <row r="776" spans="1:7" s="108" customFormat="1" ht="14.1" customHeight="1">
      <c r="A776" s="251" t="s">
        <v>1138</v>
      </c>
      <c r="B776" s="252" t="s">
        <v>2808</v>
      </c>
      <c r="C776" s="254" t="s">
        <v>968</v>
      </c>
      <c r="D776" s="252" t="s">
        <v>1966</v>
      </c>
      <c r="E776" s="252" t="s">
        <v>891</v>
      </c>
      <c r="F776" s="252" t="s">
        <v>889</v>
      </c>
      <c r="G776" s="255"/>
    </row>
    <row r="777" spans="1:7" s="108" customFormat="1" ht="14.1" customHeight="1">
      <c r="A777" s="251" t="s">
        <v>1138</v>
      </c>
      <c r="B777" s="252" t="s">
        <v>2809</v>
      </c>
      <c r="C777" s="254" t="s">
        <v>968</v>
      </c>
      <c r="D777" s="252" t="s">
        <v>2810</v>
      </c>
      <c r="E777" s="252" t="s">
        <v>895</v>
      </c>
      <c r="F777" s="252" t="s">
        <v>889</v>
      </c>
      <c r="G777" s="255"/>
    </row>
    <row r="778" spans="1:7" s="108" customFormat="1" ht="14.1" customHeight="1">
      <c r="A778" s="251" t="s">
        <v>1138</v>
      </c>
      <c r="B778" s="252" t="s">
        <v>2811</v>
      </c>
      <c r="C778" s="254" t="s">
        <v>968</v>
      </c>
      <c r="D778" s="252" t="s">
        <v>2812</v>
      </c>
      <c r="E778" s="252" t="s">
        <v>954</v>
      </c>
      <c r="F778" s="252" t="s">
        <v>889</v>
      </c>
      <c r="G778" s="255"/>
    </row>
    <row r="779" spans="1:7" s="108" customFormat="1" ht="14.1" customHeight="1">
      <c r="A779" s="251" t="s">
        <v>1138</v>
      </c>
      <c r="B779" s="252" t="s">
        <v>2813</v>
      </c>
      <c r="C779" s="254" t="s">
        <v>968</v>
      </c>
      <c r="D779" s="252" t="s">
        <v>2814</v>
      </c>
      <c r="E779" s="252" t="s">
        <v>888</v>
      </c>
      <c r="F779" s="252" t="s">
        <v>889</v>
      </c>
      <c r="G779" s="255"/>
    </row>
    <row r="780" spans="1:7" s="108" customFormat="1" ht="14.1" customHeight="1">
      <c r="A780" s="251" t="s">
        <v>1138</v>
      </c>
      <c r="B780" s="252" t="s">
        <v>2815</v>
      </c>
      <c r="C780" s="254" t="s">
        <v>968</v>
      </c>
      <c r="D780" s="252" t="s">
        <v>2816</v>
      </c>
      <c r="E780" s="252" t="s">
        <v>888</v>
      </c>
      <c r="F780" s="252" t="s">
        <v>889</v>
      </c>
      <c r="G780" s="255"/>
    </row>
    <row r="781" spans="1:7" s="108" customFormat="1" ht="14.1" customHeight="1">
      <c r="A781" s="251" t="s">
        <v>1138</v>
      </c>
      <c r="B781" s="252" t="s">
        <v>2817</v>
      </c>
      <c r="C781" s="254" t="s">
        <v>944</v>
      </c>
      <c r="D781" s="252" t="s">
        <v>2818</v>
      </c>
      <c r="E781" s="252" t="s">
        <v>912</v>
      </c>
      <c r="F781" s="252" t="s">
        <v>889</v>
      </c>
      <c r="G781" s="255"/>
    </row>
    <row r="782" spans="1:7" s="108" customFormat="1" ht="14.1" customHeight="1">
      <c r="A782" s="251" t="s">
        <v>1138</v>
      </c>
      <c r="B782" s="252" t="s">
        <v>2819</v>
      </c>
      <c r="C782" s="254" t="s">
        <v>944</v>
      </c>
      <c r="D782" s="252" t="s">
        <v>1211</v>
      </c>
      <c r="E782" s="252" t="s">
        <v>984</v>
      </c>
      <c r="F782" s="252" t="s">
        <v>889</v>
      </c>
      <c r="G782" s="255"/>
    </row>
    <row r="783" spans="1:7" s="108" customFormat="1" ht="14.1" customHeight="1">
      <c r="A783" s="251" t="s">
        <v>1138</v>
      </c>
      <c r="B783" s="252" t="s">
        <v>2820</v>
      </c>
      <c r="C783" s="254" t="s">
        <v>944</v>
      </c>
      <c r="D783" s="252" t="s">
        <v>2821</v>
      </c>
      <c r="E783" s="252" t="s">
        <v>888</v>
      </c>
      <c r="F783" s="252" t="s">
        <v>889</v>
      </c>
      <c r="G783" s="255"/>
    </row>
    <row r="784" spans="1:7" s="108" customFormat="1" ht="14.1" customHeight="1">
      <c r="A784" s="251" t="s">
        <v>1138</v>
      </c>
      <c r="B784" s="252" t="s">
        <v>2364</v>
      </c>
      <c r="C784" s="254" t="s">
        <v>944</v>
      </c>
      <c r="D784" s="252" t="s">
        <v>1148</v>
      </c>
      <c r="E784" s="252" t="s">
        <v>918</v>
      </c>
      <c r="F784" s="252" t="s">
        <v>889</v>
      </c>
      <c r="G784" s="255">
        <v>55.7</v>
      </c>
    </row>
    <row r="785" spans="1:7" s="108" customFormat="1" ht="14.1" customHeight="1">
      <c r="A785" s="251" t="s">
        <v>1138</v>
      </c>
      <c r="B785" s="252" t="s">
        <v>2822</v>
      </c>
      <c r="C785" s="254" t="s">
        <v>944</v>
      </c>
      <c r="D785" s="252" t="s">
        <v>2234</v>
      </c>
      <c r="E785" s="252" t="s">
        <v>1021</v>
      </c>
      <c r="F785" s="252" t="s">
        <v>889</v>
      </c>
      <c r="G785" s="255"/>
    </row>
    <row r="786" spans="1:7" s="108" customFormat="1" ht="14.1" customHeight="1">
      <c r="A786" s="251" t="s">
        <v>1138</v>
      </c>
      <c r="B786" s="252" t="s">
        <v>2233</v>
      </c>
      <c r="C786" s="254" t="s">
        <v>944</v>
      </c>
      <c r="D786" s="252" t="s">
        <v>2234</v>
      </c>
      <c r="E786" s="252" t="s">
        <v>1021</v>
      </c>
      <c r="F786" s="252" t="s">
        <v>889</v>
      </c>
      <c r="G786" s="255"/>
    </row>
    <row r="787" spans="1:7" s="108" customFormat="1" ht="14.1" customHeight="1">
      <c r="A787" s="251" t="s">
        <v>1138</v>
      </c>
      <c r="B787" s="252" t="s">
        <v>2823</v>
      </c>
      <c r="C787" s="254" t="s">
        <v>1030</v>
      </c>
      <c r="D787" s="252" t="s">
        <v>2824</v>
      </c>
      <c r="E787" s="252" t="s">
        <v>954</v>
      </c>
      <c r="F787" s="252" t="s">
        <v>889</v>
      </c>
      <c r="G787" s="255"/>
    </row>
    <row r="788" spans="1:7" s="108" customFormat="1" ht="14.1" customHeight="1">
      <c r="A788" s="251" t="s">
        <v>1138</v>
      </c>
      <c r="B788" s="252" t="s">
        <v>2825</v>
      </c>
      <c r="C788" s="254" t="s">
        <v>1030</v>
      </c>
      <c r="D788" s="252" t="s">
        <v>1211</v>
      </c>
      <c r="E788" s="252" t="s">
        <v>984</v>
      </c>
      <c r="F788" s="252" t="s">
        <v>889</v>
      </c>
      <c r="G788" s="255"/>
    </row>
    <row r="789" spans="1:7" s="108" customFormat="1" ht="14.1" customHeight="1">
      <c r="A789" s="251" t="s">
        <v>1138</v>
      </c>
      <c r="B789" s="252" t="s">
        <v>2826</v>
      </c>
      <c r="C789" s="254" t="s">
        <v>1030</v>
      </c>
      <c r="D789" s="252" t="s">
        <v>2827</v>
      </c>
      <c r="E789" s="252" t="s">
        <v>939</v>
      </c>
      <c r="F789" s="252" t="s">
        <v>889</v>
      </c>
      <c r="G789" s="255"/>
    </row>
    <row r="790" spans="1:7" s="108" customFormat="1" ht="14.1" customHeight="1">
      <c r="A790" s="251" t="s">
        <v>1138</v>
      </c>
      <c r="B790" s="252" t="s">
        <v>2828</v>
      </c>
      <c r="C790" s="254" t="s">
        <v>1756</v>
      </c>
      <c r="D790" s="252" t="s">
        <v>1356</v>
      </c>
      <c r="E790" s="252" t="s">
        <v>888</v>
      </c>
      <c r="F790" s="252" t="s">
        <v>889</v>
      </c>
      <c r="G790" s="255"/>
    </row>
    <row r="791" spans="1:7" s="108" customFormat="1" ht="14.1" customHeight="1">
      <c r="A791" s="251" t="s">
        <v>1138</v>
      </c>
      <c r="B791" s="252" t="s">
        <v>2829</v>
      </c>
      <c r="C791" s="254" t="s">
        <v>906</v>
      </c>
      <c r="D791" s="252" t="s">
        <v>2830</v>
      </c>
      <c r="E791" s="252" t="s">
        <v>888</v>
      </c>
      <c r="F791" s="252" t="s">
        <v>889</v>
      </c>
      <c r="G791" s="255"/>
    </row>
    <row r="792" spans="1:7" s="108" customFormat="1" ht="14.1" customHeight="1">
      <c r="A792" s="251" t="s">
        <v>1138</v>
      </c>
      <c r="B792" s="252" t="s">
        <v>2831</v>
      </c>
      <c r="C792" s="254" t="s">
        <v>906</v>
      </c>
      <c r="D792" s="252" t="s">
        <v>2832</v>
      </c>
      <c r="E792" s="252" t="s">
        <v>1094</v>
      </c>
      <c r="F792" s="252" t="s">
        <v>889</v>
      </c>
      <c r="G792" s="255"/>
    </row>
    <row r="793" spans="1:7" s="108" customFormat="1" ht="14.1" customHeight="1">
      <c r="A793" s="251" t="s">
        <v>1138</v>
      </c>
      <c r="B793" s="252" t="s">
        <v>2833</v>
      </c>
      <c r="C793" s="254" t="s">
        <v>906</v>
      </c>
      <c r="D793" s="252" t="s">
        <v>2214</v>
      </c>
      <c r="E793" s="252" t="s">
        <v>959</v>
      </c>
      <c r="F793" s="252" t="s">
        <v>889</v>
      </c>
      <c r="G793" s="255"/>
    </row>
    <row r="794" spans="1:7" s="108" customFormat="1" ht="14.1" customHeight="1">
      <c r="A794" s="251" t="s">
        <v>1138</v>
      </c>
      <c r="B794" s="252" t="s">
        <v>2834</v>
      </c>
      <c r="C794" s="254" t="s">
        <v>1833</v>
      </c>
      <c r="D794" s="252" t="s">
        <v>1144</v>
      </c>
      <c r="E794" s="252" t="s">
        <v>888</v>
      </c>
      <c r="F794" s="252" t="s">
        <v>889</v>
      </c>
      <c r="G794" s="255"/>
    </row>
    <row r="795" spans="1:7" s="108" customFormat="1" ht="14.1" customHeight="1">
      <c r="A795" s="251" t="s">
        <v>1138</v>
      </c>
      <c r="B795" s="252" t="s">
        <v>2834</v>
      </c>
      <c r="C795" s="254" t="s">
        <v>1833</v>
      </c>
      <c r="D795" s="252" t="s">
        <v>1144</v>
      </c>
      <c r="E795" s="252" t="s">
        <v>888</v>
      </c>
      <c r="F795" s="252" t="s">
        <v>889</v>
      </c>
      <c r="G795" s="255">
        <v>6.3879999999999999</v>
      </c>
    </row>
    <row r="796" spans="1:7" s="108" customFormat="1" ht="14.1" customHeight="1">
      <c r="A796" s="251" t="s">
        <v>1138</v>
      </c>
      <c r="B796" s="252" t="s">
        <v>2835</v>
      </c>
      <c r="C796" s="254" t="s">
        <v>1150</v>
      </c>
      <c r="D796" s="252" t="s">
        <v>1149</v>
      </c>
      <c r="E796" s="252" t="s">
        <v>1026</v>
      </c>
      <c r="F796" s="252" t="s">
        <v>889</v>
      </c>
      <c r="G796" s="255">
        <v>57.451999999999998</v>
      </c>
    </row>
    <row r="797" spans="1:7" s="108" customFormat="1" ht="14.1" customHeight="1">
      <c r="A797" s="251" t="s">
        <v>1138</v>
      </c>
      <c r="B797" s="252" t="s">
        <v>2836</v>
      </c>
      <c r="C797" s="254" t="s">
        <v>890</v>
      </c>
      <c r="D797" s="252" t="s">
        <v>2837</v>
      </c>
      <c r="E797" s="252" t="s">
        <v>888</v>
      </c>
      <c r="F797" s="252" t="s">
        <v>889</v>
      </c>
      <c r="G797" s="255"/>
    </row>
    <row r="798" spans="1:7" s="108" customFormat="1" ht="14.1" customHeight="1">
      <c r="A798" s="251" t="s">
        <v>1138</v>
      </c>
      <c r="B798" s="252" t="s">
        <v>2838</v>
      </c>
      <c r="C798" s="254" t="s">
        <v>890</v>
      </c>
      <c r="D798" s="252" t="s">
        <v>2839</v>
      </c>
      <c r="E798" s="252" t="s">
        <v>907</v>
      </c>
      <c r="F798" s="252" t="s">
        <v>889</v>
      </c>
      <c r="G798" s="255"/>
    </row>
    <row r="799" spans="1:7" s="108" customFormat="1" ht="14.1" customHeight="1">
      <c r="A799" s="251" t="s">
        <v>1138</v>
      </c>
      <c r="B799" s="252" t="s">
        <v>2840</v>
      </c>
      <c r="C799" s="254" t="s">
        <v>890</v>
      </c>
      <c r="D799" s="252" t="s">
        <v>2841</v>
      </c>
      <c r="E799" s="252" t="s">
        <v>888</v>
      </c>
      <c r="F799" s="252" t="s">
        <v>889</v>
      </c>
      <c r="G799" s="255"/>
    </row>
    <row r="800" spans="1:7" s="108" customFormat="1" ht="14.1" customHeight="1">
      <c r="A800" s="251" t="s">
        <v>1138</v>
      </c>
      <c r="B800" s="252" t="s">
        <v>2842</v>
      </c>
      <c r="C800" s="254" t="s">
        <v>890</v>
      </c>
      <c r="D800" s="252" t="s">
        <v>2843</v>
      </c>
      <c r="E800" s="252" t="s">
        <v>907</v>
      </c>
      <c r="F800" s="252" t="s">
        <v>889</v>
      </c>
      <c r="G800" s="255"/>
    </row>
    <row r="801" spans="1:7" s="108" customFormat="1" ht="14.1" customHeight="1">
      <c r="A801" s="251" t="s">
        <v>1138</v>
      </c>
      <c r="B801" s="252" t="s">
        <v>2844</v>
      </c>
      <c r="C801" s="254" t="s">
        <v>890</v>
      </c>
      <c r="D801" s="252" t="s">
        <v>2845</v>
      </c>
      <c r="E801" s="252" t="s">
        <v>919</v>
      </c>
      <c r="F801" s="252" t="s">
        <v>889</v>
      </c>
      <c r="G801" s="255"/>
    </row>
    <row r="802" spans="1:7" s="108" customFormat="1" ht="14.1" customHeight="1">
      <c r="A802" s="251" t="s">
        <v>1138</v>
      </c>
      <c r="B802" s="252" t="s">
        <v>2846</v>
      </c>
      <c r="C802" s="254" t="s">
        <v>1202</v>
      </c>
      <c r="D802" s="252" t="s">
        <v>2847</v>
      </c>
      <c r="E802" s="252" t="s">
        <v>888</v>
      </c>
      <c r="F802" s="252" t="s">
        <v>889</v>
      </c>
      <c r="G802" s="255"/>
    </row>
    <row r="803" spans="1:7" s="108" customFormat="1" ht="14.1" customHeight="1">
      <c r="A803" s="251" t="s">
        <v>1138</v>
      </c>
      <c r="B803" s="252" t="s">
        <v>2848</v>
      </c>
      <c r="C803" s="254" t="s">
        <v>917</v>
      </c>
      <c r="D803" s="252" t="s">
        <v>2849</v>
      </c>
      <c r="E803" s="252" t="s">
        <v>954</v>
      </c>
      <c r="F803" s="252" t="s">
        <v>889</v>
      </c>
      <c r="G803" s="255"/>
    </row>
    <row r="804" spans="1:7" s="108" customFormat="1" ht="14.1" customHeight="1">
      <c r="A804" s="251" t="s">
        <v>1138</v>
      </c>
      <c r="B804" s="252" t="s">
        <v>2850</v>
      </c>
      <c r="C804" s="254" t="s">
        <v>917</v>
      </c>
      <c r="D804" s="252" t="s">
        <v>1139</v>
      </c>
      <c r="E804" s="252" t="s">
        <v>888</v>
      </c>
      <c r="F804" s="252" t="s">
        <v>889</v>
      </c>
      <c r="G804" s="255">
        <v>0.125</v>
      </c>
    </row>
    <row r="805" spans="1:7" s="108" customFormat="1" ht="14.1" customHeight="1">
      <c r="A805" s="251" t="s">
        <v>1138</v>
      </c>
      <c r="B805" s="252" t="s">
        <v>2851</v>
      </c>
      <c r="C805" s="254" t="s">
        <v>1023</v>
      </c>
      <c r="D805" s="252" t="s">
        <v>1151</v>
      </c>
      <c r="E805" s="252" t="s">
        <v>984</v>
      </c>
      <c r="F805" s="252" t="s">
        <v>889</v>
      </c>
      <c r="G805" s="255">
        <v>163.554</v>
      </c>
    </row>
    <row r="806" spans="1:7" s="108" customFormat="1" ht="14.1" customHeight="1">
      <c r="A806" s="251" t="s">
        <v>1138</v>
      </c>
      <c r="B806" s="252" t="s">
        <v>2852</v>
      </c>
      <c r="C806" s="254" t="s">
        <v>1023</v>
      </c>
      <c r="D806" s="252" t="s">
        <v>886</v>
      </c>
      <c r="E806" s="252" t="s">
        <v>888</v>
      </c>
      <c r="F806" s="252" t="s">
        <v>889</v>
      </c>
      <c r="G806" s="255">
        <v>45</v>
      </c>
    </row>
    <row r="807" spans="1:7" s="108" customFormat="1" ht="14.1" customHeight="1">
      <c r="A807" s="251" t="s">
        <v>1138</v>
      </c>
      <c r="B807" s="252" t="s">
        <v>2853</v>
      </c>
      <c r="C807" s="254" t="s">
        <v>894</v>
      </c>
      <c r="D807" s="252" t="s">
        <v>2854</v>
      </c>
      <c r="E807" s="252" t="s">
        <v>907</v>
      </c>
      <c r="F807" s="252" t="s">
        <v>889</v>
      </c>
      <c r="G807" s="255"/>
    </row>
    <row r="808" spans="1:7" s="108" customFormat="1" ht="14.1" customHeight="1">
      <c r="A808" s="251" t="s">
        <v>1138</v>
      </c>
      <c r="B808" s="252" t="s">
        <v>2855</v>
      </c>
      <c r="C808" s="254" t="s">
        <v>1135</v>
      </c>
      <c r="D808" s="252" t="s">
        <v>2856</v>
      </c>
      <c r="E808" s="252" t="s">
        <v>888</v>
      </c>
      <c r="F808" s="252" t="s">
        <v>892</v>
      </c>
      <c r="G808" s="255"/>
    </row>
    <row r="809" spans="1:7" s="108" customFormat="1" ht="14.1" customHeight="1">
      <c r="A809" s="251" t="s">
        <v>1138</v>
      </c>
      <c r="B809" s="252" t="s">
        <v>2857</v>
      </c>
      <c r="C809" s="254" t="s">
        <v>1071</v>
      </c>
      <c r="D809" s="252" t="s">
        <v>1140</v>
      </c>
      <c r="E809" s="252" t="s">
        <v>891</v>
      </c>
      <c r="F809" s="252" t="s">
        <v>889</v>
      </c>
      <c r="G809" s="255">
        <v>0.35499999999999998</v>
      </c>
    </row>
    <row r="810" spans="1:7" s="108" customFormat="1" ht="14.1" customHeight="1">
      <c r="A810" s="251" t="s">
        <v>1138</v>
      </c>
      <c r="B810" s="252" t="s">
        <v>2858</v>
      </c>
      <c r="C810" s="254" t="s">
        <v>1071</v>
      </c>
      <c r="D810" s="252" t="s">
        <v>2859</v>
      </c>
      <c r="E810" s="252" t="s">
        <v>888</v>
      </c>
      <c r="F810" s="252" t="s">
        <v>889</v>
      </c>
      <c r="G810" s="255"/>
    </row>
    <row r="811" spans="1:7" s="108" customFormat="1" ht="14.1" customHeight="1">
      <c r="A811" s="251" t="s">
        <v>1138</v>
      </c>
      <c r="B811" s="252" t="s">
        <v>2860</v>
      </c>
      <c r="C811" s="254" t="s">
        <v>1071</v>
      </c>
      <c r="D811" s="252" t="s">
        <v>886</v>
      </c>
      <c r="E811" s="252" t="s">
        <v>888</v>
      </c>
      <c r="F811" s="252" t="s">
        <v>889</v>
      </c>
      <c r="G811" s="255"/>
    </row>
    <row r="812" spans="1:7" s="108" customFormat="1" ht="14.1" customHeight="1">
      <c r="A812" s="251" t="s">
        <v>1138</v>
      </c>
      <c r="B812" s="252" t="s">
        <v>2861</v>
      </c>
      <c r="C812" s="254" t="s">
        <v>1080</v>
      </c>
      <c r="D812" s="252" t="s">
        <v>1141</v>
      </c>
      <c r="E812" s="252" t="s">
        <v>1142</v>
      </c>
      <c r="F812" s="252" t="s">
        <v>889</v>
      </c>
      <c r="G812" s="255">
        <v>0.59</v>
      </c>
    </row>
    <row r="813" spans="1:7" s="108" customFormat="1" ht="14.1" customHeight="1">
      <c r="A813" s="251" t="s">
        <v>1138</v>
      </c>
      <c r="B813" s="252" t="s">
        <v>1797</v>
      </c>
      <c r="C813" s="254" t="s">
        <v>1037</v>
      </c>
      <c r="D813" s="252" t="s">
        <v>1036</v>
      </c>
      <c r="E813" s="252" t="s">
        <v>888</v>
      </c>
      <c r="F813" s="252" t="s">
        <v>889</v>
      </c>
      <c r="G813" s="255"/>
    </row>
    <row r="814" spans="1:7" s="108" customFormat="1" ht="14.1" customHeight="1">
      <c r="A814" s="251" t="s">
        <v>1138</v>
      </c>
      <c r="B814" s="252" t="s">
        <v>2862</v>
      </c>
      <c r="C814" s="254" t="s">
        <v>1345</v>
      </c>
      <c r="D814" s="252" t="s">
        <v>1147</v>
      </c>
      <c r="E814" s="252" t="s">
        <v>888</v>
      </c>
      <c r="F814" s="252" t="s">
        <v>892</v>
      </c>
      <c r="G814" s="255">
        <v>36.726999999999997</v>
      </c>
    </row>
    <row r="815" spans="1:7" s="108" customFormat="1" ht="14.1" customHeight="1">
      <c r="A815" s="251" t="s">
        <v>1138</v>
      </c>
      <c r="B815" s="252" t="s">
        <v>2863</v>
      </c>
      <c r="C815" s="254" t="s">
        <v>1110</v>
      </c>
      <c r="D815" s="252" t="s">
        <v>2864</v>
      </c>
      <c r="E815" s="252" t="s">
        <v>904</v>
      </c>
      <c r="F815" s="252" t="s">
        <v>889</v>
      </c>
      <c r="G815" s="255"/>
    </row>
    <row r="816" spans="1:7" s="108" customFormat="1" ht="14.1" customHeight="1">
      <c r="A816" s="251" t="s">
        <v>1138</v>
      </c>
      <c r="B816" s="252" t="s">
        <v>2865</v>
      </c>
      <c r="C816" s="254" t="s">
        <v>911</v>
      </c>
      <c r="D816" s="252" t="s">
        <v>2866</v>
      </c>
      <c r="E816" s="252" t="s">
        <v>907</v>
      </c>
      <c r="F816" s="252" t="s">
        <v>889</v>
      </c>
      <c r="G816" s="255"/>
    </row>
    <row r="817" spans="1:7" s="108" customFormat="1" ht="14.1" customHeight="1">
      <c r="A817" s="251" t="s">
        <v>1138</v>
      </c>
      <c r="B817" s="252" t="s">
        <v>2867</v>
      </c>
      <c r="C817" s="254" t="s">
        <v>1020</v>
      </c>
      <c r="D817" s="252" t="s">
        <v>2868</v>
      </c>
      <c r="E817" s="252" t="s">
        <v>888</v>
      </c>
      <c r="F817" s="252" t="s">
        <v>889</v>
      </c>
      <c r="G817" s="255"/>
    </row>
    <row r="818" spans="1:7" s="108" customFormat="1" ht="14.1" customHeight="1">
      <c r="A818" s="251" t="s">
        <v>1138</v>
      </c>
      <c r="B818" s="252" t="s">
        <v>2869</v>
      </c>
      <c r="C818" s="254" t="s">
        <v>1000</v>
      </c>
      <c r="D818" s="252" t="s">
        <v>1277</v>
      </c>
      <c r="E818" s="252" t="s">
        <v>984</v>
      </c>
      <c r="F818" s="252" t="s">
        <v>892</v>
      </c>
      <c r="G818" s="255"/>
    </row>
    <row r="819" spans="1:7" s="108" customFormat="1" ht="14.1" customHeight="1">
      <c r="A819" s="251" t="s">
        <v>1138</v>
      </c>
      <c r="B819" s="252" t="s">
        <v>2870</v>
      </c>
      <c r="C819" s="254" t="s">
        <v>1000</v>
      </c>
      <c r="D819" s="252" t="s">
        <v>1152</v>
      </c>
      <c r="E819" s="252" t="s">
        <v>888</v>
      </c>
      <c r="F819" s="252" t="s">
        <v>889</v>
      </c>
      <c r="G819" s="255">
        <v>270</v>
      </c>
    </row>
    <row r="820" spans="1:7" s="108" customFormat="1" ht="14.1" customHeight="1">
      <c r="A820" s="251" t="s">
        <v>1138</v>
      </c>
      <c r="B820" s="252" t="s">
        <v>2871</v>
      </c>
      <c r="C820" s="254" t="s">
        <v>1068</v>
      </c>
      <c r="D820" s="252" t="s">
        <v>2872</v>
      </c>
      <c r="E820" s="252" t="s">
        <v>888</v>
      </c>
      <c r="F820" s="252" t="s">
        <v>889</v>
      </c>
      <c r="G820" s="255"/>
    </row>
    <row r="821" spans="1:7" s="108" customFormat="1" ht="14.1" customHeight="1">
      <c r="A821" s="251" t="s">
        <v>1138</v>
      </c>
      <c r="B821" s="252" t="s">
        <v>2873</v>
      </c>
      <c r="C821" s="254" t="s">
        <v>1164</v>
      </c>
      <c r="D821" s="252" t="s">
        <v>2874</v>
      </c>
      <c r="E821" s="252" t="s">
        <v>984</v>
      </c>
      <c r="F821" s="252" t="s">
        <v>889</v>
      </c>
      <c r="G821" s="255"/>
    </row>
    <row r="822" spans="1:7" s="108" customFormat="1" ht="14.1" customHeight="1">
      <c r="A822" s="251" t="s">
        <v>1331</v>
      </c>
      <c r="B822" s="252" t="s">
        <v>2875</v>
      </c>
      <c r="C822" s="254" t="s">
        <v>1168</v>
      </c>
      <c r="D822" s="252" t="s">
        <v>886</v>
      </c>
      <c r="E822" s="252" t="s">
        <v>907</v>
      </c>
      <c r="F822" s="252" t="s">
        <v>889</v>
      </c>
      <c r="G822" s="255"/>
    </row>
    <row r="823" spans="1:7" s="108" customFormat="1" ht="14.1" customHeight="1">
      <c r="A823" s="251" t="s">
        <v>1331</v>
      </c>
      <c r="B823" s="252" t="s">
        <v>2876</v>
      </c>
      <c r="C823" s="254" t="s">
        <v>968</v>
      </c>
      <c r="D823" s="252" t="s">
        <v>2877</v>
      </c>
      <c r="E823" s="252" t="s">
        <v>888</v>
      </c>
      <c r="F823" s="252" t="s">
        <v>889</v>
      </c>
      <c r="G823" s="255"/>
    </row>
    <row r="824" spans="1:7" s="108" customFormat="1" ht="14.1" customHeight="1">
      <c r="A824" s="251" t="s">
        <v>1331</v>
      </c>
      <c r="B824" s="252" t="s">
        <v>2878</v>
      </c>
      <c r="C824" s="254" t="s">
        <v>968</v>
      </c>
      <c r="D824" s="252" t="s">
        <v>993</v>
      </c>
      <c r="E824" s="252" t="s">
        <v>929</v>
      </c>
      <c r="F824" s="252" t="s">
        <v>913</v>
      </c>
      <c r="G824" s="255"/>
    </row>
    <row r="825" spans="1:7" s="108" customFormat="1" ht="14.1" customHeight="1">
      <c r="A825" s="251" t="s">
        <v>1331</v>
      </c>
      <c r="B825" s="252" t="s">
        <v>2879</v>
      </c>
      <c r="C825" s="254" t="s">
        <v>944</v>
      </c>
      <c r="D825" s="252" t="s">
        <v>2880</v>
      </c>
      <c r="E825" s="252" t="s">
        <v>912</v>
      </c>
      <c r="F825" s="252" t="s">
        <v>889</v>
      </c>
      <c r="G825" s="255"/>
    </row>
    <row r="826" spans="1:7" s="108" customFormat="1" ht="14.1" customHeight="1">
      <c r="A826" s="251" t="s">
        <v>1331</v>
      </c>
      <c r="B826" s="252" t="s">
        <v>2881</v>
      </c>
      <c r="C826" s="254" t="s">
        <v>1466</v>
      </c>
      <c r="D826" s="252" t="s">
        <v>2882</v>
      </c>
      <c r="E826" s="252" t="s">
        <v>939</v>
      </c>
      <c r="F826" s="252" t="s">
        <v>892</v>
      </c>
      <c r="G826" s="255"/>
    </row>
    <row r="827" spans="1:7" s="108" customFormat="1" ht="14.1" customHeight="1">
      <c r="A827" s="251" t="s">
        <v>1331</v>
      </c>
      <c r="B827" s="252" t="s">
        <v>2883</v>
      </c>
      <c r="C827" s="254" t="s">
        <v>906</v>
      </c>
      <c r="D827" s="252" t="s">
        <v>1323</v>
      </c>
      <c r="E827" s="252" t="s">
        <v>1119</v>
      </c>
      <c r="F827" s="252" t="s">
        <v>931</v>
      </c>
      <c r="G827" s="255">
        <v>125.063</v>
      </c>
    </row>
    <row r="828" spans="1:7" s="108" customFormat="1" ht="14.1" customHeight="1">
      <c r="A828" s="251" t="s">
        <v>1331</v>
      </c>
      <c r="B828" s="252" t="s">
        <v>2884</v>
      </c>
      <c r="C828" s="254" t="s">
        <v>1833</v>
      </c>
      <c r="D828" s="252" t="s">
        <v>2885</v>
      </c>
      <c r="E828" s="252" t="s">
        <v>939</v>
      </c>
      <c r="F828" s="252" t="s">
        <v>889</v>
      </c>
      <c r="G828" s="255"/>
    </row>
    <row r="829" spans="1:7" s="108" customFormat="1" ht="14.1" customHeight="1">
      <c r="A829" s="251" t="s">
        <v>1331</v>
      </c>
      <c r="B829" s="252" t="s">
        <v>2886</v>
      </c>
      <c r="C829" s="254" t="s">
        <v>917</v>
      </c>
      <c r="D829" s="252" t="s">
        <v>1332</v>
      </c>
      <c r="E829" s="252" t="s">
        <v>918</v>
      </c>
      <c r="F829" s="252" t="s">
        <v>913</v>
      </c>
      <c r="G829" s="255">
        <v>15</v>
      </c>
    </row>
    <row r="830" spans="1:7" s="108" customFormat="1" ht="14.1" customHeight="1">
      <c r="A830" s="251" t="s">
        <v>1331</v>
      </c>
      <c r="B830" s="252" t="s">
        <v>2886</v>
      </c>
      <c r="C830" s="254" t="s">
        <v>917</v>
      </c>
      <c r="D830" s="252" t="s">
        <v>1332</v>
      </c>
      <c r="E830" s="252" t="s">
        <v>918</v>
      </c>
      <c r="F830" s="252" t="s">
        <v>913</v>
      </c>
      <c r="G830" s="255">
        <v>8.6300000000000008</v>
      </c>
    </row>
    <row r="831" spans="1:7" s="108" customFormat="1" ht="14.1" customHeight="1">
      <c r="A831" s="251" t="s">
        <v>1331</v>
      </c>
      <c r="B831" s="252" t="s">
        <v>2887</v>
      </c>
      <c r="C831" s="254" t="s">
        <v>1020</v>
      </c>
      <c r="D831" s="252" t="s">
        <v>2888</v>
      </c>
      <c r="E831" s="252" t="s">
        <v>895</v>
      </c>
      <c r="F831" s="252" t="s">
        <v>889</v>
      </c>
      <c r="G831" s="255"/>
    </row>
    <row r="832" spans="1:7" s="108" customFormat="1" ht="14.1" customHeight="1">
      <c r="A832" s="251" t="s">
        <v>1331</v>
      </c>
      <c r="B832" s="252" t="s">
        <v>2889</v>
      </c>
      <c r="C832" s="254" t="s">
        <v>1000</v>
      </c>
      <c r="D832" s="252" t="s">
        <v>2890</v>
      </c>
      <c r="E832" s="252" t="s">
        <v>954</v>
      </c>
      <c r="F832" s="252" t="s">
        <v>889</v>
      </c>
      <c r="G832" s="255"/>
    </row>
    <row r="833" spans="1:7" s="108" customFormat="1" ht="14.1" customHeight="1">
      <c r="A833" s="251" t="s">
        <v>1331</v>
      </c>
      <c r="B833" s="252" t="s">
        <v>2891</v>
      </c>
      <c r="C833" s="254" t="s">
        <v>1000</v>
      </c>
      <c r="D833" s="252" t="s">
        <v>2892</v>
      </c>
      <c r="E833" s="252" t="s">
        <v>959</v>
      </c>
      <c r="F833" s="252" t="s">
        <v>889</v>
      </c>
      <c r="G833" s="255"/>
    </row>
    <row r="834" spans="1:7" s="108" customFormat="1" ht="14.1" customHeight="1">
      <c r="A834" s="251" t="s">
        <v>1331</v>
      </c>
      <c r="B834" s="252" t="s">
        <v>2893</v>
      </c>
      <c r="C834" s="254" t="s">
        <v>1000</v>
      </c>
      <c r="D834" s="252" t="s">
        <v>2892</v>
      </c>
      <c r="E834" s="252" t="s">
        <v>959</v>
      </c>
      <c r="F834" s="252" t="s">
        <v>889</v>
      </c>
      <c r="G834" s="255"/>
    </row>
    <row r="835" spans="1:7" s="108" customFormat="1" ht="14.1" customHeight="1">
      <c r="A835" s="251" t="s">
        <v>1331</v>
      </c>
      <c r="B835" s="252" t="s">
        <v>2894</v>
      </c>
      <c r="C835" s="254" t="s">
        <v>1164</v>
      </c>
      <c r="D835" s="252" t="s">
        <v>1124</v>
      </c>
      <c r="E835" s="252" t="s">
        <v>918</v>
      </c>
      <c r="F835" s="252" t="s">
        <v>889</v>
      </c>
      <c r="G835" s="255"/>
    </row>
    <row r="836" spans="1:7" s="108" customFormat="1" ht="14.1" customHeight="1">
      <c r="A836" s="251" t="s">
        <v>1405</v>
      </c>
      <c r="B836" s="252" t="s">
        <v>2895</v>
      </c>
      <c r="C836" s="254" t="s">
        <v>1030</v>
      </c>
      <c r="D836" s="252" t="s">
        <v>2896</v>
      </c>
      <c r="E836" s="252" t="s">
        <v>907</v>
      </c>
      <c r="F836" s="252" t="s">
        <v>889</v>
      </c>
      <c r="G836" s="255"/>
    </row>
    <row r="837" spans="1:7" s="108" customFormat="1" ht="14.1" customHeight="1">
      <c r="A837" s="251" t="s">
        <v>1405</v>
      </c>
      <c r="B837" s="252" t="s">
        <v>2897</v>
      </c>
      <c r="C837" s="254" t="s">
        <v>1150</v>
      </c>
      <c r="D837" s="252" t="s">
        <v>1406</v>
      </c>
      <c r="E837" s="252" t="s">
        <v>939</v>
      </c>
      <c r="F837" s="252" t="s">
        <v>892</v>
      </c>
      <c r="G837" s="255"/>
    </row>
    <row r="838" spans="1:7" s="108" customFormat="1" ht="14.1" customHeight="1">
      <c r="A838" s="251" t="s">
        <v>1405</v>
      </c>
      <c r="B838" s="252" t="s">
        <v>2897</v>
      </c>
      <c r="C838" s="254" t="s">
        <v>1150</v>
      </c>
      <c r="D838" s="252" t="s">
        <v>1406</v>
      </c>
      <c r="E838" s="252" t="s">
        <v>939</v>
      </c>
      <c r="F838" s="252" t="s">
        <v>889</v>
      </c>
      <c r="G838" s="255">
        <v>74.376000000000005</v>
      </c>
    </row>
    <row r="839" spans="1:7" s="108" customFormat="1" ht="14.1" customHeight="1">
      <c r="A839" s="251" t="s">
        <v>1405</v>
      </c>
      <c r="B839" s="252" t="s">
        <v>2898</v>
      </c>
      <c r="C839" s="254" t="s">
        <v>917</v>
      </c>
      <c r="D839" s="252" t="s">
        <v>2899</v>
      </c>
      <c r="E839" s="252" t="s">
        <v>918</v>
      </c>
      <c r="F839" s="252" t="s">
        <v>889</v>
      </c>
      <c r="G839" s="255"/>
    </row>
    <row r="840" spans="1:7" s="108" customFormat="1" ht="14.1" customHeight="1">
      <c r="A840" s="251" t="s">
        <v>1405</v>
      </c>
      <c r="B840" s="252" t="s">
        <v>2900</v>
      </c>
      <c r="C840" s="254" t="s">
        <v>917</v>
      </c>
      <c r="D840" s="252" t="s">
        <v>2523</v>
      </c>
      <c r="E840" s="252" t="s">
        <v>1024</v>
      </c>
      <c r="F840" s="252" t="s">
        <v>889</v>
      </c>
      <c r="G840" s="255"/>
    </row>
    <row r="841" spans="1:7" s="108" customFormat="1" ht="14.1" customHeight="1">
      <c r="A841" s="251" t="s">
        <v>1405</v>
      </c>
      <c r="B841" s="252" t="s">
        <v>2901</v>
      </c>
      <c r="C841" s="254" t="s">
        <v>1071</v>
      </c>
      <c r="D841" s="252" t="s">
        <v>2902</v>
      </c>
      <c r="E841" s="252" t="s">
        <v>888</v>
      </c>
      <c r="F841" s="252" t="s">
        <v>889</v>
      </c>
      <c r="G841" s="255"/>
    </row>
    <row r="842" spans="1:7" s="108" customFormat="1" ht="14.1" customHeight="1">
      <c r="A842" s="251" t="s">
        <v>1405</v>
      </c>
      <c r="B842" s="252" t="s">
        <v>2903</v>
      </c>
      <c r="C842" s="254" t="s">
        <v>1020</v>
      </c>
      <c r="D842" s="252" t="s">
        <v>2904</v>
      </c>
      <c r="E842" s="252" t="s">
        <v>907</v>
      </c>
      <c r="F842" s="252" t="s">
        <v>889</v>
      </c>
      <c r="G842" s="255"/>
    </row>
    <row r="843" spans="1:7" s="108" customFormat="1" ht="14.1" customHeight="1">
      <c r="A843" s="251" t="s">
        <v>1405</v>
      </c>
      <c r="B843" s="252" t="s">
        <v>2905</v>
      </c>
      <c r="C843" s="254" t="s">
        <v>1164</v>
      </c>
      <c r="D843" s="252" t="s">
        <v>1945</v>
      </c>
      <c r="E843" s="252" t="s">
        <v>888</v>
      </c>
      <c r="F843" s="252" t="s">
        <v>889</v>
      </c>
      <c r="G843" s="255"/>
    </row>
    <row r="844" spans="1:7" s="108" customFormat="1" ht="14.1" customHeight="1">
      <c r="A844" s="251" t="s">
        <v>1405</v>
      </c>
      <c r="B844" s="252" t="s">
        <v>2906</v>
      </c>
      <c r="C844" s="254" t="s">
        <v>1164</v>
      </c>
      <c r="D844" s="252" t="s">
        <v>2115</v>
      </c>
      <c r="E844" s="252" t="s">
        <v>895</v>
      </c>
      <c r="F844" s="252" t="s">
        <v>889</v>
      </c>
      <c r="G844" s="255"/>
    </row>
    <row r="845" spans="1:7" s="108" customFormat="1" ht="14.1" customHeight="1">
      <c r="A845" s="251" t="s">
        <v>1405</v>
      </c>
      <c r="B845" s="252" t="s">
        <v>2907</v>
      </c>
      <c r="C845" s="254" t="s">
        <v>983</v>
      </c>
      <c r="D845" s="252" t="s">
        <v>2908</v>
      </c>
      <c r="E845" s="252" t="s">
        <v>984</v>
      </c>
      <c r="F845" s="252" t="s">
        <v>889</v>
      </c>
      <c r="G845" s="255"/>
    </row>
    <row r="846" spans="1:7" s="108" customFormat="1" ht="14.1" customHeight="1">
      <c r="A846" s="251" t="s">
        <v>1531</v>
      </c>
      <c r="B846" s="252" t="s">
        <v>2909</v>
      </c>
      <c r="C846" s="254" t="s">
        <v>968</v>
      </c>
      <c r="D846" s="252" t="s">
        <v>2910</v>
      </c>
      <c r="E846" s="252" t="s">
        <v>1136</v>
      </c>
      <c r="F846" s="252" t="s">
        <v>889</v>
      </c>
      <c r="G846" s="255"/>
    </row>
    <row r="847" spans="1:7" s="108" customFormat="1" ht="14.1" customHeight="1">
      <c r="A847" s="251" t="s">
        <v>1531</v>
      </c>
      <c r="B847" s="252" t="s">
        <v>2012</v>
      </c>
      <c r="C847" s="254" t="s">
        <v>968</v>
      </c>
      <c r="D847" s="252" t="s">
        <v>2805</v>
      </c>
      <c r="E847" s="252" t="s">
        <v>895</v>
      </c>
      <c r="F847" s="252" t="s">
        <v>889</v>
      </c>
      <c r="G847" s="255"/>
    </row>
    <row r="848" spans="1:7" s="108" customFormat="1" ht="14.1" customHeight="1">
      <c r="A848" s="251" t="s">
        <v>1531</v>
      </c>
      <c r="B848" s="252" t="s">
        <v>2911</v>
      </c>
      <c r="C848" s="254" t="s">
        <v>1051</v>
      </c>
      <c r="D848" s="252" t="s">
        <v>1356</v>
      </c>
      <c r="E848" s="252" t="s">
        <v>888</v>
      </c>
      <c r="F848" s="252" t="s">
        <v>889</v>
      </c>
      <c r="G848" s="255">
        <v>52.018999999999998</v>
      </c>
    </row>
    <row r="849" spans="1:7" s="108" customFormat="1" ht="14.1" customHeight="1">
      <c r="A849" s="251" t="s">
        <v>1531</v>
      </c>
      <c r="B849" s="252" t="s">
        <v>2912</v>
      </c>
      <c r="C849" s="254" t="s">
        <v>1030</v>
      </c>
      <c r="D849" s="252" t="s">
        <v>1535</v>
      </c>
      <c r="E849" s="252" t="s">
        <v>929</v>
      </c>
      <c r="F849" s="252" t="s">
        <v>889</v>
      </c>
      <c r="G849" s="255">
        <v>606.14800000000002</v>
      </c>
    </row>
    <row r="850" spans="1:7" s="108" customFormat="1" ht="14.1" customHeight="1">
      <c r="A850" s="251" t="s">
        <v>1531</v>
      </c>
      <c r="B850" s="252" t="s">
        <v>2913</v>
      </c>
      <c r="C850" s="254" t="s">
        <v>906</v>
      </c>
      <c r="D850" s="252" t="s">
        <v>1534</v>
      </c>
      <c r="E850" s="252" t="s">
        <v>904</v>
      </c>
      <c r="F850" s="252" t="s">
        <v>892</v>
      </c>
      <c r="G850" s="255">
        <v>105</v>
      </c>
    </row>
    <row r="851" spans="1:7" s="108" customFormat="1" ht="14.1" customHeight="1">
      <c r="A851" s="251" t="s">
        <v>1531</v>
      </c>
      <c r="B851" s="252" t="s">
        <v>2914</v>
      </c>
      <c r="C851" s="254" t="s">
        <v>1202</v>
      </c>
      <c r="D851" s="252" t="s">
        <v>2915</v>
      </c>
      <c r="E851" s="252" t="s">
        <v>888</v>
      </c>
      <c r="F851" s="252" t="s">
        <v>889</v>
      </c>
      <c r="G851" s="255"/>
    </row>
    <row r="852" spans="1:7" s="108" customFormat="1" ht="14.1" customHeight="1">
      <c r="A852" s="251" t="s">
        <v>1531</v>
      </c>
      <c r="B852" s="252" t="s">
        <v>2916</v>
      </c>
      <c r="C852" s="254" t="s">
        <v>917</v>
      </c>
      <c r="D852" s="252" t="s">
        <v>1533</v>
      </c>
      <c r="E852" s="252" t="s">
        <v>888</v>
      </c>
      <c r="F852" s="252" t="s">
        <v>889</v>
      </c>
      <c r="G852" s="255">
        <v>4</v>
      </c>
    </row>
    <row r="853" spans="1:7" s="108" customFormat="1" ht="14.1" customHeight="1">
      <c r="A853" s="251" t="s">
        <v>1531</v>
      </c>
      <c r="B853" s="252" t="s">
        <v>2917</v>
      </c>
      <c r="C853" s="254" t="s">
        <v>917</v>
      </c>
      <c r="D853" s="252" t="s">
        <v>1532</v>
      </c>
      <c r="E853" s="252" t="s">
        <v>918</v>
      </c>
      <c r="F853" s="252" t="s">
        <v>913</v>
      </c>
      <c r="G853" s="255">
        <v>2.133</v>
      </c>
    </row>
    <row r="854" spans="1:7" s="108" customFormat="1" ht="14.1" customHeight="1">
      <c r="A854" s="251" t="s">
        <v>1531</v>
      </c>
      <c r="B854" s="252" t="s">
        <v>2918</v>
      </c>
      <c r="C854" s="254" t="s">
        <v>2919</v>
      </c>
      <c r="D854" s="252" t="s">
        <v>2868</v>
      </c>
      <c r="E854" s="252" t="s">
        <v>888</v>
      </c>
      <c r="F854" s="252" t="s">
        <v>889</v>
      </c>
      <c r="G854" s="255"/>
    </row>
    <row r="855" spans="1:7" s="108" customFormat="1" ht="14.1" customHeight="1">
      <c r="A855" s="251" t="s">
        <v>1531</v>
      </c>
      <c r="B855" s="252" t="s">
        <v>2920</v>
      </c>
      <c r="C855" s="254" t="s">
        <v>1110</v>
      </c>
      <c r="D855" s="252" t="s">
        <v>886</v>
      </c>
      <c r="E855" s="252" t="s">
        <v>888</v>
      </c>
      <c r="F855" s="252" t="s">
        <v>889</v>
      </c>
      <c r="G855" s="255"/>
    </row>
    <row r="856" spans="1:7" s="108" customFormat="1" ht="14.1" customHeight="1">
      <c r="A856" s="251" t="s">
        <v>1531</v>
      </c>
      <c r="B856" s="252" t="s">
        <v>2921</v>
      </c>
      <c r="C856" s="254" t="s">
        <v>911</v>
      </c>
      <c r="D856" s="252" t="s">
        <v>2922</v>
      </c>
      <c r="E856" s="252" t="s">
        <v>939</v>
      </c>
      <c r="F856" s="252" t="s">
        <v>889</v>
      </c>
      <c r="G856" s="255"/>
    </row>
    <row r="857" spans="1:7" s="108" customFormat="1" ht="14.1" customHeight="1">
      <c r="A857" s="251" t="s">
        <v>1531</v>
      </c>
      <c r="B857" s="252" t="s">
        <v>2923</v>
      </c>
      <c r="C857" s="254" t="s">
        <v>1020</v>
      </c>
      <c r="D857" s="252" t="s">
        <v>1530</v>
      </c>
      <c r="E857" s="252" t="s">
        <v>888</v>
      </c>
      <c r="F857" s="252" t="s">
        <v>889</v>
      </c>
      <c r="G857" s="255">
        <v>1875</v>
      </c>
    </row>
    <row r="858" spans="1:7" s="108" customFormat="1" ht="14.1" customHeight="1">
      <c r="A858" s="251" t="s">
        <v>1531</v>
      </c>
      <c r="B858" s="252" t="s">
        <v>2924</v>
      </c>
      <c r="C858" s="254" t="s">
        <v>1068</v>
      </c>
      <c r="D858" s="252" t="s">
        <v>2925</v>
      </c>
      <c r="E858" s="252" t="s">
        <v>888</v>
      </c>
      <c r="F858" s="252" t="s">
        <v>889</v>
      </c>
      <c r="G858" s="255"/>
    </row>
    <row r="859" spans="1:7" s="108" customFormat="1" ht="14.1" customHeight="1">
      <c r="A859" s="251" t="s">
        <v>1531</v>
      </c>
      <c r="B859" s="252" t="s">
        <v>2926</v>
      </c>
      <c r="C859" s="254" t="s">
        <v>1068</v>
      </c>
      <c r="D859" s="252" t="s">
        <v>2927</v>
      </c>
      <c r="E859" s="252" t="s">
        <v>939</v>
      </c>
      <c r="F859" s="252" t="s">
        <v>889</v>
      </c>
      <c r="G859" s="255"/>
    </row>
    <row r="860" spans="1:7" s="108" customFormat="1" ht="14.1" customHeight="1">
      <c r="A860" s="251" t="s">
        <v>1640</v>
      </c>
      <c r="B860" s="252" t="s">
        <v>2928</v>
      </c>
      <c r="C860" s="254" t="s">
        <v>968</v>
      </c>
      <c r="D860" s="252" t="s">
        <v>2929</v>
      </c>
      <c r="E860" s="252" t="s">
        <v>888</v>
      </c>
      <c r="F860" s="252" t="s">
        <v>889</v>
      </c>
      <c r="G860" s="255"/>
    </row>
    <row r="861" spans="1:7" s="108" customFormat="1" ht="14.1" customHeight="1">
      <c r="A861" s="251" t="s">
        <v>1640</v>
      </c>
      <c r="B861" s="252" t="s">
        <v>2930</v>
      </c>
      <c r="C861" s="254" t="s">
        <v>968</v>
      </c>
      <c r="D861" s="252" t="s">
        <v>2931</v>
      </c>
      <c r="E861" s="252" t="s">
        <v>888</v>
      </c>
      <c r="F861" s="252" t="s">
        <v>892</v>
      </c>
      <c r="G861" s="255"/>
    </row>
    <row r="862" spans="1:7" s="108" customFormat="1" ht="14.1" customHeight="1">
      <c r="A862" s="251" t="s">
        <v>1640</v>
      </c>
      <c r="B862" s="252" t="s">
        <v>2932</v>
      </c>
      <c r="C862" s="254" t="s">
        <v>1088</v>
      </c>
      <c r="D862" s="252" t="s">
        <v>2933</v>
      </c>
      <c r="E862" s="252" t="s">
        <v>895</v>
      </c>
      <c r="F862" s="252" t="s">
        <v>892</v>
      </c>
      <c r="G862" s="255"/>
    </row>
    <row r="863" spans="1:7" s="108" customFormat="1" ht="14.1" customHeight="1">
      <c r="A863" s="251" t="s">
        <v>1640</v>
      </c>
      <c r="B863" s="252" t="s">
        <v>2934</v>
      </c>
      <c r="C863" s="254" t="s">
        <v>906</v>
      </c>
      <c r="D863" s="252" t="s">
        <v>2935</v>
      </c>
      <c r="E863" s="252" t="s">
        <v>888</v>
      </c>
      <c r="F863" s="252" t="s">
        <v>889</v>
      </c>
      <c r="G863" s="255"/>
    </row>
    <row r="864" spans="1:7" s="108" customFormat="1" ht="14.1" customHeight="1">
      <c r="A864" s="251" t="s">
        <v>1640</v>
      </c>
      <c r="B864" s="252" t="s">
        <v>2936</v>
      </c>
      <c r="C864" s="254" t="s">
        <v>906</v>
      </c>
      <c r="D864" s="252" t="s">
        <v>2935</v>
      </c>
      <c r="E864" s="252" t="s">
        <v>888</v>
      </c>
      <c r="F864" s="252" t="s">
        <v>889</v>
      </c>
      <c r="G864" s="255"/>
    </row>
    <row r="865" spans="1:7" s="108" customFormat="1" ht="14.1" customHeight="1">
      <c r="A865" s="251" t="s">
        <v>1640</v>
      </c>
      <c r="B865" s="252" t="s">
        <v>2937</v>
      </c>
      <c r="C865" s="254" t="s">
        <v>1150</v>
      </c>
      <c r="D865" s="252" t="s">
        <v>2938</v>
      </c>
      <c r="E865" s="252" t="s">
        <v>939</v>
      </c>
      <c r="F865" s="252" t="s">
        <v>889</v>
      </c>
      <c r="G865" s="255"/>
    </row>
    <row r="866" spans="1:7" s="108" customFormat="1" ht="14.1" customHeight="1">
      <c r="A866" s="251" t="s">
        <v>1640</v>
      </c>
      <c r="B866" s="252" t="s">
        <v>2939</v>
      </c>
      <c r="C866" s="254" t="s">
        <v>917</v>
      </c>
      <c r="D866" s="252" t="s">
        <v>1638</v>
      </c>
      <c r="E866" s="252" t="s">
        <v>918</v>
      </c>
      <c r="F866" s="252" t="s">
        <v>913</v>
      </c>
      <c r="G866" s="255">
        <v>0.28000000000000003</v>
      </c>
    </row>
    <row r="867" spans="1:7" s="108" customFormat="1" ht="14.1" customHeight="1">
      <c r="A867" s="251" t="s">
        <v>1640</v>
      </c>
      <c r="B867" s="252" t="s">
        <v>2940</v>
      </c>
      <c r="C867" s="254" t="s">
        <v>917</v>
      </c>
      <c r="D867" s="252" t="s">
        <v>1641</v>
      </c>
      <c r="E867" s="252" t="s">
        <v>918</v>
      </c>
      <c r="F867" s="252" t="s">
        <v>889</v>
      </c>
      <c r="G867" s="255">
        <v>4</v>
      </c>
    </row>
    <row r="868" spans="1:7" s="108" customFormat="1" ht="14.1" customHeight="1">
      <c r="A868" s="251" t="s">
        <v>1640</v>
      </c>
      <c r="B868" s="252" t="s">
        <v>2941</v>
      </c>
      <c r="C868" s="254" t="s">
        <v>1164</v>
      </c>
      <c r="D868" s="252" t="s">
        <v>2942</v>
      </c>
      <c r="E868" s="252" t="s">
        <v>888</v>
      </c>
      <c r="F868" s="252" t="s">
        <v>889</v>
      </c>
      <c r="G868" s="255"/>
    </row>
    <row r="869" spans="1:7" s="108" customFormat="1" ht="14.1" customHeight="1">
      <c r="A869" s="251" t="s">
        <v>952</v>
      </c>
      <c r="B869" s="252" t="s">
        <v>2943</v>
      </c>
      <c r="C869" s="254" t="s">
        <v>897</v>
      </c>
      <c r="D869" s="252" t="s">
        <v>2944</v>
      </c>
      <c r="E869" s="252" t="s">
        <v>888</v>
      </c>
      <c r="F869" s="252" t="s">
        <v>889</v>
      </c>
      <c r="G869" s="255"/>
    </row>
    <row r="870" spans="1:7" s="108" customFormat="1" ht="14.1" customHeight="1">
      <c r="A870" s="251" t="s">
        <v>952</v>
      </c>
      <c r="B870" s="252" t="s">
        <v>2945</v>
      </c>
      <c r="C870" s="254" t="s">
        <v>968</v>
      </c>
      <c r="D870" s="252" t="s">
        <v>2946</v>
      </c>
      <c r="E870" s="252" t="s">
        <v>888</v>
      </c>
      <c r="F870" s="252" t="s">
        <v>889</v>
      </c>
      <c r="G870" s="255"/>
    </row>
    <row r="871" spans="1:7" s="108" customFormat="1" ht="14.1" customHeight="1">
      <c r="A871" s="251" t="s">
        <v>952</v>
      </c>
      <c r="B871" s="252" t="s">
        <v>2947</v>
      </c>
      <c r="C871" s="254" t="s">
        <v>906</v>
      </c>
      <c r="D871" s="252" t="s">
        <v>953</v>
      </c>
      <c r="E871" s="252" t="s">
        <v>954</v>
      </c>
      <c r="F871" s="252" t="s">
        <v>889</v>
      </c>
      <c r="G871" s="255">
        <v>24.372</v>
      </c>
    </row>
    <row r="872" spans="1:7" s="108" customFormat="1" ht="14.1" customHeight="1">
      <c r="A872" s="251" t="s">
        <v>952</v>
      </c>
      <c r="B872" s="252" t="s">
        <v>2947</v>
      </c>
      <c r="C872" s="254" t="s">
        <v>906</v>
      </c>
      <c r="D872" s="252" t="s">
        <v>953</v>
      </c>
      <c r="E872" s="252" t="s">
        <v>954</v>
      </c>
      <c r="F872" s="252" t="s">
        <v>913</v>
      </c>
      <c r="G872" s="255"/>
    </row>
    <row r="873" spans="1:7" s="108" customFormat="1" ht="14.1" customHeight="1">
      <c r="A873" s="251" t="s">
        <v>1153</v>
      </c>
      <c r="B873" s="252" t="s">
        <v>2948</v>
      </c>
      <c r="C873" s="254" t="s">
        <v>2487</v>
      </c>
      <c r="D873" s="252" t="s">
        <v>2949</v>
      </c>
      <c r="E873" s="252" t="s">
        <v>1157</v>
      </c>
      <c r="F873" s="252" t="s">
        <v>889</v>
      </c>
      <c r="G873" s="255"/>
    </row>
    <row r="874" spans="1:7" s="108" customFormat="1" ht="14.1" customHeight="1">
      <c r="A874" s="251" t="s">
        <v>1153</v>
      </c>
      <c r="B874" s="252" t="s">
        <v>2950</v>
      </c>
      <c r="C874" s="254" t="s">
        <v>1146</v>
      </c>
      <c r="D874" s="252" t="s">
        <v>1081</v>
      </c>
      <c r="E874" s="252" t="s">
        <v>918</v>
      </c>
      <c r="F874" s="252" t="s">
        <v>1794</v>
      </c>
      <c r="G874" s="255"/>
    </row>
    <row r="875" spans="1:7" s="108" customFormat="1" ht="14.1" customHeight="1">
      <c r="A875" s="251" t="s">
        <v>1153</v>
      </c>
      <c r="B875" s="252" t="s">
        <v>2951</v>
      </c>
      <c r="C875" s="254" t="s">
        <v>1146</v>
      </c>
      <c r="D875" s="252" t="s">
        <v>2952</v>
      </c>
      <c r="E875" s="252" t="s">
        <v>888</v>
      </c>
      <c r="F875" s="252" t="s">
        <v>889</v>
      </c>
      <c r="G875" s="255"/>
    </row>
    <row r="876" spans="1:7" s="108" customFormat="1" ht="14.1" customHeight="1">
      <c r="A876" s="251" t="s">
        <v>1153</v>
      </c>
      <c r="B876" s="252" t="s">
        <v>2057</v>
      </c>
      <c r="C876" s="254" t="s">
        <v>1168</v>
      </c>
      <c r="D876" s="252" t="s">
        <v>1167</v>
      </c>
      <c r="E876" s="252" t="s">
        <v>888</v>
      </c>
      <c r="F876" s="252" t="s">
        <v>889</v>
      </c>
      <c r="G876" s="255">
        <v>99.995999999999995</v>
      </c>
    </row>
    <row r="877" spans="1:7" s="108" customFormat="1" ht="14.1" customHeight="1">
      <c r="A877" s="251" t="s">
        <v>1153</v>
      </c>
      <c r="B877" s="252" t="s">
        <v>2953</v>
      </c>
      <c r="C877" s="254" t="s">
        <v>968</v>
      </c>
      <c r="D877" s="252" t="s">
        <v>2954</v>
      </c>
      <c r="E877" s="252" t="s">
        <v>888</v>
      </c>
      <c r="F877" s="252" t="s">
        <v>889</v>
      </c>
      <c r="G877" s="255"/>
    </row>
    <row r="878" spans="1:7" s="108" customFormat="1" ht="14.1" customHeight="1">
      <c r="A878" s="251" t="s">
        <v>1153</v>
      </c>
      <c r="B878" s="252" t="s">
        <v>2955</v>
      </c>
      <c r="C878" s="254" t="s">
        <v>968</v>
      </c>
      <c r="D878" s="252" t="s">
        <v>2956</v>
      </c>
      <c r="E878" s="252" t="s">
        <v>888</v>
      </c>
      <c r="F878" s="252" t="s">
        <v>889</v>
      </c>
      <c r="G878" s="255"/>
    </row>
    <row r="879" spans="1:7" s="108" customFormat="1" ht="14.1" customHeight="1">
      <c r="A879" s="251" t="s">
        <v>1153</v>
      </c>
      <c r="B879" s="252" t="s">
        <v>2957</v>
      </c>
      <c r="C879" s="254" t="s">
        <v>968</v>
      </c>
      <c r="D879" s="252" t="s">
        <v>2432</v>
      </c>
      <c r="E879" s="252" t="s">
        <v>895</v>
      </c>
      <c r="F879" s="252" t="s">
        <v>889</v>
      </c>
      <c r="G879" s="255"/>
    </row>
    <row r="880" spans="1:7" s="108" customFormat="1" ht="14.1" customHeight="1">
      <c r="A880" s="251" t="s">
        <v>1153</v>
      </c>
      <c r="B880" s="252" t="s">
        <v>2958</v>
      </c>
      <c r="C880" s="254" t="s">
        <v>968</v>
      </c>
      <c r="D880" s="252" t="s">
        <v>2959</v>
      </c>
      <c r="E880" s="252" t="s">
        <v>888</v>
      </c>
      <c r="F880" s="252" t="s">
        <v>889</v>
      </c>
      <c r="G880" s="255"/>
    </row>
    <row r="881" spans="1:7" s="108" customFormat="1" ht="14.1" customHeight="1">
      <c r="A881" s="251" t="s">
        <v>1153</v>
      </c>
      <c r="B881" s="252" t="s">
        <v>2960</v>
      </c>
      <c r="C881" s="254" t="s">
        <v>968</v>
      </c>
      <c r="D881" s="252" t="s">
        <v>2961</v>
      </c>
      <c r="E881" s="252" t="s">
        <v>888</v>
      </c>
      <c r="F881" s="252" t="s">
        <v>889</v>
      </c>
      <c r="G881" s="255"/>
    </row>
    <row r="882" spans="1:7" s="108" customFormat="1" ht="14.1" customHeight="1">
      <c r="A882" s="251" t="s">
        <v>1153</v>
      </c>
      <c r="B882" s="252" t="s">
        <v>2962</v>
      </c>
      <c r="C882" s="254" t="s">
        <v>968</v>
      </c>
      <c r="D882" s="252" t="s">
        <v>2963</v>
      </c>
      <c r="E882" s="252" t="s">
        <v>904</v>
      </c>
      <c r="F882" s="252" t="s">
        <v>889</v>
      </c>
      <c r="G882" s="255"/>
    </row>
    <row r="883" spans="1:7" s="108" customFormat="1" ht="14.1" customHeight="1">
      <c r="A883" s="251" t="s">
        <v>1153</v>
      </c>
      <c r="B883" s="252" t="s">
        <v>2638</v>
      </c>
      <c r="C883" s="254" t="s">
        <v>968</v>
      </c>
      <c r="D883" s="252" t="s">
        <v>886</v>
      </c>
      <c r="E883" s="252" t="s">
        <v>888</v>
      </c>
      <c r="F883" s="252" t="s">
        <v>889</v>
      </c>
      <c r="G883" s="255">
        <v>30</v>
      </c>
    </row>
    <row r="884" spans="1:7" s="108" customFormat="1" ht="14.1" customHeight="1">
      <c r="A884" s="251" t="s">
        <v>1153</v>
      </c>
      <c r="B884" s="252" t="s">
        <v>2964</v>
      </c>
      <c r="C884" s="254" t="s">
        <v>944</v>
      </c>
      <c r="D884" s="252" t="s">
        <v>2965</v>
      </c>
      <c r="E884" s="252" t="s">
        <v>888</v>
      </c>
      <c r="F884" s="252" t="s">
        <v>889</v>
      </c>
      <c r="G884" s="255"/>
    </row>
    <row r="885" spans="1:7" s="108" customFormat="1" ht="14.1" customHeight="1">
      <c r="A885" s="251" t="s">
        <v>1153</v>
      </c>
      <c r="B885" s="252" t="s">
        <v>2966</v>
      </c>
      <c r="C885" s="254" t="s">
        <v>1051</v>
      </c>
      <c r="D885" s="252" t="s">
        <v>1169</v>
      </c>
      <c r="E885" s="252" t="s">
        <v>925</v>
      </c>
      <c r="F885" s="252" t="s">
        <v>889</v>
      </c>
      <c r="G885" s="255">
        <v>173.113</v>
      </c>
    </row>
    <row r="886" spans="1:7" s="108" customFormat="1" ht="14.1" customHeight="1">
      <c r="A886" s="251" t="s">
        <v>1153</v>
      </c>
      <c r="B886" s="252" t="s">
        <v>1754</v>
      </c>
      <c r="C886" s="254" t="s">
        <v>1030</v>
      </c>
      <c r="D886" s="252" t="s">
        <v>1029</v>
      </c>
      <c r="E886" s="252" t="s">
        <v>895</v>
      </c>
      <c r="F886" s="252" t="s">
        <v>892</v>
      </c>
      <c r="G886" s="255">
        <v>7.6710000000000003</v>
      </c>
    </row>
    <row r="887" spans="1:7" s="108" customFormat="1" ht="14.1" customHeight="1">
      <c r="A887" s="251" t="s">
        <v>1153</v>
      </c>
      <c r="B887" s="252" t="s">
        <v>2967</v>
      </c>
      <c r="C887" s="254" t="s">
        <v>1466</v>
      </c>
      <c r="D887" s="252" t="s">
        <v>2968</v>
      </c>
      <c r="E887" s="252" t="s">
        <v>907</v>
      </c>
      <c r="F887" s="252" t="s">
        <v>889</v>
      </c>
      <c r="G887" s="255"/>
    </row>
    <row r="888" spans="1:7" s="108" customFormat="1" ht="14.1" customHeight="1">
      <c r="A888" s="251" t="s">
        <v>1153</v>
      </c>
      <c r="B888" s="252" t="s">
        <v>2969</v>
      </c>
      <c r="C888" s="254" t="s">
        <v>938</v>
      </c>
      <c r="D888" s="252" t="s">
        <v>1155</v>
      </c>
      <c r="E888" s="252" t="s">
        <v>895</v>
      </c>
      <c r="F888" s="252" t="s">
        <v>889</v>
      </c>
      <c r="G888" s="255">
        <v>0.42299999999999999</v>
      </c>
    </row>
    <row r="889" spans="1:7" s="108" customFormat="1" ht="14.1" customHeight="1">
      <c r="A889" s="251" t="s">
        <v>1153</v>
      </c>
      <c r="B889" s="252" t="s">
        <v>2970</v>
      </c>
      <c r="C889" s="254" t="s">
        <v>938</v>
      </c>
      <c r="D889" s="252" t="s">
        <v>2313</v>
      </c>
      <c r="E889" s="252" t="s">
        <v>1021</v>
      </c>
      <c r="F889" s="252" t="s">
        <v>892</v>
      </c>
      <c r="G889" s="255"/>
    </row>
    <row r="890" spans="1:7" s="108" customFormat="1" ht="14.1" customHeight="1">
      <c r="A890" s="251" t="s">
        <v>1153</v>
      </c>
      <c r="B890" s="252" t="s">
        <v>2971</v>
      </c>
      <c r="C890" s="254" t="s">
        <v>1756</v>
      </c>
      <c r="D890" s="252" t="s">
        <v>886</v>
      </c>
      <c r="E890" s="252" t="s">
        <v>888</v>
      </c>
      <c r="F890" s="252" t="s">
        <v>889</v>
      </c>
      <c r="G890" s="255"/>
    </row>
    <row r="891" spans="1:7" s="108" customFormat="1" ht="14.1" customHeight="1">
      <c r="A891" s="251" t="s">
        <v>1153</v>
      </c>
      <c r="B891" s="252" t="s">
        <v>2972</v>
      </c>
      <c r="C891" s="254" t="s">
        <v>1088</v>
      </c>
      <c r="D891" s="252" t="s">
        <v>1087</v>
      </c>
      <c r="E891" s="252" t="s">
        <v>907</v>
      </c>
      <c r="F891" s="252" t="s">
        <v>889</v>
      </c>
      <c r="G891" s="255"/>
    </row>
    <row r="892" spans="1:7" s="108" customFormat="1" ht="14.1" customHeight="1">
      <c r="A892" s="251" t="s">
        <v>1153</v>
      </c>
      <c r="B892" s="252" t="s">
        <v>2973</v>
      </c>
      <c r="C892" s="254" t="s">
        <v>1088</v>
      </c>
      <c r="D892" s="252" t="s">
        <v>1162</v>
      </c>
      <c r="E892" s="252" t="s">
        <v>888</v>
      </c>
      <c r="F892" s="252" t="s">
        <v>931</v>
      </c>
      <c r="G892" s="255">
        <v>44.841999999999999</v>
      </c>
    </row>
    <row r="893" spans="1:7" s="108" customFormat="1" ht="14.1" customHeight="1">
      <c r="A893" s="251" t="s">
        <v>1153</v>
      </c>
      <c r="B893" s="252" t="s">
        <v>2974</v>
      </c>
      <c r="C893" s="254" t="s">
        <v>1088</v>
      </c>
      <c r="D893" s="252" t="s">
        <v>1162</v>
      </c>
      <c r="E893" s="252" t="s">
        <v>888</v>
      </c>
      <c r="F893" s="252" t="s">
        <v>931</v>
      </c>
      <c r="G893" s="255">
        <v>4273.3670000000002</v>
      </c>
    </row>
    <row r="894" spans="1:7" s="108" customFormat="1" ht="14.1" customHeight="1">
      <c r="A894" s="251" t="s">
        <v>1153</v>
      </c>
      <c r="B894" s="252" t="s">
        <v>2975</v>
      </c>
      <c r="C894" s="254" t="s">
        <v>1088</v>
      </c>
      <c r="D894" s="252" t="s">
        <v>1162</v>
      </c>
      <c r="E894" s="252" t="s">
        <v>888</v>
      </c>
      <c r="F894" s="252" t="s">
        <v>889</v>
      </c>
      <c r="G894" s="255">
        <v>488.24900000000002</v>
      </c>
    </row>
    <row r="895" spans="1:7" s="108" customFormat="1" ht="14.1" customHeight="1">
      <c r="A895" s="251" t="s">
        <v>1153</v>
      </c>
      <c r="B895" s="252" t="s">
        <v>2976</v>
      </c>
      <c r="C895" s="254" t="s">
        <v>1088</v>
      </c>
      <c r="D895" s="252" t="s">
        <v>2977</v>
      </c>
      <c r="E895" s="252" t="s">
        <v>895</v>
      </c>
      <c r="F895" s="252" t="s">
        <v>889</v>
      </c>
      <c r="G895" s="255"/>
    </row>
    <row r="896" spans="1:7" s="108" customFormat="1" ht="14.1" customHeight="1">
      <c r="A896" s="251" t="s">
        <v>1153</v>
      </c>
      <c r="B896" s="252" t="s">
        <v>2978</v>
      </c>
      <c r="C896" s="254" t="s">
        <v>906</v>
      </c>
      <c r="D896" s="252" t="s">
        <v>2979</v>
      </c>
      <c r="E896" s="252" t="s">
        <v>912</v>
      </c>
      <c r="F896" s="252" t="s">
        <v>889</v>
      </c>
      <c r="G896" s="255"/>
    </row>
    <row r="897" spans="1:7" s="108" customFormat="1" ht="14.1" customHeight="1">
      <c r="A897" s="251" t="s">
        <v>1153</v>
      </c>
      <c r="B897" s="252" t="s">
        <v>2980</v>
      </c>
      <c r="C897" s="254" t="s">
        <v>1833</v>
      </c>
      <c r="D897" s="252" t="s">
        <v>2458</v>
      </c>
      <c r="E897" s="252" t="s">
        <v>888</v>
      </c>
      <c r="F897" s="252" t="s">
        <v>889</v>
      </c>
      <c r="G897" s="255"/>
    </row>
    <row r="898" spans="1:7" s="108" customFormat="1" ht="14.1" customHeight="1">
      <c r="A898" s="251" t="s">
        <v>1153</v>
      </c>
      <c r="B898" s="252" t="s">
        <v>2980</v>
      </c>
      <c r="C898" s="254" t="s">
        <v>1833</v>
      </c>
      <c r="D898" s="252" t="s">
        <v>1058</v>
      </c>
      <c r="E898" s="252" t="s">
        <v>945</v>
      </c>
      <c r="F898" s="252" t="s">
        <v>889</v>
      </c>
      <c r="G898" s="255">
        <v>509.57</v>
      </c>
    </row>
    <row r="899" spans="1:7" s="108" customFormat="1" ht="14.1" customHeight="1">
      <c r="A899" s="251" t="s">
        <v>1153</v>
      </c>
      <c r="B899" s="252" t="s">
        <v>2980</v>
      </c>
      <c r="C899" s="254" t="s">
        <v>1833</v>
      </c>
      <c r="D899" s="252" t="s">
        <v>1058</v>
      </c>
      <c r="E899" s="252" t="s">
        <v>945</v>
      </c>
      <c r="F899" s="252" t="s">
        <v>889</v>
      </c>
      <c r="G899" s="255"/>
    </row>
    <row r="900" spans="1:7" s="108" customFormat="1" ht="14.1" customHeight="1">
      <c r="A900" s="251" t="s">
        <v>1153</v>
      </c>
      <c r="B900" s="252" t="s">
        <v>2981</v>
      </c>
      <c r="C900" s="254" t="s">
        <v>986</v>
      </c>
      <c r="D900" s="252" t="s">
        <v>2982</v>
      </c>
      <c r="E900" s="252" t="s">
        <v>888</v>
      </c>
      <c r="F900" s="252" t="s">
        <v>889</v>
      </c>
      <c r="G900" s="255"/>
    </row>
    <row r="901" spans="1:7" s="108" customFormat="1" ht="14.1" customHeight="1">
      <c r="A901" s="251" t="s">
        <v>1153</v>
      </c>
      <c r="B901" s="252" t="s">
        <v>2983</v>
      </c>
      <c r="C901" s="254" t="s">
        <v>887</v>
      </c>
      <c r="D901" s="252" t="s">
        <v>2984</v>
      </c>
      <c r="E901" s="252" t="s">
        <v>954</v>
      </c>
      <c r="F901" s="252" t="s">
        <v>889</v>
      </c>
      <c r="G901" s="255"/>
    </row>
    <row r="902" spans="1:7" s="108" customFormat="1" ht="14.1" customHeight="1">
      <c r="A902" s="251" t="s">
        <v>1153</v>
      </c>
      <c r="B902" s="252" t="s">
        <v>2985</v>
      </c>
      <c r="C902" s="254" t="s">
        <v>887</v>
      </c>
      <c r="D902" s="252" t="s">
        <v>1165</v>
      </c>
      <c r="E902" s="252" t="s">
        <v>1022</v>
      </c>
      <c r="F902" s="252" t="s">
        <v>889</v>
      </c>
      <c r="G902" s="255">
        <v>61.156999999999996</v>
      </c>
    </row>
    <row r="903" spans="1:7" s="108" customFormat="1" ht="14.1" customHeight="1">
      <c r="A903" s="251" t="s">
        <v>1153</v>
      </c>
      <c r="B903" s="252" t="s">
        <v>2986</v>
      </c>
      <c r="C903" s="254" t="s">
        <v>887</v>
      </c>
      <c r="D903" s="252" t="s">
        <v>1058</v>
      </c>
      <c r="E903" s="252" t="s">
        <v>945</v>
      </c>
      <c r="F903" s="252" t="s">
        <v>889</v>
      </c>
      <c r="G903" s="255"/>
    </row>
    <row r="904" spans="1:7" s="108" customFormat="1" ht="14.1" customHeight="1">
      <c r="A904" s="251" t="s">
        <v>1153</v>
      </c>
      <c r="B904" s="252" t="s">
        <v>2987</v>
      </c>
      <c r="C904" s="254" t="s">
        <v>890</v>
      </c>
      <c r="D904" s="252" t="s">
        <v>2988</v>
      </c>
      <c r="E904" s="252" t="s">
        <v>954</v>
      </c>
      <c r="F904" s="252" t="s">
        <v>889</v>
      </c>
      <c r="G904" s="255"/>
    </row>
    <row r="905" spans="1:7" s="108" customFormat="1" ht="14.1" customHeight="1">
      <c r="A905" s="251" t="s">
        <v>1153</v>
      </c>
      <c r="B905" s="252" t="s">
        <v>2989</v>
      </c>
      <c r="C905" s="254" t="s">
        <v>1018</v>
      </c>
      <c r="D905" s="252" t="s">
        <v>1171</v>
      </c>
      <c r="E905" s="252" t="s">
        <v>984</v>
      </c>
      <c r="F905" s="252" t="s">
        <v>889</v>
      </c>
      <c r="G905" s="255">
        <v>217.42599999999999</v>
      </c>
    </row>
    <row r="906" spans="1:7" s="108" customFormat="1" ht="14.1" customHeight="1">
      <c r="A906" s="251" t="s">
        <v>1153</v>
      </c>
      <c r="B906" s="252" t="s">
        <v>2990</v>
      </c>
      <c r="C906" s="254" t="s">
        <v>1018</v>
      </c>
      <c r="D906" s="252" t="s">
        <v>2991</v>
      </c>
      <c r="E906" s="252" t="s">
        <v>1142</v>
      </c>
      <c r="F906" s="252" t="s">
        <v>889</v>
      </c>
      <c r="G906" s="255"/>
    </row>
    <row r="907" spans="1:7" s="108" customFormat="1" ht="14.1" customHeight="1">
      <c r="A907" s="251" t="s">
        <v>1153</v>
      </c>
      <c r="B907" s="252" t="s">
        <v>2992</v>
      </c>
      <c r="C907" s="254" t="s">
        <v>1202</v>
      </c>
      <c r="D907" s="252" t="s">
        <v>2993</v>
      </c>
      <c r="E907" s="252" t="s">
        <v>959</v>
      </c>
      <c r="F907" s="252" t="s">
        <v>889</v>
      </c>
      <c r="G907" s="255"/>
    </row>
    <row r="908" spans="1:7" s="108" customFormat="1" ht="14.1" customHeight="1">
      <c r="A908" s="251" t="s">
        <v>1153</v>
      </c>
      <c r="B908" s="252" t="s">
        <v>1948</v>
      </c>
      <c r="C908" s="254" t="s">
        <v>917</v>
      </c>
      <c r="D908" s="252" t="s">
        <v>1161</v>
      </c>
      <c r="E908" s="252" t="s">
        <v>888</v>
      </c>
      <c r="F908" s="252" t="s">
        <v>889</v>
      </c>
      <c r="G908" s="255">
        <v>41.8</v>
      </c>
    </row>
    <row r="909" spans="1:7" s="108" customFormat="1" ht="14.1" customHeight="1">
      <c r="A909" s="251" t="s">
        <v>1153</v>
      </c>
      <c r="B909" s="252" t="s">
        <v>2994</v>
      </c>
      <c r="C909" s="254" t="s">
        <v>917</v>
      </c>
      <c r="D909" s="252" t="s">
        <v>1154</v>
      </c>
      <c r="E909" s="252" t="s">
        <v>918</v>
      </c>
      <c r="F909" s="252" t="s">
        <v>931</v>
      </c>
      <c r="G909" s="255">
        <v>0.34599999999999997</v>
      </c>
    </row>
    <row r="910" spans="1:7" s="108" customFormat="1" ht="14.1" customHeight="1">
      <c r="A910" s="251" t="s">
        <v>1153</v>
      </c>
      <c r="B910" s="252" t="s">
        <v>2995</v>
      </c>
      <c r="C910" s="254" t="s">
        <v>1023</v>
      </c>
      <c r="D910" s="252" t="s">
        <v>1163</v>
      </c>
      <c r="E910" s="252" t="s">
        <v>907</v>
      </c>
      <c r="F910" s="252" t="s">
        <v>889</v>
      </c>
      <c r="G910" s="255">
        <v>51</v>
      </c>
    </row>
    <row r="911" spans="1:7" s="108" customFormat="1" ht="14.1" customHeight="1">
      <c r="A911" s="251" t="s">
        <v>1153</v>
      </c>
      <c r="B911" s="252" t="s">
        <v>2996</v>
      </c>
      <c r="C911" s="254" t="s">
        <v>894</v>
      </c>
      <c r="D911" s="252" t="s">
        <v>1156</v>
      </c>
      <c r="E911" s="252" t="s">
        <v>1157</v>
      </c>
      <c r="F911" s="252" t="s">
        <v>889</v>
      </c>
      <c r="G911" s="255">
        <v>1.7450000000000001</v>
      </c>
    </row>
    <row r="912" spans="1:7" s="108" customFormat="1" ht="14.1" customHeight="1">
      <c r="A912" s="251" t="s">
        <v>1153</v>
      </c>
      <c r="B912" s="252" t="s">
        <v>2997</v>
      </c>
      <c r="C912" s="254" t="s">
        <v>1135</v>
      </c>
      <c r="D912" s="252" t="s">
        <v>1160</v>
      </c>
      <c r="E912" s="252" t="s">
        <v>929</v>
      </c>
      <c r="F912" s="252" t="s">
        <v>889</v>
      </c>
      <c r="G912" s="255">
        <v>31.387</v>
      </c>
    </row>
    <row r="913" spans="1:7" s="108" customFormat="1" ht="14.1" customHeight="1">
      <c r="A913" s="251" t="s">
        <v>1153</v>
      </c>
      <c r="B913" s="252" t="s">
        <v>2998</v>
      </c>
      <c r="C913" s="254" t="s">
        <v>1135</v>
      </c>
      <c r="D913" s="252" t="s">
        <v>1166</v>
      </c>
      <c r="E913" s="252" t="s">
        <v>904</v>
      </c>
      <c r="F913" s="252" t="s">
        <v>889</v>
      </c>
      <c r="G913" s="255">
        <v>94.539000000000001</v>
      </c>
    </row>
    <row r="914" spans="1:7" s="108" customFormat="1" ht="14.1" customHeight="1">
      <c r="A914" s="251" t="s">
        <v>1153</v>
      </c>
      <c r="B914" s="252" t="s">
        <v>2860</v>
      </c>
      <c r="C914" s="254" t="s">
        <v>1071</v>
      </c>
      <c r="D914" s="252" t="s">
        <v>886</v>
      </c>
      <c r="E914" s="252" t="s">
        <v>888</v>
      </c>
      <c r="F914" s="252" t="s">
        <v>889</v>
      </c>
      <c r="G914" s="255">
        <v>42.646999999999998</v>
      </c>
    </row>
    <row r="915" spans="1:7" s="108" customFormat="1" ht="14.1" customHeight="1">
      <c r="A915" s="251" t="s">
        <v>1153</v>
      </c>
      <c r="B915" s="252" t="s">
        <v>2999</v>
      </c>
      <c r="C915" s="254" t="s">
        <v>1071</v>
      </c>
      <c r="D915" s="252" t="s">
        <v>3000</v>
      </c>
      <c r="E915" s="252" t="s">
        <v>888</v>
      </c>
      <c r="F915" s="252" t="s">
        <v>889</v>
      </c>
      <c r="G915" s="255"/>
    </row>
    <row r="916" spans="1:7" s="108" customFormat="1" ht="14.1" customHeight="1">
      <c r="A916" s="251" t="s">
        <v>1153</v>
      </c>
      <c r="B916" s="252" t="s">
        <v>3001</v>
      </c>
      <c r="C916" s="254" t="s">
        <v>1071</v>
      </c>
      <c r="D916" s="252" t="s">
        <v>3002</v>
      </c>
      <c r="E916" s="252" t="s">
        <v>918</v>
      </c>
      <c r="F916" s="252" t="s">
        <v>892</v>
      </c>
      <c r="G916" s="255"/>
    </row>
    <row r="917" spans="1:7" s="108" customFormat="1" ht="14.1" customHeight="1">
      <c r="A917" s="251" t="s">
        <v>1153</v>
      </c>
      <c r="B917" s="252" t="s">
        <v>3001</v>
      </c>
      <c r="C917" s="254" t="s">
        <v>1071</v>
      </c>
      <c r="D917" s="252" t="s">
        <v>1158</v>
      </c>
      <c r="E917" s="252" t="s">
        <v>918</v>
      </c>
      <c r="F917" s="252" t="s">
        <v>889</v>
      </c>
      <c r="G917" s="255">
        <v>4.6059999999999999</v>
      </c>
    </row>
    <row r="918" spans="1:7" s="108" customFormat="1" ht="14.1" customHeight="1">
      <c r="A918" s="251" t="s">
        <v>1153</v>
      </c>
      <c r="B918" s="252" t="s">
        <v>1970</v>
      </c>
      <c r="C918" s="254" t="s">
        <v>1055</v>
      </c>
      <c r="D918" s="252" t="s">
        <v>1054</v>
      </c>
      <c r="E918" s="252" t="s">
        <v>888</v>
      </c>
      <c r="F918" s="252" t="s">
        <v>889</v>
      </c>
      <c r="G918" s="255">
        <v>40</v>
      </c>
    </row>
    <row r="919" spans="1:7" s="108" customFormat="1" ht="14.1" customHeight="1">
      <c r="A919" s="251" t="s">
        <v>1153</v>
      </c>
      <c r="B919" s="252" t="s">
        <v>3003</v>
      </c>
      <c r="C919" s="254" t="s">
        <v>911</v>
      </c>
      <c r="D919" s="252" t="s">
        <v>3004</v>
      </c>
      <c r="E919" s="252" t="s">
        <v>907</v>
      </c>
      <c r="F919" s="252" t="s">
        <v>889</v>
      </c>
      <c r="G919" s="255"/>
    </row>
    <row r="920" spans="1:7" s="108" customFormat="1" ht="14.1" customHeight="1">
      <c r="A920" s="251" t="s">
        <v>1153</v>
      </c>
      <c r="B920" s="252" t="s">
        <v>3005</v>
      </c>
      <c r="C920" s="254" t="s">
        <v>1020</v>
      </c>
      <c r="D920" s="252" t="s">
        <v>1019</v>
      </c>
      <c r="E920" s="252" t="s">
        <v>939</v>
      </c>
      <c r="F920" s="252" t="s">
        <v>931</v>
      </c>
      <c r="G920" s="255">
        <v>62.521000000000001</v>
      </c>
    </row>
    <row r="921" spans="1:7" s="108" customFormat="1" ht="14.1" customHeight="1">
      <c r="A921" s="251" t="s">
        <v>1153</v>
      </c>
      <c r="B921" s="252" t="s">
        <v>2106</v>
      </c>
      <c r="C921" s="254" t="s">
        <v>1020</v>
      </c>
      <c r="D921" s="252" t="s">
        <v>1072</v>
      </c>
      <c r="E921" s="252" t="s">
        <v>939</v>
      </c>
      <c r="F921" s="252" t="s">
        <v>889</v>
      </c>
      <c r="G921" s="255">
        <v>4.758</v>
      </c>
    </row>
    <row r="922" spans="1:7" s="108" customFormat="1" ht="14.1" customHeight="1">
      <c r="A922" s="251" t="s">
        <v>1153</v>
      </c>
      <c r="B922" s="252" t="s">
        <v>3006</v>
      </c>
      <c r="C922" s="254" t="s">
        <v>1000</v>
      </c>
      <c r="D922" s="252" t="s">
        <v>1170</v>
      </c>
      <c r="E922" s="252" t="s">
        <v>939</v>
      </c>
      <c r="F922" s="252" t="s">
        <v>889</v>
      </c>
      <c r="G922" s="255">
        <v>174.88399999999999</v>
      </c>
    </row>
    <row r="923" spans="1:7" s="108" customFormat="1" ht="14.1" customHeight="1">
      <c r="A923" s="251" t="s">
        <v>1153</v>
      </c>
      <c r="B923" s="252" t="s">
        <v>3007</v>
      </c>
      <c r="C923" s="254" t="s">
        <v>1000</v>
      </c>
      <c r="D923" s="252" t="s">
        <v>3008</v>
      </c>
      <c r="E923" s="252" t="s">
        <v>1136</v>
      </c>
      <c r="F923" s="252" t="s">
        <v>889</v>
      </c>
      <c r="G923" s="255"/>
    </row>
    <row r="924" spans="1:7" s="108" customFormat="1" ht="14.1" customHeight="1">
      <c r="A924" s="251" t="s">
        <v>1153</v>
      </c>
      <c r="B924" s="252" t="s">
        <v>3009</v>
      </c>
      <c r="C924" s="254" t="s">
        <v>1000</v>
      </c>
      <c r="D924" s="252" t="s">
        <v>3010</v>
      </c>
      <c r="E924" s="252" t="s">
        <v>888</v>
      </c>
      <c r="F924" s="252" t="s">
        <v>889</v>
      </c>
      <c r="G924" s="255"/>
    </row>
    <row r="925" spans="1:7" s="108" customFormat="1" ht="14.1" customHeight="1">
      <c r="A925" s="251" t="s">
        <v>1153</v>
      </c>
      <c r="B925" s="252" t="s">
        <v>3011</v>
      </c>
      <c r="C925" s="254" t="s">
        <v>1068</v>
      </c>
      <c r="D925" s="252" t="s">
        <v>1159</v>
      </c>
      <c r="E925" s="252" t="s">
        <v>904</v>
      </c>
      <c r="F925" s="252" t="s">
        <v>889</v>
      </c>
      <c r="G925" s="255">
        <v>6.1040000000000001</v>
      </c>
    </row>
    <row r="926" spans="1:7" s="108" customFormat="1" ht="14.1" customHeight="1">
      <c r="A926" s="251" t="s">
        <v>1333</v>
      </c>
      <c r="B926" s="252" t="s">
        <v>3012</v>
      </c>
      <c r="C926" s="254" t="s">
        <v>968</v>
      </c>
      <c r="D926" s="252" t="s">
        <v>967</v>
      </c>
      <c r="E926" s="252" t="s">
        <v>939</v>
      </c>
      <c r="F926" s="252" t="s">
        <v>889</v>
      </c>
      <c r="G926" s="255"/>
    </row>
    <row r="927" spans="1:7" s="108" customFormat="1" ht="14.1" customHeight="1">
      <c r="A927" s="251" t="s">
        <v>1333</v>
      </c>
      <c r="B927" s="252" t="s">
        <v>3013</v>
      </c>
      <c r="C927" s="254" t="s">
        <v>1088</v>
      </c>
      <c r="D927" s="252" t="s">
        <v>1180</v>
      </c>
      <c r="E927" s="252" t="s">
        <v>888</v>
      </c>
      <c r="F927" s="252" t="s">
        <v>892</v>
      </c>
      <c r="G927" s="255"/>
    </row>
    <row r="928" spans="1:7" s="108" customFormat="1" ht="14.1" customHeight="1">
      <c r="A928" s="251" t="s">
        <v>1333</v>
      </c>
      <c r="B928" s="252" t="s">
        <v>3014</v>
      </c>
      <c r="C928" s="254" t="s">
        <v>986</v>
      </c>
      <c r="D928" s="252" t="s">
        <v>3015</v>
      </c>
      <c r="E928" s="252" t="s">
        <v>888</v>
      </c>
      <c r="F928" s="252" t="s">
        <v>889</v>
      </c>
      <c r="G928" s="255"/>
    </row>
    <row r="929" spans="1:7" s="108" customFormat="1" ht="14.1" customHeight="1">
      <c r="A929" s="251" t="s">
        <v>1333</v>
      </c>
      <c r="B929" s="252" t="s">
        <v>1816</v>
      </c>
      <c r="C929" s="254" t="s">
        <v>986</v>
      </c>
      <c r="D929" s="252" t="s">
        <v>1817</v>
      </c>
      <c r="E929" s="252" t="s">
        <v>895</v>
      </c>
      <c r="F929" s="252" t="s">
        <v>1794</v>
      </c>
      <c r="G929" s="255"/>
    </row>
    <row r="930" spans="1:7" s="108" customFormat="1" ht="14.1" customHeight="1">
      <c r="A930" s="251" t="s">
        <v>1333</v>
      </c>
      <c r="B930" s="252" t="s">
        <v>1816</v>
      </c>
      <c r="C930" s="254" t="s">
        <v>986</v>
      </c>
      <c r="D930" s="252" t="s">
        <v>3016</v>
      </c>
      <c r="E930" s="252" t="s">
        <v>895</v>
      </c>
      <c r="F930" s="252" t="s">
        <v>889</v>
      </c>
      <c r="G930" s="255"/>
    </row>
    <row r="931" spans="1:7" s="108" customFormat="1" ht="14.1" customHeight="1">
      <c r="A931" s="251" t="s">
        <v>1333</v>
      </c>
      <c r="B931" s="252" t="s">
        <v>3017</v>
      </c>
      <c r="C931" s="254" t="s">
        <v>887</v>
      </c>
      <c r="D931" s="252" t="s">
        <v>1111</v>
      </c>
      <c r="E931" s="252" t="s">
        <v>939</v>
      </c>
      <c r="F931" s="252" t="s">
        <v>889</v>
      </c>
      <c r="G931" s="255">
        <v>14.407999999999999</v>
      </c>
    </row>
    <row r="932" spans="1:7" s="108" customFormat="1" ht="14.1" customHeight="1">
      <c r="A932" s="251" t="s">
        <v>1333</v>
      </c>
      <c r="B932" s="252" t="s">
        <v>3018</v>
      </c>
      <c r="C932" s="254" t="s">
        <v>1071</v>
      </c>
      <c r="D932" s="252" t="s">
        <v>3019</v>
      </c>
      <c r="E932" s="252" t="s">
        <v>888</v>
      </c>
      <c r="F932" s="252" t="s">
        <v>889</v>
      </c>
      <c r="G932" s="255"/>
    </row>
    <row r="933" spans="1:7" s="108" customFormat="1" ht="14.1" customHeight="1">
      <c r="A933" s="251" t="s">
        <v>1333</v>
      </c>
      <c r="B933" s="252" t="s">
        <v>3020</v>
      </c>
      <c r="C933" s="254" t="s">
        <v>1164</v>
      </c>
      <c r="D933" s="252" t="s">
        <v>3021</v>
      </c>
      <c r="E933" s="252" t="s">
        <v>925</v>
      </c>
      <c r="F933" s="252" t="s">
        <v>892</v>
      </c>
      <c r="G933" s="255"/>
    </row>
    <row r="934" spans="1:7" s="108" customFormat="1" ht="14.1" customHeight="1">
      <c r="A934" s="251" t="s">
        <v>1407</v>
      </c>
      <c r="B934" s="252" t="s">
        <v>3022</v>
      </c>
      <c r="C934" s="254" t="s">
        <v>968</v>
      </c>
      <c r="D934" s="252" t="s">
        <v>3023</v>
      </c>
      <c r="E934" s="252" t="s">
        <v>984</v>
      </c>
      <c r="F934" s="252" t="s">
        <v>889</v>
      </c>
      <c r="G934" s="255"/>
    </row>
    <row r="935" spans="1:7" s="108" customFormat="1" ht="14.1" customHeight="1">
      <c r="A935" s="251" t="s">
        <v>1407</v>
      </c>
      <c r="B935" s="252" t="s">
        <v>3024</v>
      </c>
      <c r="C935" s="254" t="s">
        <v>968</v>
      </c>
      <c r="D935" s="252" t="s">
        <v>3025</v>
      </c>
      <c r="E935" s="252" t="s">
        <v>939</v>
      </c>
      <c r="F935" s="252" t="s">
        <v>889</v>
      </c>
      <c r="G935" s="255"/>
    </row>
    <row r="936" spans="1:7" s="108" customFormat="1" ht="14.1" customHeight="1">
      <c r="A936" s="251" t="s">
        <v>1407</v>
      </c>
      <c r="B936" s="252" t="s">
        <v>3026</v>
      </c>
      <c r="C936" s="254" t="s">
        <v>3027</v>
      </c>
      <c r="D936" s="252" t="s">
        <v>2029</v>
      </c>
      <c r="E936" s="252" t="s">
        <v>895</v>
      </c>
      <c r="F936" s="252" t="s">
        <v>892</v>
      </c>
      <c r="G936" s="255"/>
    </row>
    <row r="937" spans="1:7" s="108" customFormat="1" ht="14.1" customHeight="1">
      <c r="A937" s="251" t="s">
        <v>1407</v>
      </c>
      <c r="B937" s="252" t="s">
        <v>3028</v>
      </c>
      <c r="C937" s="254" t="s">
        <v>1018</v>
      </c>
      <c r="D937" s="252" t="s">
        <v>3029</v>
      </c>
      <c r="E937" s="252" t="s">
        <v>959</v>
      </c>
      <c r="F937" s="252" t="s">
        <v>889</v>
      </c>
      <c r="G937" s="255"/>
    </row>
    <row r="938" spans="1:7" s="108" customFormat="1" ht="14.1" customHeight="1">
      <c r="A938" s="251" t="s">
        <v>1407</v>
      </c>
      <c r="B938" s="252" t="s">
        <v>3030</v>
      </c>
      <c r="C938" s="254" t="s">
        <v>1202</v>
      </c>
      <c r="D938" s="252" t="s">
        <v>3031</v>
      </c>
      <c r="E938" s="252" t="s">
        <v>939</v>
      </c>
      <c r="F938" s="252" t="s">
        <v>889</v>
      </c>
      <c r="G938" s="255"/>
    </row>
    <row r="939" spans="1:7" s="108" customFormat="1" ht="14.1" customHeight="1">
      <c r="A939" s="251" t="s">
        <v>1407</v>
      </c>
      <c r="B939" s="252" t="s">
        <v>3032</v>
      </c>
      <c r="C939" s="254" t="s">
        <v>1202</v>
      </c>
      <c r="D939" s="252" t="s">
        <v>3033</v>
      </c>
      <c r="E939" s="252" t="s">
        <v>939</v>
      </c>
      <c r="F939" s="252" t="s">
        <v>889</v>
      </c>
      <c r="G939" s="255"/>
    </row>
    <row r="940" spans="1:7" s="108" customFormat="1" ht="14.1" customHeight="1">
      <c r="A940" s="251" t="s">
        <v>1407</v>
      </c>
      <c r="B940" s="252" t="s">
        <v>3034</v>
      </c>
      <c r="C940" s="254" t="s">
        <v>917</v>
      </c>
      <c r="D940" s="252" t="s">
        <v>1408</v>
      </c>
      <c r="E940" s="252" t="s">
        <v>918</v>
      </c>
      <c r="F940" s="252" t="s">
        <v>889</v>
      </c>
      <c r="G940" s="255">
        <v>2</v>
      </c>
    </row>
    <row r="941" spans="1:7" s="108" customFormat="1" ht="14.1" customHeight="1">
      <c r="A941" s="251" t="s">
        <v>1407</v>
      </c>
      <c r="B941" s="252" t="s">
        <v>2154</v>
      </c>
      <c r="C941" s="254" t="s">
        <v>894</v>
      </c>
      <c r="D941" s="252" t="s">
        <v>1409</v>
      </c>
      <c r="E941" s="252" t="s">
        <v>1022</v>
      </c>
      <c r="F941" s="252" t="s">
        <v>931</v>
      </c>
      <c r="G941" s="255">
        <v>1380.6010000000001</v>
      </c>
    </row>
    <row r="942" spans="1:7" s="108" customFormat="1" ht="14.1" customHeight="1">
      <c r="A942" s="251" t="s">
        <v>1407</v>
      </c>
      <c r="B942" s="252" t="s">
        <v>3035</v>
      </c>
      <c r="C942" s="254" t="s">
        <v>894</v>
      </c>
      <c r="D942" s="252" t="s">
        <v>1399</v>
      </c>
      <c r="E942" s="252" t="s">
        <v>918</v>
      </c>
      <c r="F942" s="252" t="s">
        <v>892</v>
      </c>
      <c r="G942" s="255">
        <v>20.209</v>
      </c>
    </row>
    <row r="943" spans="1:7" s="108" customFormat="1" ht="14.1" customHeight="1">
      <c r="A943" s="251" t="s">
        <v>1407</v>
      </c>
      <c r="B943" s="252" t="s">
        <v>3036</v>
      </c>
      <c r="C943" s="254" t="s">
        <v>1110</v>
      </c>
      <c r="D943" s="252" t="s">
        <v>2868</v>
      </c>
      <c r="E943" s="252" t="s">
        <v>888</v>
      </c>
      <c r="F943" s="252" t="s">
        <v>889</v>
      </c>
      <c r="G943" s="255"/>
    </row>
    <row r="944" spans="1:7" s="108" customFormat="1" ht="14.1" customHeight="1">
      <c r="A944" s="251" t="s">
        <v>1536</v>
      </c>
      <c r="B944" s="252" t="s">
        <v>3037</v>
      </c>
      <c r="C944" s="254" t="s">
        <v>968</v>
      </c>
      <c r="D944" s="252" t="s">
        <v>3038</v>
      </c>
      <c r="E944" s="252" t="s">
        <v>888</v>
      </c>
      <c r="F944" s="252" t="s">
        <v>889</v>
      </c>
      <c r="G944" s="255"/>
    </row>
    <row r="945" spans="1:7" s="108" customFormat="1" ht="14.1" customHeight="1">
      <c r="A945" s="251" t="s">
        <v>1536</v>
      </c>
      <c r="B945" s="252" t="s">
        <v>3039</v>
      </c>
      <c r="C945" s="254" t="s">
        <v>968</v>
      </c>
      <c r="D945" s="252" t="s">
        <v>3040</v>
      </c>
      <c r="E945" s="252" t="s">
        <v>888</v>
      </c>
      <c r="F945" s="252" t="s">
        <v>889</v>
      </c>
      <c r="G945" s="255"/>
    </row>
    <row r="946" spans="1:7" s="108" customFormat="1" ht="14.1" customHeight="1">
      <c r="A946" s="251" t="s">
        <v>1536</v>
      </c>
      <c r="B946" s="252" t="s">
        <v>3041</v>
      </c>
      <c r="C946" s="254" t="s">
        <v>968</v>
      </c>
      <c r="D946" s="252" t="s">
        <v>1212</v>
      </c>
      <c r="E946" s="252" t="s">
        <v>929</v>
      </c>
      <c r="F946" s="252" t="s">
        <v>889</v>
      </c>
      <c r="G946" s="255">
        <v>125</v>
      </c>
    </row>
    <row r="947" spans="1:7" s="108" customFormat="1" ht="14.1" customHeight="1">
      <c r="A947" s="251" t="s">
        <v>1536</v>
      </c>
      <c r="B947" s="252" t="s">
        <v>3042</v>
      </c>
      <c r="C947" s="254" t="s">
        <v>968</v>
      </c>
      <c r="D947" s="252" t="s">
        <v>3043</v>
      </c>
      <c r="E947" s="252" t="s">
        <v>1119</v>
      </c>
      <c r="F947" s="252" t="s">
        <v>889</v>
      </c>
      <c r="G947" s="255"/>
    </row>
    <row r="948" spans="1:7" s="108" customFormat="1" ht="14.1" customHeight="1">
      <c r="A948" s="251" t="s">
        <v>1536</v>
      </c>
      <c r="B948" s="252" t="s">
        <v>3044</v>
      </c>
      <c r="C948" s="254" t="s">
        <v>1051</v>
      </c>
      <c r="D948" s="252" t="s">
        <v>886</v>
      </c>
      <c r="E948" s="252" t="s">
        <v>918</v>
      </c>
      <c r="F948" s="252" t="s">
        <v>1794</v>
      </c>
      <c r="G948" s="255"/>
    </row>
    <row r="949" spans="1:7" s="108" customFormat="1" ht="14.1" customHeight="1">
      <c r="A949" s="251" t="s">
        <v>1536</v>
      </c>
      <c r="B949" s="252" t="s">
        <v>3045</v>
      </c>
      <c r="C949" s="254" t="s">
        <v>1030</v>
      </c>
      <c r="D949" s="252" t="s">
        <v>1544</v>
      </c>
      <c r="E949" s="252" t="s">
        <v>918</v>
      </c>
      <c r="F949" s="252" t="s">
        <v>889</v>
      </c>
      <c r="G949" s="255">
        <v>196.48</v>
      </c>
    </row>
    <row r="950" spans="1:7" s="108" customFormat="1" ht="14.1" customHeight="1">
      <c r="A950" s="251" t="s">
        <v>1536</v>
      </c>
      <c r="B950" s="252" t="s">
        <v>3046</v>
      </c>
      <c r="C950" s="254" t="s">
        <v>1466</v>
      </c>
      <c r="D950" s="252" t="s">
        <v>3047</v>
      </c>
      <c r="E950" s="252" t="s">
        <v>888</v>
      </c>
      <c r="F950" s="252" t="s">
        <v>889</v>
      </c>
      <c r="G950" s="255"/>
    </row>
    <row r="951" spans="1:7" s="108" customFormat="1" ht="14.1" customHeight="1">
      <c r="A951" s="251" t="s">
        <v>1536</v>
      </c>
      <c r="B951" s="252" t="s">
        <v>3048</v>
      </c>
      <c r="C951" s="254" t="s">
        <v>938</v>
      </c>
      <c r="D951" s="252" t="s">
        <v>3049</v>
      </c>
      <c r="E951" s="252" t="s">
        <v>888</v>
      </c>
      <c r="F951" s="252" t="s">
        <v>889</v>
      </c>
      <c r="G951" s="255"/>
    </row>
    <row r="952" spans="1:7" s="108" customFormat="1" ht="14.1" customHeight="1">
      <c r="A952" s="251" t="s">
        <v>1536</v>
      </c>
      <c r="B952" s="252" t="s">
        <v>3050</v>
      </c>
      <c r="C952" s="254" t="s">
        <v>938</v>
      </c>
      <c r="D952" s="252" t="s">
        <v>1541</v>
      </c>
      <c r="E952" s="252" t="s">
        <v>891</v>
      </c>
      <c r="F952" s="252" t="s">
        <v>889</v>
      </c>
      <c r="G952" s="255">
        <v>34.07</v>
      </c>
    </row>
    <row r="953" spans="1:7" s="108" customFormat="1" ht="14.1" customHeight="1">
      <c r="A953" s="251" t="s">
        <v>1536</v>
      </c>
      <c r="B953" s="252" t="s">
        <v>3051</v>
      </c>
      <c r="C953" s="254" t="s">
        <v>1088</v>
      </c>
      <c r="D953" s="252" t="s">
        <v>1540</v>
      </c>
      <c r="E953" s="252" t="s">
        <v>954</v>
      </c>
      <c r="F953" s="252" t="s">
        <v>889</v>
      </c>
      <c r="G953" s="255">
        <v>15.62</v>
      </c>
    </row>
    <row r="954" spans="1:7" s="108" customFormat="1" ht="14.1" customHeight="1">
      <c r="A954" s="251" t="s">
        <v>1536</v>
      </c>
      <c r="B954" s="252" t="s">
        <v>3052</v>
      </c>
      <c r="C954" s="254" t="s">
        <v>986</v>
      </c>
      <c r="D954" s="252" t="s">
        <v>3053</v>
      </c>
      <c r="E954" s="252" t="s">
        <v>895</v>
      </c>
      <c r="F954" s="252" t="s">
        <v>889</v>
      </c>
      <c r="G954" s="255"/>
    </row>
    <row r="955" spans="1:7" s="108" customFormat="1" ht="14.1" customHeight="1">
      <c r="A955" s="251" t="s">
        <v>1536</v>
      </c>
      <c r="B955" s="252" t="s">
        <v>3054</v>
      </c>
      <c r="C955" s="254" t="s">
        <v>887</v>
      </c>
      <c r="D955" s="252" t="s">
        <v>3055</v>
      </c>
      <c r="E955" s="252" t="s">
        <v>888</v>
      </c>
      <c r="F955" s="252" t="s">
        <v>889</v>
      </c>
      <c r="G955" s="255"/>
    </row>
    <row r="956" spans="1:7" s="108" customFormat="1" ht="14.1" customHeight="1">
      <c r="A956" s="251" t="s">
        <v>1536</v>
      </c>
      <c r="B956" s="252" t="s">
        <v>3056</v>
      </c>
      <c r="C956" s="254" t="s">
        <v>1018</v>
      </c>
      <c r="D956" s="252" t="s">
        <v>3057</v>
      </c>
      <c r="E956" s="252" t="s">
        <v>1157</v>
      </c>
      <c r="F956" s="252" t="s">
        <v>889</v>
      </c>
      <c r="G956" s="255"/>
    </row>
    <row r="957" spans="1:7" s="108" customFormat="1" ht="14.1" customHeight="1">
      <c r="A957" s="251" t="s">
        <v>1536</v>
      </c>
      <c r="B957" s="252" t="s">
        <v>3058</v>
      </c>
      <c r="C957" s="254" t="s">
        <v>917</v>
      </c>
      <c r="D957" s="252" t="s">
        <v>1538</v>
      </c>
      <c r="E957" s="252" t="s">
        <v>918</v>
      </c>
      <c r="F957" s="252" t="s">
        <v>889</v>
      </c>
      <c r="G957" s="255">
        <v>0.123</v>
      </c>
    </row>
    <row r="958" spans="1:7" s="108" customFormat="1" ht="14.1" customHeight="1">
      <c r="A958" s="251" t="s">
        <v>1536</v>
      </c>
      <c r="B958" s="252" t="s">
        <v>2755</v>
      </c>
      <c r="C958" s="254" t="s">
        <v>917</v>
      </c>
      <c r="D958" s="252" t="s">
        <v>1537</v>
      </c>
      <c r="E958" s="252" t="s">
        <v>918</v>
      </c>
      <c r="F958" s="252" t="s">
        <v>913</v>
      </c>
      <c r="G958" s="255">
        <v>8.3000000000000004E-2</v>
      </c>
    </row>
    <row r="959" spans="1:7" s="108" customFormat="1" ht="14.1" customHeight="1">
      <c r="A959" s="251" t="s">
        <v>1536</v>
      </c>
      <c r="B959" s="252" t="s">
        <v>2755</v>
      </c>
      <c r="C959" s="254" t="s">
        <v>917</v>
      </c>
      <c r="D959" s="252" t="s">
        <v>1537</v>
      </c>
      <c r="E959" s="252" t="s">
        <v>918</v>
      </c>
      <c r="F959" s="252" t="s">
        <v>913</v>
      </c>
      <c r="G959" s="255">
        <v>0.125</v>
      </c>
    </row>
    <row r="960" spans="1:7" s="108" customFormat="1" ht="14.1" customHeight="1">
      <c r="A960" s="251" t="s">
        <v>1536</v>
      </c>
      <c r="B960" s="252" t="s">
        <v>2755</v>
      </c>
      <c r="C960" s="254" t="s">
        <v>917</v>
      </c>
      <c r="D960" s="252" t="s">
        <v>1537</v>
      </c>
      <c r="E960" s="252" t="s">
        <v>918</v>
      </c>
      <c r="F960" s="252" t="s">
        <v>892</v>
      </c>
      <c r="G960" s="255">
        <v>0.58199999999999996</v>
      </c>
    </row>
    <row r="961" spans="1:7" s="108" customFormat="1" ht="14.1" customHeight="1">
      <c r="A961" s="251" t="s">
        <v>1536</v>
      </c>
      <c r="B961" s="252" t="s">
        <v>3059</v>
      </c>
      <c r="C961" s="254" t="s">
        <v>917</v>
      </c>
      <c r="D961" s="252" t="s">
        <v>1539</v>
      </c>
      <c r="E961" s="252" t="s">
        <v>888</v>
      </c>
      <c r="F961" s="252" t="s">
        <v>889</v>
      </c>
      <c r="G961" s="255">
        <v>5</v>
      </c>
    </row>
    <row r="962" spans="1:7" s="108" customFormat="1" ht="14.1" customHeight="1">
      <c r="A962" s="251" t="s">
        <v>1536</v>
      </c>
      <c r="B962" s="252" t="s">
        <v>3060</v>
      </c>
      <c r="C962" s="254" t="s">
        <v>917</v>
      </c>
      <c r="D962" s="252" t="s">
        <v>1154</v>
      </c>
      <c r="E962" s="252" t="s">
        <v>918</v>
      </c>
      <c r="F962" s="252" t="s">
        <v>931</v>
      </c>
      <c r="G962" s="255"/>
    </row>
    <row r="963" spans="1:7" s="108" customFormat="1" ht="14.1" customHeight="1">
      <c r="A963" s="251" t="s">
        <v>1536</v>
      </c>
      <c r="B963" s="252" t="s">
        <v>3060</v>
      </c>
      <c r="C963" s="254" t="s">
        <v>917</v>
      </c>
      <c r="D963" s="252" t="s">
        <v>1154</v>
      </c>
      <c r="E963" s="252" t="s">
        <v>918</v>
      </c>
      <c r="F963" s="252" t="s">
        <v>931</v>
      </c>
      <c r="G963" s="255"/>
    </row>
    <row r="964" spans="1:7" s="108" customFormat="1" ht="14.1" customHeight="1">
      <c r="A964" s="251" t="s">
        <v>1536</v>
      </c>
      <c r="B964" s="252" t="s">
        <v>3061</v>
      </c>
      <c r="C964" s="254" t="s">
        <v>1023</v>
      </c>
      <c r="D964" s="252" t="s">
        <v>1514</v>
      </c>
      <c r="E964" s="252" t="s">
        <v>888</v>
      </c>
      <c r="F964" s="252" t="s">
        <v>889</v>
      </c>
      <c r="G964" s="255"/>
    </row>
    <row r="965" spans="1:7" s="108" customFormat="1" ht="14.1" customHeight="1">
      <c r="A965" s="251" t="s">
        <v>1536</v>
      </c>
      <c r="B965" s="252" t="s">
        <v>3062</v>
      </c>
      <c r="C965" s="254" t="s">
        <v>1023</v>
      </c>
      <c r="D965" s="252" t="s">
        <v>1501</v>
      </c>
      <c r="E965" s="252" t="s">
        <v>888</v>
      </c>
      <c r="F965" s="252" t="s">
        <v>889</v>
      </c>
      <c r="G965" s="255"/>
    </row>
    <row r="966" spans="1:7" s="108" customFormat="1" ht="14.1" customHeight="1">
      <c r="A966" s="251" t="s">
        <v>1536</v>
      </c>
      <c r="B966" s="252" t="s">
        <v>3063</v>
      </c>
      <c r="C966" s="254" t="s">
        <v>1246</v>
      </c>
      <c r="D966" s="252" t="s">
        <v>3064</v>
      </c>
      <c r="E966" s="252" t="s">
        <v>888</v>
      </c>
      <c r="F966" s="252" t="s">
        <v>889</v>
      </c>
      <c r="G966" s="255"/>
    </row>
    <row r="967" spans="1:7" s="108" customFormat="1" ht="14.1" customHeight="1">
      <c r="A967" s="251" t="s">
        <v>1536</v>
      </c>
      <c r="B967" s="252" t="s">
        <v>3065</v>
      </c>
      <c r="C967" s="254" t="s">
        <v>1110</v>
      </c>
      <c r="D967" s="252" t="s">
        <v>3066</v>
      </c>
      <c r="E967" s="252" t="s">
        <v>1026</v>
      </c>
      <c r="F967" s="252" t="s">
        <v>889</v>
      </c>
      <c r="G967" s="255"/>
    </row>
    <row r="968" spans="1:7" s="108" customFormat="1" ht="14.1" customHeight="1">
      <c r="A968" s="251" t="s">
        <v>1536</v>
      </c>
      <c r="B968" s="252" t="s">
        <v>3067</v>
      </c>
      <c r="C968" s="254" t="s">
        <v>1110</v>
      </c>
      <c r="D968" s="252" t="s">
        <v>886</v>
      </c>
      <c r="E968" s="252" t="s">
        <v>1022</v>
      </c>
      <c r="F968" s="252" t="s">
        <v>889</v>
      </c>
      <c r="G968" s="255">
        <v>12.74</v>
      </c>
    </row>
    <row r="969" spans="1:7" s="108" customFormat="1" ht="14.1" customHeight="1">
      <c r="A969" s="251" t="s">
        <v>1536</v>
      </c>
      <c r="B969" s="252" t="s">
        <v>3068</v>
      </c>
      <c r="C969" s="254" t="s">
        <v>1972</v>
      </c>
      <c r="D969" s="252" t="s">
        <v>3069</v>
      </c>
      <c r="E969" s="252" t="s">
        <v>939</v>
      </c>
      <c r="F969" s="252" t="s">
        <v>889</v>
      </c>
      <c r="G969" s="255"/>
    </row>
    <row r="970" spans="1:7" s="108" customFormat="1" ht="14.1" customHeight="1">
      <c r="A970" s="251" t="s">
        <v>1536</v>
      </c>
      <c r="B970" s="252" t="s">
        <v>3070</v>
      </c>
      <c r="C970" s="254" t="s">
        <v>911</v>
      </c>
      <c r="D970" s="252" t="s">
        <v>1529</v>
      </c>
      <c r="E970" s="252" t="s">
        <v>888</v>
      </c>
      <c r="F970" s="252" t="s">
        <v>889</v>
      </c>
      <c r="G970" s="255">
        <v>2149.9899999999998</v>
      </c>
    </row>
    <row r="971" spans="1:7" s="108" customFormat="1" ht="14.1" customHeight="1">
      <c r="A971" s="251" t="s">
        <v>1536</v>
      </c>
      <c r="B971" s="252" t="s">
        <v>3071</v>
      </c>
      <c r="C971" s="254" t="s">
        <v>1000</v>
      </c>
      <c r="D971" s="252" t="s">
        <v>1544</v>
      </c>
      <c r="E971" s="252" t="s">
        <v>918</v>
      </c>
      <c r="F971" s="252" t="s">
        <v>889</v>
      </c>
      <c r="G971" s="255"/>
    </row>
    <row r="972" spans="1:7" s="108" customFormat="1" ht="14.1" customHeight="1">
      <c r="A972" s="251" t="s">
        <v>1536</v>
      </c>
      <c r="B972" s="252" t="s">
        <v>3072</v>
      </c>
      <c r="C972" s="254" t="s">
        <v>1000</v>
      </c>
      <c r="D972" s="252" t="s">
        <v>3073</v>
      </c>
      <c r="E972" s="252" t="s">
        <v>907</v>
      </c>
      <c r="F972" s="252" t="s">
        <v>889</v>
      </c>
      <c r="G972" s="255"/>
    </row>
    <row r="973" spans="1:7" s="108" customFormat="1" ht="14.1" customHeight="1">
      <c r="A973" s="251" t="s">
        <v>1536</v>
      </c>
      <c r="B973" s="252" t="s">
        <v>3074</v>
      </c>
      <c r="C973" s="254" t="s">
        <v>1000</v>
      </c>
      <c r="D973" s="252" t="s">
        <v>999</v>
      </c>
      <c r="E973" s="252" t="s">
        <v>929</v>
      </c>
      <c r="F973" s="252" t="s">
        <v>889</v>
      </c>
      <c r="G973" s="255"/>
    </row>
    <row r="974" spans="1:7" s="108" customFormat="1" ht="14.1" customHeight="1">
      <c r="A974" s="251" t="s">
        <v>1536</v>
      </c>
      <c r="B974" s="252" t="s">
        <v>3075</v>
      </c>
      <c r="C974" s="254" t="s">
        <v>1000</v>
      </c>
      <c r="D974" s="252" t="s">
        <v>1542</v>
      </c>
      <c r="E974" s="252" t="s">
        <v>1306</v>
      </c>
      <c r="F974" s="252" t="s">
        <v>889</v>
      </c>
      <c r="G974" s="255">
        <v>54.5</v>
      </c>
    </row>
    <row r="975" spans="1:7" s="108" customFormat="1" ht="14.1" customHeight="1">
      <c r="A975" s="251" t="s">
        <v>1536</v>
      </c>
      <c r="B975" s="252" t="s">
        <v>3076</v>
      </c>
      <c r="C975" s="254" t="s">
        <v>1164</v>
      </c>
      <c r="D975" s="252" t="s">
        <v>2988</v>
      </c>
      <c r="E975" s="252" t="s">
        <v>954</v>
      </c>
      <c r="F975" s="252" t="s">
        <v>889</v>
      </c>
      <c r="G975" s="255"/>
    </row>
    <row r="976" spans="1:7" s="108" customFormat="1" ht="14.1" customHeight="1">
      <c r="A976" s="251" t="s">
        <v>1536</v>
      </c>
      <c r="B976" s="252" t="s">
        <v>3077</v>
      </c>
      <c r="C976" s="254" t="s">
        <v>983</v>
      </c>
      <c r="D976" s="252" t="s">
        <v>1543</v>
      </c>
      <c r="E976" s="252" t="s">
        <v>954</v>
      </c>
      <c r="F976" s="252" t="s">
        <v>889</v>
      </c>
      <c r="G976" s="255">
        <v>88.007000000000005</v>
      </c>
    </row>
    <row r="977" spans="1:7" s="108" customFormat="1" ht="14.1" customHeight="1">
      <c r="A977" s="251" t="s">
        <v>1536</v>
      </c>
      <c r="B977" s="252" t="s">
        <v>3077</v>
      </c>
      <c r="C977" s="254" t="s">
        <v>983</v>
      </c>
      <c r="D977" s="252" t="s">
        <v>1543</v>
      </c>
      <c r="E977" s="252" t="s">
        <v>954</v>
      </c>
      <c r="F977" s="252" t="s">
        <v>913</v>
      </c>
      <c r="G977" s="255"/>
    </row>
    <row r="978" spans="1:7" s="108" customFormat="1" ht="14.1" customHeight="1">
      <c r="A978" s="251" t="s">
        <v>1536</v>
      </c>
      <c r="B978" s="252" t="s">
        <v>3078</v>
      </c>
      <c r="C978" s="254" t="s">
        <v>1009</v>
      </c>
      <c r="D978" s="252" t="s">
        <v>3079</v>
      </c>
      <c r="E978" s="252" t="s">
        <v>939</v>
      </c>
      <c r="F978" s="252" t="s">
        <v>889</v>
      </c>
      <c r="G978" s="255"/>
    </row>
    <row r="979" spans="1:7" s="108" customFormat="1" ht="14.1" customHeight="1">
      <c r="A979" s="251" t="s">
        <v>1642</v>
      </c>
      <c r="B979" s="252" t="s">
        <v>2330</v>
      </c>
      <c r="C979" s="254" t="s">
        <v>1088</v>
      </c>
      <c r="D979" s="252" t="s">
        <v>886</v>
      </c>
      <c r="E979" s="252" t="s">
        <v>939</v>
      </c>
      <c r="F979" s="252" t="s">
        <v>889</v>
      </c>
      <c r="G979" s="255">
        <v>251</v>
      </c>
    </row>
    <row r="980" spans="1:7" s="108" customFormat="1" ht="14.1" customHeight="1">
      <c r="A980" s="251" t="s">
        <v>1642</v>
      </c>
      <c r="B980" s="252" t="s">
        <v>2463</v>
      </c>
      <c r="C980" s="254" t="s">
        <v>917</v>
      </c>
      <c r="D980" s="252" t="s">
        <v>1354</v>
      </c>
      <c r="E980" s="252" t="s">
        <v>918</v>
      </c>
      <c r="F980" s="252" t="s">
        <v>889</v>
      </c>
      <c r="G980" s="255">
        <v>0.27900000000000003</v>
      </c>
    </row>
    <row r="981" spans="1:7" s="108" customFormat="1" ht="14.1" customHeight="1">
      <c r="A981" s="251" t="s">
        <v>1642</v>
      </c>
      <c r="B981" s="252" t="s">
        <v>3080</v>
      </c>
      <c r="C981" s="254" t="s">
        <v>917</v>
      </c>
      <c r="D981" s="252" t="s">
        <v>1537</v>
      </c>
      <c r="E981" s="252" t="s">
        <v>918</v>
      </c>
      <c r="F981" s="252" t="s">
        <v>889</v>
      </c>
      <c r="G981" s="255">
        <v>0.1</v>
      </c>
    </row>
    <row r="982" spans="1:7" s="108" customFormat="1" ht="14.1" customHeight="1">
      <c r="A982" s="251" t="s">
        <v>1642</v>
      </c>
      <c r="B982" s="252" t="s">
        <v>3081</v>
      </c>
      <c r="C982" s="254" t="s">
        <v>917</v>
      </c>
      <c r="D982" s="252" t="s">
        <v>1643</v>
      </c>
      <c r="E982" s="252" t="s">
        <v>918</v>
      </c>
      <c r="F982" s="252" t="s">
        <v>931</v>
      </c>
      <c r="G982" s="255">
        <v>3.3090000000000002</v>
      </c>
    </row>
    <row r="983" spans="1:7" s="108" customFormat="1" ht="14.1" customHeight="1">
      <c r="A983" s="251" t="s">
        <v>1642</v>
      </c>
      <c r="B983" s="252" t="s">
        <v>3082</v>
      </c>
      <c r="C983" s="254" t="s">
        <v>917</v>
      </c>
      <c r="D983" s="252" t="s">
        <v>1644</v>
      </c>
      <c r="E983" s="252" t="s">
        <v>918</v>
      </c>
      <c r="F983" s="252" t="s">
        <v>889</v>
      </c>
      <c r="G983" s="255">
        <v>10.1</v>
      </c>
    </row>
    <row r="984" spans="1:7" s="108" customFormat="1" ht="14.1" customHeight="1">
      <c r="A984" s="251" t="s">
        <v>1642</v>
      </c>
      <c r="B984" s="252" t="s">
        <v>3083</v>
      </c>
      <c r="C984" s="254" t="s">
        <v>917</v>
      </c>
      <c r="D984" s="252" t="s">
        <v>886</v>
      </c>
      <c r="E984" s="252" t="s">
        <v>918</v>
      </c>
      <c r="F984" s="252" t="s">
        <v>889</v>
      </c>
      <c r="G984" s="255"/>
    </row>
    <row r="985" spans="1:7" s="108" customFormat="1" ht="14.1" customHeight="1">
      <c r="A985" s="251" t="s">
        <v>1642</v>
      </c>
      <c r="B985" s="252" t="s">
        <v>3084</v>
      </c>
      <c r="C985" s="254" t="s">
        <v>917</v>
      </c>
      <c r="D985" s="252" t="s">
        <v>886</v>
      </c>
      <c r="E985" s="252" t="s">
        <v>918</v>
      </c>
      <c r="F985" s="252" t="s">
        <v>889</v>
      </c>
      <c r="G985" s="255">
        <v>14</v>
      </c>
    </row>
    <row r="986" spans="1:7" s="108" customFormat="1" ht="14.1" customHeight="1">
      <c r="A986" s="251" t="s">
        <v>1642</v>
      </c>
      <c r="B986" s="252" t="s">
        <v>3085</v>
      </c>
      <c r="C986" s="254" t="s">
        <v>917</v>
      </c>
      <c r="D986" s="252" t="s">
        <v>886</v>
      </c>
      <c r="E986" s="252" t="s">
        <v>918</v>
      </c>
      <c r="F986" s="252" t="s">
        <v>889</v>
      </c>
      <c r="G986" s="255"/>
    </row>
    <row r="987" spans="1:7" s="108" customFormat="1" ht="14.1" customHeight="1">
      <c r="A987" s="251" t="s">
        <v>1642</v>
      </c>
      <c r="B987" s="252" t="s">
        <v>3086</v>
      </c>
      <c r="C987" s="254" t="s">
        <v>917</v>
      </c>
      <c r="D987" s="252" t="s">
        <v>886</v>
      </c>
      <c r="E987" s="252" t="s">
        <v>918</v>
      </c>
      <c r="F987" s="252" t="s">
        <v>889</v>
      </c>
      <c r="G987" s="255"/>
    </row>
    <row r="988" spans="1:7" s="108" customFormat="1" ht="14.1" customHeight="1">
      <c r="A988" s="251" t="s">
        <v>1642</v>
      </c>
      <c r="B988" s="252" t="s">
        <v>3087</v>
      </c>
      <c r="C988" s="254" t="s">
        <v>1110</v>
      </c>
      <c r="D988" s="252" t="s">
        <v>2868</v>
      </c>
      <c r="E988" s="252" t="s">
        <v>888</v>
      </c>
      <c r="F988" s="252" t="s">
        <v>889</v>
      </c>
      <c r="G988" s="255"/>
    </row>
    <row r="989" spans="1:7" s="108" customFormat="1" ht="14.1" customHeight="1">
      <c r="A989" s="251" t="s">
        <v>1678</v>
      </c>
      <c r="B989" s="252" t="s">
        <v>3088</v>
      </c>
      <c r="C989" s="254" t="s">
        <v>894</v>
      </c>
      <c r="D989" s="252" t="s">
        <v>1677</v>
      </c>
      <c r="E989" s="252" t="s">
        <v>919</v>
      </c>
      <c r="F989" s="252" t="s">
        <v>892</v>
      </c>
      <c r="G989" s="255">
        <v>500</v>
      </c>
    </row>
    <row r="990" spans="1:7" s="108" customFormat="1" ht="14.1" customHeight="1">
      <c r="A990" s="251" t="s">
        <v>3089</v>
      </c>
      <c r="B990" s="252" t="s">
        <v>3090</v>
      </c>
      <c r="C990" s="254" t="s">
        <v>1000</v>
      </c>
      <c r="D990" s="252" t="s">
        <v>3091</v>
      </c>
      <c r="E990" s="252" t="s">
        <v>939</v>
      </c>
      <c r="F990" s="252" t="s">
        <v>889</v>
      </c>
      <c r="G990" s="255"/>
    </row>
    <row r="991" spans="1:7" s="108" customFormat="1" ht="14.1" customHeight="1">
      <c r="A991" s="251" t="s">
        <v>1173</v>
      </c>
      <c r="B991" s="252" t="s">
        <v>3092</v>
      </c>
      <c r="C991" s="254" t="s">
        <v>897</v>
      </c>
      <c r="D991" s="252" t="s">
        <v>2353</v>
      </c>
      <c r="E991" s="252" t="s">
        <v>895</v>
      </c>
      <c r="F991" s="252" t="s">
        <v>889</v>
      </c>
      <c r="G991" s="255"/>
    </row>
    <row r="992" spans="1:7" s="108" customFormat="1" ht="14.1" customHeight="1">
      <c r="A992" s="251" t="s">
        <v>1173</v>
      </c>
      <c r="B992" s="252" t="s">
        <v>3093</v>
      </c>
      <c r="C992" s="254" t="s">
        <v>897</v>
      </c>
      <c r="D992" s="252" t="s">
        <v>3094</v>
      </c>
      <c r="E992" s="252" t="s">
        <v>888</v>
      </c>
      <c r="F992" s="252" t="s">
        <v>889</v>
      </c>
      <c r="G992" s="255"/>
    </row>
    <row r="993" spans="1:7" s="108" customFormat="1" ht="14.1" customHeight="1">
      <c r="A993" s="251" t="s">
        <v>1173</v>
      </c>
      <c r="B993" s="252" t="s">
        <v>3095</v>
      </c>
      <c r="C993" s="254" t="s">
        <v>1146</v>
      </c>
      <c r="D993" s="252" t="s">
        <v>3096</v>
      </c>
      <c r="E993" s="252" t="s">
        <v>888</v>
      </c>
      <c r="F993" s="252" t="s">
        <v>889</v>
      </c>
      <c r="G993" s="255"/>
    </row>
    <row r="994" spans="1:7" s="108" customFormat="1" ht="14.1" customHeight="1">
      <c r="A994" s="251" t="s">
        <v>1173</v>
      </c>
      <c r="B994" s="252" t="s">
        <v>3097</v>
      </c>
      <c r="C994" s="254" t="s">
        <v>947</v>
      </c>
      <c r="D994" s="252" t="s">
        <v>1178</v>
      </c>
      <c r="E994" s="252" t="s">
        <v>888</v>
      </c>
      <c r="F994" s="252" t="s">
        <v>889</v>
      </c>
      <c r="G994" s="255">
        <v>67.073999999999998</v>
      </c>
    </row>
    <row r="995" spans="1:7" s="108" customFormat="1" ht="14.1" customHeight="1">
      <c r="A995" s="251" t="s">
        <v>1173</v>
      </c>
      <c r="B995" s="252" t="s">
        <v>3098</v>
      </c>
      <c r="C995" s="254" t="s">
        <v>968</v>
      </c>
      <c r="D995" s="252" t="s">
        <v>3099</v>
      </c>
      <c r="E995" s="252" t="s">
        <v>1026</v>
      </c>
      <c r="F995" s="252" t="s">
        <v>889</v>
      </c>
      <c r="G995" s="255"/>
    </row>
    <row r="996" spans="1:7" s="108" customFormat="1" ht="14.1" customHeight="1">
      <c r="A996" s="251" t="s">
        <v>1173</v>
      </c>
      <c r="B996" s="252" t="s">
        <v>3100</v>
      </c>
      <c r="C996" s="254" t="s">
        <v>968</v>
      </c>
      <c r="D996" s="252" t="s">
        <v>3099</v>
      </c>
      <c r="E996" s="252" t="s">
        <v>1026</v>
      </c>
      <c r="F996" s="252" t="s">
        <v>889</v>
      </c>
      <c r="G996" s="255"/>
    </row>
    <row r="997" spans="1:7" s="108" customFormat="1" ht="14.1" customHeight="1">
      <c r="A997" s="251" t="s">
        <v>1173</v>
      </c>
      <c r="B997" s="252" t="s">
        <v>2073</v>
      </c>
      <c r="C997" s="254" t="s">
        <v>968</v>
      </c>
      <c r="D997" s="252" t="s">
        <v>1177</v>
      </c>
      <c r="E997" s="252" t="s">
        <v>888</v>
      </c>
      <c r="F997" s="252" t="s">
        <v>889</v>
      </c>
      <c r="G997" s="255">
        <v>60</v>
      </c>
    </row>
    <row r="998" spans="1:7" s="108" customFormat="1" ht="14.1" customHeight="1">
      <c r="A998" s="251" t="s">
        <v>1173</v>
      </c>
      <c r="B998" s="252" t="s">
        <v>3101</v>
      </c>
      <c r="C998" s="254" t="s">
        <v>968</v>
      </c>
      <c r="D998" s="252" t="s">
        <v>3102</v>
      </c>
      <c r="E998" s="252" t="s">
        <v>954</v>
      </c>
      <c r="F998" s="252" t="s">
        <v>889</v>
      </c>
      <c r="G998" s="255"/>
    </row>
    <row r="999" spans="1:7" s="108" customFormat="1" ht="14.1" customHeight="1">
      <c r="A999" s="251" t="s">
        <v>1173</v>
      </c>
      <c r="B999" s="252" t="s">
        <v>3103</v>
      </c>
      <c r="C999" s="254" t="s">
        <v>968</v>
      </c>
      <c r="D999" s="252" t="s">
        <v>3104</v>
      </c>
      <c r="E999" s="252" t="s">
        <v>888</v>
      </c>
      <c r="F999" s="252" t="s">
        <v>889</v>
      </c>
      <c r="G999" s="255"/>
    </row>
    <row r="1000" spans="1:7" s="108" customFormat="1" ht="14.1" customHeight="1">
      <c r="A1000" s="251" t="s">
        <v>1173</v>
      </c>
      <c r="B1000" s="252" t="s">
        <v>3105</v>
      </c>
      <c r="C1000" s="254" t="s">
        <v>968</v>
      </c>
      <c r="D1000" s="252" t="s">
        <v>1175</v>
      </c>
      <c r="E1000" s="252" t="s">
        <v>907</v>
      </c>
      <c r="F1000" s="252" t="s">
        <v>889</v>
      </c>
      <c r="G1000" s="255">
        <v>14.141999999999999</v>
      </c>
    </row>
    <row r="1001" spans="1:7" s="108" customFormat="1" ht="14.1" customHeight="1">
      <c r="A1001" s="251" t="s">
        <v>1173</v>
      </c>
      <c r="B1001" s="252" t="s">
        <v>3106</v>
      </c>
      <c r="C1001" s="254" t="s">
        <v>968</v>
      </c>
      <c r="D1001" s="252" t="s">
        <v>1966</v>
      </c>
      <c r="E1001" s="252" t="s">
        <v>891</v>
      </c>
      <c r="F1001" s="252" t="s">
        <v>889</v>
      </c>
      <c r="G1001" s="255"/>
    </row>
    <row r="1002" spans="1:7" s="108" customFormat="1" ht="14.1" customHeight="1">
      <c r="A1002" s="251" t="s">
        <v>1173</v>
      </c>
      <c r="B1002" s="252" t="s">
        <v>3107</v>
      </c>
      <c r="C1002" s="254" t="s">
        <v>968</v>
      </c>
      <c r="D1002" s="252" t="s">
        <v>3108</v>
      </c>
      <c r="E1002" s="252" t="s">
        <v>888</v>
      </c>
      <c r="F1002" s="252" t="s">
        <v>889</v>
      </c>
      <c r="G1002" s="255"/>
    </row>
    <row r="1003" spans="1:7" s="108" customFormat="1" ht="14.1" customHeight="1">
      <c r="A1003" s="251" t="s">
        <v>1173</v>
      </c>
      <c r="B1003" s="252" t="s">
        <v>3109</v>
      </c>
      <c r="C1003" s="254" t="s">
        <v>968</v>
      </c>
      <c r="D1003" s="252" t="s">
        <v>3094</v>
      </c>
      <c r="E1003" s="252" t="s">
        <v>888</v>
      </c>
      <c r="F1003" s="252" t="s">
        <v>889</v>
      </c>
      <c r="G1003" s="255"/>
    </row>
    <row r="1004" spans="1:7" s="108" customFormat="1" ht="14.1" customHeight="1">
      <c r="A1004" s="251" t="s">
        <v>1173</v>
      </c>
      <c r="B1004" s="252" t="s">
        <v>3110</v>
      </c>
      <c r="C1004" s="254" t="s">
        <v>968</v>
      </c>
      <c r="D1004" s="252" t="s">
        <v>3111</v>
      </c>
      <c r="E1004" s="252" t="s">
        <v>888</v>
      </c>
      <c r="F1004" s="252" t="s">
        <v>889</v>
      </c>
      <c r="G1004" s="255"/>
    </row>
    <row r="1005" spans="1:7" s="108" customFormat="1" ht="14.1" customHeight="1">
      <c r="A1005" s="251" t="s">
        <v>1173</v>
      </c>
      <c r="B1005" s="252" t="s">
        <v>3112</v>
      </c>
      <c r="C1005" s="254" t="s">
        <v>968</v>
      </c>
      <c r="D1005" s="252" t="s">
        <v>3113</v>
      </c>
      <c r="E1005" s="252" t="s">
        <v>888</v>
      </c>
      <c r="F1005" s="252" t="s">
        <v>889</v>
      </c>
      <c r="G1005" s="255"/>
    </row>
    <row r="1006" spans="1:7" s="108" customFormat="1" ht="14.1" customHeight="1">
      <c r="A1006" s="251" t="s">
        <v>1173</v>
      </c>
      <c r="B1006" s="252" t="s">
        <v>3114</v>
      </c>
      <c r="C1006" s="254" t="s">
        <v>968</v>
      </c>
      <c r="D1006" s="252" t="s">
        <v>3115</v>
      </c>
      <c r="E1006" s="252" t="s">
        <v>1327</v>
      </c>
      <c r="F1006" s="252" t="s">
        <v>889</v>
      </c>
      <c r="G1006" s="255"/>
    </row>
    <row r="1007" spans="1:7" s="108" customFormat="1" ht="14.1" customHeight="1">
      <c r="A1007" s="251" t="s">
        <v>1173</v>
      </c>
      <c r="B1007" s="252" t="s">
        <v>3116</v>
      </c>
      <c r="C1007" s="254" t="s">
        <v>1088</v>
      </c>
      <c r="D1007" s="252" t="s">
        <v>1180</v>
      </c>
      <c r="E1007" s="252" t="s">
        <v>888</v>
      </c>
      <c r="F1007" s="252" t="s">
        <v>931</v>
      </c>
      <c r="G1007" s="255">
        <v>250</v>
      </c>
    </row>
    <row r="1008" spans="1:7" s="108" customFormat="1" ht="14.1" customHeight="1">
      <c r="A1008" s="251" t="s">
        <v>1173</v>
      </c>
      <c r="B1008" s="252" t="s">
        <v>3117</v>
      </c>
      <c r="C1008" s="254" t="s">
        <v>906</v>
      </c>
      <c r="D1008" s="252" t="s">
        <v>1179</v>
      </c>
      <c r="E1008" s="252" t="s">
        <v>895</v>
      </c>
      <c r="F1008" s="252" t="s">
        <v>889</v>
      </c>
      <c r="G1008" s="255">
        <v>176.52600000000001</v>
      </c>
    </row>
    <row r="1009" spans="1:7" s="108" customFormat="1" ht="14.1" customHeight="1">
      <c r="A1009" s="251" t="s">
        <v>1173</v>
      </c>
      <c r="B1009" s="252" t="s">
        <v>3118</v>
      </c>
      <c r="C1009" s="254" t="s">
        <v>890</v>
      </c>
      <c r="D1009" s="252" t="s">
        <v>3119</v>
      </c>
      <c r="E1009" s="252" t="s">
        <v>904</v>
      </c>
      <c r="F1009" s="252" t="s">
        <v>889</v>
      </c>
      <c r="G1009" s="255"/>
    </row>
    <row r="1010" spans="1:7" s="108" customFormat="1" ht="14.1" customHeight="1">
      <c r="A1010" s="251" t="s">
        <v>1173</v>
      </c>
      <c r="B1010" s="252" t="s">
        <v>3120</v>
      </c>
      <c r="C1010" s="254" t="s">
        <v>890</v>
      </c>
      <c r="D1010" s="252" t="s">
        <v>3119</v>
      </c>
      <c r="E1010" s="252" t="s">
        <v>904</v>
      </c>
      <c r="F1010" s="252" t="s">
        <v>889</v>
      </c>
      <c r="G1010" s="255"/>
    </row>
    <row r="1011" spans="1:7" s="108" customFormat="1" ht="14.1" customHeight="1">
      <c r="A1011" s="251" t="s">
        <v>1173</v>
      </c>
      <c r="B1011" s="252" t="s">
        <v>3121</v>
      </c>
      <c r="C1011" s="254" t="s">
        <v>890</v>
      </c>
      <c r="D1011" s="252" t="s">
        <v>3122</v>
      </c>
      <c r="E1011" s="252" t="s">
        <v>888</v>
      </c>
      <c r="F1011" s="252" t="s">
        <v>889</v>
      </c>
      <c r="G1011" s="255"/>
    </row>
    <row r="1012" spans="1:7" s="108" customFormat="1" ht="14.1" customHeight="1">
      <c r="A1012" s="251" t="s">
        <v>1173</v>
      </c>
      <c r="B1012" s="252" t="s">
        <v>3123</v>
      </c>
      <c r="C1012" s="254" t="s">
        <v>890</v>
      </c>
      <c r="D1012" s="252" t="s">
        <v>3124</v>
      </c>
      <c r="E1012" s="252" t="s">
        <v>1157</v>
      </c>
      <c r="F1012" s="252" t="s">
        <v>892</v>
      </c>
      <c r="G1012" s="255"/>
    </row>
    <row r="1013" spans="1:7" s="108" customFormat="1" ht="14.1" customHeight="1">
      <c r="A1013" s="251" t="s">
        <v>1173</v>
      </c>
      <c r="B1013" s="252" t="s">
        <v>3123</v>
      </c>
      <c r="C1013" s="254" t="s">
        <v>890</v>
      </c>
      <c r="D1013" s="252" t="s">
        <v>3124</v>
      </c>
      <c r="E1013" s="252" t="s">
        <v>1157</v>
      </c>
      <c r="F1013" s="252" t="s">
        <v>913</v>
      </c>
      <c r="G1013" s="255"/>
    </row>
    <row r="1014" spans="1:7" s="108" customFormat="1" ht="14.1" customHeight="1">
      <c r="A1014" s="251" t="s">
        <v>1173</v>
      </c>
      <c r="B1014" s="252" t="s">
        <v>3125</v>
      </c>
      <c r="C1014" s="254" t="s">
        <v>890</v>
      </c>
      <c r="D1014" s="252" t="s">
        <v>3126</v>
      </c>
      <c r="E1014" s="252" t="s">
        <v>1157</v>
      </c>
      <c r="F1014" s="252" t="s">
        <v>889</v>
      </c>
      <c r="G1014" s="255"/>
    </row>
    <row r="1015" spans="1:7" s="108" customFormat="1" ht="14.1" customHeight="1">
      <c r="A1015" s="251" t="s">
        <v>1173</v>
      </c>
      <c r="B1015" s="252" t="s">
        <v>3127</v>
      </c>
      <c r="C1015" s="254" t="s">
        <v>890</v>
      </c>
      <c r="D1015" s="252" t="s">
        <v>3128</v>
      </c>
      <c r="E1015" s="252" t="s">
        <v>1136</v>
      </c>
      <c r="F1015" s="252" t="s">
        <v>889</v>
      </c>
      <c r="G1015" s="255"/>
    </row>
    <row r="1016" spans="1:7" s="108" customFormat="1" ht="14.1" customHeight="1">
      <c r="A1016" s="251" t="s">
        <v>1173</v>
      </c>
      <c r="B1016" s="252" t="s">
        <v>3129</v>
      </c>
      <c r="C1016" s="254" t="s">
        <v>1018</v>
      </c>
      <c r="D1016" s="252" t="s">
        <v>3130</v>
      </c>
      <c r="E1016" s="252" t="s">
        <v>907</v>
      </c>
      <c r="F1016" s="252" t="s">
        <v>889</v>
      </c>
      <c r="G1016" s="255"/>
    </row>
    <row r="1017" spans="1:7" s="108" customFormat="1" ht="14.1" customHeight="1">
      <c r="A1017" s="251" t="s">
        <v>1173</v>
      </c>
      <c r="B1017" s="252" t="s">
        <v>3131</v>
      </c>
      <c r="C1017" s="254" t="s">
        <v>1202</v>
      </c>
      <c r="D1017" s="252" t="s">
        <v>3132</v>
      </c>
      <c r="E1017" s="252" t="s">
        <v>904</v>
      </c>
      <c r="F1017" s="252" t="s">
        <v>889</v>
      </c>
      <c r="G1017" s="255"/>
    </row>
    <row r="1018" spans="1:7" s="108" customFormat="1" ht="14.1" customHeight="1">
      <c r="A1018" s="251" t="s">
        <v>1173</v>
      </c>
      <c r="B1018" s="252" t="s">
        <v>3133</v>
      </c>
      <c r="C1018" s="254" t="s">
        <v>917</v>
      </c>
      <c r="D1018" s="252" t="s">
        <v>886</v>
      </c>
      <c r="E1018" s="252" t="s">
        <v>954</v>
      </c>
      <c r="F1018" s="252" t="s">
        <v>889</v>
      </c>
      <c r="G1018" s="255"/>
    </row>
    <row r="1019" spans="1:7" s="108" customFormat="1" ht="14.1" customHeight="1">
      <c r="A1019" s="251" t="s">
        <v>1173</v>
      </c>
      <c r="B1019" s="252" t="s">
        <v>3134</v>
      </c>
      <c r="C1019" s="254" t="s">
        <v>917</v>
      </c>
      <c r="D1019" s="252" t="s">
        <v>1174</v>
      </c>
      <c r="E1019" s="252" t="s">
        <v>918</v>
      </c>
      <c r="F1019" s="252" t="s">
        <v>892</v>
      </c>
      <c r="G1019" s="255">
        <v>4.5</v>
      </c>
    </row>
    <row r="1020" spans="1:7" s="108" customFormat="1" ht="14.1" customHeight="1">
      <c r="A1020" s="251" t="s">
        <v>1173</v>
      </c>
      <c r="B1020" s="252" t="s">
        <v>3135</v>
      </c>
      <c r="C1020" s="254" t="s">
        <v>1023</v>
      </c>
      <c r="D1020" s="252" t="s">
        <v>3136</v>
      </c>
      <c r="E1020" s="252" t="s">
        <v>888</v>
      </c>
      <c r="F1020" s="252" t="s">
        <v>892</v>
      </c>
      <c r="G1020" s="255"/>
    </row>
    <row r="1021" spans="1:7" s="108" customFormat="1" ht="14.1" customHeight="1">
      <c r="A1021" s="251" t="s">
        <v>1173</v>
      </c>
      <c r="B1021" s="252" t="s">
        <v>3137</v>
      </c>
      <c r="C1021" s="254" t="s">
        <v>3138</v>
      </c>
      <c r="D1021" s="252" t="s">
        <v>3139</v>
      </c>
      <c r="E1021" s="252" t="s">
        <v>895</v>
      </c>
      <c r="F1021" s="252" t="s">
        <v>892</v>
      </c>
      <c r="G1021" s="255"/>
    </row>
    <row r="1022" spans="1:7" s="108" customFormat="1" ht="14.1" customHeight="1">
      <c r="A1022" s="251" t="s">
        <v>1173</v>
      </c>
      <c r="B1022" s="252" t="s">
        <v>3137</v>
      </c>
      <c r="C1022" s="254" t="s">
        <v>3138</v>
      </c>
      <c r="D1022" s="252" t="s">
        <v>3139</v>
      </c>
      <c r="E1022" s="252" t="s">
        <v>895</v>
      </c>
      <c r="F1022" s="252" t="s">
        <v>889</v>
      </c>
      <c r="G1022" s="255"/>
    </row>
    <row r="1023" spans="1:7" s="108" customFormat="1" ht="14.1" customHeight="1">
      <c r="A1023" s="251" t="s">
        <v>1173</v>
      </c>
      <c r="B1023" s="252" t="s">
        <v>3140</v>
      </c>
      <c r="C1023" s="254" t="s">
        <v>1135</v>
      </c>
      <c r="D1023" s="252" t="s">
        <v>3141</v>
      </c>
      <c r="E1023" s="252" t="s">
        <v>904</v>
      </c>
      <c r="F1023" s="252" t="s">
        <v>889</v>
      </c>
      <c r="G1023" s="255"/>
    </row>
    <row r="1024" spans="1:7" s="108" customFormat="1" ht="14.1" customHeight="1">
      <c r="A1024" s="251" t="s">
        <v>1173</v>
      </c>
      <c r="B1024" s="252" t="s">
        <v>3142</v>
      </c>
      <c r="C1024" s="254" t="s">
        <v>1441</v>
      </c>
      <c r="D1024" s="252" t="s">
        <v>2095</v>
      </c>
      <c r="E1024" s="252" t="s">
        <v>907</v>
      </c>
      <c r="F1024" s="252" t="s">
        <v>889</v>
      </c>
      <c r="G1024" s="255"/>
    </row>
    <row r="1025" spans="1:7" s="108" customFormat="1" ht="14.1" customHeight="1">
      <c r="A1025" s="251" t="s">
        <v>1173</v>
      </c>
      <c r="B1025" s="252" t="s">
        <v>3143</v>
      </c>
      <c r="C1025" s="254" t="s">
        <v>1071</v>
      </c>
      <c r="D1025" s="252" t="s">
        <v>1176</v>
      </c>
      <c r="E1025" s="252" t="s">
        <v>1119</v>
      </c>
      <c r="F1025" s="252" t="s">
        <v>889</v>
      </c>
      <c r="G1025" s="255">
        <v>39.493000000000002</v>
      </c>
    </row>
    <row r="1026" spans="1:7" s="108" customFormat="1" ht="14.1" customHeight="1">
      <c r="A1026" s="251" t="s">
        <v>1173</v>
      </c>
      <c r="B1026" s="252" t="s">
        <v>3144</v>
      </c>
      <c r="C1026" s="254" t="s">
        <v>1080</v>
      </c>
      <c r="D1026" s="252" t="s">
        <v>3145</v>
      </c>
      <c r="E1026" s="252" t="s">
        <v>888</v>
      </c>
      <c r="F1026" s="252" t="s">
        <v>889</v>
      </c>
      <c r="G1026" s="255"/>
    </row>
    <row r="1027" spans="1:7" s="108" customFormat="1" ht="14.1" customHeight="1">
      <c r="A1027" s="251" t="s">
        <v>1173</v>
      </c>
      <c r="B1027" s="252" t="s">
        <v>3146</v>
      </c>
      <c r="C1027" s="254" t="s">
        <v>1246</v>
      </c>
      <c r="D1027" s="252" t="s">
        <v>1058</v>
      </c>
      <c r="E1027" s="252" t="s">
        <v>945</v>
      </c>
      <c r="F1027" s="252" t="s">
        <v>889</v>
      </c>
      <c r="G1027" s="255">
        <v>42.271999999999998</v>
      </c>
    </row>
    <row r="1028" spans="1:7" s="108" customFormat="1" ht="14.1" customHeight="1">
      <c r="A1028" s="251" t="s">
        <v>1173</v>
      </c>
      <c r="B1028" s="252" t="s">
        <v>3147</v>
      </c>
      <c r="C1028" s="254" t="s">
        <v>1246</v>
      </c>
      <c r="D1028" s="252" t="s">
        <v>1081</v>
      </c>
      <c r="E1028" s="252" t="s">
        <v>918</v>
      </c>
      <c r="F1028" s="252" t="s">
        <v>889</v>
      </c>
      <c r="G1028" s="255">
        <v>555.88800000000003</v>
      </c>
    </row>
    <row r="1029" spans="1:7" s="108" customFormat="1" ht="14.1" customHeight="1">
      <c r="A1029" s="251" t="s">
        <v>1173</v>
      </c>
      <c r="B1029" s="252" t="s">
        <v>3148</v>
      </c>
      <c r="C1029" s="254" t="s">
        <v>1246</v>
      </c>
      <c r="D1029" s="252" t="s">
        <v>1081</v>
      </c>
      <c r="E1029" s="252" t="s">
        <v>918</v>
      </c>
      <c r="F1029" s="252" t="s">
        <v>889</v>
      </c>
      <c r="G1029" s="255">
        <v>37.078000000000003</v>
      </c>
    </row>
    <row r="1030" spans="1:7" s="108" customFormat="1" ht="14.1" customHeight="1">
      <c r="A1030" s="251" t="s">
        <v>1173</v>
      </c>
      <c r="B1030" s="252" t="s">
        <v>3149</v>
      </c>
      <c r="C1030" s="254" t="s">
        <v>1110</v>
      </c>
      <c r="D1030" s="252" t="s">
        <v>3150</v>
      </c>
      <c r="E1030" s="252" t="s">
        <v>888</v>
      </c>
      <c r="F1030" s="252" t="s">
        <v>889</v>
      </c>
      <c r="G1030" s="255"/>
    </row>
    <row r="1031" spans="1:7" s="108" customFormat="1" ht="14.1" customHeight="1">
      <c r="A1031" s="251" t="s">
        <v>1173</v>
      </c>
      <c r="B1031" s="252" t="s">
        <v>3151</v>
      </c>
      <c r="C1031" s="254" t="s">
        <v>1020</v>
      </c>
      <c r="D1031" s="252" t="s">
        <v>1181</v>
      </c>
      <c r="E1031" s="252" t="s">
        <v>939</v>
      </c>
      <c r="F1031" s="252" t="s">
        <v>889</v>
      </c>
      <c r="G1031" s="255">
        <v>699.10500000000002</v>
      </c>
    </row>
    <row r="1032" spans="1:7" s="108" customFormat="1" ht="14.1" customHeight="1">
      <c r="A1032" s="251" t="s">
        <v>1173</v>
      </c>
      <c r="B1032" s="252" t="s">
        <v>3152</v>
      </c>
      <c r="C1032" s="254" t="s">
        <v>1000</v>
      </c>
      <c r="D1032" s="252" t="s">
        <v>3153</v>
      </c>
      <c r="E1032" s="252" t="s">
        <v>959</v>
      </c>
      <c r="F1032" s="252" t="s">
        <v>913</v>
      </c>
      <c r="G1032" s="255"/>
    </row>
    <row r="1033" spans="1:7" s="108" customFormat="1" ht="14.1" customHeight="1">
      <c r="A1033" s="251" t="s">
        <v>1173</v>
      </c>
      <c r="B1033" s="252" t="s">
        <v>3152</v>
      </c>
      <c r="C1033" s="254" t="s">
        <v>1000</v>
      </c>
      <c r="D1033" s="252" t="s">
        <v>3153</v>
      </c>
      <c r="E1033" s="252" t="s">
        <v>959</v>
      </c>
      <c r="F1033" s="252" t="s">
        <v>889</v>
      </c>
      <c r="G1033" s="255"/>
    </row>
    <row r="1034" spans="1:7" s="108" customFormat="1" ht="14.1" customHeight="1">
      <c r="A1034" s="251" t="s">
        <v>1173</v>
      </c>
      <c r="B1034" s="252" t="s">
        <v>3154</v>
      </c>
      <c r="C1034" s="254" t="s">
        <v>1068</v>
      </c>
      <c r="D1034" s="252" t="s">
        <v>3155</v>
      </c>
      <c r="E1034" s="252" t="s">
        <v>925</v>
      </c>
      <c r="F1034" s="252" t="s">
        <v>1794</v>
      </c>
      <c r="G1034" s="255"/>
    </row>
    <row r="1035" spans="1:7" s="108" customFormat="1" ht="14.1" customHeight="1">
      <c r="A1035" s="251" t="s">
        <v>1173</v>
      </c>
      <c r="B1035" s="252" t="s">
        <v>3156</v>
      </c>
      <c r="C1035" s="254" t="s">
        <v>1164</v>
      </c>
      <c r="D1035" s="252" t="s">
        <v>3157</v>
      </c>
      <c r="E1035" s="252" t="s">
        <v>1010</v>
      </c>
      <c r="F1035" s="252" t="s">
        <v>889</v>
      </c>
      <c r="G1035" s="255"/>
    </row>
    <row r="1036" spans="1:7" s="108" customFormat="1" ht="14.1" customHeight="1">
      <c r="A1036" s="251" t="s">
        <v>1173</v>
      </c>
      <c r="B1036" s="252" t="s">
        <v>3156</v>
      </c>
      <c r="C1036" s="254" t="s">
        <v>1164</v>
      </c>
      <c r="D1036" s="252" t="s">
        <v>3157</v>
      </c>
      <c r="E1036" s="252" t="s">
        <v>1010</v>
      </c>
      <c r="F1036" s="252" t="s">
        <v>913</v>
      </c>
      <c r="G1036" s="255"/>
    </row>
    <row r="1037" spans="1:7" s="108" customFormat="1" ht="14.1" customHeight="1">
      <c r="A1037" s="251" t="s">
        <v>1334</v>
      </c>
      <c r="B1037" s="252" t="s">
        <v>3158</v>
      </c>
      <c r="C1037" s="254" t="s">
        <v>968</v>
      </c>
      <c r="D1037" s="252" t="s">
        <v>3159</v>
      </c>
      <c r="E1037" s="252" t="s">
        <v>907</v>
      </c>
      <c r="F1037" s="252" t="s">
        <v>889</v>
      </c>
      <c r="G1037" s="255"/>
    </row>
    <row r="1038" spans="1:7" s="108" customFormat="1" ht="14.1" customHeight="1">
      <c r="A1038" s="251" t="s">
        <v>1334</v>
      </c>
      <c r="B1038" s="252" t="s">
        <v>3160</v>
      </c>
      <c r="C1038" s="254" t="s">
        <v>906</v>
      </c>
      <c r="D1038" s="252" t="s">
        <v>886</v>
      </c>
      <c r="E1038" s="252" t="s">
        <v>888</v>
      </c>
      <c r="F1038" s="252" t="s">
        <v>889</v>
      </c>
      <c r="G1038" s="255"/>
    </row>
    <row r="1039" spans="1:7" s="108" customFormat="1" ht="14.1" customHeight="1">
      <c r="A1039" s="251" t="s">
        <v>1334</v>
      </c>
      <c r="B1039" s="252" t="s">
        <v>3161</v>
      </c>
      <c r="C1039" s="254" t="s">
        <v>906</v>
      </c>
      <c r="D1039" s="252" t="s">
        <v>3162</v>
      </c>
      <c r="E1039" s="252" t="s">
        <v>929</v>
      </c>
      <c r="F1039" s="252" t="s">
        <v>889</v>
      </c>
      <c r="G1039" s="255"/>
    </row>
    <row r="1040" spans="1:7" s="108" customFormat="1" ht="14.1" customHeight="1">
      <c r="A1040" s="251" t="s">
        <v>1334</v>
      </c>
      <c r="B1040" s="252" t="s">
        <v>3163</v>
      </c>
      <c r="C1040" s="254" t="s">
        <v>1150</v>
      </c>
      <c r="D1040" s="252" t="s">
        <v>886</v>
      </c>
      <c r="E1040" s="252" t="s">
        <v>888</v>
      </c>
      <c r="F1040" s="252" t="s">
        <v>889</v>
      </c>
      <c r="G1040" s="255">
        <v>35</v>
      </c>
    </row>
    <row r="1041" spans="1:7" s="108" customFormat="1" ht="14.1" customHeight="1">
      <c r="A1041" s="251" t="s">
        <v>1334</v>
      </c>
      <c r="B1041" s="252" t="s">
        <v>3164</v>
      </c>
      <c r="C1041" s="254" t="s">
        <v>986</v>
      </c>
      <c r="D1041" s="252" t="s">
        <v>1336</v>
      </c>
      <c r="E1041" s="252" t="s">
        <v>888</v>
      </c>
      <c r="F1041" s="252" t="s">
        <v>889</v>
      </c>
      <c r="G1041" s="255">
        <v>162.55500000000001</v>
      </c>
    </row>
    <row r="1042" spans="1:7" s="108" customFormat="1" ht="14.1" customHeight="1">
      <c r="A1042" s="251" t="s">
        <v>1334</v>
      </c>
      <c r="B1042" s="252" t="s">
        <v>3165</v>
      </c>
      <c r="C1042" s="254" t="s">
        <v>917</v>
      </c>
      <c r="D1042" s="252" t="s">
        <v>1338</v>
      </c>
      <c r="E1042" s="252" t="s">
        <v>895</v>
      </c>
      <c r="F1042" s="252" t="s">
        <v>889</v>
      </c>
      <c r="G1042" s="255">
        <v>1005</v>
      </c>
    </row>
    <row r="1043" spans="1:7" s="108" customFormat="1" ht="14.1" customHeight="1">
      <c r="A1043" s="251" t="s">
        <v>1334</v>
      </c>
      <c r="B1043" s="252" t="s">
        <v>3166</v>
      </c>
      <c r="C1043" s="254" t="s">
        <v>917</v>
      </c>
      <c r="D1043" s="252" t="s">
        <v>886</v>
      </c>
      <c r="E1043" s="252" t="s">
        <v>1337</v>
      </c>
      <c r="F1043" s="252" t="s">
        <v>889</v>
      </c>
      <c r="G1043" s="255">
        <v>500</v>
      </c>
    </row>
    <row r="1044" spans="1:7" s="108" customFormat="1" ht="14.1" customHeight="1">
      <c r="A1044" s="251" t="s">
        <v>1334</v>
      </c>
      <c r="B1044" s="252" t="s">
        <v>3167</v>
      </c>
      <c r="C1044" s="254" t="s">
        <v>917</v>
      </c>
      <c r="D1044" s="252" t="s">
        <v>1335</v>
      </c>
      <c r="E1044" s="252" t="s">
        <v>918</v>
      </c>
      <c r="F1044" s="252" t="s">
        <v>889</v>
      </c>
      <c r="G1044" s="255">
        <v>90</v>
      </c>
    </row>
    <row r="1045" spans="1:7" s="108" customFormat="1" ht="14.1" customHeight="1">
      <c r="A1045" s="251" t="s">
        <v>1334</v>
      </c>
      <c r="B1045" s="252" t="s">
        <v>3168</v>
      </c>
      <c r="C1045" s="254" t="s">
        <v>894</v>
      </c>
      <c r="D1045" s="252" t="s">
        <v>2908</v>
      </c>
      <c r="E1045" s="252" t="s">
        <v>984</v>
      </c>
      <c r="F1045" s="252" t="s">
        <v>1794</v>
      </c>
      <c r="G1045" s="255"/>
    </row>
    <row r="1046" spans="1:7" s="108" customFormat="1" ht="14.1" customHeight="1">
      <c r="A1046" s="251" t="s">
        <v>1334</v>
      </c>
      <c r="B1046" s="252" t="s">
        <v>3169</v>
      </c>
      <c r="C1046" s="254" t="s">
        <v>1441</v>
      </c>
      <c r="D1046" s="252" t="s">
        <v>2095</v>
      </c>
      <c r="E1046" s="252" t="s">
        <v>907</v>
      </c>
      <c r="F1046" s="252" t="s">
        <v>889</v>
      </c>
      <c r="G1046" s="255"/>
    </row>
    <row r="1047" spans="1:7" s="108" customFormat="1" ht="14.1" customHeight="1">
      <c r="A1047" s="251" t="s">
        <v>1410</v>
      </c>
      <c r="B1047" s="252" t="s">
        <v>3170</v>
      </c>
      <c r="C1047" s="254" t="s">
        <v>968</v>
      </c>
      <c r="D1047" s="252" t="s">
        <v>3171</v>
      </c>
      <c r="E1047" s="252" t="s">
        <v>1136</v>
      </c>
      <c r="F1047" s="252" t="s">
        <v>889</v>
      </c>
      <c r="G1047" s="255"/>
    </row>
    <row r="1048" spans="1:7" s="108" customFormat="1" ht="14.1" customHeight="1">
      <c r="A1048" s="251" t="s">
        <v>1410</v>
      </c>
      <c r="B1048" s="252" t="s">
        <v>3172</v>
      </c>
      <c r="C1048" s="254" t="s">
        <v>968</v>
      </c>
      <c r="D1048" s="252" t="s">
        <v>3173</v>
      </c>
      <c r="E1048" s="252" t="s">
        <v>888</v>
      </c>
      <c r="F1048" s="252" t="s">
        <v>889</v>
      </c>
      <c r="G1048" s="255"/>
    </row>
    <row r="1049" spans="1:7" s="108" customFormat="1" ht="14.1" customHeight="1">
      <c r="A1049" s="251" t="s">
        <v>1410</v>
      </c>
      <c r="B1049" s="252" t="s">
        <v>3174</v>
      </c>
      <c r="C1049" s="254" t="s">
        <v>968</v>
      </c>
      <c r="D1049" s="252" t="s">
        <v>3175</v>
      </c>
      <c r="E1049" s="252" t="s">
        <v>939</v>
      </c>
      <c r="F1049" s="252" t="s">
        <v>889</v>
      </c>
      <c r="G1049" s="255"/>
    </row>
    <row r="1050" spans="1:7" s="108" customFormat="1" ht="14.1" customHeight="1">
      <c r="A1050" s="251" t="s">
        <v>1410</v>
      </c>
      <c r="B1050" s="252" t="s">
        <v>3176</v>
      </c>
      <c r="C1050" s="254" t="s">
        <v>1030</v>
      </c>
      <c r="D1050" s="252" t="s">
        <v>1412</v>
      </c>
      <c r="E1050" s="252" t="s">
        <v>907</v>
      </c>
      <c r="F1050" s="252" t="s">
        <v>892</v>
      </c>
      <c r="G1050" s="255">
        <v>108.259</v>
      </c>
    </row>
    <row r="1051" spans="1:7" s="108" customFormat="1" ht="14.1" customHeight="1">
      <c r="A1051" s="251" t="s">
        <v>1410</v>
      </c>
      <c r="B1051" s="252" t="s">
        <v>3177</v>
      </c>
      <c r="C1051" s="254" t="s">
        <v>986</v>
      </c>
      <c r="D1051" s="252" t="s">
        <v>3015</v>
      </c>
      <c r="E1051" s="252" t="s">
        <v>888</v>
      </c>
      <c r="F1051" s="252" t="s">
        <v>889</v>
      </c>
      <c r="G1051" s="255"/>
    </row>
    <row r="1052" spans="1:7" s="108" customFormat="1" ht="14.1" customHeight="1">
      <c r="A1052" s="251" t="s">
        <v>1410</v>
      </c>
      <c r="B1052" s="252" t="s">
        <v>3178</v>
      </c>
      <c r="C1052" s="254" t="s">
        <v>986</v>
      </c>
      <c r="D1052" s="252" t="s">
        <v>3015</v>
      </c>
      <c r="E1052" s="252" t="s">
        <v>888</v>
      </c>
      <c r="F1052" s="252" t="s">
        <v>892</v>
      </c>
      <c r="G1052" s="255"/>
    </row>
    <row r="1053" spans="1:7" s="108" customFormat="1" ht="14.1" customHeight="1">
      <c r="A1053" s="251" t="s">
        <v>1410</v>
      </c>
      <c r="B1053" s="252" t="s">
        <v>3179</v>
      </c>
      <c r="C1053" s="254" t="s">
        <v>890</v>
      </c>
      <c r="D1053" s="252" t="s">
        <v>3180</v>
      </c>
      <c r="E1053" s="252" t="s">
        <v>888</v>
      </c>
      <c r="F1053" s="252" t="s">
        <v>889</v>
      </c>
      <c r="G1053" s="255"/>
    </row>
    <row r="1054" spans="1:7" s="108" customFormat="1" ht="14.1" customHeight="1">
      <c r="A1054" s="251" t="s">
        <v>1410</v>
      </c>
      <c r="B1054" s="252" t="s">
        <v>3181</v>
      </c>
      <c r="C1054" s="254" t="s">
        <v>1202</v>
      </c>
      <c r="D1054" s="252" t="s">
        <v>1411</v>
      </c>
      <c r="E1054" s="252" t="s">
        <v>895</v>
      </c>
      <c r="F1054" s="252" t="s">
        <v>889</v>
      </c>
      <c r="G1054" s="255">
        <v>9.8780000000000001</v>
      </c>
    </row>
    <row r="1055" spans="1:7" s="108" customFormat="1" ht="14.1" customHeight="1">
      <c r="A1055" s="251" t="s">
        <v>1410</v>
      </c>
      <c r="B1055" s="252" t="s">
        <v>3182</v>
      </c>
      <c r="C1055" s="254" t="s">
        <v>917</v>
      </c>
      <c r="D1055" s="252" t="s">
        <v>3183</v>
      </c>
      <c r="E1055" s="252" t="s">
        <v>888</v>
      </c>
      <c r="F1055" s="252" t="s">
        <v>889</v>
      </c>
      <c r="G1055" s="255"/>
    </row>
    <row r="1056" spans="1:7" s="108" customFormat="1" ht="14.1" customHeight="1">
      <c r="A1056" s="251" t="s">
        <v>1410</v>
      </c>
      <c r="B1056" s="252" t="s">
        <v>3184</v>
      </c>
      <c r="C1056" s="254" t="s">
        <v>1000</v>
      </c>
      <c r="D1056" s="252" t="s">
        <v>3185</v>
      </c>
      <c r="E1056" s="252" t="s">
        <v>954</v>
      </c>
      <c r="F1056" s="252" t="s">
        <v>889</v>
      </c>
      <c r="G1056" s="255"/>
    </row>
    <row r="1057" spans="1:7" s="108" customFormat="1" ht="14.1" customHeight="1">
      <c r="A1057" s="251" t="s">
        <v>1451</v>
      </c>
      <c r="B1057" s="252" t="s">
        <v>3186</v>
      </c>
      <c r="C1057" s="254" t="s">
        <v>968</v>
      </c>
      <c r="D1057" s="252" t="s">
        <v>3187</v>
      </c>
      <c r="E1057" s="252" t="s">
        <v>939</v>
      </c>
      <c r="F1057" s="252" t="s">
        <v>889</v>
      </c>
      <c r="G1057" s="255"/>
    </row>
    <row r="1058" spans="1:7" s="108" customFormat="1" ht="14.1" customHeight="1">
      <c r="A1058" s="251" t="s">
        <v>1451</v>
      </c>
      <c r="B1058" s="252" t="s">
        <v>3188</v>
      </c>
      <c r="C1058" s="254" t="s">
        <v>917</v>
      </c>
      <c r="D1058" s="252" t="s">
        <v>1452</v>
      </c>
      <c r="E1058" s="252" t="s">
        <v>918</v>
      </c>
      <c r="F1058" s="252" t="s">
        <v>889</v>
      </c>
      <c r="G1058" s="255">
        <v>0.38100000000000001</v>
      </c>
    </row>
    <row r="1059" spans="1:7" s="108" customFormat="1" ht="14.1" customHeight="1">
      <c r="A1059" s="251" t="s">
        <v>1545</v>
      </c>
      <c r="B1059" s="252" t="s">
        <v>3189</v>
      </c>
      <c r="C1059" s="254" t="s">
        <v>1146</v>
      </c>
      <c r="D1059" s="252" t="s">
        <v>3190</v>
      </c>
      <c r="E1059" s="252" t="s">
        <v>888</v>
      </c>
      <c r="F1059" s="252" t="s">
        <v>889</v>
      </c>
      <c r="G1059" s="255"/>
    </row>
    <row r="1060" spans="1:7" s="108" customFormat="1" ht="14.1" customHeight="1">
      <c r="A1060" s="251" t="s">
        <v>1545</v>
      </c>
      <c r="B1060" s="252" t="s">
        <v>3191</v>
      </c>
      <c r="C1060" s="254" t="s">
        <v>968</v>
      </c>
      <c r="D1060" s="252" t="s">
        <v>993</v>
      </c>
      <c r="E1060" s="252" t="s">
        <v>929</v>
      </c>
      <c r="F1060" s="252" t="s">
        <v>889</v>
      </c>
      <c r="G1060" s="255">
        <v>9</v>
      </c>
    </row>
    <row r="1061" spans="1:7" s="108" customFormat="1" ht="14.1" customHeight="1">
      <c r="A1061" s="251" t="s">
        <v>1545</v>
      </c>
      <c r="B1061" s="252" t="s">
        <v>3192</v>
      </c>
      <c r="C1061" s="254" t="s">
        <v>944</v>
      </c>
      <c r="D1061" s="252" t="s">
        <v>3193</v>
      </c>
      <c r="E1061" s="252" t="s">
        <v>904</v>
      </c>
      <c r="F1061" s="252" t="s">
        <v>889</v>
      </c>
      <c r="G1061" s="255"/>
    </row>
    <row r="1062" spans="1:7" s="108" customFormat="1" ht="14.1" customHeight="1">
      <c r="A1062" s="251" t="s">
        <v>1545</v>
      </c>
      <c r="B1062" s="252" t="s">
        <v>3194</v>
      </c>
      <c r="C1062" s="254" t="s">
        <v>1051</v>
      </c>
      <c r="D1062" s="252" t="s">
        <v>3195</v>
      </c>
      <c r="E1062" s="252" t="s">
        <v>888</v>
      </c>
      <c r="F1062" s="252" t="s">
        <v>889</v>
      </c>
      <c r="G1062" s="255"/>
    </row>
    <row r="1063" spans="1:7" s="108" customFormat="1" ht="14.1" customHeight="1">
      <c r="A1063" s="251" t="s">
        <v>1545</v>
      </c>
      <c r="B1063" s="252" t="s">
        <v>3196</v>
      </c>
      <c r="C1063" s="254" t="s">
        <v>1046</v>
      </c>
      <c r="D1063" s="252" t="s">
        <v>1551</v>
      </c>
      <c r="E1063" s="252" t="s">
        <v>925</v>
      </c>
      <c r="F1063" s="252" t="s">
        <v>889</v>
      </c>
      <c r="G1063" s="255">
        <v>23.7</v>
      </c>
    </row>
    <row r="1064" spans="1:7" s="108" customFormat="1" ht="14.1" customHeight="1">
      <c r="A1064" s="251" t="s">
        <v>1545</v>
      </c>
      <c r="B1064" s="252" t="s">
        <v>3197</v>
      </c>
      <c r="C1064" s="254" t="s">
        <v>1046</v>
      </c>
      <c r="D1064" s="252" t="s">
        <v>1045</v>
      </c>
      <c r="E1064" s="252" t="s">
        <v>1047</v>
      </c>
      <c r="F1064" s="252" t="s">
        <v>892</v>
      </c>
      <c r="G1064" s="255">
        <v>0.48899999999999999</v>
      </c>
    </row>
    <row r="1065" spans="1:7" s="108" customFormat="1" ht="14.1" customHeight="1">
      <c r="A1065" s="251" t="s">
        <v>1545</v>
      </c>
      <c r="B1065" s="252" t="s">
        <v>3198</v>
      </c>
      <c r="C1065" s="254" t="s">
        <v>1030</v>
      </c>
      <c r="D1065" s="252" t="s">
        <v>886</v>
      </c>
      <c r="E1065" s="252" t="s">
        <v>907</v>
      </c>
      <c r="F1065" s="252" t="s">
        <v>889</v>
      </c>
      <c r="G1065" s="255"/>
    </row>
    <row r="1066" spans="1:7" s="108" customFormat="1" ht="14.1" customHeight="1">
      <c r="A1066" s="251" t="s">
        <v>1545</v>
      </c>
      <c r="B1066" s="252" t="s">
        <v>2435</v>
      </c>
      <c r="C1066" s="254" t="s">
        <v>1466</v>
      </c>
      <c r="D1066" s="252" t="s">
        <v>2436</v>
      </c>
      <c r="E1066" s="252" t="s">
        <v>888</v>
      </c>
      <c r="F1066" s="252" t="s">
        <v>889</v>
      </c>
      <c r="G1066" s="255"/>
    </row>
    <row r="1067" spans="1:7" s="108" customFormat="1" ht="14.1" customHeight="1">
      <c r="A1067" s="251" t="s">
        <v>1545</v>
      </c>
      <c r="B1067" s="252" t="s">
        <v>3199</v>
      </c>
      <c r="C1067" s="254" t="s">
        <v>1088</v>
      </c>
      <c r="D1067" s="252" t="s">
        <v>1550</v>
      </c>
      <c r="E1067" s="252" t="s">
        <v>888</v>
      </c>
      <c r="F1067" s="252" t="s">
        <v>889</v>
      </c>
      <c r="G1067" s="255">
        <v>14.5</v>
      </c>
    </row>
    <row r="1068" spans="1:7" s="108" customFormat="1" ht="14.1" customHeight="1">
      <c r="A1068" s="251" t="s">
        <v>1545</v>
      </c>
      <c r="B1068" s="252" t="s">
        <v>3200</v>
      </c>
      <c r="C1068" s="254" t="s">
        <v>1032</v>
      </c>
      <c r="D1068" s="252" t="s">
        <v>1546</v>
      </c>
      <c r="E1068" s="252" t="s">
        <v>945</v>
      </c>
      <c r="F1068" s="252" t="s">
        <v>931</v>
      </c>
      <c r="G1068" s="255"/>
    </row>
    <row r="1069" spans="1:7" s="108" customFormat="1" ht="14.1" customHeight="1">
      <c r="A1069" s="251" t="s">
        <v>1545</v>
      </c>
      <c r="B1069" s="252" t="s">
        <v>3200</v>
      </c>
      <c r="C1069" s="254" t="s">
        <v>1032</v>
      </c>
      <c r="D1069" s="252" t="s">
        <v>1546</v>
      </c>
      <c r="E1069" s="252" t="s">
        <v>945</v>
      </c>
      <c r="F1069" s="252" t="s">
        <v>931</v>
      </c>
      <c r="G1069" s="255">
        <v>0.36199999999999999</v>
      </c>
    </row>
    <row r="1070" spans="1:7" s="108" customFormat="1" ht="14.1" customHeight="1">
      <c r="A1070" s="251" t="s">
        <v>1545</v>
      </c>
      <c r="B1070" s="252" t="s">
        <v>3201</v>
      </c>
      <c r="C1070" s="254" t="s">
        <v>1032</v>
      </c>
      <c r="D1070" s="252" t="s">
        <v>886</v>
      </c>
      <c r="E1070" s="252" t="s">
        <v>925</v>
      </c>
      <c r="F1070" s="252" t="s">
        <v>889</v>
      </c>
      <c r="G1070" s="255">
        <v>20.582999999999998</v>
      </c>
    </row>
    <row r="1071" spans="1:7" s="108" customFormat="1" ht="14.1" customHeight="1">
      <c r="A1071" s="251" t="s">
        <v>1545</v>
      </c>
      <c r="B1071" s="252" t="s">
        <v>3202</v>
      </c>
      <c r="C1071" s="254" t="s">
        <v>906</v>
      </c>
      <c r="D1071" s="252" t="s">
        <v>3203</v>
      </c>
      <c r="E1071" s="252" t="s">
        <v>888</v>
      </c>
      <c r="F1071" s="252" t="s">
        <v>889</v>
      </c>
      <c r="G1071" s="255"/>
    </row>
    <row r="1072" spans="1:7" s="108" customFormat="1" ht="14.1" customHeight="1">
      <c r="A1072" s="251" t="s">
        <v>1545</v>
      </c>
      <c r="B1072" s="252" t="s">
        <v>3204</v>
      </c>
      <c r="C1072" s="254" t="s">
        <v>887</v>
      </c>
      <c r="D1072" s="252" t="s">
        <v>1091</v>
      </c>
      <c r="E1072" s="252" t="s">
        <v>984</v>
      </c>
      <c r="F1072" s="252" t="s">
        <v>892</v>
      </c>
      <c r="G1072" s="255"/>
    </row>
    <row r="1073" spans="1:7" s="108" customFormat="1" ht="14.1" customHeight="1">
      <c r="A1073" s="251" t="s">
        <v>1545</v>
      </c>
      <c r="B1073" s="252" t="s">
        <v>3205</v>
      </c>
      <c r="C1073" s="254" t="s">
        <v>1202</v>
      </c>
      <c r="D1073" s="252" t="s">
        <v>1552</v>
      </c>
      <c r="E1073" s="252" t="s">
        <v>959</v>
      </c>
      <c r="F1073" s="252" t="s">
        <v>889</v>
      </c>
      <c r="G1073" s="255">
        <v>63</v>
      </c>
    </row>
    <row r="1074" spans="1:7" s="108" customFormat="1" ht="14.1" customHeight="1">
      <c r="A1074" s="251" t="s">
        <v>1545</v>
      </c>
      <c r="B1074" s="252" t="s">
        <v>3206</v>
      </c>
      <c r="C1074" s="254" t="s">
        <v>917</v>
      </c>
      <c r="D1074" s="252" t="s">
        <v>1553</v>
      </c>
      <c r="E1074" s="252" t="s">
        <v>888</v>
      </c>
      <c r="F1074" s="252" t="s">
        <v>889</v>
      </c>
      <c r="G1074" s="255">
        <v>100</v>
      </c>
    </row>
    <row r="1075" spans="1:7" s="108" customFormat="1" ht="14.1" customHeight="1">
      <c r="A1075" s="251" t="s">
        <v>1545</v>
      </c>
      <c r="B1075" s="252" t="s">
        <v>3207</v>
      </c>
      <c r="C1075" s="254" t="s">
        <v>917</v>
      </c>
      <c r="D1075" s="252" t="s">
        <v>1548</v>
      </c>
      <c r="E1075" s="252" t="s">
        <v>918</v>
      </c>
      <c r="F1075" s="252" t="s">
        <v>889</v>
      </c>
      <c r="G1075" s="255">
        <v>2.5</v>
      </c>
    </row>
    <row r="1076" spans="1:7" s="108" customFormat="1" ht="14.1" customHeight="1">
      <c r="A1076" s="251" t="s">
        <v>1545</v>
      </c>
      <c r="B1076" s="252" t="s">
        <v>3208</v>
      </c>
      <c r="C1076" s="254" t="s">
        <v>917</v>
      </c>
      <c r="D1076" s="252" t="s">
        <v>1547</v>
      </c>
      <c r="E1076" s="252" t="s">
        <v>918</v>
      </c>
      <c r="F1076" s="252" t="s">
        <v>913</v>
      </c>
      <c r="G1076" s="255">
        <v>1.587</v>
      </c>
    </row>
    <row r="1077" spans="1:7" s="108" customFormat="1" ht="14.1" customHeight="1">
      <c r="A1077" s="251" t="s">
        <v>1545</v>
      </c>
      <c r="B1077" s="252" t="s">
        <v>3209</v>
      </c>
      <c r="C1077" s="254" t="s">
        <v>917</v>
      </c>
      <c r="D1077" s="252" t="s">
        <v>1528</v>
      </c>
      <c r="E1077" s="252" t="s">
        <v>918</v>
      </c>
      <c r="F1077" s="252" t="s">
        <v>889</v>
      </c>
      <c r="G1077" s="255">
        <v>6.0709999999999997</v>
      </c>
    </row>
    <row r="1078" spans="1:7" s="108" customFormat="1" ht="14.1" customHeight="1">
      <c r="A1078" s="251" t="s">
        <v>1545</v>
      </c>
      <c r="B1078" s="252" t="s">
        <v>3210</v>
      </c>
      <c r="C1078" s="254" t="s">
        <v>917</v>
      </c>
      <c r="D1078" s="252" t="s">
        <v>1549</v>
      </c>
      <c r="E1078" s="252" t="s">
        <v>1024</v>
      </c>
      <c r="F1078" s="252" t="s">
        <v>889</v>
      </c>
      <c r="G1078" s="255">
        <v>6.0380000000000003</v>
      </c>
    </row>
    <row r="1079" spans="1:7" s="108" customFormat="1" ht="14.1" customHeight="1">
      <c r="A1079" s="251" t="s">
        <v>1545</v>
      </c>
      <c r="B1079" s="252" t="s">
        <v>3211</v>
      </c>
      <c r="C1079" s="254" t="s">
        <v>1246</v>
      </c>
      <c r="D1079" s="252" t="s">
        <v>886</v>
      </c>
      <c r="E1079" s="252" t="s">
        <v>918</v>
      </c>
      <c r="F1079" s="252" t="s">
        <v>889</v>
      </c>
      <c r="G1079" s="255"/>
    </row>
    <row r="1080" spans="1:7" s="108" customFormat="1" ht="14.1" customHeight="1">
      <c r="A1080" s="251" t="s">
        <v>1545</v>
      </c>
      <c r="B1080" s="252" t="s">
        <v>3212</v>
      </c>
      <c r="C1080" s="254" t="s">
        <v>1799</v>
      </c>
      <c r="D1080" s="252" t="s">
        <v>2432</v>
      </c>
      <c r="E1080" s="252" t="s">
        <v>895</v>
      </c>
      <c r="F1080" s="252" t="s">
        <v>892</v>
      </c>
      <c r="G1080" s="255"/>
    </row>
    <row r="1081" spans="1:7" s="108" customFormat="1" ht="14.1" customHeight="1">
      <c r="A1081" s="251" t="s">
        <v>1545</v>
      </c>
      <c r="B1081" s="252" t="s">
        <v>3213</v>
      </c>
      <c r="C1081" s="254" t="s">
        <v>1099</v>
      </c>
      <c r="D1081" s="252" t="s">
        <v>1429</v>
      </c>
      <c r="E1081" s="252" t="s">
        <v>959</v>
      </c>
      <c r="F1081" s="252" t="s">
        <v>889</v>
      </c>
      <c r="G1081" s="255">
        <v>58.037999999999997</v>
      </c>
    </row>
    <row r="1082" spans="1:7" s="108" customFormat="1" ht="14.1" customHeight="1">
      <c r="A1082" s="251" t="s">
        <v>1545</v>
      </c>
      <c r="B1082" s="252" t="s">
        <v>3214</v>
      </c>
      <c r="C1082" s="254" t="s">
        <v>911</v>
      </c>
      <c r="D1082" s="252" t="s">
        <v>3215</v>
      </c>
      <c r="E1082" s="252" t="s">
        <v>888</v>
      </c>
      <c r="F1082" s="252" t="s">
        <v>889</v>
      </c>
      <c r="G1082" s="255"/>
    </row>
    <row r="1083" spans="1:7" s="108" customFormat="1" ht="14.1" customHeight="1">
      <c r="A1083" s="251" t="s">
        <v>1545</v>
      </c>
      <c r="B1083" s="252" t="s">
        <v>3216</v>
      </c>
      <c r="C1083" s="254" t="s">
        <v>1020</v>
      </c>
      <c r="D1083" s="252" t="s">
        <v>1501</v>
      </c>
      <c r="E1083" s="252" t="s">
        <v>888</v>
      </c>
      <c r="F1083" s="252" t="s">
        <v>889</v>
      </c>
      <c r="G1083" s="255">
        <v>38</v>
      </c>
    </row>
    <row r="1084" spans="1:7" s="108" customFormat="1" ht="14.1" customHeight="1">
      <c r="A1084" s="251" t="s">
        <v>1545</v>
      </c>
      <c r="B1084" s="252" t="s">
        <v>3217</v>
      </c>
      <c r="C1084" s="254" t="s">
        <v>983</v>
      </c>
      <c r="D1084" s="252" t="s">
        <v>3218</v>
      </c>
      <c r="E1084" s="252" t="s">
        <v>888</v>
      </c>
      <c r="F1084" s="252" t="s">
        <v>889</v>
      </c>
      <c r="G1084" s="255"/>
    </row>
    <row r="1085" spans="1:7" s="108" customFormat="1" ht="14.1" customHeight="1">
      <c r="A1085" s="251" t="s">
        <v>1645</v>
      </c>
      <c r="B1085" s="252" t="s">
        <v>3219</v>
      </c>
      <c r="C1085" s="254" t="s">
        <v>897</v>
      </c>
      <c r="D1085" s="252" t="s">
        <v>2163</v>
      </c>
      <c r="E1085" s="252" t="s">
        <v>907</v>
      </c>
      <c r="F1085" s="252" t="s">
        <v>889</v>
      </c>
      <c r="G1085" s="255"/>
    </row>
    <row r="1086" spans="1:7" s="108" customFormat="1" ht="14.1" customHeight="1">
      <c r="A1086" s="251" t="s">
        <v>1645</v>
      </c>
      <c r="B1086" s="252" t="s">
        <v>3220</v>
      </c>
      <c r="C1086" s="254" t="s">
        <v>968</v>
      </c>
      <c r="D1086" s="252" t="s">
        <v>2458</v>
      </c>
      <c r="E1086" s="252" t="s">
        <v>888</v>
      </c>
      <c r="F1086" s="252" t="s">
        <v>892</v>
      </c>
      <c r="G1086" s="255"/>
    </row>
    <row r="1087" spans="1:7" s="108" customFormat="1" ht="14.1" customHeight="1">
      <c r="A1087" s="251" t="s">
        <v>1645</v>
      </c>
      <c r="B1087" s="252" t="s">
        <v>3221</v>
      </c>
      <c r="C1087" s="254" t="s">
        <v>944</v>
      </c>
      <c r="D1087" s="252" t="s">
        <v>3222</v>
      </c>
      <c r="E1087" s="252" t="s">
        <v>888</v>
      </c>
      <c r="F1087" s="252" t="s">
        <v>889</v>
      </c>
      <c r="G1087" s="255"/>
    </row>
    <row r="1088" spans="1:7" s="108" customFormat="1" ht="14.1" customHeight="1">
      <c r="A1088" s="251" t="s">
        <v>1645</v>
      </c>
      <c r="B1088" s="252" t="s">
        <v>3223</v>
      </c>
      <c r="C1088" s="254" t="s">
        <v>1088</v>
      </c>
      <c r="D1088" s="252" t="s">
        <v>3224</v>
      </c>
      <c r="E1088" s="252" t="s">
        <v>888</v>
      </c>
      <c r="F1088" s="252" t="s">
        <v>889</v>
      </c>
      <c r="G1088" s="255"/>
    </row>
    <row r="1089" spans="1:7" s="108" customFormat="1" ht="14.1" customHeight="1">
      <c r="A1089" s="251" t="s">
        <v>1645</v>
      </c>
      <c r="B1089" s="252" t="s">
        <v>3225</v>
      </c>
      <c r="C1089" s="254" t="s">
        <v>917</v>
      </c>
      <c r="D1089" s="252" t="s">
        <v>1646</v>
      </c>
      <c r="E1089" s="252" t="s">
        <v>918</v>
      </c>
      <c r="F1089" s="252" t="s">
        <v>889</v>
      </c>
      <c r="G1089" s="255">
        <v>3.2109999999999999</v>
      </c>
    </row>
    <row r="1090" spans="1:7" s="108" customFormat="1" ht="14.1" customHeight="1">
      <c r="A1090" s="251" t="s">
        <v>1645</v>
      </c>
      <c r="B1090" s="252" t="s">
        <v>3226</v>
      </c>
      <c r="C1090" s="254" t="s">
        <v>917</v>
      </c>
      <c r="D1090" s="252" t="s">
        <v>3227</v>
      </c>
      <c r="E1090" s="252" t="s">
        <v>918</v>
      </c>
      <c r="F1090" s="252" t="s">
        <v>892</v>
      </c>
      <c r="G1090" s="255"/>
    </row>
    <row r="1091" spans="1:7" s="108" customFormat="1" ht="14.1" customHeight="1">
      <c r="A1091" s="251" t="s">
        <v>1645</v>
      </c>
      <c r="B1091" s="252" t="s">
        <v>3228</v>
      </c>
      <c r="C1091" s="254" t="s">
        <v>1000</v>
      </c>
      <c r="D1091" s="252" t="s">
        <v>3229</v>
      </c>
      <c r="E1091" s="252" t="s">
        <v>1024</v>
      </c>
      <c r="F1091" s="252" t="s">
        <v>889</v>
      </c>
      <c r="G1091" s="255"/>
    </row>
    <row r="1092" spans="1:7" s="108" customFormat="1" ht="14.1" customHeight="1">
      <c r="A1092" s="251" t="s">
        <v>1645</v>
      </c>
      <c r="B1092" s="252" t="s">
        <v>3230</v>
      </c>
      <c r="C1092" s="254" t="s">
        <v>1000</v>
      </c>
      <c r="D1092" s="252" t="s">
        <v>2458</v>
      </c>
      <c r="E1092" s="252" t="s">
        <v>888</v>
      </c>
      <c r="F1092" s="252" t="s">
        <v>892</v>
      </c>
      <c r="G1092" s="255"/>
    </row>
    <row r="1093" spans="1:7" s="108" customFormat="1" ht="14.1" customHeight="1">
      <c r="A1093" s="251" t="s">
        <v>1645</v>
      </c>
      <c r="B1093" s="252" t="s">
        <v>3231</v>
      </c>
      <c r="C1093" s="254" t="s">
        <v>1000</v>
      </c>
      <c r="D1093" s="252" t="s">
        <v>2458</v>
      </c>
      <c r="E1093" s="252" t="s">
        <v>888</v>
      </c>
      <c r="F1093" s="252" t="s">
        <v>889</v>
      </c>
      <c r="G1093" s="255"/>
    </row>
    <row r="1094" spans="1:7" s="108" customFormat="1" ht="14.1" customHeight="1">
      <c r="A1094" s="251" t="s">
        <v>956</v>
      </c>
      <c r="B1094" s="252" t="s">
        <v>3232</v>
      </c>
      <c r="C1094" s="254" t="s">
        <v>1168</v>
      </c>
      <c r="D1094" s="252" t="s">
        <v>3233</v>
      </c>
      <c r="E1094" s="252" t="s">
        <v>939</v>
      </c>
      <c r="F1094" s="252" t="s">
        <v>889</v>
      </c>
      <c r="G1094" s="255"/>
    </row>
    <row r="1095" spans="1:7" s="108" customFormat="1" ht="14.1" customHeight="1">
      <c r="A1095" s="251" t="s">
        <v>956</v>
      </c>
      <c r="B1095" s="252" t="s">
        <v>3234</v>
      </c>
      <c r="C1095" s="254" t="s">
        <v>968</v>
      </c>
      <c r="D1095" s="252" t="s">
        <v>3235</v>
      </c>
      <c r="E1095" s="252" t="s">
        <v>895</v>
      </c>
      <c r="F1095" s="252" t="s">
        <v>889</v>
      </c>
      <c r="G1095" s="255"/>
    </row>
    <row r="1096" spans="1:7" s="108" customFormat="1" ht="14.1" customHeight="1">
      <c r="A1096" s="251" t="s">
        <v>956</v>
      </c>
      <c r="B1096" s="252" t="s">
        <v>3236</v>
      </c>
      <c r="C1096" s="254" t="s">
        <v>968</v>
      </c>
      <c r="D1096" s="252" t="s">
        <v>3237</v>
      </c>
      <c r="E1096" s="252" t="s">
        <v>939</v>
      </c>
      <c r="F1096" s="252" t="s">
        <v>1794</v>
      </c>
      <c r="G1096" s="255"/>
    </row>
    <row r="1097" spans="1:7" s="108" customFormat="1" ht="14.1" customHeight="1">
      <c r="A1097" s="251" t="s">
        <v>956</v>
      </c>
      <c r="B1097" s="252" t="s">
        <v>3238</v>
      </c>
      <c r="C1097" s="254" t="s">
        <v>938</v>
      </c>
      <c r="D1097" s="252" t="s">
        <v>958</v>
      </c>
      <c r="E1097" s="252" t="s">
        <v>959</v>
      </c>
      <c r="F1097" s="252" t="s">
        <v>889</v>
      </c>
      <c r="G1097" s="255">
        <v>13</v>
      </c>
    </row>
    <row r="1098" spans="1:7" s="108" customFormat="1" ht="14.1" customHeight="1">
      <c r="A1098" s="251" t="s">
        <v>956</v>
      </c>
      <c r="B1098" s="252" t="s">
        <v>3239</v>
      </c>
      <c r="C1098" s="254" t="s">
        <v>887</v>
      </c>
      <c r="D1098" s="252" t="s">
        <v>3240</v>
      </c>
      <c r="E1098" s="252" t="s">
        <v>984</v>
      </c>
      <c r="F1098" s="252" t="s">
        <v>889</v>
      </c>
      <c r="G1098" s="255"/>
    </row>
    <row r="1099" spans="1:7" s="108" customFormat="1" ht="14.1" customHeight="1">
      <c r="A1099" s="251" t="s">
        <v>956</v>
      </c>
      <c r="B1099" s="252" t="s">
        <v>3241</v>
      </c>
      <c r="C1099" s="254" t="s">
        <v>917</v>
      </c>
      <c r="D1099" s="252" t="s">
        <v>957</v>
      </c>
      <c r="E1099" s="252" t="s">
        <v>918</v>
      </c>
      <c r="F1099" s="252" t="s">
        <v>889</v>
      </c>
      <c r="G1099" s="255">
        <v>3.8279999999999998</v>
      </c>
    </row>
    <row r="1100" spans="1:7" s="108" customFormat="1" ht="14.1" customHeight="1">
      <c r="A1100" s="251" t="s">
        <v>1182</v>
      </c>
      <c r="B1100" s="252" t="s">
        <v>3242</v>
      </c>
      <c r="C1100" s="254" t="s">
        <v>897</v>
      </c>
      <c r="D1100" s="252" t="s">
        <v>2353</v>
      </c>
      <c r="E1100" s="252" t="s">
        <v>895</v>
      </c>
      <c r="F1100" s="252" t="s">
        <v>892</v>
      </c>
      <c r="G1100" s="255"/>
    </row>
    <row r="1101" spans="1:7" s="108" customFormat="1" ht="14.1" customHeight="1">
      <c r="A1101" s="251" t="s">
        <v>1182</v>
      </c>
      <c r="B1101" s="252" t="s">
        <v>3243</v>
      </c>
      <c r="C1101" s="254" t="s">
        <v>1146</v>
      </c>
      <c r="D1101" s="252" t="s">
        <v>3244</v>
      </c>
      <c r="E1101" s="252" t="s">
        <v>954</v>
      </c>
      <c r="F1101" s="252" t="s">
        <v>889</v>
      </c>
      <c r="G1101" s="255"/>
    </row>
    <row r="1102" spans="1:7" s="108" customFormat="1" ht="14.1" customHeight="1">
      <c r="A1102" s="251" t="s">
        <v>1182</v>
      </c>
      <c r="B1102" s="252" t="s">
        <v>2057</v>
      </c>
      <c r="C1102" s="254" t="s">
        <v>1168</v>
      </c>
      <c r="D1102" s="252" t="s">
        <v>1195</v>
      </c>
      <c r="E1102" s="252" t="s">
        <v>925</v>
      </c>
      <c r="F1102" s="252" t="s">
        <v>889</v>
      </c>
      <c r="G1102" s="255">
        <v>450</v>
      </c>
    </row>
    <row r="1103" spans="1:7" s="108" customFormat="1" ht="14.1" customHeight="1">
      <c r="A1103" s="251" t="s">
        <v>1182</v>
      </c>
      <c r="B1103" s="252" t="s">
        <v>3245</v>
      </c>
      <c r="C1103" s="254" t="s">
        <v>1168</v>
      </c>
      <c r="D1103" s="252" t="s">
        <v>3246</v>
      </c>
      <c r="E1103" s="252" t="s">
        <v>1024</v>
      </c>
      <c r="F1103" s="252" t="s">
        <v>889</v>
      </c>
      <c r="G1103" s="255"/>
    </row>
    <row r="1104" spans="1:7" s="108" customFormat="1" ht="14.1" customHeight="1">
      <c r="A1104" s="251" t="s">
        <v>1182</v>
      </c>
      <c r="B1104" s="252" t="s">
        <v>2070</v>
      </c>
      <c r="C1104" s="254" t="s">
        <v>968</v>
      </c>
      <c r="D1104" s="252" t="s">
        <v>1184</v>
      </c>
      <c r="E1104" s="252" t="s">
        <v>939</v>
      </c>
      <c r="F1104" s="252" t="s">
        <v>889</v>
      </c>
      <c r="G1104" s="255">
        <v>0.63700000000000001</v>
      </c>
    </row>
    <row r="1105" spans="1:7" s="108" customFormat="1" ht="14.1" customHeight="1">
      <c r="A1105" s="251" t="s">
        <v>1182</v>
      </c>
      <c r="B1105" s="252" t="s">
        <v>3247</v>
      </c>
      <c r="C1105" s="254" t="s">
        <v>968</v>
      </c>
      <c r="D1105" s="252" t="s">
        <v>2942</v>
      </c>
      <c r="E1105" s="252" t="s">
        <v>888</v>
      </c>
      <c r="F1105" s="252" t="s">
        <v>889</v>
      </c>
      <c r="G1105" s="255"/>
    </row>
    <row r="1106" spans="1:7" s="108" customFormat="1" ht="14.1" customHeight="1">
      <c r="A1106" s="251" t="s">
        <v>1182</v>
      </c>
      <c r="B1106" s="252" t="s">
        <v>3248</v>
      </c>
      <c r="C1106" s="254" t="s">
        <v>968</v>
      </c>
      <c r="D1106" s="252" t="s">
        <v>3249</v>
      </c>
      <c r="E1106" s="252" t="s">
        <v>895</v>
      </c>
      <c r="F1106" s="252" t="s">
        <v>889</v>
      </c>
      <c r="G1106" s="255"/>
    </row>
    <row r="1107" spans="1:7" s="108" customFormat="1" ht="14.1" customHeight="1">
      <c r="A1107" s="251" t="s">
        <v>1182</v>
      </c>
      <c r="B1107" s="252" t="s">
        <v>3250</v>
      </c>
      <c r="C1107" s="254" t="s">
        <v>968</v>
      </c>
      <c r="D1107" s="252" t="s">
        <v>1187</v>
      </c>
      <c r="E1107" s="252" t="s">
        <v>907</v>
      </c>
      <c r="F1107" s="252" t="s">
        <v>889</v>
      </c>
      <c r="G1107" s="255"/>
    </row>
    <row r="1108" spans="1:7" s="108" customFormat="1" ht="14.1" customHeight="1">
      <c r="A1108" s="251" t="s">
        <v>1182</v>
      </c>
      <c r="B1108" s="252" t="s">
        <v>3250</v>
      </c>
      <c r="C1108" s="254" t="s">
        <v>968</v>
      </c>
      <c r="D1108" s="252" t="s">
        <v>1187</v>
      </c>
      <c r="E1108" s="252" t="s">
        <v>907</v>
      </c>
      <c r="F1108" s="252" t="s">
        <v>889</v>
      </c>
      <c r="G1108" s="255">
        <v>19.509</v>
      </c>
    </row>
    <row r="1109" spans="1:7" s="108" customFormat="1" ht="14.1" customHeight="1">
      <c r="A1109" s="251" t="s">
        <v>1182</v>
      </c>
      <c r="B1109" s="252" t="s">
        <v>3250</v>
      </c>
      <c r="C1109" s="254" t="s">
        <v>968</v>
      </c>
      <c r="D1109" s="252" t="s">
        <v>1187</v>
      </c>
      <c r="E1109" s="252" t="s">
        <v>907</v>
      </c>
      <c r="F1109" s="252" t="s">
        <v>889</v>
      </c>
      <c r="G1109" s="255"/>
    </row>
    <row r="1110" spans="1:7" s="108" customFormat="1" ht="14.1" customHeight="1">
      <c r="A1110" s="251" t="s">
        <v>1182</v>
      </c>
      <c r="B1110" s="252" t="s">
        <v>3251</v>
      </c>
      <c r="C1110" s="254" t="s">
        <v>968</v>
      </c>
      <c r="D1110" s="252" t="s">
        <v>3175</v>
      </c>
      <c r="E1110" s="252" t="s">
        <v>939</v>
      </c>
      <c r="F1110" s="252" t="s">
        <v>889</v>
      </c>
      <c r="G1110" s="255"/>
    </row>
    <row r="1111" spans="1:7" s="108" customFormat="1" ht="14.1" customHeight="1">
      <c r="A1111" s="251" t="s">
        <v>1182</v>
      </c>
      <c r="B1111" s="252" t="s">
        <v>3252</v>
      </c>
      <c r="C1111" s="254" t="s">
        <v>968</v>
      </c>
      <c r="D1111" s="252" t="s">
        <v>3253</v>
      </c>
      <c r="E1111" s="252" t="s">
        <v>939</v>
      </c>
      <c r="F1111" s="252" t="s">
        <v>889</v>
      </c>
      <c r="G1111" s="255"/>
    </row>
    <row r="1112" spans="1:7" s="108" customFormat="1" ht="14.1" customHeight="1">
      <c r="A1112" s="251" t="s">
        <v>1182</v>
      </c>
      <c r="B1112" s="252" t="s">
        <v>3254</v>
      </c>
      <c r="C1112" s="254" t="s">
        <v>968</v>
      </c>
      <c r="D1112" s="252" t="s">
        <v>2713</v>
      </c>
      <c r="E1112" s="252" t="s">
        <v>888</v>
      </c>
      <c r="F1112" s="252" t="s">
        <v>889</v>
      </c>
      <c r="G1112" s="255"/>
    </row>
    <row r="1113" spans="1:7" s="108" customFormat="1" ht="14.1" customHeight="1">
      <c r="A1113" s="251" t="s">
        <v>1182</v>
      </c>
      <c r="B1113" s="252" t="s">
        <v>3255</v>
      </c>
      <c r="C1113" s="254" t="s">
        <v>968</v>
      </c>
      <c r="D1113" s="252" t="s">
        <v>2282</v>
      </c>
      <c r="E1113" s="252" t="s">
        <v>939</v>
      </c>
      <c r="F1113" s="252" t="s">
        <v>889</v>
      </c>
      <c r="G1113" s="255"/>
    </row>
    <row r="1114" spans="1:7" s="108" customFormat="1" ht="14.1" customHeight="1">
      <c r="A1114" s="251" t="s">
        <v>1182</v>
      </c>
      <c r="B1114" s="252" t="s">
        <v>3256</v>
      </c>
      <c r="C1114" s="254" t="s">
        <v>968</v>
      </c>
      <c r="D1114" s="252" t="s">
        <v>3257</v>
      </c>
      <c r="E1114" s="252" t="s">
        <v>888</v>
      </c>
      <c r="F1114" s="252" t="s">
        <v>889</v>
      </c>
      <c r="G1114" s="255"/>
    </row>
    <row r="1115" spans="1:7" s="108" customFormat="1" ht="14.1" customHeight="1">
      <c r="A1115" s="251" t="s">
        <v>1182</v>
      </c>
      <c r="B1115" s="252" t="s">
        <v>2073</v>
      </c>
      <c r="C1115" s="254" t="s">
        <v>968</v>
      </c>
      <c r="D1115" s="252" t="s">
        <v>3258</v>
      </c>
      <c r="E1115" s="252" t="s">
        <v>888</v>
      </c>
      <c r="F1115" s="252" t="s">
        <v>889</v>
      </c>
      <c r="G1115" s="255"/>
    </row>
    <row r="1116" spans="1:7" s="108" customFormat="1" ht="14.1" customHeight="1">
      <c r="A1116" s="251" t="s">
        <v>1182</v>
      </c>
      <c r="B1116" s="252" t="s">
        <v>3259</v>
      </c>
      <c r="C1116" s="254" t="s">
        <v>968</v>
      </c>
      <c r="D1116" s="252" t="s">
        <v>3260</v>
      </c>
      <c r="E1116" s="252" t="s">
        <v>907</v>
      </c>
      <c r="F1116" s="252" t="s">
        <v>889</v>
      </c>
      <c r="G1116" s="255"/>
    </row>
    <row r="1117" spans="1:7" s="108" customFormat="1" ht="14.1" customHeight="1">
      <c r="A1117" s="251" t="s">
        <v>1182</v>
      </c>
      <c r="B1117" s="252" t="s">
        <v>3261</v>
      </c>
      <c r="C1117" s="254" t="s">
        <v>968</v>
      </c>
      <c r="D1117" s="252" t="s">
        <v>3262</v>
      </c>
      <c r="E1117" s="252" t="s">
        <v>919</v>
      </c>
      <c r="F1117" s="252" t="s">
        <v>889</v>
      </c>
      <c r="G1117" s="255"/>
    </row>
    <row r="1118" spans="1:7" s="108" customFormat="1" ht="14.1" customHeight="1">
      <c r="A1118" s="251" t="s">
        <v>1182</v>
      </c>
      <c r="B1118" s="252" t="s">
        <v>3263</v>
      </c>
      <c r="C1118" s="254" t="s">
        <v>944</v>
      </c>
      <c r="D1118" s="252" t="s">
        <v>1193</v>
      </c>
      <c r="E1118" s="252" t="s">
        <v>888</v>
      </c>
      <c r="F1118" s="252" t="s">
        <v>892</v>
      </c>
      <c r="G1118" s="255">
        <v>200</v>
      </c>
    </row>
    <row r="1119" spans="1:7" s="108" customFormat="1" ht="14.1" customHeight="1">
      <c r="A1119" s="251" t="s">
        <v>1182</v>
      </c>
      <c r="B1119" s="252" t="s">
        <v>3264</v>
      </c>
      <c r="C1119" s="254" t="s">
        <v>944</v>
      </c>
      <c r="D1119" s="252" t="s">
        <v>3265</v>
      </c>
      <c r="E1119" s="252" t="s">
        <v>959</v>
      </c>
      <c r="F1119" s="252" t="s">
        <v>889</v>
      </c>
      <c r="G1119" s="255"/>
    </row>
    <row r="1120" spans="1:7" s="108" customFormat="1" ht="14.1" customHeight="1">
      <c r="A1120" s="251" t="s">
        <v>1182</v>
      </c>
      <c r="B1120" s="252" t="s">
        <v>3266</v>
      </c>
      <c r="C1120" s="254" t="s">
        <v>2367</v>
      </c>
      <c r="D1120" s="252" t="s">
        <v>3267</v>
      </c>
      <c r="E1120" s="252" t="s">
        <v>945</v>
      </c>
      <c r="F1120" s="252" t="s">
        <v>892</v>
      </c>
      <c r="G1120" s="255"/>
    </row>
    <row r="1121" spans="1:7" s="108" customFormat="1" ht="14.1" customHeight="1">
      <c r="A1121" s="251" t="s">
        <v>1182</v>
      </c>
      <c r="B1121" s="252" t="s">
        <v>3268</v>
      </c>
      <c r="C1121" s="254" t="s">
        <v>1088</v>
      </c>
      <c r="D1121" s="252" t="s">
        <v>1196</v>
      </c>
      <c r="E1121" s="252" t="s">
        <v>895</v>
      </c>
      <c r="F1121" s="252" t="s">
        <v>889</v>
      </c>
      <c r="G1121" s="255">
        <v>505.14</v>
      </c>
    </row>
    <row r="1122" spans="1:7" s="108" customFormat="1" ht="14.1" customHeight="1">
      <c r="A1122" s="251" t="s">
        <v>1182</v>
      </c>
      <c r="B1122" s="252" t="s">
        <v>3269</v>
      </c>
      <c r="C1122" s="254" t="s">
        <v>906</v>
      </c>
      <c r="D1122" s="252" t="s">
        <v>1189</v>
      </c>
      <c r="E1122" s="252" t="s">
        <v>907</v>
      </c>
      <c r="F1122" s="252" t="s">
        <v>889</v>
      </c>
      <c r="G1122" s="255">
        <v>85.361000000000004</v>
      </c>
    </row>
    <row r="1123" spans="1:7" s="108" customFormat="1" ht="14.1" customHeight="1">
      <c r="A1123" s="251" t="s">
        <v>1182</v>
      </c>
      <c r="B1123" s="252" t="s">
        <v>3270</v>
      </c>
      <c r="C1123" s="254" t="s">
        <v>906</v>
      </c>
      <c r="D1123" s="252" t="s">
        <v>3271</v>
      </c>
      <c r="E1123" s="252" t="s">
        <v>984</v>
      </c>
      <c r="F1123" s="252" t="s">
        <v>889</v>
      </c>
      <c r="G1123" s="255"/>
    </row>
    <row r="1124" spans="1:7" s="108" customFormat="1" ht="14.1" customHeight="1">
      <c r="A1124" s="251" t="s">
        <v>1182</v>
      </c>
      <c r="B1124" s="252" t="s">
        <v>3272</v>
      </c>
      <c r="C1124" s="254" t="s">
        <v>906</v>
      </c>
      <c r="D1124" s="252" t="s">
        <v>3273</v>
      </c>
      <c r="E1124" s="252" t="s">
        <v>907</v>
      </c>
      <c r="F1124" s="252" t="s">
        <v>889</v>
      </c>
      <c r="G1124" s="255"/>
    </row>
    <row r="1125" spans="1:7" s="108" customFormat="1" ht="14.1" customHeight="1">
      <c r="A1125" s="251" t="s">
        <v>1182</v>
      </c>
      <c r="B1125" s="252" t="s">
        <v>3274</v>
      </c>
      <c r="C1125" s="254" t="s">
        <v>906</v>
      </c>
      <c r="D1125" s="252" t="s">
        <v>3275</v>
      </c>
      <c r="E1125" s="252" t="s">
        <v>904</v>
      </c>
      <c r="F1125" s="252" t="s">
        <v>889</v>
      </c>
      <c r="G1125" s="255"/>
    </row>
    <row r="1126" spans="1:7" s="108" customFormat="1" ht="14.1" customHeight="1">
      <c r="A1126" s="251" t="s">
        <v>1182</v>
      </c>
      <c r="B1126" s="252" t="s">
        <v>3276</v>
      </c>
      <c r="C1126" s="254" t="s">
        <v>906</v>
      </c>
      <c r="D1126" s="252" t="s">
        <v>1192</v>
      </c>
      <c r="E1126" s="252" t="s">
        <v>895</v>
      </c>
      <c r="F1126" s="252" t="s">
        <v>889</v>
      </c>
      <c r="G1126" s="255">
        <v>187.203</v>
      </c>
    </row>
    <row r="1127" spans="1:7" s="108" customFormat="1" ht="14.1" customHeight="1">
      <c r="A1127" s="251" t="s">
        <v>1182</v>
      </c>
      <c r="B1127" s="252" t="s">
        <v>3277</v>
      </c>
      <c r="C1127" s="254" t="s">
        <v>906</v>
      </c>
      <c r="D1127" s="252" t="s">
        <v>3278</v>
      </c>
      <c r="E1127" s="252" t="s">
        <v>888</v>
      </c>
      <c r="F1127" s="252" t="s">
        <v>889</v>
      </c>
      <c r="G1127" s="255"/>
    </row>
    <row r="1128" spans="1:7" s="108" customFormat="1" ht="14.1" customHeight="1">
      <c r="A1128" s="251" t="s">
        <v>1182</v>
      </c>
      <c r="B1128" s="252" t="s">
        <v>3279</v>
      </c>
      <c r="C1128" s="254" t="s">
        <v>906</v>
      </c>
      <c r="D1128" s="252" t="s">
        <v>3280</v>
      </c>
      <c r="E1128" s="252" t="s">
        <v>984</v>
      </c>
      <c r="F1128" s="252" t="s">
        <v>889</v>
      </c>
      <c r="G1128" s="255"/>
    </row>
    <row r="1129" spans="1:7" s="108" customFormat="1" ht="14.1" customHeight="1">
      <c r="A1129" s="251" t="s">
        <v>1182</v>
      </c>
      <c r="B1129" s="252" t="s">
        <v>2980</v>
      </c>
      <c r="C1129" s="254" t="s">
        <v>1833</v>
      </c>
      <c r="D1129" s="252" t="s">
        <v>1058</v>
      </c>
      <c r="E1129" s="252" t="s">
        <v>945</v>
      </c>
      <c r="F1129" s="252" t="s">
        <v>889</v>
      </c>
      <c r="G1129" s="255">
        <v>617.31500000000005</v>
      </c>
    </row>
    <row r="1130" spans="1:7" s="108" customFormat="1" ht="14.1" customHeight="1">
      <c r="A1130" s="251" t="s">
        <v>1182</v>
      </c>
      <c r="B1130" s="252" t="s">
        <v>3281</v>
      </c>
      <c r="C1130" s="254" t="s">
        <v>3027</v>
      </c>
      <c r="D1130" s="252" t="s">
        <v>1931</v>
      </c>
      <c r="E1130" s="252" t="s">
        <v>888</v>
      </c>
      <c r="F1130" s="252" t="s">
        <v>889</v>
      </c>
      <c r="G1130" s="255"/>
    </row>
    <row r="1131" spans="1:7" s="108" customFormat="1" ht="14.1" customHeight="1">
      <c r="A1131" s="251" t="s">
        <v>1182</v>
      </c>
      <c r="B1131" s="252" t="s">
        <v>3282</v>
      </c>
      <c r="C1131" s="254" t="s">
        <v>890</v>
      </c>
      <c r="D1131" s="252" t="s">
        <v>3283</v>
      </c>
      <c r="E1131" s="252" t="s">
        <v>888</v>
      </c>
      <c r="F1131" s="252" t="s">
        <v>889</v>
      </c>
      <c r="G1131" s="255"/>
    </row>
    <row r="1132" spans="1:7" s="108" customFormat="1" ht="14.1" customHeight="1">
      <c r="A1132" s="251" t="s">
        <v>1182</v>
      </c>
      <c r="B1132" s="252" t="s">
        <v>3284</v>
      </c>
      <c r="C1132" s="254" t="s">
        <v>1018</v>
      </c>
      <c r="D1132" s="252" t="s">
        <v>2029</v>
      </c>
      <c r="E1132" s="252" t="s">
        <v>895</v>
      </c>
      <c r="F1132" s="252" t="s">
        <v>889</v>
      </c>
      <c r="G1132" s="255"/>
    </row>
    <row r="1133" spans="1:7" s="108" customFormat="1" ht="14.1" customHeight="1">
      <c r="A1133" s="251" t="s">
        <v>1182</v>
      </c>
      <c r="B1133" s="252" t="s">
        <v>3285</v>
      </c>
      <c r="C1133" s="254" t="s">
        <v>1202</v>
      </c>
      <c r="D1133" s="252" t="s">
        <v>1194</v>
      </c>
      <c r="E1133" s="252" t="s">
        <v>954</v>
      </c>
      <c r="F1133" s="252" t="s">
        <v>889</v>
      </c>
      <c r="G1133" s="255">
        <v>425.24099999999999</v>
      </c>
    </row>
    <row r="1134" spans="1:7" s="108" customFormat="1" ht="14.1" customHeight="1">
      <c r="A1134" s="251" t="s">
        <v>1182</v>
      </c>
      <c r="B1134" s="252" t="s">
        <v>3286</v>
      </c>
      <c r="C1134" s="254" t="s">
        <v>1202</v>
      </c>
      <c r="D1134" s="252" t="s">
        <v>3287</v>
      </c>
      <c r="E1134" s="252" t="s">
        <v>888</v>
      </c>
      <c r="F1134" s="252" t="s">
        <v>889</v>
      </c>
      <c r="G1134" s="255"/>
    </row>
    <row r="1135" spans="1:7" s="108" customFormat="1" ht="14.1" customHeight="1">
      <c r="A1135" s="251" t="s">
        <v>1182</v>
      </c>
      <c r="B1135" s="252" t="s">
        <v>3288</v>
      </c>
      <c r="C1135" s="254" t="s">
        <v>917</v>
      </c>
      <c r="D1135" s="252" t="s">
        <v>3289</v>
      </c>
      <c r="E1135" s="252" t="s">
        <v>1119</v>
      </c>
      <c r="F1135" s="252" t="s">
        <v>931</v>
      </c>
      <c r="G1135" s="255"/>
    </row>
    <row r="1136" spans="1:7" s="108" customFormat="1" ht="14.1" customHeight="1">
      <c r="A1136" s="251" t="s">
        <v>1182</v>
      </c>
      <c r="B1136" s="252" t="s">
        <v>3290</v>
      </c>
      <c r="C1136" s="254" t="s">
        <v>917</v>
      </c>
      <c r="D1136" s="252" t="s">
        <v>1183</v>
      </c>
      <c r="E1136" s="252" t="s">
        <v>929</v>
      </c>
      <c r="F1136" s="252" t="s">
        <v>889</v>
      </c>
      <c r="G1136" s="255">
        <v>0.108</v>
      </c>
    </row>
    <row r="1137" spans="1:7" s="108" customFormat="1" ht="14.1" customHeight="1">
      <c r="A1137" s="251" t="s">
        <v>1182</v>
      </c>
      <c r="B1137" s="252" t="s">
        <v>3291</v>
      </c>
      <c r="C1137" s="254" t="s">
        <v>917</v>
      </c>
      <c r="D1137" s="252" t="s">
        <v>3292</v>
      </c>
      <c r="E1137" s="252" t="s">
        <v>918</v>
      </c>
      <c r="F1137" s="252" t="s">
        <v>889</v>
      </c>
      <c r="G1137" s="255"/>
    </row>
    <row r="1138" spans="1:7" s="108" customFormat="1" ht="14.1" customHeight="1">
      <c r="A1138" s="251" t="s">
        <v>1182</v>
      </c>
      <c r="B1138" s="252" t="s">
        <v>3293</v>
      </c>
      <c r="C1138" s="254" t="s">
        <v>1023</v>
      </c>
      <c r="D1138" s="252" t="s">
        <v>3294</v>
      </c>
      <c r="E1138" s="252" t="s">
        <v>1026</v>
      </c>
      <c r="F1138" s="252" t="s">
        <v>889</v>
      </c>
      <c r="G1138" s="255"/>
    </row>
    <row r="1139" spans="1:7" s="108" customFormat="1" ht="14.1" customHeight="1">
      <c r="A1139" s="251" t="s">
        <v>1182</v>
      </c>
      <c r="B1139" s="252" t="s">
        <v>3295</v>
      </c>
      <c r="C1139" s="254" t="s">
        <v>1023</v>
      </c>
      <c r="D1139" s="252" t="s">
        <v>1191</v>
      </c>
      <c r="E1139" s="252" t="s">
        <v>888</v>
      </c>
      <c r="F1139" s="252" t="s">
        <v>889</v>
      </c>
      <c r="G1139" s="255">
        <v>150.744</v>
      </c>
    </row>
    <row r="1140" spans="1:7" s="108" customFormat="1" ht="14.1" customHeight="1">
      <c r="A1140" s="251" t="s">
        <v>1182</v>
      </c>
      <c r="B1140" s="252" t="s">
        <v>3296</v>
      </c>
      <c r="C1140" s="254" t="s">
        <v>1135</v>
      </c>
      <c r="D1140" s="252" t="s">
        <v>3297</v>
      </c>
      <c r="E1140" s="252" t="s">
        <v>912</v>
      </c>
      <c r="F1140" s="252" t="s">
        <v>889</v>
      </c>
      <c r="G1140" s="255"/>
    </row>
    <row r="1141" spans="1:7" s="108" customFormat="1" ht="14.1" customHeight="1">
      <c r="A1141" s="251" t="s">
        <v>1182</v>
      </c>
      <c r="B1141" s="252" t="s">
        <v>3298</v>
      </c>
      <c r="C1141" s="254" t="s">
        <v>1071</v>
      </c>
      <c r="D1141" s="252" t="s">
        <v>3299</v>
      </c>
      <c r="E1141" s="252" t="s">
        <v>904</v>
      </c>
      <c r="F1141" s="252" t="s">
        <v>889</v>
      </c>
      <c r="G1141" s="255"/>
    </row>
    <row r="1142" spans="1:7" s="108" customFormat="1" ht="14.1" customHeight="1">
      <c r="A1142" s="251" t="s">
        <v>1182</v>
      </c>
      <c r="B1142" s="252" t="s">
        <v>3300</v>
      </c>
      <c r="C1142" s="254" t="s">
        <v>1071</v>
      </c>
      <c r="D1142" s="252" t="s">
        <v>1661</v>
      </c>
      <c r="E1142" s="252" t="s">
        <v>888</v>
      </c>
      <c r="F1142" s="252" t="s">
        <v>889</v>
      </c>
      <c r="G1142" s="255"/>
    </row>
    <row r="1143" spans="1:7" s="108" customFormat="1" ht="14.1" customHeight="1">
      <c r="A1143" s="251" t="s">
        <v>1182</v>
      </c>
      <c r="B1143" s="252" t="s">
        <v>3301</v>
      </c>
      <c r="C1143" s="254" t="s">
        <v>1246</v>
      </c>
      <c r="D1143" s="252" t="s">
        <v>3302</v>
      </c>
      <c r="E1143" s="252" t="s">
        <v>918</v>
      </c>
      <c r="F1143" s="252" t="s">
        <v>889</v>
      </c>
      <c r="G1143" s="255"/>
    </row>
    <row r="1144" spans="1:7" s="108" customFormat="1" ht="14.1" customHeight="1">
      <c r="A1144" s="251" t="s">
        <v>1182</v>
      </c>
      <c r="B1144" s="252" t="s">
        <v>3303</v>
      </c>
      <c r="C1144" s="254" t="s">
        <v>1246</v>
      </c>
      <c r="D1144" s="252" t="s">
        <v>3304</v>
      </c>
      <c r="E1144" s="252" t="s">
        <v>888</v>
      </c>
      <c r="F1144" s="252" t="s">
        <v>889</v>
      </c>
      <c r="G1144" s="255"/>
    </row>
    <row r="1145" spans="1:7" s="108" customFormat="1" ht="14.1" customHeight="1">
      <c r="A1145" s="251" t="s">
        <v>1182</v>
      </c>
      <c r="B1145" s="252" t="s">
        <v>3305</v>
      </c>
      <c r="C1145" s="254" t="s">
        <v>1246</v>
      </c>
      <c r="D1145" s="252" t="s">
        <v>1188</v>
      </c>
      <c r="E1145" s="252" t="s">
        <v>888</v>
      </c>
      <c r="F1145" s="252" t="s">
        <v>889</v>
      </c>
      <c r="G1145" s="255">
        <v>533.36400000000003</v>
      </c>
    </row>
    <row r="1146" spans="1:7" s="108" customFormat="1" ht="14.1" customHeight="1">
      <c r="A1146" s="251" t="s">
        <v>1182</v>
      </c>
      <c r="B1146" s="252" t="s">
        <v>3305</v>
      </c>
      <c r="C1146" s="254" t="s">
        <v>1246</v>
      </c>
      <c r="D1146" s="252" t="s">
        <v>1188</v>
      </c>
      <c r="E1146" s="252" t="s">
        <v>888</v>
      </c>
      <c r="F1146" s="252" t="s">
        <v>889</v>
      </c>
      <c r="G1146" s="255">
        <v>78.905000000000001</v>
      </c>
    </row>
    <row r="1147" spans="1:7" s="108" customFormat="1" ht="14.1" customHeight="1">
      <c r="A1147" s="251" t="s">
        <v>1182</v>
      </c>
      <c r="B1147" s="252" t="s">
        <v>1967</v>
      </c>
      <c r="C1147" s="254" t="s">
        <v>1055</v>
      </c>
      <c r="D1147" s="252" t="s">
        <v>1042</v>
      </c>
      <c r="E1147" s="252" t="s">
        <v>945</v>
      </c>
      <c r="F1147" s="252" t="s">
        <v>889</v>
      </c>
      <c r="G1147" s="255">
        <v>1.4910000000000001</v>
      </c>
    </row>
    <row r="1148" spans="1:7" s="108" customFormat="1" ht="14.1" customHeight="1">
      <c r="A1148" s="251" t="s">
        <v>1182</v>
      </c>
      <c r="B1148" s="252" t="s">
        <v>3306</v>
      </c>
      <c r="C1148" s="254" t="s">
        <v>1055</v>
      </c>
      <c r="D1148" s="252" t="s">
        <v>3307</v>
      </c>
      <c r="E1148" s="252" t="s">
        <v>1142</v>
      </c>
      <c r="F1148" s="252" t="s">
        <v>889</v>
      </c>
      <c r="G1148" s="255"/>
    </row>
    <row r="1149" spans="1:7" s="108" customFormat="1" ht="14.1" customHeight="1">
      <c r="A1149" s="251" t="s">
        <v>1182</v>
      </c>
      <c r="B1149" s="252" t="s">
        <v>3308</v>
      </c>
      <c r="C1149" s="254" t="s">
        <v>1345</v>
      </c>
      <c r="D1149" s="252" t="s">
        <v>3309</v>
      </c>
      <c r="E1149" s="252" t="s">
        <v>1142</v>
      </c>
      <c r="F1149" s="252" t="s">
        <v>889</v>
      </c>
      <c r="G1149" s="255"/>
    </row>
    <row r="1150" spans="1:7" s="108" customFormat="1" ht="14.1" customHeight="1">
      <c r="A1150" s="251" t="s">
        <v>1182</v>
      </c>
      <c r="B1150" s="252" t="s">
        <v>3310</v>
      </c>
      <c r="C1150" s="254" t="s">
        <v>1110</v>
      </c>
      <c r="D1150" s="252" t="s">
        <v>3311</v>
      </c>
      <c r="E1150" s="252" t="s">
        <v>904</v>
      </c>
      <c r="F1150" s="252" t="s">
        <v>889</v>
      </c>
      <c r="G1150" s="255"/>
    </row>
    <row r="1151" spans="1:7" s="108" customFormat="1" ht="14.1" customHeight="1">
      <c r="A1151" s="251" t="s">
        <v>1182</v>
      </c>
      <c r="B1151" s="252" t="s">
        <v>3312</v>
      </c>
      <c r="C1151" s="254" t="s">
        <v>1110</v>
      </c>
      <c r="D1151" s="252" t="s">
        <v>1186</v>
      </c>
      <c r="E1151" s="252" t="s">
        <v>925</v>
      </c>
      <c r="F1151" s="252" t="s">
        <v>892</v>
      </c>
      <c r="G1151" s="255">
        <v>2</v>
      </c>
    </row>
    <row r="1152" spans="1:7" s="108" customFormat="1" ht="14.1" customHeight="1">
      <c r="A1152" s="251" t="s">
        <v>1182</v>
      </c>
      <c r="B1152" s="252" t="s">
        <v>3313</v>
      </c>
      <c r="C1152" s="254" t="s">
        <v>1099</v>
      </c>
      <c r="D1152" s="252" t="s">
        <v>1198</v>
      </c>
      <c r="E1152" s="252" t="s">
        <v>888</v>
      </c>
      <c r="F1152" s="252" t="s">
        <v>889</v>
      </c>
      <c r="G1152" s="255">
        <v>985.96299999999997</v>
      </c>
    </row>
    <row r="1153" spans="1:7" s="108" customFormat="1" ht="14.1" customHeight="1">
      <c r="A1153" s="251" t="s">
        <v>1182</v>
      </c>
      <c r="B1153" s="252" t="s">
        <v>3314</v>
      </c>
      <c r="C1153" s="254" t="s">
        <v>1099</v>
      </c>
      <c r="D1153" s="252" t="s">
        <v>3315</v>
      </c>
      <c r="E1153" s="252" t="s">
        <v>888</v>
      </c>
      <c r="F1153" s="252" t="s">
        <v>889</v>
      </c>
      <c r="G1153" s="255"/>
    </row>
    <row r="1154" spans="1:7" s="108" customFormat="1" ht="14.1" customHeight="1">
      <c r="A1154" s="251" t="s">
        <v>1182</v>
      </c>
      <c r="B1154" s="252" t="s">
        <v>3316</v>
      </c>
      <c r="C1154" s="254" t="s">
        <v>1020</v>
      </c>
      <c r="D1154" s="252" t="s">
        <v>1199</v>
      </c>
      <c r="E1154" s="252" t="s">
        <v>895</v>
      </c>
      <c r="F1154" s="252" t="s">
        <v>931</v>
      </c>
      <c r="G1154" s="255">
        <v>4000</v>
      </c>
    </row>
    <row r="1155" spans="1:7" s="108" customFormat="1" ht="14.1" customHeight="1">
      <c r="A1155" s="251" t="s">
        <v>1182</v>
      </c>
      <c r="B1155" s="252" t="s">
        <v>3317</v>
      </c>
      <c r="C1155" s="254" t="s">
        <v>903</v>
      </c>
      <c r="D1155" s="252" t="s">
        <v>2029</v>
      </c>
      <c r="E1155" s="252" t="s">
        <v>895</v>
      </c>
      <c r="F1155" s="252" t="s">
        <v>889</v>
      </c>
      <c r="G1155" s="255"/>
    </row>
    <row r="1156" spans="1:7" s="108" customFormat="1" ht="14.1" customHeight="1">
      <c r="A1156" s="251" t="s">
        <v>1182</v>
      </c>
      <c r="B1156" s="252" t="s">
        <v>3318</v>
      </c>
      <c r="C1156" s="254" t="s">
        <v>903</v>
      </c>
      <c r="D1156" s="252" t="s">
        <v>1185</v>
      </c>
      <c r="E1156" s="252" t="s">
        <v>907</v>
      </c>
      <c r="F1156" s="252" t="s">
        <v>889</v>
      </c>
      <c r="G1156" s="255">
        <v>0.86799999999999999</v>
      </c>
    </row>
    <row r="1157" spans="1:7" s="108" customFormat="1" ht="14.1" customHeight="1">
      <c r="A1157" s="251" t="s">
        <v>1182</v>
      </c>
      <c r="B1157" s="252" t="s">
        <v>2542</v>
      </c>
      <c r="C1157" s="254" t="s">
        <v>1000</v>
      </c>
      <c r="D1157" s="252" t="s">
        <v>1063</v>
      </c>
      <c r="E1157" s="252" t="s">
        <v>1026</v>
      </c>
      <c r="F1157" s="252" t="s">
        <v>931</v>
      </c>
      <c r="G1157" s="255">
        <v>219.13</v>
      </c>
    </row>
    <row r="1158" spans="1:7" s="108" customFormat="1" ht="14.1" customHeight="1">
      <c r="A1158" s="251" t="s">
        <v>1182</v>
      </c>
      <c r="B1158" s="252" t="s">
        <v>3319</v>
      </c>
      <c r="C1158" s="254" t="s">
        <v>1000</v>
      </c>
      <c r="D1158" s="252" t="s">
        <v>1265</v>
      </c>
      <c r="E1158" s="252" t="s">
        <v>888</v>
      </c>
      <c r="F1158" s="252" t="s">
        <v>889</v>
      </c>
      <c r="G1158" s="255"/>
    </row>
    <row r="1159" spans="1:7" s="108" customFormat="1" ht="14.1" customHeight="1">
      <c r="A1159" s="251" t="s">
        <v>1182</v>
      </c>
      <c r="B1159" s="252" t="s">
        <v>3320</v>
      </c>
      <c r="C1159" s="254" t="s">
        <v>1000</v>
      </c>
      <c r="D1159" s="252" t="s">
        <v>1197</v>
      </c>
      <c r="E1159" s="252" t="s">
        <v>904</v>
      </c>
      <c r="F1159" s="252" t="s">
        <v>889</v>
      </c>
      <c r="G1159" s="255">
        <v>542.71600000000001</v>
      </c>
    </row>
    <row r="1160" spans="1:7" s="108" customFormat="1" ht="14.1" customHeight="1">
      <c r="A1160" s="251" t="s">
        <v>1182</v>
      </c>
      <c r="B1160" s="252" t="s">
        <v>3321</v>
      </c>
      <c r="C1160" s="254" t="s">
        <v>1068</v>
      </c>
      <c r="D1160" s="252" t="s">
        <v>1190</v>
      </c>
      <c r="E1160" s="252" t="s">
        <v>888</v>
      </c>
      <c r="F1160" s="252" t="s">
        <v>892</v>
      </c>
      <c r="G1160" s="255">
        <v>138.928</v>
      </c>
    </row>
    <row r="1161" spans="1:7" s="108" customFormat="1" ht="14.1" customHeight="1">
      <c r="A1161" s="251" t="s">
        <v>1182</v>
      </c>
      <c r="B1161" s="252" t="s">
        <v>3322</v>
      </c>
      <c r="C1161" s="254" t="s">
        <v>983</v>
      </c>
      <c r="D1161" s="252" t="s">
        <v>1988</v>
      </c>
      <c r="E1161" s="252" t="s">
        <v>954</v>
      </c>
      <c r="F1161" s="252" t="s">
        <v>892</v>
      </c>
      <c r="G1161" s="255"/>
    </row>
    <row r="1162" spans="1:7" s="108" customFormat="1" ht="14.1" customHeight="1">
      <c r="A1162" s="251" t="s">
        <v>1182</v>
      </c>
      <c r="B1162" s="252" t="s">
        <v>3323</v>
      </c>
      <c r="C1162" s="254" t="s">
        <v>983</v>
      </c>
      <c r="D1162" s="252" t="s">
        <v>3324</v>
      </c>
      <c r="E1162" s="252" t="s">
        <v>954</v>
      </c>
      <c r="F1162" s="252" t="s">
        <v>889</v>
      </c>
      <c r="G1162" s="255"/>
    </row>
    <row r="1163" spans="1:7" s="108" customFormat="1" ht="14.1" customHeight="1">
      <c r="A1163" s="251" t="s">
        <v>1182</v>
      </c>
      <c r="B1163" s="252" t="s">
        <v>3325</v>
      </c>
      <c r="C1163" s="254" t="s">
        <v>1009</v>
      </c>
      <c r="D1163" s="252" t="s">
        <v>3326</v>
      </c>
      <c r="E1163" s="252" t="s">
        <v>888</v>
      </c>
      <c r="F1163" s="252" t="s">
        <v>889</v>
      </c>
      <c r="G1163" s="255"/>
    </row>
    <row r="1164" spans="1:7" s="108" customFormat="1" ht="14.1" customHeight="1">
      <c r="A1164" s="251" t="s">
        <v>1339</v>
      </c>
      <c r="B1164" s="252" t="s">
        <v>3327</v>
      </c>
      <c r="C1164" s="254" t="s">
        <v>968</v>
      </c>
      <c r="D1164" s="252" t="s">
        <v>3328</v>
      </c>
      <c r="E1164" s="252" t="s">
        <v>888</v>
      </c>
      <c r="F1164" s="252" t="s">
        <v>889</v>
      </c>
      <c r="G1164" s="255"/>
    </row>
    <row r="1165" spans="1:7" s="108" customFormat="1" ht="14.1" customHeight="1">
      <c r="A1165" s="251" t="s">
        <v>1339</v>
      </c>
      <c r="B1165" s="252" t="s">
        <v>3329</v>
      </c>
      <c r="C1165" s="254" t="s">
        <v>986</v>
      </c>
      <c r="D1165" s="252" t="s">
        <v>1342</v>
      </c>
      <c r="E1165" s="252" t="s">
        <v>939</v>
      </c>
      <c r="F1165" s="252" t="s">
        <v>889</v>
      </c>
      <c r="G1165" s="255">
        <v>224.32</v>
      </c>
    </row>
    <row r="1166" spans="1:7" s="108" customFormat="1" ht="14.1" customHeight="1">
      <c r="A1166" s="251" t="s">
        <v>1339</v>
      </c>
      <c r="B1166" s="252" t="s">
        <v>3330</v>
      </c>
      <c r="C1166" s="254" t="s">
        <v>986</v>
      </c>
      <c r="D1166" s="252" t="s">
        <v>1342</v>
      </c>
      <c r="E1166" s="252" t="s">
        <v>939</v>
      </c>
      <c r="F1166" s="252" t="s">
        <v>889</v>
      </c>
      <c r="G1166" s="255"/>
    </row>
    <row r="1167" spans="1:7" s="108" customFormat="1" ht="14.1" customHeight="1">
      <c r="A1167" s="251" t="s">
        <v>1339</v>
      </c>
      <c r="B1167" s="252" t="s">
        <v>3331</v>
      </c>
      <c r="C1167" s="254" t="s">
        <v>986</v>
      </c>
      <c r="D1167" s="252" t="s">
        <v>1342</v>
      </c>
      <c r="E1167" s="252" t="s">
        <v>939</v>
      </c>
      <c r="F1167" s="252" t="s">
        <v>889</v>
      </c>
      <c r="G1167" s="255"/>
    </row>
    <row r="1168" spans="1:7" s="108" customFormat="1" ht="14.1" customHeight="1">
      <c r="A1168" s="251" t="s">
        <v>1339</v>
      </c>
      <c r="B1168" s="252" t="s">
        <v>3332</v>
      </c>
      <c r="C1168" s="254" t="s">
        <v>890</v>
      </c>
      <c r="D1168" s="252" t="s">
        <v>3333</v>
      </c>
      <c r="E1168" s="252" t="s">
        <v>888</v>
      </c>
      <c r="F1168" s="252" t="s">
        <v>889</v>
      </c>
      <c r="G1168" s="255"/>
    </row>
    <row r="1169" spans="1:7" s="108" customFormat="1" ht="14.1" customHeight="1">
      <c r="A1169" s="251" t="s">
        <v>1339</v>
      </c>
      <c r="B1169" s="252" t="s">
        <v>3334</v>
      </c>
      <c r="C1169" s="254" t="s">
        <v>1018</v>
      </c>
      <c r="D1169" s="252" t="s">
        <v>3335</v>
      </c>
      <c r="E1169" s="252" t="s">
        <v>891</v>
      </c>
      <c r="F1169" s="252" t="s">
        <v>889</v>
      </c>
      <c r="G1169" s="255"/>
    </row>
    <row r="1170" spans="1:7" s="108" customFormat="1" ht="14.1" customHeight="1">
      <c r="A1170" s="251" t="s">
        <v>1339</v>
      </c>
      <c r="B1170" s="252" t="s">
        <v>3336</v>
      </c>
      <c r="C1170" s="254" t="s">
        <v>917</v>
      </c>
      <c r="D1170" s="252" t="s">
        <v>3337</v>
      </c>
      <c r="E1170" s="252" t="s">
        <v>959</v>
      </c>
      <c r="F1170" s="252" t="s">
        <v>889</v>
      </c>
      <c r="G1170" s="255"/>
    </row>
    <row r="1171" spans="1:7" s="108" customFormat="1" ht="14.1" customHeight="1">
      <c r="A1171" s="251" t="s">
        <v>1339</v>
      </c>
      <c r="B1171" s="252" t="s">
        <v>3338</v>
      </c>
      <c r="C1171" s="254" t="s">
        <v>917</v>
      </c>
      <c r="D1171" s="252" t="s">
        <v>1340</v>
      </c>
      <c r="E1171" s="252" t="s">
        <v>918</v>
      </c>
      <c r="F1171" s="252" t="s">
        <v>889</v>
      </c>
      <c r="G1171" s="255">
        <v>3.3000000000000002E-2</v>
      </c>
    </row>
    <row r="1172" spans="1:7" s="108" customFormat="1" ht="14.1" customHeight="1">
      <c r="A1172" s="251" t="s">
        <v>1339</v>
      </c>
      <c r="B1172" s="252" t="s">
        <v>3339</v>
      </c>
      <c r="C1172" s="254" t="s">
        <v>917</v>
      </c>
      <c r="D1172" s="252" t="s">
        <v>1341</v>
      </c>
      <c r="E1172" s="252" t="s">
        <v>918</v>
      </c>
      <c r="F1172" s="252" t="s">
        <v>889</v>
      </c>
      <c r="G1172" s="255">
        <v>1.637</v>
      </c>
    </row>
    <row r="1173" spans="1:7" s="108" customFormat="1" ht="14.1" customHeight="1">
      <c r="A1173" s="251" t="s">
        <v>1339</v>
      </c>
      <c r="B1173" s="252" t="s">
        <v>3340</v>
      </c>
      <c r="C1173" s="254" t="s">
        <v>1020</v>
      </c>
      <c r="D1173" s="252" t="s">
        <v>3341</v>
      </c>
      <c r="E1173" s="252" t="s">
        <v>888</v>
      </c>
      <c r="F1173" s="252" t="s">
        <v>889</v>
      </c>
      <c r="G1173" s="255"/>
    </row>
    <row r="1174" spans="1:7" s="108" customFormat="1" ht="14.1" customHeight="1">
      <c r="A1174" s="251" t="s">
        <v>1413</v>
      </c>
      <c r="B1174" s="252" t="s">
        <v>3342</v>
      </c>
      <c r="C1174" s="254" t="s">
        <v>1051</v>
      </c>
      <c r="D1174" s="252" t="s">
        <v>1414</v>
      </c>
      <c r="E1174" s="252" t="s">
        <v>939</v>
      </c>
      <c r="F1174" s="252" t="s">
        <v>889</v>
      </c>
      <c r="G1174" s="255">
        <v>50</v>
      </c>
    </row>
    <row r="1175" spans="1:7" s="108" customFormat="1" ht="14.1" customHeight="1">
      <c r="A1175" s="251" t="s">
        <v>1413</v>
      </c>
      <c r="B1175" s="252" t="s">
        <v>3343</v>
      </c>
      <c r="C1175" s="254" t="s">
        <v>1150</v>
      </c>
      <c r="D1175" s="252" t="s">
        <v>1353</v>
      </c>
      <c r="E1175" s="252" t="s">
        <v>907</v>
      </c>
      <c r="F1175" s="252" t="s">
        <v>889</v>
      </c>
      <c r="G1175" s="255"/>
    </row>
    <row r="1176" spans="1:7" s="108" customFormat="1" ht="14.1" customHeight="1">
      <c r="A1176" s="251" t="s">
        <v>1413</v>
      </c>
      <c r="B1176" s="252" t="s">
        <v>3344</v>
      </c>
      <c r="C1176" s="254" t="s">
        <v>986</v>
      </c>
      <c r="D1176" s="252" t="s">
        <v>2416</v>
      </c>
      <c r="E1176" s="252" t="s">
        <v>888</v>
      </c>
      <c r="F1176" s="252" t="s">
        <v>892</v>
      </c>
      <c r="G1176" s="255"/>
    </row>
    <row r="1177" spans="1:7" s="108" customFormat="1" ht="14.1" customHeight="1">
      <c r="A1177" s="251" t="s">
        <v>1413</v>
      </c>
      <c r="B1177" s="252" t="s">
        <v>3345</v>
      </c>
      <c r="C1177" s="254" t="s">
        <v>887</v>
      </c>
      <c r="D1177" s="252" t="s">
        <v>3346</v>
      </c>
      <c r="E1177" s="252" t="s">
        <v>929</v>
      </c>
      <c r="F1177" s="252" t="s">
        <v>892</v>
      </c>
      <c r="G1177" s="255"/>
    </row>
    <row r="1178" spans="1:7" s="108" customFormat="1" ht="14.1" customHeight="1">
      <c r="A1178" s="251" t="s">
        <v>1413</v>
      </c>
      <c r="B1178" s="252" t="s">
        <v>3347</v>
      </c>
      <c r="C1178" s="254" t="s">
        <v>2142</v>
      </c>
      <c r="D1178" s="252" t="s">
        <v>3348</v>
      </c>
      <c r="E1178" s="252" t="s">
        <v>888</v>
      </c>
      <c r="F1178" s="252" t="s">
        <v>889</v>
      </c>
      <c r="G1178" s="255"/>
    </row>
    <row r="1179" spans="1:7" s="108" customFormat="1" ht="14.1" customHeight="1">
      <c r="A1179" s="251" t="s">
        <v>1413</v>
      </c>
      <c r="B1179" s="252" t="s">
        <v>3349</v>
      </c>
      <c r="C1179" s="254" t="s">
        <v>1020</v>
      </c>
      <c r="D1179" s="252" t="s">
        <v>3350</v>
      </c>
      <c r="E1179" s="252" t="s">
        <v>888</v>
      </c>
      <c r="F1179" s="252" t="s">
        <v>889</v>
      </c>
      <c r="G1179" s="255"/>
    </row>
    <row r="1180" spans="1:7" s="108" customFormat="1" ht="14.1" customHeight="1">
      <c r="A1180" s="251" t="s">
        <v>1413</v>
      </c>
      <c r="B1180" s="252" t="s">
        <v>3351</v>
      </c>
      <c r="C1180" s="254" t="s">
        <v>1164</v>
      </c>
      <c r="D1180" s="252" t="s">
        <v>3352</v>
      </c>
      <c r="E1180" s="252" t="s">
        <v>888</v>
      </c>
      <c r="F1180" s="252" t="s">
        <v>889</v>
      </c>
      <c r="G1180" s="255"/>
    </row>
    <row r="1181" spans="1:7" s="108" customFormat="1" ht="14.1" customHeight="1">
      <c r="A1181" s="251" t="s">
        <v>3353</v>
      </c>
      <c r="B1181" s="252" t="s">
        <v>3354</v>
      </c>
      <c r="C1181" s="254" t="s">
        <v>917</v>
      </c>
      <c r="D1181" s="252" t="s">
        <v>3355</v>
      </c>
      <c r="E1181" s="252" t="s">
        <v>918</v>
      </c>
      <c r="F1181" s="252" t="s">
        <v>892</v>
      </c>
      <c r="G1181" s="255"/>
    </row>
    <row r="1182" spans="1:7" s="108" customFormat="1" ht="14.1" customHeight="1">
      <c r="A1182" s="251" t="s">
        <v>1554</v>
      </c>
      <c r="B1182" s="252" t="s">
        <v>3356</v>
      </c>
      <c r="C1182" s="254" t="s">
        <v>1168</v>
      </c>
      <c r="D1182" s="252" t="s">
        <v>3357</v>
      </c>
      <c r="E1182" s="252" t="s">
        <v>984</v>
      </c>
      <c r="F1182" s="252" t="s">
        <v>889</v>
      </c>
      <c r="G1182" s="255"/>
    </row>
    <row r="1183" spans="1:7" s="108" customFormat="1" ht="14.1" customHeight="1">
      <c r="A1183" s="251" t="s">
        <v>1554</v>
      </c>
      <c r="B1183" s="252" t="s">
        <v>3358</v>
      </c>
      <c r="C1183" s="254" t="s">
        <v>1168</v>
      </c>
      <c r="D1183" s="252" t="s">
        <v>1556</v>
      </c>
      <c r="E1183" s="252" t="s">
        <v>888</v>
      </c>
      <c r="F1183" s="252" t="s">
        <v>889</v>
      </c>
      <c r="G1183" s="255">
        <v>593.73</v>
      </c>
    </row>
    <row r="1184" spans="1:7" s="108" customFormat="1" ht="14.1" customHeight="1">
      <c r="A1184" s="251" t="s">
        <v>1554</v>
      </c>
      <c r="B1184" s="252" t="s">
        <v>3359</v>
      </c>
      <c r="C1184" s="254" t="s">
        <v>968</v>
      </c>
      <c r="D1184" s="252" t="s">
        <v>3360</v>
      </c>
      <c r="E1184" s="252" t="s">
        <v>888</v>
      </c>
      <c r="F1184" s="252" t="s">
        <v>889</v>
      </c>
      <c r="G1184" s="255"/>
    </row>
    <row r="1185" spans="1:7" s="108" customFormat="1" ht="14.1" customHeight="1">
      <c r="A1185" s="251" t="s">
        <v>1554</v>
      </c>
      <c r="B1185" s="252" t="s">
        <v>3361</v>
      </c>
      <c r="C1185" s="254" t="s">
        <v>1051</v>
      </c>
      <c r="D1185" s="252" t="s">
        <v>1557</v>
      </c>
      <c r="E1185" s="252" t="s">
        <v>939</v>
      </c>
      <c r="F1185" s="252" t="s">
        <v>889</v>
      </c>
      <c r="G1185" s="255">
        <v>1226.769</v>
      </c>
    </row>
    <row r="1186" spans="1:7" s="108" customFormat="1" ht="14.1" customHeight="1">
      <c r="A1186" s="251" t="s">
        <v>1554</v>
      </c>
      <c r="B1186" s="252" t="s">
        <v>3362</v>
      </c>
      <c r="C1186" s="254" t="s">
        <v>2367</v>
      </c>
      <c r="D1186" s="252" t="s">
        <v>3363</v>
      </c>
      <c r="E1186" s="252" t="s">
        <v>1306</v>
      </c>
      <c r="F1186" s="252" t="s">
        <v>892</v>
      </c>
      <c r="G1186" s="255"/>
    </row>
    <row r="1187" spans="1:7" s="108" customFormat="1" ht="14.1" customHeight="1">
      <c r="A1187" s="251" t="s">
        <v>1554</v>
      </c>
      <c r="B1187" s="252" t="s">
        <v>3364</v>
      </c>
      <c r="C1187" s="254" t="s">
        <v>938</v>
      </c>
      <c r="D1187" s="252" t="s">
        <v>1558</v>
      </c>
      <c r="E1187" s="252" t="s">
        <v>1047</v>
      </c>
      <c r="F1187" s="252" t="s">
        <v>889</v>
      </c>
      <c r="G1187" s="255">
        <v>2294.4070000000002</v>
      </c>
    </row>
    <row r="1188" spans="1:7" s="108" customFormat="1" ht="14.1" customHeight="1">
      <c r="A1188" s="251" t="s">
        <v>1554</v>
      </c>
      <c r="B1188" s="252" t="s">
        <v>3365</v>
      </c>
      <c r="C1188" s="254" t="s">
        <v>1088</v>
      </c>
      <c r="D1188" s="252" t="s">
        <v>3366</v>
      </c>
      <c r="E1188" s="252" t="s">
        <v>888</v>
      </c>
      <c r="F1188" s="252" t="s">
        <v>892</v>
      </c>
      <c r="G1188" s="255"/>
    </row>
    <row r="1189" spans="1:7" s="108" customFormat="1" ht="14.1" customHeight="1">
      <c r="A1189" s="251" t="s">
        <v>1554</v>
      </c>
      <c r="B1189" s="252" t="s">
        <v>3367</v>
      </c>
      <c r="C1189" s="254" t="s">
        <v>906</v>
      </c>
      <c r="D1189" s="252" t="s">
        <v>3368</v>
      </c>
      <c r="E1189" s="252" t="s">
        <v>939</v>
      </c>
      <c r="F1189" s="252" t="s">
        <v>889</v>
      </c>
      <c r="G1189" s="255"/>
    </row>
    <row r="1190" spans="1:7" s="108" customFormat="1" ht="14.1" customHeight="1">
      <c r="A1190" s="251" t="s">
        <v>1554</v>
      </c>
      <c r="B1190" s="252" t="s">
        <v>3369</v>
      </c>
      <c r="C1190" s="254" t="s">
        <v>887</v>
      </c>
      <c r="D1190" s="252" t="s">
        <v>1049</v>
      </c>
      <c r="E1190" s="252" t="s">
        <v>1026</v>
      </c>
      <c r="F1190" s="252" t="s">
        <v>889</v>
      </c>
      <c r="G1190" s="255"/>
    </row>
    <row r="1191" spans="1:7" s="108" customFormat="1" ht="14.1" customHeight="1">
      <c r="A1191" s="251" t="s">
        <v>1554</v>
      </c>
      <c r="B1191" s="252" t="s">
        <v>3370</v>
      </c>
      <c r="C1191" s="254" t="s">
        <v>2142</v>
      </c>
      <c r="D1191" s="252" t="s">
        <v>3348</v>
      </c>
      <c r="E1191" s="252" t="s">
        <v>888</v>
      </c>
      <c r="F1191" s="252" t="s">
        <v>889</v>
      </c>
      <c r="G1191" s="255"/>
    </row>
    <row r="1192" spans="1:7" s="108" customFormat="1" ht="14.1" customHeight="1">
      <c r="A1192" s="251" t="s">
        <v>1554</v>
      </c>
      <c r="B1192" s="252" t="s">
        <v>3371</v>
      </c>
      <c r="C1192" s="254" t="s">
        <v>890</v>
      </c>
      <c r="D1192" s="252" t="s">
        <v>3372</v>
      </c>
      <c r="E1192" s="252" t="s">
        <v>888</v>
      </c>
      <c r="F1192" s="252" t="s">
        <v>889</v>
      </c>
      <c r="G1192" s="255"/>
    </row>
    <row r="1193" spans="1:7" s="108" customFormat="1" ht="14.1" customHeight="1">
      <c r="A1193" s="251" t="s">
        <v>1554</v>
      </c>
      <c r="B1193" s="252" t="s">
        <v>3373</v>
      </c>
      <c r="C1193" s="254" t="s">
        <v>1018</v>
      </c>
      <c r="D1193" s="252" t="s">
        <v>1555</v>
      </c>
      <c r="E1193" s="252" t="s">
        <v>888</v>
      </c>
      <c r="F1193" s="252" t="s">
        <v>892</v>
      </c>
      <c r="G1193" s="255">
        <v>5</v>
      </c>
    </row>
    <row r="1194" spans="1:7" s="108" customFormat="1" ht="14.1" customHeight="1">
      <c r="A1194" s="251" t="s">
        <v>1554</v>
      </c>
      <c r="B1194" s="252" t="s">
        <v>3374</v>
      </c>
      <c r="C1194" s="254" t="s">
        <v>917</v>
      </c>
      <c r="D1194" s="252" t="s">
        <v>1507</v>
      </c>
      <c r="E1194" s="252" t="s">
        <v>918</v>
      </c>
      <c r="F1194" s="252" t="s">
        <v>889</v>
      </c>
      <c r="G1194" s="255"/>
    </row>
    <row r="1195" spans="1:7" s="108" customFormat="1" ht="14.1" customHeight="1">
      <c r="A1195" s="251" t="s">
        <v>1554</v>
      </c>
      <c r="B1195" s="252" t="s">
        <v>3375</v>
      </c>
      <c r="C1195" s="254" t="s">
        <v>917</v>
      </c>
      <c r="D1195" s="252" t="s">
        <v>1507</v>
      </c>
      <c r="E1195" s="252" t="s">
        <v>918</v>
      </c>
      <c r="F1195" s="252" t="s">
        <v>889</v>
      </c>
      <c r="G1195" s="255">
        <v>1.6E-2</v>
      </c>
    </row>
    <row r="1196" spans="1:7" s="108" customFormat="1" ht="14.1" customHeight="1">
      <c r="A1196" s="251" t="s">
        <v>1554</v>
      </c>
      <c r="B1196" s="252" t="s">
        <v>3376</v>
      </c>
      <c r="C1196" s="254" t="s">
        <v>1135</v>
      </c>
      <c r="D1196" s="252" t="s">
        <v>3377</v>
      </c>
      <c r="E1196" s="252" t="s">
        <v>888</v>
      </c>
      <c r="F1196" s="252" t="s">
        <v>889</v>
      </c>
      <c r="G1196" s="255"/>
    </row>
    <row r="1197" spans="1:7" s="108" customFormat="1" ht="14.1" customHeight="1">
      <c r="A1197" s="251" t="s">
        <v>1554</v>
      </c>
      <c r="B1197" s="252" t="s">
        <v>3378</v>
      </c>
      <c r="C1197" s="254" t="s">
        <v>1135</v>
      </c>
      <c r="D1197" s="252" t="s">
        <v>1242</v>
      </c>
      <c r="E1197" s="252" t="s">
        <v>912</v>
      </c>
      <c r="F1197" s="252" t="s">
        <v>889</v>
      </c>
      <c r="G1197" s="255">
        <v>434.09800000000001</v>
      </c>
    </row>
    <row r="1198" spans="1:7" s="108" customFormat="1" ht="14.1" customHeight="1">
      <c r="A1198" s="251" t="s">
        <v>1554</v>
      </c>
      <c r="B1198" s="252" t="s">
        <v>3379</v>
      </c>
      <c r="C1198" s="254" t="s">
        <v>1020</v>
      </c>
      <c r="D1198" s="252" t="s">
        <v>3380</v>
      </c>
      <c r="E1198" s="252" t="s">
        <v>888</v>
      </c>
      <c r="F1198" s="252" t="s">
        <v>889</v>
      </c>
      <c r="G1198" s="255"/>
    </row>
    <row r="1199" spans="1:7" s="108" customFormat="1" ht="14.1" customHeight="1">
      <c r="A1199" s="251" t="s">
        <v>1554</v>
      </c>
      <c r="B1199" s="252" t="s">
        <v>3381</v>
      </c>
      <c r="C1199" s="254" t="s">
        <v>1164</v>
      </c>
      <c r="D1199" s="252" t="s">
        <v>3382</v>
      </c>
      <c r="E1199" s="252" t="s">
        <v>888</v>
      </c>
      <c r="F1199" s="252" t="s">
        <v>889</v>
      </c>
      <c r="G1199" s="255"/>
    </row>
    <row r="1200" spans="1:7" s="108" customFormat="1" ht="14.1" customHeight="1">
      <c r="A1200" s="251" t="s">
        <v>961</v>
      </c>
      <c r="B1200" s="252" t="s">
        <v>3383</v>
      </c>
      <c r="C1200" s="254" t="s">
        <v>968</v>
      </c>
      <c r="D1200" s="252" t="s">
        <v>3384</v>
      </c>
      <c r="E1200" s="252" t="s">
        <v>1021</v>
      </c>
      <c r="F1200" s="252" t="s">
        <v>889</v>
      </c>
      <c r="G1200" s="255"/>
    </row>
    <row r="1201" spans="1:7" s="108" customFormat="1" ht="14.1" customHeight="1">
      <c r="A1201" s="251" t="s">
        <v>961</v>
      </c>
      <c r="B1201" s="252" t="s">
        <v>3241</v>
      </c>
      <c r="C1201" s="254" t="s">
        <v>917</v>
      </c>
      <c r="D1201" s="252" t="s">
        <v>963</v>
      </c>
      <c r="E1201" s="252" t="s">
        <v>918</v>
      </c>
      <c r="F1201" s="252" t="s">
        <v>889</v>
      </c>
      <c r="G1201" s="255">
        <v>5.0650000000000004</v>
      </c>
    </row>
    <row r="1202" spans="1:7" s="108" customFormat="1" ht="14.1" customHeight="1">
      <c r="A1202" s="251" t="s">
        <v>961</v>
      </c>
      <c r="B1202" s="252" t="s">
        <v>3241</v>
      </c>
      <c r="C1202" s="254" t="s">
        <v>917</v>
      </c>
      <c r="D1202" s="252" t="s">
        <v>963</v>
      </c>
      <c r="E1202" s="252" t="s">
        <v>918</v>
      </c>
      <c r="F1202" s="252" t="s">
        <v>889</v>
      </c>
      <c r="G1202" s="255">
        <v>12.487</v>
      </c>
    </row>
    <row r="1203" spans="1:7" s="108" customFormat="1" ht="14.1" customHeight="1">
      <c r="A1203" s="251" t="s">
        <v>961</v>
      </c>
      <c r="B1203" s="252" t="s">
        <v>3385</v>
      </c>
      <c r="C1203" s="254" t="s">
        <v>917</v>
      </c>
      <c r="D1203" s="252" t="s">
        <v>962</v>
      </c>
      <c r="E1203" s="252" t="s">
        <v>929</v>
      </c>
      <c r="F1203" s="252" t="s">
        <v>913</v>
      </c>
      <c r="G1203" s="255">
        <v>7</v>
      </c>
    </row>
    <row r="1204" spans="1:7" s="108" customFormat="1" ht="14.1" customHeight="1">
      <c r="A1204" s="251" t="s">
        <v>961</v>
      </c>
      <c r="B1204" s="252" t="s">
        <v>3385</v>
      </c>
      <c r="C1204" s="254" t="s">
        <v>917</v>
      </c>
      <c r="D1204" s="252" t="s">
        <v>962</v>
      </c>
      <c r="E1204" s="252" t="s">
        <v>929</v>
      </c>
      <c r="F1204" s="252" t="s">
        <v>889</v>
      </c>
      <c r="G1204" s="255">
        <v>1</v>
      </c>
    </row>
    <row r="1205" spans="1:7" s="108" customFormat="1" ht="14.1" customHeight="1">
      <c r="A1205" s="251" t="s">
        <v>961</v>
      </c>
      <c r="B1205" s="252" t="s">
        <v>3385</v>
      </c>
      <c r="C1205" s="254" t="s">
        <v>917</v>
      </c>
      <c r="D1205" s="252" t="s">
        <v>962</v>
      </c>
      <c r="E1205" s="252" t="s">
        <v>929</v>
      </c>
      <c r="F1205" s="252" t="s">
        <v>889</v>
      </c>
      <c r="G1205" s="255">
        <v>1</v>
      </c>
    </row>
    <row r="1206" spans="1:7" s="108" customFormat="1" ht="14.1" customHeight="1">
      <c r="A1206" s="251" t="s">
        <v>961</v>
      </c>
      <c r="B1206" s="252" t="s">
        <v>3386</v>
      </c>
      <c r="C1206" s="254" t="s">
        <v>894</v>
      </c>
      <c r="D1206" s="252" t="s">
        <v>933</v>
      </c>
      <c r="E1206" s="252" t="s">
        <v>918</v>
      </c>
      <c r="F1206" s="252" t="s">
        <v>892</v>
      </c>
      <c r="G1206" s="255"/>
    </row>
    <row r="1207" spans="1:7" s="108" customFormat="1" ht="14.1" customHeight="1">
      <c r="A1207" s="251" t="s">
        <v>961</v>
      </c>
      <c r="B1207" s="252" t="s">
        <v>3387</v>
      </c>
      <c r="C1207" s="254" t="s">
        <v>1020</v>
      </c>
      <c r="D1207" s="252" t="s">
        <v>921</v>
      </c>
      <c r="E1207" s="252" t="s">
        <v>888</v>
      </c>
      <c r="F1207" s="252" t="s">
        <v>892</v>
      </c>
      <c r="G1207" s="255">
        <v>1238.578</v>
      </c>
    </row>
    <row r="1208" spans="1:7" s="108" customFormat="1" ht="14.1" customHeight="1">
      <c r="A1208" s="251" t="s">
        <v>1200</v>
      </c>
      <c r="B1208" s="252" t="s">
        <v>3388</v>
      </c>
      <c r="C1208" s="254" t="s">
        <v>968</v>
      </c>
      <c r="D1208" s="252" t="s">
        <v>2409</v>
      </c>
      <c r="E1208" s="252" t="s">
        <v>907</v>
      </c>
      <c r="F1208" s="252" t="s">
        <v>889</v>
      </c>
      <c r="G1208" s="255"/>
    </row>
    <row r="1209" spans="1:7" s="108" customFormat="1" ht="14.1" customHeight="1">
      <c r="A1209" s="251" t="s">
        <v>1200</v>
      </c>
      <c r="B1209" s="252" t="s">
        <v>3389</v>
      </c>
      <c r="C1209" s="254" t="s">
        <v>968</v>
      </c>
      <c r="D1209" s="252" t="s">
        <v>1203</v>
      </c>
      <c r="E1209" s="252" t="s">
        <v>888</v>
      </c>
      <c r="F1209" s="252" t="s">
        <v>889</v>
      </c>
      <c r="G1209" s="255">
        <v>4.9720000000000004</v>
      </c>
    </row>
    <row r="1210" spans="1:7" s="108" customFormat="1" ht="14.1" customHeight="1">
      <c r="A1210" s="251" t="s">
        <v>1200</v>
      </c>
      <c r="B1210" s="252" t="s">
        <v>3390</v>
      </c>
      <c r="C1210" s="254" t="s">
        <v>968</v>
      </c>
      <c r="D1210" s="252" t="s">
        <v>2353</v>
      </c>
      <c r="E1210" s="252" t="s">
        <v>895</v>
      </c>
      <c r="F1210" s="252" t="s">
        <v>889</v>
      </c>
      <c r="G1210" s="255"/>
    </row>
    <row r="1211" spans="1:7" s="108" customFormat="1" ht="14.1" customHeight="1">
      <c r="A1211" s="251" t="s">
        <v>1200</v>
      </c>
      <c r="B1211" s="252" t="s">
        <v>3391</v>
      </c>
      <c r="C1211" s="254" t="s">
        <v>968</v>
      </c>
      <c r="D1211" s="252" t="s">
        <v>3392</v>
      </c>
      <c r="E1211" s="252" t="s">
        <v>907</v>
      </c>
      <c r="F1211" s="252" t="s">
        <v>889</v>
      </c>
      <c r="G1211" s="255"/>
    </row>
    <row r="1212" spans="1:7" s="108" customFormat="1" ht="14.1" customHeight="1">
      <c r="A1212" s="251" t="s">
        <v>1200</v>
      </c>
      <c r="B1212" s="252" t="s">
        <v>3393</v>
      </c>
      <c r="C1212" s="254" t="s">
        <v>968</v>
      </c>
      <c r="D1212" s="252" t="s">
        <v>3394</v>
      </c>
      <c r="E1212" s="252" t="s">
        <v>888</v>
      </c>
      <c r="F1212" s="252" t="s">
        <v>889</v>
      </c>
      <c r="G1212" s="255"/>
    </row>
    <row r="1213" spans="1:7" s="108" customFormat="1" ht="14.1" customHeight="1">
      <c r="A1213" s="251" t="s">
        <v>1200</v>
      </c>
      <c r="B1213" s="252" t="s">
        <v>3395</v>
      </c>
      <c r="C1213" s="254" t="s">
        <v>968</v>
      </c>
      <c r="D1213" s="252" t="s">
        <v>3396</v>
      </c>
      <c r="E1213" s="252" t="s">
        <v>888</v>
      </c>
      <c r="F1213" s="252" t="s">
        <v>889</v>
      </c>
      <c r="G1213" s="255"/>
    </row>
    <row r="1214" spans="1:7" s="108" customFormat="1" ht="14.1" customHeight="1">
      <c r="A1214" s="251" t="s">
        <v>1200</v>
      </c>
      <c r="B1214" s="252" t="s">
        <v>3397</v>
      </c>
      <c r="C1214" s="254" t="s">
        <v>968</v>
      </c>
      <c r="D1214" s="252" t="s">
        <v>886</v>
      </c>
      <c r="E1214" s="252" t="s">
        <v>888</v>
      </c>
      <c r="F1214" s="252" t="s">
        <v>889</v>
      </c>
      <c r="G1214" s="255">
        <v>9.83</v>
      </c>
    </row>
    <row r="1215" spans="1:7" s="108" customFormat="1" ht="14.1" customHeight="1">
      <c r="A1215" s="251" t="s">
        <v>1200</v>
      </c>
      <c r="B1215" s="252" t="s">
        <v>3398</v>
      </c>
      <c r="C1215" s="254" t="s">
        <v>968</v>
      </c>
      <c r="D1215" s="252" t="s">
        <v>2805</v>
      </c>
      <c r="E1215" s="252" t="s">
        <v>895</v>
      </c>
      <c r="F1215" s="252" t="s">
        <v>889</v>
      </c>
      <c r="G1215" s="255"/>
    </row>
    <row r="1216" spans="1:7" s="108" customFormat="1" ht="14.1" customHeight="1">
      <c r="A1216" s="251" t="s">
        <v>1200</v>
      </c>
      <c r="B1216" s="252" t="s">
        <v>3399</v>
      </c>
      <c r="C1216" s="254" t="s">
        <v>968</v>
      </c>
      <c r="D1216" s="252" t="s">
        <v>1206</v>
      </c>
      <c r="E1216" s="252" t="s">
        <v>959</v>
      </c>
      <c r="F1216" s="252" t="s">
        <v>889</v>
      </c>
      <c r="G1216" s="255"/>
    </row>
    <row r="1217" spans="1:7" s="108" customFormat="1" ht="14.1" customHeight="1">
      <c r="A1217" s="251" t="s">
        <v>1200</v>
      </c>
      <c r="B1217" s="252" t="s">
        <v>3400</v>
      </c>
      <c r="C1217" s="254" t="s">
        <v>968</v>
      </c>
      <c r="D1217" s="252" t="s">
        <v>886</v>
      </c>
      <c r="E1217" s="252" t="s">
        <v>1157</v>
      </c>
      <c r="F1217" s="252" t="s">
        <v>889</v>
      </c>
      <c r="G1217" s="255">
        <v>1.2</v>
      </c>
    </row>
    <row r="1218" spans="1:7" s="108" customFormat="1" ht="14.1" customHeight="1">
      <c r="A1218" s="251" t="s">
        <v>1200</v>
      </c>
      <c r="B1218" s="252" t="s">
        <v>3401</v>
      </c>
      <c r="C1218" s="254" t="s">
        <v>944</v>
      </c>
      <c r="D1218" s="252" t="s">
        <v>3402</v>
      </c>
      <c r="E1218" s="252" t="s">
        <v>918</v>
      </c>
      <c r="F1218" s="252" t="s">
        <v>889</v>
      </c>
      <c r="G1218" s="255"/>
    </row>
    <row r="1219" spans="1:7" s="108" customFormat="1" ht="14.1" customHeight="1">
      <c r="A1219" s="251" t="s">
        <v>1200</v>
      </c>
      <c r="B1219" s="252" t="s">
        <v>3403</v>
      </c>
      <c r="C1219" s="254" t="s">
        <v>944</v>
      </c>
      <c r="D1219" s="252" t="s">
        <v>2728</v>
      </c>
      <c r="E1219" s="252" t="s">
        <v>939</v>
      </c>
      <c r="F1219" s="252" t="s">
        <v>889</v>
      </c>
      <c r="G1219" s="255"/>
    </row>
    <row r="1220" spans="1:7" s="108" customFormat="1" ht="14.1" customHeight="1">
      <c r="A1220" s="251" t="s">
        <v>1200</v>
      </c>
      <c r="B1220" s="252" t="s">
        <v>3404</v>
      </c>
      <c r="C1220" s="254" t="s">
        <v>944</v>
      </c>
      <c r="D1220" s="252" t="s">
        <v>3405</v>
      </c>
      <c r="E1220" s="252" t="s">
        <v>959</v>
      </c>
      <c r="F1220" s="252" t="s">
        <v>889</v>
      </c>
      <c r="G1220" s="255"/>
    </row>
    <row r="1221" spans="1:7" s="108" customFormat="1" ht="14.1" customHeight="1">
      <c r="A1221" s="251" t="s">
        <v>1200</v>
      </c>
      <c r="B1221" s="252" t="s">
        <v>3406</v>
      </c>
      <c r="C1221" s="254" t="s">
        <v>1466</v>
      </c>
      <c r="D1221" s="252" t="s">
        <v>2968</v>
      </c>
      <c r="E1221" s="252" t="s">
        <v>907</v>
      </c>
      <c r="F1221" s="252" t="s">
        <v>889</v>
      </c>
      <c r="G1221" s="255"/>
    </row>
    <row r="1222" spans="1:7" s="108" customFormat="1" ht="14.1" customHeight="1">
      <c r="A1222" s="251" t="s">
        <v>1200</v>
      </c>
      <c r="B1222" s="252" t="s">
        <v>3407</v>
      </c>
      <c r="C1222" s="254" t="s">
        <v>1466</v>
      </c>
      <c r="D1222" s="252" t="s">
        <v>2968</v>
      </c>
      <c r="E1222" s="252" t="s">
        <v>907</v>
      </c>
      <c r="F1222" s="252" t="s">
        <v>889</v>
      </c>
      <c r="G1222" s="255"/>
    </row>
    <row r="1223" spans="1:7" s="108" customFormat="1" ht="14.1" customHeight="1">
      <c r="A1223" s="251" t="s">
        <v>1200</v>
      </c>
      <c r="B1223" s="252" t="s">
        <v>1758</v>
      </c>
      <c r="C1223" s="254" t="s">
        <v>1032</v>
      </c>
      <c r="D1223" s="252" t="s">
        <v>1031</v>
      </c>
      <c r="E1223" s="252" t="s">
        <v>1033</v>
      </c>
      <c r="F1223" s="252" t="s">
        <v>892</v>
      </c>
      <c r="G1223" s="255">
        <v>11.395</v>
      </c>
    </row>
    <row r="1224" spans="1:7" s="108" customFormat="1" ht="14.1" customHeight="1">
      <c r="A1224" s="251" t="s">
        <v>1200</v>
      </c>
      <c r="B1224" s="252" t="s">
        <v>3408</v>
      </c>
      <c r="C1224" s="254" t="s">
        <v>1833</v>
      </c>
      <c r="D1224" s="252" t="s">
        <v>2404</v>
      </c>
      <c r="E1224" s="252" t="s">
        <v>888</v>
      </c>
      <c r="F1224" s="252" t="s">
        <v>889</v>
      </c>
      <c r="G1224" s="255"/>
    </row>
    <row r="1225" spans="1:7" s="108" customFormat="1" ht="14.1" customHeight="1">
      <c r="A1225" s="251" t="s">
        <v>1200</v>
      </c>
      <c r="B1225" s="252" t="s">
        <v>1938</v>
      </c>
      <c r="C1225" s="254" t="s">
        <v>1150</v>
      </c>
      <c r="D1225" s="252" t="s">
        <v>2523</v>
      </c>
      <c r="E1225" s="252" t="s">
        <v>1024</v>
      </c>
      <c r="F1225" s="252" t="s">
        <v>889</v>
      </c>
      <c r="G1225" s="255"/>
    </row>
    <row r="1226" spans="1:7" s="108" customFormat="1" ht="14.1" customHeight="1">
      <c r="A1226" s="251" t="s">
        <v>1200</v>
      </c>
      <c r="B1226" s="252" t="s">
        <v>3409</v>
      </c>
      <c r="C1226" s="254" t="s">
        <v>1150</v>
      </c>
      <c r="D1226" s="252" t="s">
        <v>1353</v>
      </c>
      <c r="E1226" s="252" t="s">
        <v>907</v>
      </c>
      <c r="F1226" s="252" t="s">
        <v>889</v>
      </c>
      <c r="G1226" s="255"/>
    </row>
    <row r="1227" spans="1:7" s="108" customFormat="1" ht="14.1" customHeight="1">
      <c r="A1227" s="251" t="s">
        <v>1200</v>
      </c>
      <c r="B1227" s="252" t="s">
        <v>3410</v>
      </c>
      <c r="C1227" s="254" t="s">
        <v>887</v>
      </c>
      <c r="D1227" s="252" t="s">
        <v>1206</v>
      </c>
      <c r="E1227" s="252" t="s">
        <v>959</v>
      </c>
      <c r="F1227" s="252" t="s">
        <v>889</v>
      </c>
      <c r="G1227" s="255">
        <v>41.143000000000001</v>
      </c>
    </row>
    <row r="1228" spans="1:7" s="108" customFormat="1" ht="14.1" customHeight="1">
      <c r="A1228" s="251" t="s">
        <v>1200</v>
      </c>
      <c r="B1228" s="252" t="s">
        <v>3411</v>
      </c>
      <c r="C1228" s="254" t="s">
        <v>890</v>
      </c>
      <c r="D1228" s="252" t="s">
        <v>1205</v>
      </c>
      <c r="E1228" s="252" t="s">
        <v>918</v>
      </c>
      <c r="F1228" s="252" t="s">
        <v>889</v>
      </c>
      <c r="G1228" s="255">
        <v>11.987</v>
      </c>
    </row>
    <row r="1229" spans="1:7" s="108" customFormat="1" ht="14.1" customHeight="1">
      <c r="A1229" s="251" t="s">
        <v>1200</v>
      </c>
      <c r="B1229" s="252" t="s">
        <v>3412</v>
      </c>
      <c r="C1229" s="254" t="s">
        <v>1202</v>
      </c>
      <c r="D1229" s="252" t="s">
        <v>3413</v>
      </c>
      <c r="E1229" s="252" t="s">
        <v>1136</v>
      </c>
      <c r="F1229" s="252" t="s">
        <v>889</v>
      </c>
      <c r="G1229" s="255"/>
    </row>
    <row r="1230" spans="1:7" s="108" customFormat="1" ht="14.1" customHeight="1">
      <c r="A1230" s="251" t="s">
        <v>1200</v>
      </c>
      <c r="B1230" s="252" t="s">
        <v>3414</v>
      </c>
      <c r="C1230" s="254" t="s">
        <v>917</v>
      </c>
      <c r="D1230" s="252" t="s">
        <v>886</v>
      </c>
      <c r="E1230" s="252" t="s">
        <v>954</v>
      </c>
      <c r="F1230" s="252" t="s">
        <v>889</v>
      </c>
      <c r="G1230" s="255"/>
    </row>
    <row r="1231" spans="1:7" s="108" customFormat="1" ht="14.1" customHeight="1">
      <c r="A1231" s="251" t="s">
        <v>1200</v>
      </c>
      <c r="B1231" s="252" t="s">
        <v>3415</v>
      </c>
      <c r="C1231" s="254" t="s">
        <v>917</v>
      </c>
      <c r="D1231" s="252" t="s">
        <v>3416</v>
      </c>
      <c r="E1231" s="252" t="s">
        <v>1026</v>
      </c>
      <c r="F1231" s="252" t="s">
        <v>892</v>
      </c>
      <c r="G1231" s="255"/>
    </row>
    <row r="1232" spans="1:7" s="108" customFormat="1" ht="14.1" customHeight="1">
      <c r="A1232" s="251" t="s">
        <v>1200</v>
      </c>
      <c r="B1232" s="252" t="s">
        <v>2522</v>
      </c>
      <c r="C1232" s="254" t="s">
        <v>917</v>
      </c>
      <c r="D1232" s="252" t="s">
        <v>2523</v>
      </c>
      <c r="E1232" s="252" t="s">
        <v>1024</v>
      </c>
      <c r="F1232" s="252" t="s">
        <v>892</v>
      </c>
      <c r="G1232" s="255"/>
    </row>
    <row r="1233" spans="1:7" s="108" customFormat="1" ht="14.1" customHeight="1">
      <c r="A1233" s="251" t="s">
        <v>1200</v>
      </c>
      <c r="B1233" s="252" t="s">
        <v>3417</v>
      </c>
      <c r="C1233" s="254" t="s">
        <v>917</v>
      </c>
      <c r="D1233" s="252" t="s">
        <v>1376</v>
      </c>
      <c r="E1233" s="252" t="s">
        <v>918</v>
      </c>
      <c r="F1233" s="252" t="s">
        <v>892</v>
      </c>
      <c r="G1233" s="255"/>
    </row>
    <row r="1234" spans="1:7" s="108" customFormat="1" ht="14.1" customHeight="1">
      <c r="A1234" s="251" t="s">
        <v>1200</v>
      </c>
      <c r="B1234" s="252" t="s">
        <v>3418</v>
      </c>
      <c r="C1234" s="254" t="s">
        <v>917</v>
      </c>
      <c r="D1234" s="252" t="s">
        <v>3419</v>
      </c>
      <c r="E1234" s="252" t="s">
        <v>888</v>
      </c>
      <c r="F1234" s="252" t="s">
        <v>892</v>
      </c>
      <c r="G1234" s="255"/>
    </row>
    <row r="1235" spans="1:7" s="108" customFormat="1" ht="14.1" customHeight="1">
      <c r="A1235" s="251" t="s">
        <v>1200</v>
      </c>
      <c r="B1235" s="252" t="s">
        <v>3420</v>
      </c>
      <c r="C1235" s="254" t="s">
        <v>1023</v>
      </c>
      <c r="D1235" s="252" t="s">
        <v>1780</v>
      </c>
      <c r="E1235" s="252" t="s">
        <v>907</v>
      </c>
      <c r="F1235" s="252" t="s">
        <v>889</v>
      </c>
      <c r="G1235" s="255"/>
    </row>
    <row r="1236" spans="1:7" s="108" customFormat="1" ht="14.1" customHeight="1">
      <c r="A1236" s="251" t="s">
        <v>1200</v>
      </c>
      <c r="B1236" s="252" t="s">
        <v>3421</v>
      </c>
      <c r="C1236" s="254" t="s">
        <v>894</v>
      </c>
      <c r="D1236" s="252" t="s">
        <v>3416</v>
      </c>
      <c r="E1236" s="252" t="s">
        <v>1026</v>
      </c>
      <c r="F1236" s="252" t="s">
        <v>892</v>
      </c>
      <c r="G1236" s="255"/>
    </row>
    <row r="1237" spans="1:7" s="108" customFormat="1" ht="14.1" customHeight="1">
      <c r="A1237" s="251" t="s">
        <v>1200</v>
      </c>
      <c r="B1237" s="252" t="s">
        <v>3422</v>
      </c>
      <c r="C1237" s="254" t="s">
        <v>1135</v>
      </c>
      <c r="D1237" s="252" t="s">
        <v>1207</v>
      </c>
      <c r="E1237" s="252" t="s">
        <v>891</v>
      </c>
      <c r="F1237" s="252" t="s">
        <v>889</v>
      </c>
      <c r="G1237" s="255"/>
    </row>
    <row r="1238" spans="1:7" s="108" customFormat="1" ht="14.1" customHeight="1">
      <c r="A1238" s="251" t="s">
        <v>1200</v>
      </c>
      <c r="B1238" s="252" t="s">
        <v>3423</v>
      </c>
      <c r="C1238" s="254" t="s">
        <v>1135</v>
      </c>
      <c r="D1238" s="252" t="s">
        <v>1207</v>
      </c>
      <c r="E1238" s="252" t="s">
        <v>891</v>
      </c>
      <c r="F1238" s="252" t="s">
        <v>889</v>
      </c>
      <c r="G1238" s="255">
        <v>203.31899999999999</v>
      </c>
    </row>
    <row r="1239" spans="1:7" s="108" customFormat="1" ht="14.1" customHeight="1">
      <c r="A1239" s="251" t="s">
        <v>1200</v>
      </c>
      <c r="B1239" s="252" t="s">
        <v>3424</v>
      </c>
      <c r="C1239" s="254" t="s">
        <v>1135</v>
      </c>
      <c r="D1239" s="252" t="s">
        <v>1204</v>
      </c>
      <c r="E1239" s="252" t="s">
        <v>918</v>
      </c>
      <c r="F1239" s="252" t="s">
        <v>889</v>
      </c>
      <c r="G1239" s="255">
        <v>10.25</v>
      </c>
    </row>
    <row r="1240" spans="1:7" s="108" customFormat="1" ht="14.1" customHeight="1">
      <c r="A1240" s="251" t="s">
        <v>1200</v>
      </c>
      <c r="B1240" s="252" t="s">
        <v>3425</v>
      </c>
      <c r="C1240" s="254" t="s">
        <v>1080</v>
      </c>
      <c r="D1240" s="252" t="s">
        <v>886</v>
      </c>
      <c r="E1240" s="252" t="s">
        <v>895</v>
      </c>
      <c r="F1240" s="252" t="s">
        <v>889</v>
      </c>
      <c r="G1240" s="255"/>
    </row>
    <row r="1241" spans="1:7" s="108" customFormat="1" ht="14.1" customHeight="1">
      <c r="A1241" s="251" t="s">
        <v>1200</v>
      </c>
      <c r="B1241" s="252" t="s">
        <v>3426</v>
      </c>
      <c r="C1241" s="254" t="s">
        <v>1246</v>
      </c>
      <c r="D1241" s="252" t="s">
        <v>3427</v>
      </c>
      <c r="E1241" s="252" t="s">
        <v>929</v>
      </c>
      <c r="F1241" s="252" t="s">
        <v>889</v>
      </c>
      <c r="G1241" s="255"/>
    </row>
    <row r="1242" spans="1:7" s="108" customFormat="1" ht="14.1" customHeight="1">
      <c r="A1242" s="251" t="s">
        <v>1200</v>
      </c>
      <c r="B1242" s="252" t="s">
        <v>3428</v>
      </c>
      <c r="C1242" s="254" t="s">
        <v>1110</v>
      </c>
      <c r="D1242" s="252" t="s">
        <v>3004</v>
      </c>
      <c r="E1242" s="252" t="s">
        <v>907</v>
      </c>
      <c r="F1242" s="252" t="s">
        <v>889</v>
      </c>
      <c r="G1242" s="255"/>
    </row>
    <row r="1243" spans="1:7" s="108" customFormat="1" ht="14.1" customHeight="1">
      <c r="A1243" s="251" t="s">
        <v>1200</v>
      </c>
      <c r="B1243" s="252" t="s">
        <v>3429</v>
      </c>
      <c r="C1243" s="254" t="s">
        <v>1068</v>
      </c>
      <c r="D1243" s="252" t="s">
        <v>3416</v>
      </c>
      <c r="E1243" s="252" t="s">
        <v>1026</v>
      </c>
      <c r="F1243" s="252" t="s">
        <v>892</v>
      </c>
      <c r="G1243" s="255"/>
    </row>
    <row r="1244" spans="1:7" s="108" customFormat="1" ht="14.1" customHeight="1">
      <c r="A1244" s="251" t="s">
        <v>1200</v>
      </c>
      <c r="B1244" s="252" t="s">
        <v>3430</v>
      </c>
      <c r="C1244" s="254" t="s">
        <v>1068</v>
      </c>
      <c r="D1244" s="252" t="s">
        <v>1201</v>
      </c>
      <c r="E1244" s="252" t="s">
        <v>1119</v>
      </c>
      <c r="F1244" s="252" t="s">
        <v>889</v>
      </c>
      <c r="G1244" s="255">
        <v>1</v>
      </c>
    </row>
    <row r="1245" spans="1:7" s="108" customFormat="1" ht="14.1" customHeight="1">
      <c r="A1245" s="251" t="s">
        <v>1200</v>
      </c>
      <c r="B1245" s="252" t="s">
        <v>3431</v>
      </c>
      <c r="C1245" s="254" t="s">
        <v>1164</v>
      </c>
      <c r="D1245" s="252" t="s">
        <v>1780</v>
      </c>
      <c r="E1245" s="252" t="s">
        <v>907</v>
      </c>
      <c r="F1245" s="252" t="s">
        <v>889</v>
      </c>
      <c r="G1245" s="255"/>
    </row>
    <row r="1246" spans="1:7" s="108" customFormat="1" ht="14.1" customHeight="1">
      <c r="A1246" s="251" t="s">
        <v>1200</v>
      </c>
      <c r="B1246" s="252" t="s">
        <v>3432</v>
      </c>
      <c r="C1246" s="254" t="s">
        <v>1164</v>
      </c>
      <c r="D1246" s="252" t="s">
        <v>3433</v>
      </c>
      <c r="E1246" s="252" t="s">
        <v>888</v>
      </c>
      <c r="F1246" s="252" t="s">
        <v>889</v>
      </c>
      <c r="G1246" s="255"/>
    </row>
    <row r="1247" spans="1:7" s="108" customFormat="1" ht="14.1" customHeight="1">
      <c r="A1247" s="251" t="s">
        <v>1200</v>
      </c>
      <c r="B1247" s="252" t="s">
        <v>3434</v>
      </c>
      <c r="C1247" s="254" t="s">
        <v>1164</v>
      </c>
      <c r="D1247" s="252" t="s">
        <v>3435</v>
      </c>
      <c r="E1247" s="252" t="s">
        <v>888</v>
      </c>
      <c r="F1247" s="252" t="s">
        <v>892</v>
      </c>
      <c r="G1247" s="255"/>
    </row>
    <row r="1248" spans="1:7" s="108" customFormat="1" ht="14.1" customHeight="1">
      <c r="A1248" s="251" t="s">
        <v>1200</v>
      </c>
      <c r="B1248" s="252" t="s">
        <v>3436</v>
      </c>
      <c r="C1248" s="254" t="s">
        <v>1009</v>
      </c>
      <c r="D1248" s="252" t="s">
        <v>3437</v>
      </c>
      <c r="E1248" s="252" t="s">
        <v>939</v>
      </c>
      <c r="F1248" s="252" t="s">
        <v>889</v>
      </c>
      <c r="G1248" s="255"/>
    </row>
    <row r="1249" spans="1:7" s="108" customFormat="1" ht="14.1" customHeight="1">
      <c r="A1249" s="251" t="s">
        <v>1343</v>
      </c>
      <c r="B1249" s="252" t="s">
        <v>3438</v>
      </c>
      <c r="C1249" s="254" t="s">
        <v>968</v>
      </c>
      <c r="D1249" s="252" t="s">
        <v>3394</v>
      </c>
      <c r="E1249" s="252" t="s">
        <v>888</v>
      </c>
      <c r="F1249" s="252" t="s">
        <v>889</v>
      </c>
      <c r="G1249" s="255"/>
    </row>
    <row r="1250" spans="1:7" s="108" customFormat="1" ht="14.1" customHeight="1">
      <c r="A1250" s="251" t="s">
        <v>1343</v>
      </c>
      <c r="B1250" s="252" t="s">
        <v>2878</v>
      </c>
      <c r="C1250" s="254" t="s">
        <v>968</v>
      </c>
      <c r="D1250" s="252" t="s">
        <v>993</v>
      </c>
      <c r="E1250" s="252" t="s">
        <v>929</v>
      </c>
      <c r="F1250" s="252" t="s">
        <v>889</v>
      </c>
      <c r="G1250" s="255">
        <v>15.038</v>
      </c>
    </row>
    <row r="1251" spans="1:7" s="108" customFormat="1" ht="14.1" customHeight="1">
      <c r="A1251" s="251" t="s">
        <v>1343</v>
      </c>
      <c r="B1251" s="252" t="s">
        <v>3439</v>
      </c>
      <c r="C1251" s="254" t="s">
        <v>1088</v>
      </c>
      <c r="D1251" s="252" t="s">
        <v>3440</v>
      </c>
      <c r="E1251" s="252" t="s">
        <v>888</v>
      </c>
      <c r="F1251" s="252" t="s">
        <v>889</v>
      </c>
      <c r="G1251" s="255"/>
    </row>
    <row r="1252" spans="1:7" s="108" customFormat="1" ht="14.1" customHeight="1">
      <c r="A1252" s="251" t="s">
        <v>1343</v>
      </c>
      <c r="B1252" s="252" t="s">
        <v>3441</v>
      </c>
      <c r="C1252" s="254" t="s">
        <v>906</v>
      </c>
      <c r="D1252" s="252" t="s">
        <v>1344</v>
      </c>
      <c r="E1252" s="252" t="s">
        <v>945</v>
      </c>
      <c r="F1252" s="252" t="s">
        <v>889</v>
      </c>
      <c r="G1252" s="255">
        <v>3</v>
      </c>
    </row>
    <row r="1253" spans="1:7" s="108" customFormat="1" ht="14.1" customHeight="1">
      <c r="A1253" s="251" t="s">
        <v>1343</v>
      </c>
      <c r="B1253" s="252" t="s">
        <v>3442</v>
      </c>
      <c r="C1253" s="254" t="s">
        <v>887</v>
      </c>
      <c r="D1253" s="252" t="s">
        <v>1038</v>
      </c>
      <c r="E1253" s="252" t="s">
        <v>888</v>
      </c>
      <c r="F1253" s="252" t="s">
        <v>889</v>
      </c>
      <c r="G1253" s="255">
        <v>140</v>
      </c>
    </row>
    <row r="1254" spans="1:7" s="108" customFormat="1" ht="14.1" customHeight="1">
      <c r="A1254" s="251" t="s">
        <v>1343</v>
      </c>
      <c r="B1254" s="252" t="s">
        <v>3443</v>
      </c>
      <c r="C1254" s="254" t="s">
        <v>2142</v>
      </c>
      <c r="D1254" s="252" t="s">
        <v>3444</v>
      </c>
      <c r="E1254" s="252" t="s">
        <v>939</v>
      </c>
      <c r="F1254" s="252" t="s">
        <v>889</v>
      </c>
      <c r="G1254" s="255"/>
    </row>
    <row r="1255" spans="1:7" s="108" customFormat="1" ht="14.1" customHeight="1">
      <c r="A1255" s="251" t="s">
        <v>1343</v>
      </c>
      <c r="B1255" s="252" t="s">
        <v>3445</v>
      </c>
      <c r="C1255" s="254" t="s">
        <v>1018</v>
      </c>
      <c r="D1255" s="252" t="s">
        <v>1780</v>
      </c>
      <c r="E1255" s="252" t="s">
        <v>907</v>
      </c>
      <c r="F1255" s="252" t="s">
        <v>889</v>
      </c>
      <c r="G1255" s="255"/>
    </row>
    <row r="1256" spans="1:7" s="108" customFormat="1" ht="14.1" customHeight="1">
      <c r="A1256" s="251" t="s">
        <v>1343</v>
      </c>
      <c r="B1256" s="252" t="s">
        <v>3446</v>
      </c>
      <c r="C1256" s="254" t="s">
        <v>1071</v>
      </c>
      <c r="D1256" s="252" t="s">
        <v>1073</v>
      </c>
      <c r="E1256" s="252" t="s">
        <v>888</v>
      </c>
      <c r="F1256" s="252" t="s">
        <v>889</v>
      </c>
      <c r="G1256" s="255"/>
    </row>
    <row r="1257" spans="1:7" s="108" customFormat="1" ht="14.1" customHeight="1">
      <c r="A1257" s="251" t="s">
        <v>1343</v>
      </c>
      <c r="B1257" s="252" t="s">
        <v>3447</v>
      </c>
      <c r="C1257" s="254" t="s">
        <v>1799</v>
      </c>
      <c r="D1257" s="252" t="s">
        <v>3448</v>
      </c>
      <c r="E1257" s="252" t="s">
        <v>984</v>
      </c>
      <c r="F1257" s="252" t="s">
        <v>889</v>
      </c>
      <c r="G1257" s="255"/>
    </row>
    <row r="1258" spans="1:7" s="108" customFormat="1" ht="14.1" customHeight="1">
      <c r="A1258" s="251" t="s">
        <v>1343</v>
      </c>
      <c r="B1258" s="252" t="s">
        <v>3449</v>
      </c>
      <c r="C1258" s="254" t="s">
        <v>1000</v>
      </c>
      <c r="D1258" s="252" t="s">
        <v>1346</v>
      </c>
      <c r="E1258" s="252" t="s">
        <v>939</v>
      </c>
      <c r="F1258" s="252" t="s">
        <v>889</v>
      </c>
      <c r="G1258" s="255">
        <v>1032.7919999999999</v>
      </c>
    </row>
    <row r="1259" spans="1:7" s="108" customFormat="1" ht="14.1" customHeight="1">
      <c r="A1259" s="251" t="s">
        <v>1415</v>
      </c>
      <c r="B1259" s="252" t="s">
        <v>3450</v>
      </c>
      <c r="C1259" s="254" t="s">
        <v>947</v>
      </c>
      <c r="D1259" s="252" t="s">
        <v>3451</v>
      </c>
      <c r="E1259" s="252" t="s">
        <v>888</v>
      </c>
      <c r="F1259" s="252" t="s">
        <v>889</v>
      </c>
      <c r="G1259" s="255"/>
    </row>
    <row r="1260" spans="1:7" s="108" customFormat="1" ht="14.1" customHeight="1">
      <c r="A1260" s="251" t="s">
        <v>1415</v>
      </c>
      <c r="B1260" s="252" t="s">
        <v>3452</v>
      </c>
      <c r="C1260" s="254" t="s">
        <v>968</v>
      </c>
      <c r="D1260" s="252" t="s">
        <v>1421</v>
      </c>
      <c r="E1260" s="252" t="s">
        <v>888</v>
      </c>
      <c r="F1260" s="252" t="s">
        <v>889</v>
      </c>
      <c r="G1260" s="255"/>
    </row>
    <row r="1261" spans="1:7" s="108" customFormat="1" ht="14.1" customHeight="1">
      <c r="A1261" s="251" t="s">
        <v>1415</v>
      </c>
      <c r="B1261" s="252" t="s">
        <v>3452</v>
      </c>
      <c r="C1261" s="254" t="s">
        <v>968</v>
      </c>
      <c r="D1261" s="252" t="s">
        <v>1421</v>
      </c>
      <c r="E1261" s="252" t="s">
        <v>888</v>
      </c>
      <c r="F1261" s="252" t="s">
        <v>889</v>
      </c>
      <c r="G1261" s="255">
        <v>47.27</v>
      </c>
    </row>
    <row r="1262" spans="1:7" s="108" customFormat="1" ht="14.1" customHeight="1">
      <c r="A1262" s="251" t="s">
        <v>1415</v>
      </c>
      <c r="B1262" s="252" t="s">
        <v>3452</v>
      </c>
      <c r="C1262" s="254" t="s">
        <v>968</v>
      </c>
      <c r="D1262" s="252" t="s">
        <v>1421</v>
      </c>
      <c r="E1262" s="252" t="s">
        <v>888</v>
      </c>
      <c r="F1262" s="252" t="s">
        <v>889</v>
      </c>
      <c r="G1262" s="255"/>
    </row>
    <row r="1263" spans="1:7" s="108" customFormat="1" ht="14.1" customHeight="1">
      <c r="A1263" s="251" t="s">
        <v>1415</v>
      </c>
      <c r="B1263" s="252" t="s">
        <v>3453</v>
      </c>
      <c r="C1263" s="254" t="s">
        <v>968</v>
      </c>
      <c r="D1263" s="252" t="s">
        <v>1416</v>
      </c>
      <c r="E1263" s="252" t="s">
        <v>918</v>
      </c>
      <c r="F1263" s="252" t="s">
        <v>931</v>
      </c>
      <c r="G1263" s="255">
        <v>1.639</v>
      </c>
    </row>
    <row r="1264" spans="1:7" s="108" customFormat="1" ht="14.1" customHeight="1">
      <c r="A1264" s="251" t="s">
        <v>1415</v>
      </c>
      <c r="B1264" s="252" t="s">
        <v>3454</v>
      </c>
      <c r="C1264" s="254" t="s">
        <v>968</v>
      </c>
      <c r="D1264" s="252" t="s">
        <v>1419</v>
      </c>
      <c r="E1264" s="252" t="s">
        <v>939</v>
      </c>
      <c r="F1264" s="252" t="s">
        <v>889</v>
      </c>
      <c r="G1264" s="255">
        <v>18.600000000000001</v>
      </c>
    </row>
    <row r="1265" spans="1:7" s="108" customFormat="1" ht="14.1" customHeight="1">
      <c r="A1265" s="251" t="s">
        <v>1415</v>
      </c>
      <c r="B1265" s="252" t="s">
        <v>3455</v>
      </c>
      <c r="C1265" s="254" t="s">
        <v>944</v>
      </c>
      <c r="D1265" s="252" t="s">
        <v>1417</v>
      </c>
      <c r="E1265" s="252" t="s">
        <v>945</v>
      </c>
      <c r="F1265" s="252" t="s">
        <v>889</v>
      </c>
      <c r="G1265" s="255">
        <v>0.51900000000000002</v>
      </c>
    </row>
    <row r="1266" spans="1:7" s="108" customFormat="1" ht="14.1" customHeight="1">
      <c r="A1266" s="251" t="s">
        <v>1415</v>
      </c>
      <c r="B1266" s="252" t="s">
        <v>3456</v>
      </c>
      <c r="C1266" s="254" t="s">
        <v>1088</v>
      </c>
      <c r="D1266" s="252" t="s">
        <v>886</v>
      </c>
      <c r="E1266" s="252" t="s">
        <v>918</v>
      </c>
      <c r="F1266" s="252" t="s">
        <v>889</v>
      </c>
      <c r="G1266" s="255">
        <v>1978.269</v>
      </c>
    </row>
    <row r="1267" spans="1:7" s="108" customFormat="1" ht="14.1" customHeight="1">
      <c r="A1267" s="251" t="s">
        <v>1415</v>
      </c>
      <c r="B1267" s="252" t="s">
        <v>3457</v>
      </c>
      <c r="C1267" s="254" t="s">
        <v>1032</v>
      </c>
      <c r="D1267" s="252" t="s">
        <v>3458</v>
      </c>
      <c r="E1267" s="252" t="s">
        <v>939</v>
      </c>
      <c r="F1267" s="252" t="s">
        <v>889</v>
      </c>
      <c r="G1267" s="255"/>
    </row>
    <row r="1268" spans="1:7" s="108" customFormat="1" ht="14.1" customHeight="1">
      <c r="A1268" s="251" t="s">
        <v>1415</v>
      </c>
      <c r="B1268" s="252" t="s">
        <v>3459</v>
      </c>
      <c r="C1268" s="254" t="s">
        <v>1833</v>
      </c>
      <c r="D1268" s="252" t="s">
        <v>3460</v>
      </c>
      <c r="E1268" s="252" t="s">
        <v>939</v>
      </c>
      <c r="F1268" s="252" t="s">
        <v>889</v>
      </c>
      <c r="G1268" s="255"/>
    </row>
    <row r="1269" spans="1:7" s="108" customFormat="1" ht="14.1" customHeight="1">
      <c r="A1269" s="251" t="s">
        <v>1415</v>
      </c>
      <c r="B1269" s="252" t="s">
        <v>3461</v>
      </c>
      <c r="C1269" s="254" t="s">
        <v>917</v>
      </c>
      <c r="D1269" s="252" t="s">
        <v>3462</v>
      </c>
      <c r="E1269" s="252" t="s">
        <v>918</v>
      </c>
      <c r="F1269" s="252" t="s">
        <v>889</v>
      </c>
      <c r="G1269" s="255"/>
    </row>
    <row r="1270" spans="1:7" s="108" customFormat="1" ht="14.1" customHeight="1">
      <c r="A1270" s="251" t="s">
        <v>1415</v>
      </c>
      <c r="B1270" s="252" t="s">
        <v>3463</v>
      </c>
      <c r="C1270" s="254" t="s">
        <v>917</v>
      </c>
      <c r="D1270" s="252" t="s">
        <v>1418</v>
      </c>
      <c r="E1270" s="252" t="s">
        <v>929</v>
      </c>
      <c r="F1270" s="252" t="s">
        <v>889</v>
      </c>
      <c r="G1270" s="255">
        <v>11.569000000000001</v>
      </c>
    </row>
    <row r="1271" spans="1:7" s="108" customFormat="1" ht="14.1" customHeight="1">
      <c r="A1271" s="251" t="s">
        <v>1415</v>
      </c>
      <c r="B1271" s="252" t="s">
        <v>3464</v>
      </c>
      <c r="C1271" s="254" t="s">
        <v>988</v>
      </c>
      <c r="D1271" s="252" t="s">
        <v>1416</v>
      </c>
      <c r="E1271" s="252" t="s">
        <v>918</v>
      </c>
      <c r="F1271" s="252" t="s">
        <v>892</v>
      </c>
      <c r="G1271" s="255">
        <v>0.41</v>
      </c>
    </row>
    <row r="1272" spans="1:7" s="108" customFormat="1" ht="14.1" customHeight="1">
      <c r="A1272" s="251" t="s">
        <v>1415</v>
      </c>
      <c r="B1272" s="252" t="s">
        <v>3465</v>
      </c>
      <c r="C1272" s="254" t="s">
        <v>894</v>
      </c>
      <c r="D1272" s="252" t="s">
        <v>1420</v>
      </c>
      <c r="E1272" s="252" t="s">
        <v>918</v>
      </c>
      <c r="F1272" s="252" t="s">
        <v>892</v>
      </c>
      <c r="G1272" s="255">
        <v>23</v>
      </c>
    </row>
    <row r="1273" spans="1:7" s="108" customFormat="1" ht="14.1" customHeight="1">
      <c r="A1273" s="251" t="s">
        <v>1415</v>
      </c>
      <c r="B1273" s="252" t="s">
        <v>3466</v>
      </c>
      <c r="C1273" s="254" t="s">
        <v>1055</v>
      </c>
      <c r="D1273" s="252" t="s">
        <v>3467</v>
      </c>
      <c r="E1273" s="252" t="s">
        <v>907</v>
      </c>
      <c r="F1273" s="252" t="s">
        <v>889</v>
      </c>
      <c r="G1273" s="255"/>
    </row>
    <row r="1274" spans="1:7" s="108" customFormat="1" ht="14.1" customHeight="1">
      <c r="A1274" s="251" t="s">
        <v>1415</v>
      </c>
      <c r="B1274" s="252" t="s">
        <v>3468</v>
      </c>
      <c r="C1274" s="254" t="s">
        <v>1345</v>
      </c>
      <c r="D1274" s="252" t="s">
        <v>3469</v>
      </c>
      <c r="E1274" s="252" t="s">
        <v>929</v>
      </c>
      <c r="F1274" s="252" t="s">
        <v>889</v>
      </c>
      <c r="G1274" s="255"/>
    </row>
    <row r="1275" spans="1:7" s="108" customFormat="1" ht="14.1" customHeight="1">
      <c r="A1275" s="251" t="s">
        <v>1415</v>
      </c>
      <c r="B1275" s="252" t="s">
        <v>3470</v>
      </c>
      <c r="C1275" s="254" t="s">
        <v>1000</v>
      </c>
      <c r="D1275" s="252" t="s">
        <v>3185</v>
      </c>
      <c r="E1275" s="252" t="s">
        <v>954</v>
      </c>
      <c r="F1275" s="252" t="s">
        <v>892</v>
      </c>
      <c r="G1275" s="255"/>
    </row>
    <row r="1276" spans="1:7" s="108" customFormat="1" ht="14.1" customHeight="1">
      <c r="A1276" s="251" t="s">
        <v>1415</v>
      </c>
      <c r="B1276" s="252" t="s">
        <v>3471</v>
      </c>
      <c r="C1276" s="254" t="s">
        <v>1068</v>
      </c>
      <c r="D1276" s="252" t="s">
        <v>3472</v>
      </c>
      <c r="E1276" s="252" t="s">
        <v>888</v>
      </c>
      <c r="F1276" s="252" t="s">
        <v>889</v>
      </c>
      <c r="G1276" s="255"/>
    </row>
    <row r="1277" spans="1:7" s="108" customFormat="1" ht="14.1" customHeight="1">
      <c r="A1277" s="251" t="s">
        <v>1415</v>
      </c>
      <c r="B1277" s="252" t="s">
        <v>3473</v>
      </c>
      <c r="C1277" s="254" t="s">
        <v>1164</v>
      </c>
      <c r="D1277" s="252" t="s">
        <v>3352</v>
      </c>
      <c r="E1277" s="252" t="s">
        <v>888</v>
      </c>
      <c r="F1277" s="252" t="s">
        <v>889</v>
      </c>
      <c r="G1277" s="255"/>
    </row>
    <row r="1278" spans="1:7" s="108" customFormat="1" ht="14.1" customHeight="1">
      <c r="A1278" s="251" t="s">
        <v>3474</v>
      </c>
      <c r="B1278" s="252" t="s">
        <v>3475</v>
      </c>
      <c r="C1278" s="254" t="s">
        <v>917</v>
      </c>
      <c r="D1278" s="252" t="s">
        <v>3476</v>
      </c>
      <c r="E1278" s="252" t="s">
        <v>918</v>
      </c>
      <c r="F1278" s="252" t="s">
        <v>913</v>
      </c>
      <c r="G1278" s="255"/>
    </row>
    <row r="1279" spans="1:7" s="108" customFormat="1" ht="14.1" customHeight="1">
      <c r="A1279" s="251" t="s">
        <v>3474</v>
      </c>
      <c r="B1279" s="252" t="s">
        <v>3477</v>
      </c>
      <c r="C1279" s="254" t="s">
        <v>1135</v>
      </c>
      <c r="D1279" s="252" t="s">
        <v>3478</v>
      </c>
      <c r="E1279" s="252" t="s">
        <v>888</v>
      </c>
      <c r="F1279" s="252" t="s">
        <v>889</v>
      </c>
      <c r="G1279" s="255"/>
    </row>
    <row r="1280" spans="1:7" s="108" customFormat="1" ht="14.1" customHeight="1">
      <c r="A1280" s="251" t="s">
        <v>1559</v>
      </c>
      <c r="B1280" s="252" t="s">
        <v>3479</v>
      </c>
      <c r="C1280" s="254" t="s">
        <v>1146</v>
      </c>
      <c r="D1280" s="252" t="s">
        <v>3480</v>
      </c>
      <c r="E1280" s="252" t="s">
        <v>888</v>
      </c>
      <c r="F1280" s="252" t="s">
        <v>889</v>
      </c>
      <c r="G1280" s="255"/>
    </row>
    <row r="1281" spans="1:7" s="108" customFormat="1" ht="14.1" customHeight="1">
      <c r="A1281" s="251" t="s">
        <v>1559</v>
      </c>
      <c r="B1281" s="252" t="s">
        <v>3481</v>
      </c>
      <c r="C1281" s="254" t="s">
        <v>1168</v>
      </c>
      <c r="D1281" s="252" t="s">
        <v>1562</v>
      </c>
      <c r="E1281" s="252" t="s">
        <v>888</v>
      </c>
      <c r="F1281" s="252" t="s">
        <v>889</v>
      </c>
      <c r="G1281" s="255">
        <v>10.5</v>
      </c>
    </row>
    <row r="1282" spans="1:7" s="108" customFormat="1" ht="14.1" customHeight="1">
      <c r="A1282" s="251" t="s">
        <v>1559</v>
      </c>
      <c r="B1282" s="252" t="s">
        <v>3482</v>
      </c>
      <c r="C1282" s="254" t="s">
        <v>968</v>
      </c>
      <c r="D1282" s="252" t="s">
        <v>2353</v>
      </c>
      <c r="E1282" s="252" t="s">
        <v>895</v>
      </c>
      <c r="F1282" s="252" t="s">
        <v>889</v>
      </c>
      <c r="G1282" s="255"/>
    </row>
    <row r="1283" spans="1:7" s="108" customFormat="1" ht="14.1" customHeight="1">
      <c r="A1283" s="251" t="s">
        <v>1559</v>
      </c>
      <c r="B1283" s="252" t="s">
        <v>3483</v>
      </c>
      <c r="C1283" s="254" t="s">
        <v>944</v>
      </c>
      <c r="D1283" s="252" t="s">
        <v>1561</v>
      </c>
      <c r="E1283" s="252" t="s">
        <v>1021</v>
      </c>
      <c r="F1283" s="252" t="s">
        <v>889</v>
      </c>
      <c r="G1283" s="255">
        <v>7.8</v>
      </c>
    </row>
    <row r="1284" spans="1:7" s="108" customFormat="1" ht="14.1" customHeight="1">
      <c r="A1284" s="251" t="s">
        <v>1559</v>
      </c>
      <c r="B1284" s="252" t="s">
        <v>3484</v>
      </c>
      <c r="C1284" s="254" t="s">
        <v>938</v>
      </c>
      <c r="D1284" s="252" t="s">
        <v>3485</v>
      </c>
      <c r="E1284" s="252" t="s">
        <v>895</v>
      </c>
      <c r="F1284" s="252" t="s">
        <v>889</v>
      </c>
      <c r="G1284" s="255"/>
    </row>
    <row r="1285" spans="1:7" s="108" customFormat="1" ht="14.1" customHeight="1">
      <c r="A1285" s="251" t="s">
        <v>1559</v>
      </c>
      <c r="B1285" s="252" t="s">
        <v>3486</v>
      </c>
      <c r="C1285" s="254" t="s">
        <v>938</v>
      </c>
      <c r="D1285" s="252" t="s">
        <v>1564</v>
      </c>
      <c r="E1285" s="252" t="s">
        <v>959</v>
      </c>
      <c r="F1285" s="252" t="s">
        <v>892</v>
      </c>
      <c r="G1285" s="255">
        <v>33.311</v>
      </c>
    </row>
    <row r="1286" spans="1:7" s="108" customFormat="1" ht="14.1" customHeight="1">
      <c r="A1286" s="251" t="s">
        <v>1559</v>
      </c>
      <c r="B1286" s="252" t="s">
        <v>3487</v>
      </c>
      <c r="C1286" s="254" t="s">
        <v>906</v>
      </c>
      <c r="D1286" s="252" t="s">
        <v>3488</v>
      </c>
      <c r="E1286" s="252" t="s">
        <v>888</v>
      </c>
      <c r="F1286" s="252" t="s">
        <v>889</v>
      </c>
      <c r="G1286" s="255"/>
    </row>
    <row r="1287" spans="1:7" s="108" customFormat="1" ht="14.1" customHeight="1">
      <c r="A1287" s="251" t="s">
        <v>1559</v>
      </c>
      <c r="B1287" s="252" t="s">
        <v>3489</v>
      </c>
      <c r="C1287" s="254" t="s">
        <v>906</v>
      </c>
      <c r="D1287" s="252" t="s">
        <v>1563</v>
      </c>
      <c r="E1287" s="252" t="s">
        <v>939</v>
      </c>
      <c r="F1287" s="252" t="s">
        <v>889</v>
      </c>
      <c r="G1287" s="255">
        <v>15.625</v>
      </c>
    </row>
    <row r="1288" spans="1:7" s="108" customFormat="1" ht="14.1" customHeight="1">
      <c r="A1288" s="251" t="s">
        <v>1559</v>
      </c>
      <c r="B1288" s="252" t="s">
        <v>3490</v>
      </c>
      <c r="C1288" s="254" t="s">
        <v>1018</v>
      </c>
      <c r="D1288" s="252" t="s">
        <v>3491</v>
      </c>
      <c r="E1288" s="252" t="s">
        <v>888</v>
      </c>
      <c r="F1288" s="252" t="s">
        <v>892</v>
      </c>
      <c r="G1288" s="255"/>
    </row>
    <row r="1289" spans="1:7" s="108" customFormat="1" ht="14.1" customHeight="1">
      <c r="A1289" s="251" t="s">
        <v>1559</v>
      </c>
      <c r="B1289" s="252" t="s">
        <v>3492</v>
      </c>
      <c r="C1289" s="254" t="s">
        <v>1202</v>
      </c>
      <c r="D1289" s="252" t="s">
        <v>1565</v>
      </c>
      <c r="E1289" s="252" t="s">
        <v>918</v>
      </c>
      <c r="F1289" s="252" t="s">
        <v>892</v>
      </c>
      <c r="G1289" s="255">
        <v>73</v>
      </c>
    </row>
    <row r="1290" spans="1:7" s="108" customFormat="1" ht="14.1" customHeight="1">
      <c r="A1290" s="251" t="s">
        <v>1559</v>
      </c>
      <c r="B1290" s="252" t="s">
        <v>3493</v>
      </c>
      <c r="C1290" s="254" t="s">
        <v>917</v>
      </c>
      <c r="D1290" s="252" t="s">
        <v>1560</v>
      </c>
      <c r="E1290" s="252" t="s">
        <v>918</v>
      </c>
      <c r="F1290" s="252" t="s">
        <v>889</v>
      </c>
      <c r="G1290" s="255">
        <v>2</v>
      </c>
    </row>
    <row r="1291" spans="1:7" s="108" customFormat="1" ht="14.1" customHeight="1">
      <c r="A1291" s="251" t="s">
        <v>1559</v>
      </c>
      <c r="B1291" s="252" t="s">
        <v>3494</v>
      </c>
      <c r="C1291" s="254" t="s">
        <v>917</v>
      </c>
      <c r="D1291" s="252" t="s">
        <v>3495</v>
      </c>
      <c r="E1291" s="252" t="s">
        <v>918</v>
      </c>
      <c r="F1291" s="252" t="s">
        <v>889</v>
      </c>
      <c r="G1291" s="255"/>
    </row>
    <row r="1292" spans="1:7" s="108" customFormat="1" ht="14.1" customHeight="1">
      <c r="A1292" s="251" t="s">
        <v>1559</v>
      </c>
      <c r="B1292" s="252" t="s">
        <v>3496</v>
      </c>
      <c r="C1292" s="254" t="s">
        <v>1023</v>
      </c>
      <c r="D1292" s="252" t="s">
        <v>1520</v>
      </c>
      <c r="E1292" s="252" t="s">
        <v>888</v>
      </c>
      <c r="F1292" s="252" t="s">
        <v>889</v>
      </c>
      <c r="G1292" s="255">
        <v>52</v>
      </c>
    </row>
    <row r="1293" spans="1:7" s="108" customFormat="1" ht="14.1" customHeight="1">
      <c r="A1293" s="251" t="s">
        <v>1559</v>
      </c>
      <c r="B1293" s="252" t="s">
        <v>3497</v>
      </c>
      <c r="C1293" s="254" t="s">
        <v>1023</v>
      </c>
      <c r="D1293" s="252" t="s">
        <v>2805</v>
      </c>
      <c r="E1293" s="252" t="s">
        <v>895</v>
      </c>
      <c r="F1293" s="252" t="s">
        <v>889</v>
      </c>
      <c r="G1293" s="255"/>
    </row>
    <row r="1294" spans="1:7" s="108" customFormat="1" ht="14.1" customHeight="1">
      <c r="A1294" s="251" t="s">
        <v>1559</v>
      </c>
      <c r="B1294" s="252" t="s">
        <v>3498</v>
      </c>
      <c r="C1294" s="254" t="s">
        <v>1110</v>
      </c>
      <c r="D1294" s="252" t="s">
        <v>3499</v>
      </c>
      <c r="E1294" s="252" t="s">
        <v>888</v>
      </c>
      <c r="F1294" s="252" t="s">
        <v>889</v>
      </c>
      <c r="G1294" s="255"/>
    </row>
    <row r="1295" spans="1:7" s="108" customFormat="1" ht="14.1" customHeight="1">
      <c r="A1295" s="251" t="s">
        <v>1647</v>
      </c>
      <c r="B1295" s="252" t="s">
        <v>3500</v>
      </c>
      <c r="C1295" s="254" t="s">
        <v>1018</v>
      </c>
      <c r="D1295" s="252" t="s">
        <v>3501</v>
      </c>
      <c r="E1295" s="252" t="s">
        <v>939</v>
      </c>
      <c r="F1295" s="252" t="s">
        <v>889</v>
      </c>
      <c r="G1295" s="255"/>
    </row>
    <row r="1296" spans="1:7" s="108" customFormat="1" ht="14.1" customHeight="1">
      <c r="A1296" s="251" t="s">
        <v>1647</v>
      </c>
      <c r="B1296" s="252" t="s">
        <v>3502</v>
      </c>
      <c r="C1296" s="254" t="s">
        <v>917</v>
      </c>
      <c r="D1296" s="252" t="s">
        <v>1648</v>
      </c>
      <c r="E1296" s="252" t="s">
        <v>918</v>
      </c>
      <c r="F1296" s="252" t="s">
        <v>889</v>
      </c>
      <c r="G1296" s="255">
        <v>8</v>
      </c>
    </row>
    <row r="1297" spans="1:7" s="108" customFormat="1" ht="14.1" customHeight="1">
      <c r="A1297" s="251" t="s">
        <v>1647</v>
      </c>
      <c r="B1297" s="252" t="s">
        <v>3503</v>
      </c>
      <c r="C1297" s="254" t="s">
        <v>1020</v>
      </c>
      <c r="D1297" s="252" t="s">
        <v>3504</v>
      </c>
      <c r="E1297" s="252" t="s">
        <v>939</v>
      </c>
      <c r="F1297" s="252" t="s">
        <v>889</v>
      </c>
      <c r="G1297" s="255"/>
    </row>
    <row r="1298" spans="1:7" s="108" customFormat="1" ht="14.1" customHeight="1">
      <c r="A1298" s="251" t="s">
        <v>965</v>
      </c>
      <c r="B1298" s="252" t="s">
        <v>3505</v>
      </c>
      <c r="C1298" s="254" t="s">
        <v>968</v>
      </c>
      <c r="D1298" s="252" t="s">
        <v>967</v>
      </c>
      <c r="E1298" s="252" t="s">
        <v>939</v>
      </c>
      <c r="F1298" s="252" t="s">
        <v>889</v>
      </c>
      <c r="G1298" s="255">
        <v>140.4</v>
      </c>
    </row>
    <row r="1299" spans="1:7" s="108" customFormat="1" ht="14.1" customHeight="1">
      <c r="A1299" s="251" t="s">
        <v>965</v>
      </c>
      <c r="B1299" s="252" t="s">
        <v>3506</v>
      </c>
      <c r="C1299" s="254" t="s">
        <v>1088</v>
      </c>
      <c r="D1299" s="252" t="s">
        <v>969</v>
      </c>
      <c r="E1299" s="252" t="s">
        <v>888</v>
      </c>
      <c r="F1299" s="252" t="s">
        <v>892</v>
      </c>
      <c r="G1299" s="255">
        <v>250</v>
      </c>
    </row>
    <row r="1300" spans="1:7" s="108" customFormat="1" ht="14.1" customHeight="1">
      <c r="A1300" s="251" t="s">
        <v>965</v>
      </c>
      <c r="B1300" s="252" t="s">
        <v>3507</v>
      </c>
      <c r="C1300" s="254" t="s">
        <v>890</v>
      </c>
      <c r="D1300" s="252" t="s">
        <v>3508</v>
      </c>
      <c r="E1300" s="252" t="s">
        <v>895</v>
      </c>
      <c r="F1300" s="252" t="s">
        <v>889</v>
      </c>
      <c r="G1300" s="255"/>
    </row>
    <row r="1301" spans="1:7" s="108" customFormat="1" ht="14.1" customHeight="1">
      <c r="A1301" s="251" t="s">
        <v>965</v>
      </c>
      <c r="B1301" s="252" t="s">
        <v>3509</v>
      </c>
      <c r="C1301" s="254" t="s">
        <v>917</v>
      </c>
      <c r="D1301" s="252" t="s">
        <v>966</v>
      </c>
      <c r="E1301" s="252" t="s">
        <v>929</v>
      </c>
      <c r="F1301" s="252" t="s">
        <v>889</v>
      </c>
      <c r="G1301" s="255"/>
    </row>
    <row r="1302" spans="1:7" s="108" customFormat="1" ht="14.1" customHeight="1">
      <c r="A1302" s="251" t="s">
        <v>965</v>
      </c>
      <c r="B1302" s="252" t="s">
        <v>3509</v>
      </c>
      <c r="C1302" s="254" t="s">
        <v>917</v>
      </c>
      <c r="D1302" s="252" t="s">
        <v>966</v>
      </c>
      <c r="E1302" s="252" t="s">
        <v>929</v>
      </c>
      <c r="F1302" s="252" t="s">
        <v>889</v>
      </c>
      <c r="G1302" s="255">
        <v>3.9E-2</v>
      </c>
    </row>
    <row r="1303" spans="1:7" s="108" customFormat="1" ht="14.1" customHeight="1">
      <c r="A1303" s="251" t="s">
        <v>1208</v>
      </c>
      <c r="B1303" s="252" t="s">
        <v>3510</v>
      </c>
      <c r="C1303" s="254" t="s">
        <v>968</v>
      </c>
      <c r="D1303" s="252" t="s">
        <v>3511</v>
      </c>
      <c r="E1303" s="252" t="s">
        <v>888</v>
      </c>
      <c r="F1303" s="252" t="s">
        <v>889</v>
      </c>
      <c r="G1303" s="255"/>
    </row>
    <row r="1304" spans="1:7" s="108" customFormat="1" ht="14.1" customHeight="1">
      <c r="A1304" s="251" t="s">
        <v>1208</v>
      </c>
      <c r="B1304" s="252" t="s">
        <v>3512</v>
      </c>
      <c r="C1304" s="254" t="s">
        <v>968</v>
      </c>
      <c r="D1304" s="252" t="s">
        <v>1212</v>
      </c>
      <c r="E1304" s="252" t="s">
        <v>929</v>
      </c>
      <c r="F1304" s="252" t="s">
        <v>889</v>
      </c>
      <c r="G1304" s="255">
        <v>78.177000000000007</v>
      </c>
    </row>
    <row r="1305" spans="1:7" s="108" customFormat="1" ht="14.1" customHeight="1">
      <c r="A1305" s="251" t="s">
        <v>1208</v>
      </c>
      <c r="B1305" s="252" t="s">
        <v>3513</v>
      </c>
      <c r="C1305" s="254" t="s">
        <v>944</v>
      </c>
      <c r="D1305" s="252" t="s">
        <v>1211</v>
      </c>
      <c r="E1305" s="252" t="s">
        <v>984</v>
      </c>
      <c r="F1305" s="252" t="s">
        <v>889</v>
      </c>
      <c r="G1305" s="255">
        <v>11.37</v>
      </c>
    </row>
    <row r="1306" spans="1:7" s="108" customFormat="1" ht="14.1" customHeight="1">
      <c r="A1306" s="251" t="s">
        <v>1208</v>
      </c>
      <c r="B1306" s="252" t="s">
        <v>3514</v>
      </c>
      <c r="C1306" s="254" t="s">
        <v>1051</v>
      </c>
      <c r="D1306" s="252" t="s">
        <v>1245</v>
      </c>
      <c r="E1306" s="252" t="s">
        <v>925</v>
      </c>
      <c r="F1306" s="252" t="s">
        <v>1794</v>
      </c>
      <c r="G1306" s="255"/>
    </row>
    <row r="1307" spans="1:7" s="108" customFormat="1" ht="14.1" customHeight="1">
      <c r="A1307" s="251" t="s">
        <v>1208</v>
      </c>
      <c r="B1307" s="252" t="s">
        <v>3515</v>
      </c>
      <c r="C1307" s="254" t="s">
        <v>1030</v>
      </c>
      <c r="D1307" s="252" t="s">
        <v>3516</v>
      </c>
      <c r="E1307" s="252" t="s">
        <v>1142</v>
      </c>
      <c r="F1307" s="252" t="s">
        <v>889</v>
      </c>
      <c r="G1307" s="255"/>
    </row>
    <row r="1308" spans="1:7" s="108" customFormat="1" ht="14.1" customHeight="1">
      <c r="A1308" s="251" t="s">
        <v>1208</v>
      </c>
      <c r="B1308" s="252" t="s">
        <v>3517</v>
      </c>
      <c r="C1308" s="254" t="s">
        <v>938</v>
      </c>
      <c r="D1308" s="252" t="s">
        <v>1209</v>
      </c>
      <c r="E1308" s="252" t="s">
        <v>1021</v>
      </c>
      <c r="F1308" s="252" t="s">
        <v>889</v>
      </c>
      <c r="G1308" s="255">
        <v>3.6</v>
      </c>
    </row>
    <row r="1309" spans="1:7" s="108" customFormat="1" ht="14.1" customHeight="1">
      <c r="A1309" s="251" t="s">
        <v>1208</v>
      </c>
      <c r="B1309" s="252" t="s">
        <v>3518</v>
      </c>
      <c r="C1309" s="254" t="s">
        <v>938</v>
      </c>
      <c r="D1309" s="252" t="s">
        <v>3519</v>
      </c>
      <c r="E1309" s="252" t="s">
        <v>888</v>
      </c>
      <c r="F1309" s="252" t="s">
        <v>889</v>
      </c>
      <c r="G1309" s="255"/>
    </row>
    <row r="1310" spans="1:7" s="108" customFormat="1" ht="14.1" customHeight="1">
      <c r="A1310" s="251" t="s">
        <v>1208</v>
      </c>
      <c r="B1310" s="252" t="s">
        <v>1932</v>
      </c>
      <c r="C1310" s="254" t="s">
        <v>906</v>
      </c>
      <c r="D1310" s="252" t="s">
        <v>3520</v>
      </c>
      <c r="E1310" s="252" t="s">
        <v>888</v>
      </c>
      <c r="F1310" s="252" t="s">
        <v>889</v>
      </c>
      <c r="G1310" s="255"/>
    </row>
    <row r="1311" spans="1:7" s="108" customFormat="1" ht="14.1" customHeight="1">
      <c r="A1311" s="251" t="s">
        <v>1208</v>
      </c>
      <c r="B1311" s="252" t="s">
        <v>3521</v>
      </c>
      <c r="C1311" s="254" t="s">
        <v>906</v>
      </c>
      <c r="D1311" s="252" t="s">
        <v>3522</v>
      </c>
      <c r="E1311" s="252" t="s">
        <v>907</v>
      </c>
      <c r="F1311" s="252" t="s">
        <v>892</v>
      </c>
      <c r="G1311" s="255"/>
    </row>
    <row r="1312" spans="1:7" s="108" customFormat="1" ht="14.1" customHeight="1">
      <c r="A1312" s="251" t="s">
        <v>1208</v>
      </c>
      <c r="B1312" s="252" t="s">
        <v>3523</v>
      </c>
      <c r="C1312" s="254" t="s">
        <v>1833</v>
      </c>
      <c r="D1312" s="252" t="s">
        <v>3524</v>
      </c>
      <c r="E1312" s="252" t="s">
        <v>939</v>
      </c>
      <c r="F1312" s="252" t="s">
        <v>889</v>
      </c>
      <c r="G1312" s="255"/>
    </row>
    <row r="1313" spans="1:7" s="108" customFormat="1" ht="14.1" customHeight="1">
      <c r="A1313" s="251" t="s">
        <v>1208</v>
      </c>
      <c r="B1313" s="252" t="s">
        <v>3525</v>
      </c>
      <c r="C1313" s="254" t="s">
        <v>986</v>
      </c>
      <c r="D1313" s="252" t="s">
        <v>1213</v>
      </c>
      <c r="E1313" s="252" t="s">
        <v>907</v>
      </c>
      <c r="F1313" s="252" t="s">
        <v>931</v>
      </c>
      <c r="G1313" s="255">
        <v>198.351</v>
      </c>
    </row>
    <row r="1314" spans="1:7" s="108" customFormat="1" ht="14.1" customHeight="1">
      <c r="A1314" s="251" t="s">
        <v>1208</v>
      </c>
      <c r="B1314" s="252" t="s">
        <v>3526</v>
      </c>
      <c r="C1314" s="254" t="s">
        <v>986</v>
      </c>
      <c r="D1314" s="252" t="s">
        <v>1213</v>
      </c>
      <c r="E1314" s="252" t="s">
        <v>907</v>
      </c>
      <c r="F1314" s="252" t="s">
        <v>931</v>
      </c>
      <c r="G1314" s="255"/>
    </row>
    <row r="1315" spans="1:7" s="108" customFormat="1" ht="14.1" customHeight="1">
      <c r="A1315" s="251" t="s">
        <v>1208</v>
      </c>
      <c r="B1315" s="252" t="s">
        <v>3527</v>
      </c>
      <c r="C1315" s="254" t="s">
        <v>887</v>
      </c>
      <c r="D1315" s="252" t="s">
        <v>1191</v>
      </c>
      <c r="E1315" s="252" t="s">
        <v>888</v>
      </c>
      <c r="F1315" s="252" t="s">
        <v>892</v>
      </c>
      <c r="G1315" s="255">
        <v>42.887999999999998</v>
      </c>
    </row>
    <row r="1316" spans="1:7" s="108" customFormat="1" ht="14.1" customHeight="1">
      <c r="A1316" s="251" t="s">
        <v>1208</v>
      </c>
      <c r="B1316" s="252" t="s">
        <v>3527</v>
      </c>
      <c r="C1316" s="254" t="s">
        <v>887</v>
      </c>
      <c r="D1316" s="252" t="s">
        <v>1191</v>
      </c>
      <c r="E1316" s="252" t="s">
        <v>888</v>
      </c>
      <c r="F1316" s="252" t="s">
        <v>889</v>
      </c>
      <c r="G1316" s="255">
        <v>85.775999999999996</v>
      </c>
    </row>
    <row r="1317" spans="1:7" s="108" customFormat="1" ht="14.1" customHeight="1">
      <c r="A1317" s="251" t="s">
        <v>1208</v>
      </c>
      <c r="B1317" s="252" t="s">
        <v>3528</v>
      </c>
      <c r="C1317" s="254" t="s">
        <v>887</v>
      </c>
      <c r="D1317" s="252" t="s">
        <v>3302</v>
      </c>
      <c r="E1317" s="252" t="s">
        <v>918</v>
      </c>
      <c r="F1317" s="252" t="s">
        <v>889</v>
      </c>
      <c r="G1317" s="255"/>
    </row>
    <row r="1318" spans="1:7" s="108" customFormat="1" ht="14.1" customHeight="1">
      <c r="A1318" s="251" t="s">
        <v>1208</v>
      </c>
      <c r="B1318" s="252" t="s">
        <v>3529</v>
      </c>
      <c r="C1318" s="254" t="s">
        <v>1018</v>
      </c>
      <c r="D1318" s="252" t="s">
        <v>3530</v>
      </c>
      <c r="E1318" s="252" t="s">
        <v>925</v>
      </c>
      <c r="F1318" s="252" t="s">
        <v>889</v>
      </c>
      <c r="G1318" s="255"/>
    </row>
    <row r="1319" spans="1:7" s="108" customFormat="1" ht="14.1" customHeight="1">
      <c r="A1319" s="251" t="s">
        <v>1208</v>
      </c>
      <c r="B1319" s="252" t="s">
        <v>3531</v>
      </c>
      <c r="C1319" s="254" t="s">
        <v>1202</v>
      </c>
      <c r="D1319" s="252" t="s">
        <v>3532</v>
      </c>
      <c r="E1319" s="252" t="s">
        <v>959</v>
      </c>
      <c r="F1319" s="252" t="s">
        <v>889</v>
      </c>
      <c r="G1319" s="255"/>
    </row>
    <row r="1320" spans="1:7" s="108" customFormat="1" ht="14.1" customHeight="1">
      <c r="A1320" s="251" t="s">
        <v>1208</v>
      </c>
      <c r="B1320" s="252" t="s">
        <v>3533</v>
      </c>
      <c r="C1320" s="254" t="s">
        <v>1202</v>
      </c>
      <c r="D1320" s="252" t="s">
        <v>3534</v>
      </c>
      <c r="E1320" s="252" t="s">
        <v>1026</v>
      </c>
      <c r="F1320" s="252" t="s">
        <v>889</v>
      </c>
      <c r="G1320" s="255"/>
    </row>
    <row r="1321" spans="1:7" s="108" customFormat="1" ht="14.1" customHeight="1">
      <c r="A1321" s="251" t="s">
        <v>1208</v>
      </c>
      <c r="B1321" s="252" t="s">
        <v>3535</v>
      </c>
      <c r="C1321" s="254" t="s">
        <v>1202</v>
      </c>
      <c r="D1321" s="252" t="s">
        <v>886</v>
      </c>
      <c r="E1321" s="252" t="s">
        <v>1210</v>
      </c>
      <c r="F1321" s="252" t="s">
        <v>889</v>
      </c>
      <c r="G1321" s="255">
        <v>5.58</v>
      </c>
    </row>
    <row r="1322" spans="1:7" s="108" customFormat="1" ht="14.1" customHeight="1">
      <c r="A1322" s="251" t="s">
        <v>1208</v>
      </c>
      <c r="B1322" s="252" t="s">
        <v>3536</v>
      </c>
      <c r="C1322" s="254" t="s">
        <v>917</v>
      </c>
      <c r="D1322" s="252" t="s">
        <v>1214</v>
      </c>
      <c r="E1322" s="252" t="s">
        <v>1022</v>
      </c>
      <c r="F1322" s="252" t="s">
        <v>889</v>
      </c>
      <c r="G1322" s="255">
        <v>1687</v>
      </c>
    </row>
    <row r="1323" spans="1:7" s="108" customFormat="1" ht="14.1" customHeight="1">
      <c r="A1323" s="251" t="s">
        <v>1208</v>
      </c>
      <c r="B1323" s="252" t="s">
        <v>3537</v>
      </c>
      <c r="C1323" s="254" t="s">
        <v>988</v>
      </c>
      <c r="D1323" s="252" t="s">
        <v>3538</v>
      </c>
      <c r="E1323" s="252" t="s">
        <v>954</v>
      </c>
      <c r="F1323" s="252" t="s">
        <v>889</v>
      </c>
      <c r="G1323" s="255"/>
    </row>
    <row r="1324" spans="1:7" s="108" customFormat="1" ht="14.1" customHeight="1">
      <c r="A1324" s="251" t="s">
        <v>1208</v>
      </c>
      <c r="B1324" s="252" t="s">
        <v>3539</v>
      </c>
      <c r="C1324" s="254" t="s">
        <v>1071</v>
      </c>
      <c r="D1324" s="252" t="s">
        <v>3540</v>
      </c>
      <c r="E1324" s="252" t="s">
        <v>918</v>
      </c>
      <c r="F1324" s="252" t="s">
        <v>889</v>
      </c>
      <c r="G1324" s="255"/>
    </row>
    <row r="1325" spans="1:7" s="108" customFormat="1" ht="14.1" customHeight="1">
      <c r="A1325" s="251" t="s">
        <v>1208</v>
      </c>
      <c r="B1325" s="252" t="s">
        <v>3541</v>
      </c>
      <c r="C1325" s="254" t="s">
        <v>1071</v>
      </c>
      <c r="D1325" s="252" t="s">
        <v>3542</v>
      </c>
      <c r="E1325" s="252" t="s">
        <v>959</v>
      </c>
      <c r="F1325" s="252" t="s">
        <v>889</v>
      </c>
      <c r="G1325" s="255"/>
    </row>
    <row r="1326" spans="1:7" s="108" customFormat="1" ht="14.1" customHeight="1">
      <c r="A1326" s="251" t="s">
        <v>1208</v>
      </c>
      <c r="B1326" s="252" t="s">
        <v>3543</v>
      </c>
      <c r="C1326" s="254" t="s">
        <v>1071</v>
      </c>
      <c r="D1326" s="252" t="s">
        <v>3544</v>
      </c>
      <c r="E1326" s="252" t="s">
        <v>959</v>
      </c>
      <c r="F1326" s="252" t="s">
        <v>889</v>
      </c>
      <c r="G1326" s="255"/>
    </row>
    <row r="1327" spans="1:7" s="108" customFormat="1" ht="14.1" customHeight="1">
      <c r="A1327" s="251" t="s">
        <v>1208</v>
      </c>
      <c r="B1327" s="252" t="s">
        <v>3545</v>
      </c>
      <c r="C1327" s="254" t="s">
        <v>1246</v>
      </c>
      <c r="D1327" s="252" t="s">
        <v>3546</v>
      </c>
      <c r="E1327" s="252" t="s">
        <v>1026</v>
      </c>
      <c r="F1327" s="252" t="s">
        <v>889</v>
      </c>
      <c r="G1327" s="255"/>
    </row>
    <row r="1328" spans="1:7" s="108" customFormat="1" ht="14.1" customHeight="1">
      <c r="A1328" s="251" t="s">
        <v>1208</v>
      </c>
      <c r="B1328" s="252" t="s">
        <v>3547</v>
      </c>
      <c r="C1328" s="254" t="s">
        <v>1799</v>
      </c>
      <c r="D1328" s="252" t="s">
        <v>1265</v>
      </c>
      <c r="E1328" s="252" t="s">
        <v>888</v>
      </c>
      <c r="F1328" s="252" t="s">
        <v>1791</v>
      </c>
      <c r="G1328" s="255"/>
    </row>
    <row r="1329" spans="1:7" s="108" customFormat="1" ht="14.1" customHeight="1">
      <c r="A1329" s="251" t="s">
        <v>1208</v>
      </c>
      <c r="B1329" s="252" t="s">
        <v>1971</v>
      </c>
      <c r="C1329" s="254" t="s">
        <v>1972</v>
      </c>
      <c r="D1329" s="252" t="s">
        <v>3548</v>
      </c>
      <c r="E1329" s="252" t="s">
        <v>1026</v>
      </c>
      <c r="F1329" s="252" t="s">
        <v>889</v>
      </c>
      <c r="G1329" s="255"/>
    </row>
    <row r="1330" spans="1:7" s="108" customFormat="1" ht="14.1" customHeight="1">
      <c r="A1330" s="251" t="s">
        <v>1208</v>
      </c>
      <c r="B1330" s="252" t="s">
        <v>1971</v>
      </c>
      <c r="C1330" s="254" t="s">
        <v>1972</v>
      </c>
      <c r="D1330" s="252" t="s">
        <v>1058</v>
      </c>
      <c r="E1330" s="252" t="s">
        <v>945</v>
      </c>
      <c r="F1330" s="252" t="s">
        <v>889</v>
      </c>
      <c r="G1330" s="255"/>
    </row>
    <row r="1331" spans="1:7" s="108" customFormat="1" ht="14.1" customHeight="1">
      <c r="A1331" s="251" t="s">
        <v>1208</v>
      </c>
      <c r="B1331" s="252" t="s">
        <v>3549</v>
      </c>
      <c r="C1331" s="254" t="s">
        <v>1020</v>
      </c>
      <c r="D1331" s="252" t="s">
        <v>3550</v>
      </c>
      <c r="E1331" s="252" t="s">
        <v>888</v>
      </c>
      <c r="F1331" s="252" t="s">
        <v>889</v>
      </c>
      <c r="G1331" s="255"/>
    </row>
    <row r="1332" spans="1:7" s="108" customFormat="1" ht="14.1" customHeight="1">
      <c r="A1332" s="251" t="s">
        <v>1208</v>
      </c>
      <c r="B1332" s="252" t="s">
        <v>3551</v>
      </c>
      <c r="C1332" s="254" t="s">
        <v>1164</v>
      </c>
      <c r="D1332" s="252" t="s">
        <v>886</v>
      </c>
      <c r="E1332" s="252" t="s">
        <v>984</v>
      </c>
      <c r="F1332" s="252" t="s">
        <v>889</v>
      </c>
      <c r="G1332" s="255">
        <v>5.718</v>
      </c>
    </row>
    <row r="1333" spans="1:7" s="108" customFormat="1" ht="14.1" customHeight="1">
      <c r="A1333" s="251" t="s">
        <v>1347</v>
      </c>
      <c r="B1333" s="252" t="s">
        <v>3552</v>
      </c>
      <c r="C1333" s="254" t="s">
        <v>1146</v>
      </c>
      <c r="D1333" s="252" t="s">
        <v>3553</v>
      </c>
      <c r="E1333" s="252" t="s">
        <v>888</v>
      </c>
      <c r="F1333" s="252" t="s">
        <v>889</v>
      </c>
      <c r="G1333" s="255"/>
    </row>
    <row r="1334" spans="1:7" s="108" customFormat="1" ht="14.1" customHeight="1">
      <c r="A1334" s="251" t="s">
        <v>1347</v>
      </c>
      <c r="B1334" s="252" t="s">
        <v>3554</v>
      </c>
      <c r="C1334" s="254" t="s">
        <v>1146</v>
      </c>
      <c r="D1334" s="252" t="s">
        <v>1349</v>
      </c>
      <c r="E1334" s="252" t="s">
        <v>1350</v>
      </c>
      <c r="F1334" s="252" t="s">
        <v>889</v>
      </c>
      <c r="G1334" s="255">
        <v>9.1660000000000004</v>
      </c>
    </row>
    <row r="1335" spans="1:7" s="108" customFormat="1" ht="14.1" customHeight="1">
      <c r="A1335" s="251" t="s">
        <v>1347</v>
      </c>
      <c r="B1335" s="252" t="s">
        <v>3555</v>
      </c>
      <c r="C1335" s="254" t="s">
        <v>906</v>
      </c>
      <c r="D1335" s="252" t="s">
        <v>3556</v>
      </c>
      <c r="E1335" s="252" t="s">
        <v>939</v>
      </c>
      <c r="F1335" s="252" t="s">
        <v>892</v>
      </c>
      <c r="G1335" s="255"/>
    </row>
    <row r="1336" spans="1:7" s="108" customFormat="1" ht="14.1" customHeight="1">
      <c r="A1336" s="251" t="s">
        <v>1347</v>
      </c>
      <c r="B1336" s="252" t="s">
        <v>3557</v>
      </c>
      <c r="C1336" s="254" t="s">
        <v>906</v>
      </c>
      <c r="D1336" s="252" t="s">
        <v>3558</v>
      </c>
      <c r="E1336" s="252" t="s">
        <v>939</v>
      </c>
      <c r="F1336" s="252" t="s">
        <v>889</v>
      </c>
      <c r="G1336" s="255"/>
    </row>
    <row r="1337" spans="1:7" s="108" customFormat="1" ht="14.1" customHeight="1">
      <c r="A1337" s="251" t="s">
        <v>1347</v>
      </c>
      <c r="B1337" s="252" t="s">
        <v>3559</v>
      </c>
      <c r="C1337" s="254" t="s">
        <v>887</v>
      </c>
      <c r="D1337" s="252" t="s">
        <v>3560</v>
      </c>
      <c r="E1337" s="252" t="s">
        <v>939</v>
      </c>
      <c r="F1337" s="252" t="s">
        <v>892</v>
      </c>
      <c r="G1337" s="255"/>
    </row>
    <row r="1338" spans="1:7" s="108" customFormat="1" ht="14.1" customHeight="1">
      <c r="A1338" s="251" t="s">
        <v>1347</v>
      </c>
      <c r="B1338" s="252" t="s">
        <v>3561</v>
      </c>
      <c r="C1338" s="254" t="s">
        <v>917</v>
      </c>
      <c r="D1338" s="252" t="s">
        <v>1348</v>
      </c>
      <c r="E1338" s="252" t="s">
        <v>929</v>
      </c>
      <c r="F1338" s="252" t="s">
        <v>889</v>
      </c>
      <c r="G1338" s="255">
        <v>4.4000000000000004</v>
      </c>
    </row>
    <row r="1339" spans="1:7" s="108" customFormat="1" ht="14.1" customHeight="1">
      <c r="A1339" s="251" t="s">
        <v>1347</v>
      </c>
      <c r="B1339" s="252" t="s">
        <v>3562</v>
      </c>
      <c r="C1339" s="254" t="s">
        <v>917</v>
      </c>
      <c r="D1339" s="252" t="s">
        <v>1351</v>
      </c>
      <c r="E1339" s="252" t="s">
        <v>929</v>
      </c>
      <c r="F1339" s="252" t="s">
        <v>889</v>
      </c>
      <c r="G1339" s="255">
        <v>25</v>
      </c>
    </row>
    <row r="1340" spans="1:7" s="108" customFormat="1" ht="14.1" customHeight="1">
      <c r="A1340" s="251" t="s">
        <v>1347</v>
      </c>
      <c r="B1340" s="252" t="s">
        <v>3563</v>
      </c>
      <c r="C1340" s="254" t="s">
        <v>1135</v>
      </c>
      <c r="D1340" s="252" t="s">
        <v>1160</v>
      </c>
      <c r="E1340" s="252" t="s">
        <v>929</v>
      </c>
      <c r="F1340" s="252" t="s">
        <v>889</v>
      </c>
      <c r="G1340" s="255">
        <v>435</v>
      </c>
    </row>
    <row r="1341" spans="1:7" s="108" customFormat="1" ht="14.1" customHeight="1">
      <c r="A1341" s="251" t="s">
        <v>1347</v>
      </c>
      <c r="B1341" s="252" t="s">
        <v>3564</v>
      </c>
      <c r="C1341" s="254" t="s">
        <v>1037</v>
      </c>
      <c r="D1341" s="252" t="s">
        <v>3565</v>
      </c>
      <c r="E1341" s="252" t="s">
        <v>888</v>
      </c>
      <c r="F1341" s="252" t="s">
        <v>889</v>
      </c>
      <c r="G1341" s="255"/>
    </row>
    <row r="1342" spans="1:7" s="108" customFormat="1" ht="14.1" customHeight="1">
      <c r="A1342" s="251" t="s">
        <v>1347</v>
      </c>
      <c r="B1342" s="252" t="s">
        <v>3566</v>
      </c>
      <c r="C1342" s="254" t="s">
        <v>1020</v>
      </c>
      <c r="D1342" s="252" t="s">
        <v>1019</v>
      </c>
      <c r="E1342" s="252" t="s">
        <v>939</v>
      </c>
      <c r="F1342" s="252" t="s">
        <v>889</v>
      </c>
      <c r="G1342" s="255">
        <v>0.93700000000000006</v>
      </c>
    </row>
    <row r="1343" spans="1:7" s="108" customFormat="1" ht="14.1" customHeight="1">
      <c r="A1343" s="251" t="s">
        <v>1347</v>
      </c>
      <c r="B1343" s="252" t="s">
        <v>3566</v>
      </c>
      <c r="C1343" s="254" t="s">
        <v>1020</v>
      </c>
      <c r="D1343" s="252" t="s">
        <v>1019</v>
      </c>
      <c r="E1343" s="252" t="s">
        <v>939</v>
      </c>
      <c r="F1343" s="252" t="s">
        <v>892</v>
      </c>
      <c r="G1343" s="255"/>
    </row>
    <row r="1344" spans="1:7" s="108" customFormat="1" ht="14.1" customHeight="1">
      <c r="A1344" s="251" t="s">
        <v>1347</v>
      </c>
      <c r="B1344" s="252" t="s">
        <v>3567</v>
      </c>
      <c r="C1344" s="254" t="s">
        <v>1000</v>
      </c>
      <c r="D1344" s="252" t="s">
        <v>3568</v>
      </c>
      <c r="E1344" s="252" t="s">
        <v>918</v>
      </c>
      <c r="F1344" s="252" t="s">
        <v>889</v>
      </c>
      <c r="G1344" s="255"/>
    </row>
    <row r="1345" spans="1:7" s="108" customFormat="1" ht="14.1" customHeight="1">
      <c r="A1345" s="251" t="s">
        <v>1422</v>
      </c>
      <c r="B1345" s="252" t="s">
        <v>3343</v>
      </c>
      <c r="C1345" s="254" t="s">
        <v>1150</v>
      </c>
      <c r="D1345" s="252" t="s">
        <v>1353</v>
      </c>
      <c r="E1345" s="252" t="s">
        <v>907</v>
      </c>
      <c r="F1345" s="252" t="s">
        <v>1794</v>
      </c>
      <c r="G1345" s="255"/>
    </row>
    <row r="1346" spans="1:7" s="108" customFormat="1" ht="14.1" customHeight="1">
      <c r="A1346" s="251" t="s">
        <v>1422</v>
      </c>
      <c r="B1346" s="252" t="s">
        <v>3569</v>
      </c>
      <c r="C1346" s="254" t="s">
        <v>917</v>
      </c>
      <c r="D1346" s="252" t="s">
        <v>3570</v>
      </c>
      <c r="E1346" s="252" t="s">
        <v>918</v>
      </c>
      <c r="F1346" s="252" t="s">
        <v>889</v>
      </c>
      <c r="G1346" s="255"/>
    </row>
    <row r="1347" spans="1:7" s="108" customFormat="1" ht="14.1" customHeight="1">
      <c r="A1347" s="251" t="s">
        <v>1422</v>
      </c>
      <c r="B1347" s="252" t="s">
        <v>3571</v>
      </c>
      <c r="C1347" s="254" t="s">
        <v>894</v>
      </c>
      <c r="D1347" s="252" t="s">
        <v>1423</v>
      </c>
      <c r="E1347" s="252" t="s">
        <v>918</v>
      </c>
      <c r="F1347" s="252" t="s">
        <v>892</v>
      </c>
      <c r="G1347" s="255">
        <v>250</v>
      </c>
    </row>
    <row r="1348" spans="1:7" s="108" customFormat="1" ht="14.1" customHeight="1">
      <c r="A1348" s="251" t="s">
        <v>1422</v>
      </c>
      <c r="B1348" s="252" t="s">
        <v>3572</v>
      </c>
      <c r="C1348" s="254" t="s">
        <v>1246</v>
      </c>
      <c r="D1348" s="252" t="s">
        <v>3302</v>
      </c>
      <c r="E1348" s="252" t="s">
        <v>918</v>
      </c>
      <c r="F1348" s="252" t="s">
        <v>889</v>
      </c>
      <c r="G1348" s="255"/>
    </row>
    <row r="1349" spans="1:7" s="108" customFormat="1" ht="14.1" customHeight="1">
      <c r="A1349" s="251" t="s">
        <v>1422</v>
      </c>
      <c r="B1349" s="252" t="s">
        <v>3573</v>
      </c>
      <c r="C1349" s="254" t="s">
        <v>1110</v>
      </c>
      <c r="D1349" s="252" t="s">
        <v>3574</v>
      </c>
      <c r="E1349" s="252" t="s">
        <v>954</v>
      </c>
      <c r="F1349" s="252" t="s">
        <v>889</v>
      </c>
      <c r="G1349" s="255"/>
    </row>
    <row r="1350" spans="1:7" s="108" customFormat="1" ht="14.1" customHeight="1">
      <c r="A1350" s="251" t="s">
        <v>1422</v>
      </c>
      <c r="B1350" s="252" t="s">
        <v>3575</v>
      </c>
      <c r="C1350" s="254" t="s">
        <v>983</v>
      </c>
      <c r="D1350" s="252" t="s">
        <v>1356</v>
      </c>
      <c r="E1350" s="252" t="s">
        <v>888</v>
      </c>
      <c r="F1350" s="252" t="s">
        <v>889</v>
      </c>
      <c r="G1350" s="255"/>
    </row>
    <row r="1351" spans="1:7" s="108" customFormat="1" ht="14.1" customHeight="1">
      <c r="A1351" s="251" t="s">
        <v>3576</v>
      </c>
      <c r="B1351" s="252" t="s">
        <v>3577</v>
      </c>
      <c r="C1351" s="254" t="s">
        <v>968</v>
      </c>
      <c r="D1351" s="252" t="s">
        <v>2228</v>
      </c>
      <c r="E1351" s="252" t="s">
        <v>939</v>
      </c>
      <c r="F1351" s="252" t="s">
        <v>889</v>
      </c>
      <c r="G1351" s="255"/>
    </row>
    <row r="1352" spans="1:7" s="108" customFormat="1" ht="14.1" customHeight="1">
      <c r="A1352" s="251" t="s">
        <v>1566</v>
      </c>
      <c r="B1352" s="252" t="s">
        <v>3578</v>
      </c>
      <c r="C1352" s="254" t="s">
        <v>897</v>
      </c>
      <c r="D1352" s="252" t="s">
        <v>2353</v>
      </c>
      <c r="E1352" s="252" t="s">
        <v>895</v>
      </c>
      <c r="F1352" s="252" t="s">
        <v>889</v>
      </c>
      <c r="G1352" s="255"/>
    </row>
    <row r="1353" spans="1:7" s="108" customFormat="1" ht="14.1" customHeight="1">
      <c r="A1353" s="251" t="s">
        <v>1566</v>
      </c>
      <c r="B1353" s="252" t="s">
        <v>3579</v>
      </c>
      <c r="C1353" s="254" t="s">
        <v>968</v>
      </c>
      <c r="D1353" s="252" t="s">
        <v>3580</v>
      </c>
      <c r="E1353" s="252" t="s">
        <v>939</v>
      </c>
      <c r="F1353" s="252" t="s">
        <v>889</v>
      </c>
      <c r="G1353" s="255"/>
    </row>
    <row r="1354" spans="1:7" s="108" customFormat="1" ht="14.1" customHeight="1">
      <c r="A1354" s="251" t="s">
        <v>1566</v>
      </c>
      <c r="B1354" s="252" t="s">
        <v>3581</v>
      </c>
      <c r="C1354" s="254" t="s">
        <v>968</v>
      </c>
      <c r="D1354" s="252" t="s">
        <v>3582</v>
      </c>
      <c r="E1354" s="252" t="s">
        <v>888</v>
      </c>
      <c r="F1354" s="252" t="s">
        <v>889</v>
      </c>
      <c r="G1354" s="255"/>
    </row>
    <row r="1355" spans="1:7" s="108" customFormat="1" ht="14.1" customHeight="1">
      <c r="A1355" s="251" t="s">
        <v>1566</v>
      </c>
      <c r="B1355" s="252" t="s">
        <v>3583</v>
      </c>
      <c r="C1355" s="254" t="s">
        <v>968</v>
      </c>
      <c r="D1355" s="252" t="s">
        <v>967</v>
      </c>
      <c r="E1355" s="252" t="s">
        <v>939</v>
      </c>
      <c r="F1355" s="252" t="s">
        <v>892</v>
      </c>
      <c r="G1355" s="255"/>
    </row>
    <row r="1356" spans="1:7" s="108" customFormat="1" ht="14.1" customHeight="1">
      <c r="A1356" s="251" t="s">
        <v>1566</v>
      </c>
      <c r="B1356" s="252" t="s">
        <v>3583</v>
      </c>
      <c r="C1356" s="254" t="s">
        <v>968</v>
      </c>
      <c r="D1356" s="252" t="s">
        <v>967</v>
      </c>
      <c r="E1356" s="252" t="s">
        <v>939</v>
      </c>
      <c r="F1356" s="252" t="s">
        <v>913</v>
      </c>
      <c r="G1356" s="255"/>
    </row>
    <row r="1357" spans="1:7" s="108" customFormat="1" ht="14.1" customHeight="1">
      <c r="A1357" s="251" t="s">
        <v>1566</v>
      </c>
      <c r="B1357" s="252" t="s">
        <v>3584</v>
      </c>
      <c r="C1357" s="254" t="s">
        <v>968</v>
      </c>
      <c r="D1357" s="252" t="s">
        <v>3585</v>
      </c>
      <c r="E1357" s="252" t="s">
        <v>888</v>
      </c>
      <c r="F1357" s="252" t="s">
        <v>889</v>
      </c>
      <c r="G1357" s="255"/>
    </row>
    <row r="1358" spans="1:7" s="108" customFormat="1" ht="14.1" customHeight="1">
      <c r="A1358" s="251" t="s">
        <v>1566</v>
      </c>
      <c r="B1358" s="252" t="s">
        <v>3586</v>
      </c>
      <c r="C1358" s="254" t="s">
        <v>944</v>
      </c>
      <c r="D1358" s="252" t="s">
        <v>1356</v>
      </c>
      <c r="E1358" s="252" t="s">
        <v>888</v>
      </c>
      <c r="F1358" s="252" t="s">
        <v>889</v>
      </c>
      <c r="G1358" s="255"/>
    </row>
    <row r="1359" spans="1:7" s="108" customFormat="1" ht="14.1" customHeight="1">
      <c r="A1359" s="251" t="s">
        <v>1566</v>
      </c>
      <c r="B1359" s="252" t="s">
        <v>3587</v>
      </c>
      <c r="C1359" s="254" t="s">
        <v>1030</v>
      </c>
      <c r="D1359" s="252" t="s">
        <v>1569</v>
      </c>
      <c r="E1359" s="252" t="s">
        <v>888</v>
      </c>
      <c r="F1359" s="252" t="s">
        <v>889</v>
      </c>
      <c r="G1359" s="255"/>
    </row>
    <row r="1360" spans="1:7" s="108" customFormat="1" ht="14.1" customHeight="1">
      <c r="A1360" s="251" t="s">
        <v>1566</v>
      </c>
      <c r="B1360" s="252" t="s">
        <v>3588</v>
      </c>
      <c r="C1360" s="254" t="s">
        <v>938</v>
      </c>
      <c r="D1360" s="252" t="s">
        <v>3589</v>
      </c>
      <c r="E1360" s="252" t="s">
        <v>959</v>
      </c>
      <c r="F1360" s="252" t="s">
        <v>892</v>
      </c>
      <c r="G1360" s="255"/>
    </row>
    <row r="1361" spans="1:7" s="108" customFormat="1" ht="14.1" customHeight="1">
      <c r="A1361" s="251" t="s">
        <v>1566</v>
      </c>
      <c r="B1361" s="252" t="s">
        <v>3590</v>
      </c>
      <c r="C1361" s="254" t="s">
        <v>1088</v>
      </c>
      <c r="D1361" s="252" t="s">
        <v>3591</v>
      </c>
      <c r="E1361" s="252" t="s">
        <v>1033</v>
      </c>
      <c r="F1361" s="252" t="s">
        <v>892</v>
      </c>
      <c r="G1361" s="255"/>
    </row>
    <row r="1362" spans="1:7" s="108" customFormat="1" ht="14.1" customHeight="1">
      <c r="A1362" s="251" t="s">
        <v>1566</v>
      </c>
      <c r="B1362" s="252" t="s">
        <v>3592</v>
      </c>
      <c r="C1362" s="254" t="s">
        <v>1032</v>
      </c>
      <c r="D1362" s="252" t="s">
        <v>3267</v>
      </c>
      <c r="E1362" s="252" t="s">
        <v>945</v>
      </c>
      <c r="F1362" s="252" t="s">
        <v>892</v>
      </c>
      <c r="G1362" s="255"/>
    </row>
    <row r="1363" spans="1:7" s="108" customFormat="1" ht="14.1" customHeight="1">
      <c r="A1363" s="251" t="s">
        <v>1566</v>
      </c>
      <c r="B1363" s="252" t="s">
        <v>3593</v>
      </c>
      <c r="C1363" s="254" t="s">
        <v>906</v>
      </c>
      <c r="D1363" s="252" t="s">
        <v>2515</v>
      </c>
      <c r="E1363" s="252" t="s">
        <v>888</v>
      </c>
      <c r="F1363" s="252" t="s">
        <v>892</v>
      </c>
      <c r="G1363" s="255"/>
    </row>
    <row r="1364" spans="1:7" s="108" customFormat="1" ht="14.1" customHeight="1">
      <c r="A1364" s="251" t="s">
        <v>1566</v>
      </c>
      <c r="B1364" s="252" t="s">
        <v>3594</v>
      </c>
      <c r="C1364" s="254" t="s">
        <v>1833</v>
      </c>
      <c r="D1364" s="252" t="s">
        <v>1569</v>
      </c>
      <c r="E1364" s="252" t="s">
        <v>888</v>
      </c>
      <c r="F1364" s="252" t="s">
        <v>892</v>
      </c>
      <c r="G1364" s="255">
        <v>18.009</v>
      </c>
    </row>
    <row r="1365" spans="1:7" s="108" customFormat="1" ht="14.1" customHeight="1">
      <c r="A1365" s="251" t="s">
        <v>1566</v>
      </c>
      <c r="B1365" s="252" t="s">
        <v>3595</v>
      </c>
      <c r="C1365" s="254" t="s">
        <v>1150</v>
      </c>
      <c r="D1365" s="252" t="s">
        <v>886</v>
      </c>
      <c r="E1365" s="252" t="s">
        <v>888</v>
      </c>
      <c r="F1365" s="252" t="s">
        <v>889</v>
      </c>
      <c r="G1365" s="255">
        <v>28.417999999999999</v>
      </c>
    </row>
    <row r="1366" spans="1:7" s="108" customFormat="1" ht="14.1" customHeight="1">
      <c r="A1366" s="251" t="s">
        <v>1566</v>
      </c>
      <c r="B1366" s="252" t="s">
        <v>3596</v>
      </c>
      <c r="C1366" s="254" t="s">
        <v>3027</v>
      </c>
      <c r="D1366" s="252" t="s">
        <v>3597</v>
      </c>
      <c r="E1366" s="252" t="s">
        <v>888</v>
      </c>
      <c r="F1366" s="252" t="s">
        <v>889</v>
      </c>
      <c r="G1366" s="255"/>
    </row>
    <row r="1367" spans="1:7" s="108" customFormat="1" ht="14.1" customHeight="1">
      <c r="A1367" s="251" t="s">
        <v>1566</v>
      </c>
      <c r="B1367" s="252" t="s">
        <v>3598</v>
      </c>
      <c r="C1367" s="254" t="s">
        <v>1018</v>
      </c>
      <c r="D1367" s="252" t="s">
        <v>3599</v>
      </c>
      <c r="E1367" s="252" t="s">
        <v>888</v>
      </c>
      <c r="F1367" s="252" t="s">
        <v>889</v>
      </c>
      <c r="G1367" s="255"/>
    </row>
    <row r="1368" spans="1:7" s="108" customFormat="1" ht="14.1" customHeight="1">
      <c r="A1368" s="251" t="s">
        <v>1566</v>
      </c>
      <c r="B1368" s="252" t="s">
        <v>3600</v>
      </c>
      <c r="C1368" s="254" t="s">
        <v>1018</v>
      </c>
      <c r="D1368" s="252" t="s">
        <v>3601</v>
      </c>
      <c r="E1368" s="252" t="s">
        <v>954</v>
      </c>
      <c r="F1368" s="252" t="s">
        <v>892</v>
      </c>
      <c r="G1368" s="255"/>
    </row>
    <row r="1369" spans="1:7" s="108" customFormat="1" ht="14.1" customHeight="1">
      <c r="A1369" s="251" t="s">
        <v>1566</v>
      </c>
      <c r="B1369" s="252" t="s">
        <v>3602</v>
      </c>
      <c r="C1369" s="254" t="s">
        <v>917</v>
      </c>
      <c r="D1369" s="252" t="s">
        <v>1567</v>
      </c>
      <c r="E1369" s="252" t="s">
        <v>918</v>
      </c>
      <c r="F1369" s="252" t="s">
        <v>889</v>
      </c>
      <c r="G1369" s="255">
        <v>17.5</v>
      </c>
    </row>
    <row r="1370" spans="1:7" s="108" customFormat="1" ht="14.1" customHeight="1">
      <c r="A1370" s="251" t="s">
        <v>1566</v>
      </c>
      <c r="B1370" s="252" t="s">
        <v>3603</v>
      </c>
      <c r="C1370" s="254" t="s">
        <v>894</v>
      </c>
      <c r="D1370" s="252" t="s">
        <v>3604</v>
      </c>
      <c r="E1370" s="252" t="s">
        <v>888</v>
      </c>
      <c r="F1370" s="252" t="s">
        <v>889</v>
      </c>
      <c r="G1370" s="255"/>
    </row>
    <row r="1371" spans="1:7" s="108" customFormat="1" ht="14.1" customHeight="1">
      <c r="A1371" s="251" t="s">
        <v>1566</v>
      </c>
      <c r="B1371" s="252" t="s">
        <v>3605</v>
      </c>
      <c r="C1371" s="254" t="s">
        <v>894</v>
      </c>
      <c r="D1371" s="252" t="s">
        <v>3606</v>
      </c>
      <c r="E1371" s="252" t="s">
        <v>918</v>
      </c>
      <c r="F1371" s="252" t="s">
        <v>892</v>
      </c>
      <c r="G1371" s="255"/>
    </row>
    <row r="1372" spans="1:7" s="108" customFormat="1" ht="14.1" customHeight="1">
      <c r="A1372" s="251" t="s">
        <v>1566</v>
      </c>
      <c r="B1372" s="252" t="s">
        <v>3607</v>
      </c>
      <c r="C1372" s="254" t="s">
        <v>894</v>
      </c>
      <c r="D1372" s="252" t="s">
        <v>3608</v>
      </c>
      <c r="E1372" s="252" t="s">
        <v>888</v>
      </c>
      <c r="F1372" s="252" t="s">
        <v>1794</v>
      </c>
      <c r="G1372" s="255"/>
    </row>
    <row r="1373" spans="1:7" s="108" customFormat="1" ht="14.1" customHeight="1">
      <c r="A1373" s="251" t="s">
        <v>1566</v>
      </c>
      <c r="B1373" s="252" t="s">
        <v>3609</v>
      </c>
      <c r="C1373" s="254" t="s">
        <v>1135</v>
      </c>
      <c r="D1373" s="252" t="s">
        <v>1568</v>
      </c>
      <c r="E1373" s="252" t="s">
        <v>888</v>
      </c>
      <c r="F1373" s="252" t="s">
        <v>889</v>
      </c>
      <c r="G1373" s="255">
        <v>17.821000000000002</v>
      </c>
    </row>
    <row r="1374" spans="1:7" s="108" customFormat="1" ht="14.1" customHeight="1">
      <c r="A1374" s="251" t="s">
        <v>1566</v>
      </c>
      <c r="B1374" s="252" t="s">
        <v>3610</v>
      </c>
      <c r="C1374" s="254" t="s">
        <v>1080</v>
      </c>
      <c r="D1374" s="252" t="s">
        <v>3611</v>
      </c>
      <c r="E1374" s="252" t="s">
        <v>888</v>
      </c>
      <c r="F1374" s="252" t="s">
        <v>889</v>
      </c>
      <c r="G1374" s="255"/>
    </row>
    <row r="1375" spans="1:7" s="108" customFormat="1" ht="14.1" customHeight="1">
      <c r="A1375" s="251" t="s">
        <v>1566</v>
      </c>
      <c r="B1375" s="252" t="s">
        <v>3612</v>
      </c>
      <c r="C1375" s="254" t="s">
        <v>1246</v>
      </c>
      <c r="D1375" s="252" t="s">
        <v>3613</v>
      </c>
      <c r="E1375" s="252" t="s">
        <v>939</v>
      </c>
      <c r="F1375" s="252" t="s">
        <v>889</v>
      </c>
      <c r="G1375" s="255"/>
    </row>
    <row r="1376" spans="1:7" s="108" customFormat="1" ht="14.1" customHeight="1">
      <c r="A1376" s="251" t="s">
        <v>1566</v>
      </c>
      <c r="B1376" s="252" t="s">
        <v>3614</v>
      </c>
      <c r="C1376" s="254" t="s">
        <v>1345</v>
      </c>
      <c r="D1376" s="252" t="s">
        <v>3615</v>
      </c>
      <c r="E1376" s="252" t="s">
        <v>888</v>
      </c>
      <c r="F1376" s="252" t="s">
        <v>889</v>
      </c>
      <c r="G1376" s="255"/>
    </row>
    <row r="1377" spans="1:7" s="108" customFormat="1" ht="14.1" customHeight="1">
      <c r="A1377" s="251" t="s">
        <v>1566</v>
      </c>
      <c r="B1377" s="252" t="s">
        <v>3616</v>
      </c>
      <c r="C1377" s="254" t="s">
        <v>911</v>
      </c>
      <c r="D1377" s="252" t="s">
        <v>1570</v>
      </c>
      <c r="E1377" s="252" t="s">
        <v>939</v>
      </c>
      <c r="F1377" s="252" t="s">
        <v>889</v>
      </c>
      <c r="G1377" s="255">
        <v>23.055</v>
      </c>
    </row>
    <row r="1378" spans="1:7" s="108" customFormat="1" ht="14.1" customHeight="1">
      <c r="A1378" s="251" t="s">
        <v>1566</v>
      </c>
      <c r="B1378" s="252" t="s">
        <v>3617</v>
      </c>
      <c r="C1378" s="254" t="s">
        <v>1000</v>
      </c>
      <c r="D1378" s="252" t="s">
        <v>886</v>
      </c>
      <c r="E1378" s="252" t="s">
        <v>918</v>
      </c>
      <c r="F1378" s="252" t="s">
        <v>889</v>
      </c>
      <c r="G1378" s="255">
        <v>1070.0650000000001</v>
      </c>
    </row>
    <row r="1379" spans="1:7" s="108" customFormat="1" ht="14.1" customHeight="1">
      <c r="A1379" s="251" t="s">
        <v>1566</v>
      </c>
      <c r="B1379" s="252" t="s">
        <v>3618</v>
      </c>
      <c r="C1379" s="254" t="s">
        <v>1164</v>
      </c>
      <c r="D1379" s="252" t="s">
        <v>3619</v>
      </c>
      <c r="E1379" s="252" t="s">
        <v>904</v>
      </c>
      <c r="F1379" s="252" t="s">
        <v>889</v>
      </c>
      <c r="G1379" s="255"/>
    </row>
    <row r="1380" spans="1:7" s="108" customFormat="1" ht="14.1" customHeight="1">
      <c r="A1380" s="251" t="s">
        <v>1649</v>
      </c>
      <c r="B1380" s="252" t="s">
        <v>3620</v>
      </c>
      <c r="C1380" s="254" t="s">
        <v>1030</v>
      </c>
      <c r="D1380" s="252" t="s">
        <v>1081</v>
      </c>
      <c r="E1380" s="252" t="s">
        <v>918</v>
      </c>
      <c r="F1380" s="252" t="s">
        <v>892</v>
      </c>
      <c r="G1380" s="255"/>
    </row>
    <row r="1381" spans="1:7" s="108" customFormat="1" ht="14.1" customHeight="1">
      <c r="A1381" s="251" t="s">
        <v>1649</v>
      </c>
      <c r="B1381" s="252" t="s">
        <v>3621</v>
      </c>
      <c r="C1381" s="254" t="s">
        <v>917</v>
      </c>
      <c r="D1381" s="252" t="s">
        <v>1650</v>
      </c>
      <c r="E1381" s="252" t="s">
        <v>918</v>
      </c>
      <c r="F1381" s="252" t="s">
        <v>889</v>
      </c>
      <c r="G1381" s="255">
        <v>0.33600000000000002</v>
      </c>
    </row>
    <row r="1382" spans="1:7" s="108" customFormat="1" ht="14.1" customHeight="1">
      <c r="A1382" s="251" t="s">
        <v>1649</v>
      </c>
      <c r="B1382" s="252" t="s">
        <v>3621</v>
      </c>
      <c r="C1382" s="254" t="s">
        <v>917</v>
      </c>
      <c r="D1382" s="252" t="s">
        <v>1650</v>
      </c>
      <c r="E1382" s="252" t="s">
        <v>918</v>
      </c>
      <c r="F1382" s="252" t="s">
        <v>892</v>
      </c>
      <c r="G1382" s="255">
        <v>0.56599999999999995</v>
      </c>
    </row>
    <row r="1383" spans="1:7" s="108" customFormat="1" ht="14.1" customHeight="1">
      <c r="A1383" s="251" t="s">
        <v>1649</v>
      </c>
      <c r="B1383" s="252" t="s">
        <v>3622</v>
      </c>
      <c r="C1383" s="254" t="s">
        <v>917</v>
      </c>
      <c r="D1383" s="252" t="s">
        <v>3623</v>
      </c>
      <c r="E1383" s="252" t="s">
        <v>918</v>
      </c>
      <c r="F1383" s="252" t="s">
        <v>913</v>
      </c>
      <c r="G1383" s="255"/>
    </row>
    <row r="1384" spans="1:7" s="108" customFormat="1" ht="14.1" customHeight="1">
      <c r="A1384" s="251" t="s">
        <v>971</v>
      </c>
      <c r="B1384" s="252" t="s">
        <v>3624</v>
      </c>
      <c r="C1384" s="254" t="s">
        <v>1146</v>
      </c>
      <c r="D1384" s="252" t="s">
        <v>3625</v>
      </c>
      <c r="E1384" s="252" t="s">
        <v>888</v>
      </c>
      <c r="F1384" s="252" t="s">
        <v>889</v>
      </c>
      <c r="G1384" s="255"/>
    </row>
    <row r="1385" spans="1:7" s="108" customFormat="1" ht="14.1" customHeight="1">
      <c r="A1385" s="251" t="s">
        <v>971</v>
      </c>
      <c r="B1385" s="252" t="s">
        <v>3626</v>
      </c>
      <c r="C1385" s="254" t="s">
        <v>968</v>
      </c>
      <c r="D1385" s="252" t="s">
        <v>974</v>
      </c>
      <c r="E1385" s="252" t="s">
        <v>888</v>
      </c>
      <c r="F1385" s="252" t="s">
        <v>889</v>
      </c>
      <c r="G1385" s="255">
        <v>39</v>
      </c>
    </row>
    <row r="1386" spans="1:7" s="108" customFormat="1" ht="14.1" customHeight="1">
      <c r="A1386" s="251" t="s">
        <v>971</v>
      </c>
      <c r="B1386" s="252" t="s">
        <v>3627</v>
      </c>
      <c r="C1386" s="254" t="s">
        <v>1030</v>
      </c>
      <c r="D1386" s="252" t="s">
        <v>3628</v>
      </c>
      <c r="E1386" s="252" t="s">
        <v>925</v>
      </c>
      <c r="F1386" s="252" t="s">
        <v>889</v>
      </c>
      <c r="G1386" s="255"/>
    </row>
    <row r="1387" spans="1:7" s="108" customFormat="1" ht="14.1" customHeight="1">
      <c r="A1387" s="251" t="s">
        <v>971</v>
      </c>
      <c r="B1387" s="252" t="s">
        <v>3629</v>
      </c>
      <c r="C1387" s="254" t="s">
        <v>1088</v>
      </c>
      <c r="D1387" s="252" t="s">
        <v>886</v>
      </c>
      <c r="E1387" s="252" t="s">
        <v>939</v>
      </c>
      <c r="F1387" s="252" t="s">
        <v>931</v>
      </c>
      <c r="G1387" s="255">
        <v>235.97</v>
      </c>
    </row>
    <row r="1388" spans="1:7" s="108" customFormat="1" ht="14.1" customHeight="1">
      <c r="A1388" s="251" t="s">
        <v>971</v>
      </c>
      <c r="B1388" s="252" t="s">
        <v>3630</v>
      </c>
      <c r="C1388" s="254" t="s">
        <v>906</v>
      </c>
      <c r="D1388" s="252" t="s">
        <v>973</v>
      </c>
      <c r="E1388" s="252" t="s">
        <v>925</v>
      </c>
      <c r="F1388" s="252" t="s">
        <v>892</v>
      </c>
      <c r="G1388" s="255">
        <v>34</v>
      </c>
    </row>
    <row r="1389" spans="1:7" s="108" customFormat="1" ht="14.1" customHeight="1">
      <c r="A1389" s="251" t="s">
        <v>971</v>
      </c>
      <c r="B1389" s="252" t="s">
        <v>3631</v>
      </c>
      <c r="C1389" s="254" t="s">
        <v>887</v>
      </c>
      <c r="D1389" s="252" t="s">
        <v>886</v>
      </c>
      <c r="E1389" s="252" t="s">
        <v>939</v>
      </c>
      <c r="F1389" s="252" t="s">
        <v>889</v>
      </c>
      <c r="G1389" s="255">
        <v>241</v>
      </c>
    </row>
    <row r="1390" spans="1:7" s="108" customFormat="1" ht="14.1" customHeight="1">
      <c r="A1390" s="251" t="s">
        <v>971</v>
      </c>
      <c r="B1390" s="252" t="s">
        <v>3632</v>
      </c>
      <c r="C1390" s="254" t="s">
        <v>917</v>
      </c>
      <c r="D1390" s="252" t="s">
        <v>972</v>
      </c>
      <c r="E1390" s="252" t="s">
        <v>918</v>
      </c>
      <c r="F1390" s="252" t="s">
        <v>889</v>
      </c>
      <c r="G1390" s="255">
        <v>2.2000000000000002</v>
      </c>
    </row>
    <row r="1391" spans="1:7" s="108" customFormat="1" ht="14.1" customHeight="1">
      <c r="A1391" s="251" t="s">
        <v>971</v>
      </c>
      <c r="B1391" s="252" t="s">
        <v>3633</v>
      </c>
      <c r="C1391" s="254" t="s">
        <v>917</v>
      </c>
      <c r="D1391" s="252" t="s">
        <v>3634</v>
      </c>
      <c r="E1391" s="252" t="s">
        <v>929</v>
      </c>
      <c r="F1391" s="252" t="s">
        <v>892</v>
      </c>
      <c r="G1391" s="255"/>
    </row>
    <row r="1392" spans="1:7" s="108" customFormat="1" ht="14.1" customHeight="1">
      <c r="A1392" s="251" t="s">
        <v>971</v>
      </c>
      <c r="B1392" s="252" t="s">
        <v>3635</v>
      </c>
      <c r="C1392" s="254" t="s">
        <v>1037</v>
      </c>
      <c r="D1392" s="252" t="s">
        <v>1036</v>
      </c>
      <c r="E1392" s="252" t="s">
        <v>888</v>
      </c>
      <c r="F1392" s="252" t="s">
        <v>892</v>
      </c>
      <c r="G1392" s="255"/>
    </row>
    <row r="1393" spans="1:7" s="108" customFormat="1" ht="14.1" customHeight="1">
      <c r="A1393" s="251" t="s">
        <v>971</v>
      </c>
      <c r="B1393" s="252" t="s">
        <v>3636</v>
      </c>
      <c r="C1393" s="254" t="s">
        <v>1000</v>
      </c>
      <c r="D1393" s="252" t="s">
        <v>3637</v>
      </c>
      <c r="E1393" s="252" t="s">
        <v>888</v>
      </c>
      <c r="F1393" s="252" t="s">
        <v>889</v>
      </c>
      <c r="G1393" s="255"/>
    </row>
    <row r="1394" spans="1:7" s="108" customFormat="1" ht="14.1" customHeight="1">
      <c r="A1394" s="251" t="s">
        <v>971</v>
      </c>
      <c r="B1394" s="252" t="s">
        <v>3638</v>
      </c>
      <c r="C1394" s="254" t="s">
        <v>1164</v>
      </c>
      <c r="D1394" s="252" t="s">
        <v>3639</v>
      </c>
      <c r="E1394" s="252" t="s">
        <v>888</v>
      </c>
      <c r="F1394" s="252" t="s">
        <v>889</v>
      </c>
      <c r="G1394" s="255"/>
    </row>
    <row r="1395" spans="1:7" s="108" customFormat="1" ht="14.1" customHeight="1">
      <c r="A1395" s="251" t="s">
        <v>1215</v>
      </c>
      <c r="B1395" s="252" t="s">
        <v>3640</v>
      </c>
      <c r="C1395" s="254" t="s">
        <v>947</v>
      </c>
      <c r="D1395" s="252" t="s">
        <v>1058</v>
      </c>
      <c r="E1395" s="252" t="s">
        <v>945</v>
      </c>
      <c r="F1395" s="252" t="s">
        <v>889</v>
      </c>
      <c r="G1395" s="255"/>
    </row>
    <row r="1396" spans="1:7" s="108" customFormat="1" ht="14.1" customHeight="1">
      <c r="A1396" s="251" t="s">
        <v>1215</v>
      </c>
      <c r="B1396" s="252" t="s">
        <v>3641</v>
      </c>
      <c r="C1396" s="254" t="s">
        <v>968</v>
      </c>
      <c r="D1396" s="252" t="s">
        <v>3642</v>
      </c>
      <c r="E1396" s="252" t="s">
        <v>904</v>
      </c>
      <c r="F1396" s="252" t="s">
        <v>889</v>
      </c>
      <c r="G1396" s="255"/>
    </row>
    <row r="1397" spans="1:7" s="108" customFormat="1" ht="14.1" customHeight="1">
      <c r="A1397" s="251" t="s">
        <v>1215</v>
      </c>
      <c r="B1397" s="252" t="s">
        <v>3643</v>
      </c>
      <c r="C1397" s="254" t="s">
        <v>968</v>
      </c>
      <c r="D1397" s="252" t="s">
        <v>1045</v>
      </c>
      <c r="E1397" s="252" t="s">
        <v>1047</v>
      </c>
      <c r="F1397" s="252" t="s">
        <v>892</v>
      </c>
      <c r="G1397" s="255">
        <v>6.4320000000000004</v>
      </c>
    </row>
    <row r="1398" spans="1:7" s="108" customFormat="1" ht="14.1" customHeight="1">
      <c r="A1398" s="251" t="s">
        <v>1215</v>
      </c>
      <c r="B1398" s="252" t="s">
        <v>3644</v>
      </c>
      <c r="C1398" s="254" t="s">
        <v>968</v>
      </c>
      <c r="D1398" s="252" t="s">
        <v>1741</v>
      </c>
      <c r="E1398" s="252" t="s">
        <v>984</v>
      </c>
      <c r="F1398" s="252" t="s">
        <v>889</v>
      </c>
      <c r="G1398" s="255"/>
    </row>
    <row r="1399" spans="1:7" s="108" customFormat="1" ht="14.1" customHeight="1">
      <c r="A1399" s="251" t="s">
        <v>1215</v>
      </c>
      <c r="B1399" s="252" t="s">
        <v>3645</v>
      </c>
      <c r="C1399" s="254" t="s">
        <v>968</v>
      </c>
      <c r="D1399" s="252" t="s">
        <v>3646</v>
      </c>
      <c r="E1399" s="252" t="s">
        <v>1026</v>
      </c>
      <c r="F1399" s="252" t="s">
        <v>889</v>
      </c>
      <c r="G1399" s="255"/>
    </row>
    <row r="1400" spans="1:7" s="108" customFormat="1" ht="14.1" customHeight="1">
      <c r="A1400" s="251" t="s">
        <v>1215</v>
      </c>
      <c r="B1400" s="252" t="s">
        <v>3647</v>
      </c>
      <c r="C1400" s="254" t="s">
        <v>968</v>
      </c>
      <c r="D1400" s="252" t="s">
        <v>3648</v>
      </c>
      <c r="E1400" s="252" t="s">
        <v>888</v>
      </c>
      <c r="F1400" s="252" t="s">
        <v>889</v>
      </c>
      <c r="G1400" s="255"/>
    </row>
    <row r="1401" spans="1:7" s="108" customFormat="1" ht="14.1" customHeight="1">
      <c r="A1401" s="251" t="s">
        <v>1215</v>
      </c>
      <c r="B1401" s="252" t="s">
        <v>3649</v>
      </c>
      <c r="C1401" s="254" t="s">
        <v>968</v>
      </c>
      <c r="D1401" s="252" t="s">
        <v>2353</v>
      </c>
      <c r="E1401" s="252" t="s">
        <v>895</v>
      </c>
      <c r="F1401" s="252" t="s">
        <v>889</v>
      </c>
      <c r="G1401" s="255"/>
    </row>
    <row r="1402" spans="1:7" s="108" customFormat="1" ht="14.1" customHeight="1">
      <c r="A1402" s="251" t="s">
        <v>1215</v>
      </c>
      <c r="B1402" s="252" t="s">
        <v>3650</v>
      </c>
      <c r="C1402" s="254" t="s">
        <v>944</v>
      </c>
      <c r="D1402" s="252" t="s">
        <v>3651</v>
      </c>
      <c r="E1402" s="252" t="s">
        <v>984</v>
      </c>
      <c r="F1402" s="252" t="s">
        <v>889</v>
      </c>
      <c r="G1402" s="255"/>
    </row>
    <row r="1403" spans="1:7" s="108" customFormat="1" ht="14.1" customHeight="1">
      <c r="A1403" s="251" t="s">
        <v>1215</v>
      </c>
      <c r="B1403" s="252" t="s">
        <v>3652</v>
      </c>
      <c r="C1403" s="254" t="s">
        <v>1046</v>
      </c>
      <c r="D1403" s="252" t="s">
        <v>3653</v>
      </c>
      <c r="E1403" s="252" t="s">
        <v>925</v>
      </c>
      <c r="F1403" s="252" t="s">
        <v>892</v>
      </c>
      <c r="G1403" s="255"/>
    </row>
    <row r="1404" spans="1:7" s="108" customFormat="1" ht="14.1" customHeight="1">
      <c r="A1404" s="251" t="s">
        <v>1215</v>
      </c>
      <c r="B1404" s="252" t="s">
        <v>3654</v>
      </c>
      <c r="C1404" s="254" t="s">
        <v>1466</v>
      </c>
      <c r="D1404" s="252" t="s">
        <v>3655</v>
      </c>
      <c r="E1404" s="252" t="s">
        <v>888</v>
      </c>
      <c r="F1404" s="252" t="s">
        <v>889</v>
      </c>
      <c r="G1404" s="255"/>
    </row>
    <row r="1405" spans="1:7" s="108" customFormat="1" ht="14.1" customHeight="1">
      <c r="A1405" s="251" t="s">
        <v>1215</v>
      </c>
      <c r="B1405" s="252" t="s">
        <v>3656</v>
      </c>
      <c r="C1405" s="254" t="s">
        <v>938</v>
      </c>
      <c r="D1405" s="252" t="s">
        <v>1227</v>
      </c>
      <c r="E1405" s="252" t="s">
        <v>888</v>
      </c>
      <c r="F1405" s="252" t="s">
        <v>889</v>
      </c>
      <c r="G1405" s="255">
        <v>400</v>
      </c>
    </row>
    <row r="1406" spans="1:7" s="108" customFormat="1" ht="14.1" customHeight="1">
      <c r="A1406" s="251" t="s">
        <v>1215</v>
      </c>
      <c r="B1406" s="252" t="s">
        <v>3657</v>
      </c>
      <c r="C1406" s="254" t="s">
        <v>938</v>
      </c>
      <c r="D1406" s="252" t="s">
        <v>1191</v>
      </c>
      <c r="E1406" s="252" t="s">
        <v>888</v>
      </c>
      <c r="F1406" s="252" t="s">
        <v>3658</v>
      </c>
      <c r="G1406" s="255"/>
    </row>
    <row r="1407" spans="1:7" s="108" customFormat="1" ht="14.1" customHeight="1">
      <c r="A1407" s="251" t="s">
        <v>1215</v>
      </c>
      <c r="B1407" s="252" t="s">
        <v>3659</v>
      </c>
      <c r="C1407" s="254" t="s">
        <v>906</v>
      </c>
      <c r="D1407" s="252" t="s">
        <v>1038</v>
      </c>
      <c r="E1407" s="252" t="s">
        <v>888</v>
      </c>
      <c r="F1407" s="252" t="s">
        <v>889</v>
      </c>
      <c r="G1407" s="255">
        <v>7.7679999999999998</v>
      </c>
    </row>
    <row r="1408" spans="1:7" s="108" customFormat="1" ht="14.1" customHeight="1">
      <c r="A1408" s="251" t="s">
        <v>1215</v>
      </c>
      <c r="B1408" s="252" t="s">
        <v>3660</v>
      </c>
      <c r="C1408" s="254" t="s">
        <v>1833</v>
      </c>
      <c r="D1408" s="252" t="s">
        <v>1220</v>
      </c>
      <c r="E1408" s="252" t="s">
        <v>918</v>
      </c>
      <c r="F1408" s="252" t="s">
        <v>889</v>
      </c>
      <c r="G1408" s="255">
        <v>25.7</v>
      </c>
    </row>
    <row r="1409" spans="1:7" s="108" customFormat="1" ht="14.1" customHeight="1">
      <c r="A1409" s="251" t="s">
        <v>1215</v>
      </c>
      <c r="B1409" s="252" t="s">
        <v>3661</v>
      </c>
      <c r="C1409" s="254" t="s">
        <v>1833</v>
      </c>
      <c r="D1409" s="252" t="s">
        <v>1220</v>
      </c>
      <c r="E1409" s="252" t="s">
        <v>918</v>
      </c>
      <c r="F1409" s="252" t="s">
        <v>892</v>
      </c>
      <c r="G1409" s="255">
        <v>117</v>
      </c>
    </row>
    <row r="1410" spans="1:7" s="108" customFormat="1" ht="14.1" customHeight="1">
      <c r="A1410" s="251" t="s">
        <v>1215</v>
      </c>
      <c r="B1410" s="252" t="s">
        <v>3662</v>
      </c>
      <c r="C1410" s="254" t="s">
        <v>1833</v>
      </c>
      <c r="D1410" s="252" t="s">
        <v>3663</v>
      </c>
      <c r="E1410" s="252" t="s">
        <v>888</v>
      </c>
      <c r="F1410" s="252" t="s">
        <v>889</v>
      </c>
      <c r="G1410" s="255"/>
    </row>
    <row r="1411" spans="1:7" s="108" customFormat="1" ht="14.1" customHeight="1">
      <c r="A1411" s="251" t="s">
        <v>1215</v>
      </c>
      <c r="B1411" s="252" t="s">
        <v>3664</v>
      </c>
      <c r="C1411" s="254" t="s">
        <v>1833</v>
      </c>
      <c r="D1411" s="252" t="s">
        <v>3665</v>
      </c>
      <c r="E1411" s="252" t="s">
        <v>939</v>
      </c>
      <c r="F1411" s="252" t="s">
        <v>889</v>
      </c>
      <c r="G1411" s="255"/>
    </row>
    <row r="1412" spans="1:7" s="108" customFormat="1" ht="14.1" customHeight="1">
      <c r="A1412" s="251" t="s">
        <v>1215</v>
      </c>
      <c r="B1412" s="252" t="s">
        <v>3666</v>
      </c>
      <c r="C1412" s="254" t="s">
        <v>1833</v>
      </c>
      <c r="D1412" s="252" t="s">
        <v>2374</v>
      </c>
      <c r="E1412" s="252" t="s">
        <v>888</v>
      </c>
      <c r="F1412" s="252" t="s">
        <v>889</v>
      </c>
      <c r="G1412" s="255"/>
    </row>
    <row r="1413" spans="1:7" s="108" customFormat="1" ht="14.1" customHeight="1">
      <c r="A1413" s="251" t="s">
        <v>1215</v>
      </c>
      <c r="B1413" s="252" t="s">
        <v>3667</v>
      </c>
      <c r="C1413" s="254" t="s">
        <v>1833</v>
      </c>
      <c r="D1413" s="252" t="s">
        <v>2374</v>
      </c>
      <c r="E1413" s="252" t="s">
        <v>888</v>
      </c>
      <c r="F1413" s="252" t="s">
        <v>889</v>
      </c>
      <c r="G1413" s="255"/>
    </row>
    <row r="1414" spans="1:7" s="108" customFormat="1" ht="14.1" customHeight="1">
      <c r="A1414" s="251" t="s">
        <v>1215</v>
      </c>
      <c r="B1414" s="252" t="s">
        <v>3668</v>
      </c>
      <c r="C1414" s="254" t="s">
        <v>1833</v>
      </c>
      <c r="D1414" s="252" t="s">
        <v>2374</v>
      </c>
      <c r="E1414" s="252" t="s">
        <v>888</v>
      </c>
      <c r="F1414" s="252" t="s">
        <v>889</v>
      </c>
      <c r="G1414" s="255"/>
    </row>
    <row r="1415" spans="1:7" s="108" customFormat="1" ht="14.1" customHeight="1">
      <c r="A1415" s="251" t="s">
        <v>1215</v>
      </c>
      <c r="B1415" s="252" t="s">
        <v>3669</v>
      </c>
      <c r="C1415" s="254" t="s">
        <v>986</v>
      </c>
      <c r="D1415" s="252" t="s">
        <v>3670</v>
      </c>
      <c r="E1415" s="252" t="s">
        <v>888</v>
      </c>
      <c r="F1415" s="252" t="s">
        <v>892</v>
      </c>
      <c r="G1415" s="255"/>
    </row>
    <row r="1416" spans="1:7" s="108" customFormat="1" ht="14.1" customHeight="1">
      <c r="A1416" s="251" t="s">
        <v>1215</v>
      </c>
      <c r="B1416" s="252" t="s">
        <v>3671</v>
      </c>
      <c r="C1416" s="254" t="s">
        <v>887</v>
      </c>
      <c r="D1416" s="252" t="s">
        <v>1217</v>
      </c>
      <c r="E1416" s="252" t="s">
        <v>925</v>
      </c>
      <c r="F1416" s="252" t="s">
        <v>889</v>
      </c>
      <c r="G1416" s="255">
        <v>14.378</v>
      </c>
    </row>
    <row r="1417" spans="1:7" s="108" customFormat="1" ht="14.1" customHeight="1">
      <c r="A1417" s="251" t="s">
        <v>1215</v>
      </c>
      <c r="B1417" s="252" t="s">
        <v>3672</v>
      </c>
      <c r="C1417" s="254" t="s">
        <v>887</v>
      </c>
      <c r="D1417" s="252" t="s">
        <v>3673</v>
      </c>
      <c r="E1417" s="252" t="s">
        <v>888</v>
      </c>
      <c r="F1417" s="252" t="s">
        <v>889</v>
      </c>
      <c r="G1417" s="255"/>
    </row>
    <row r="1418" spans="1:7" s="108" customFormat="1" ht="14.1" customHeight="1">
      <c r="A1418" s="251" t="s">
        <v>1215</v>
      </c>
      <c r="B1418" s="252" t="s">
        <v>3674</v>
      </c>
      <c r="C1418" s="254" t="s">
        <v>887</v>
      </c>
      <c r="D1418" s="252" t="s">
        <v>3675</v>
      </c>
      <c r="E1418" s="252" t="s">
        <v>939</v>
      </c>
      <c r="F1418" s="252" t="s">
        <v>889</v>
      </c>
      <c r="G1418" s="255"/>
    </row>
    <row r="1419" spans="1:7" s="108" customFormat="1" ht="14.1" customHeight="1">
      <c r="A1419" s="251" t="s">
        <v>1215</v>
      </c>
      <c r="B1419" s="252" t="s">
        <v>3676</v>
      </c>
      <c r="C1419" s="254" t="s">
        <v>890</v>
      </c>
      <c r="D1419" s="252" t="s">
        <v>1118</v>
      </c>
      <c r="E1419" s="252" t="s">
        <v>1119</v>
      </c>
      <c r="F1419" s="252" t="s">
        <v>892</v>
      </c>
      <c r="G1419" s="255"/>
    </row>
    <row r="1420" spans="1:7" s="108" customFormat="1" ht="14.1" customHeight="1">
      <c r="A1420" s="251" t="s">
        <v>1215</v>
      </c>
      <c r="B1420" s="252" t="s">
        <v>3677</v>
      </c>
      <c r="C1420" s="254" t="s">
        <v>1018</v>
      </c>
      <c r="D1420" s="252" t="s">
        <v>1216</v>
      </c>
      <c r="E1420" s="252" t="s">
        <v>907</v>
      </c>
      <c r="F1420" s="252" t="s">
        <v>889</v>
      </c>
      <c r="G1420" s="255">
        <v>4.6120000000000001</v>
      </c>
    </row>
    <row r="1421" spans="1:7" s="108" customFormat="1" ht="14.1" customHeight="1">
      <c r="A1421" s="251" t="s">
        <v>1215</v>
      </c>
      <c r="B1421" s="252" t="s">
        <v>3678</v>
      </c>
      <c r="C1421" s="254" t="s">
        <v>1202</v>
      </c>
      <c r="D1421" s="252" t="s">
        <v>1218</v>
      </c>
      <c r="E1421" s="252" t="s">
        <v>1047</v>
      </c>
      <c r="F1421" s="252" t="s">
        <v>889</v>
      </c>
      <c r="G1421" s="255">
        <v>14.420999999999999</v>
      </c>
    </row>
    <row r="1422" spans="1:7" s="108" customFormat="1" ht="14.1" customHeight="1">
      <c r="A1422" s="251" t="s">
        <v>1215</v>
      </c>
      <c r="B1422" s="252" t="s">
        <v>3679</v>
      </c>
      <c r="C1422" s="254" t="s">
        <v>917</v>
      </c>
      <c r="D1422" s="252" t="s">
        <v>1222</v>
      </c>
      <c r="E1422" s="252" t="s">
        <v>904</v>
      </c>
      <c r="F1422" s="252" t="s">
        <v>889</v>
      </c>
      <c r="G1422" s="255">
        <v>55</v>
      </c>
    </row>
    <row r="1423" spans="1:7" s="108" customFormat="1" ht="14.1" customHeight="1">
      <c r="A1423" s="251" t="s">
        <v>1215</v>
      </c>
      <c r="B1423" s="252" t="s">
        <v>3680</v>
      </c>
      <c r="C1423" s="254" t="s">
        <v>917</v>
      </c>
      <c r="D1423" s="252" t="s">
        <v>3681</v>
      </c>
      <c r="E1423" s="252" t="s">
        <v>918</v>
      </c>
      <c r="F1423" s="252" t="s">
        <v>892</v>
      </c>
      <c r="G1423" s="255"/>
    </row>
    <row r="1424" spans="1:7" s="108" customFormat="1" ht="14.1" customHeight="1">
      <c r="A1424" s="251" t="s">
        <v>1215</v>
      </c>
      <c r="B1424" s="252" t="s">
        <v>3682</v>
      </c>
      <c r="C1424" s="254" t="s">
        <v>917</v>
      </c>
      <c r="D1424" s="252" t="s">
        <v>3683</v>
      </c>
      <c r="E1424" s="252" t="s">
        <v>925</v>
      </c>
      <c r="F1424" s="252" t="s">
        <v>1791</v>
      </c>
      <c r="G1424" s="255"/>
    </row>
    <row r="1425" spans="1:7" s="108" customFormat="1" ht="14.1" customHeight="1">
      <c r="A1425" s="251" t="s">
        <v>1215</v>
      </c>
      <c r="B1425" s="252" t="s">
        <v>3684</v>
      </c>
      <c r="C1425" s="254" t="s">
        <v>894</v>
      </c>
      <c r="D1425" s="252" t="s">
        <v>1219</v>
      </c>
      <c r="E1425" s="252" t="s">
        <v>929</v>
      </c>
      <c r="F1425" s="252" t="s">
        <v>892</v>
      </c>
      <c r="G1425" s="255">
        <v>20.5</v>
      </c>
    </row>
    <row r="1426" spans="1:7" s="108" customFormat="1" ht="14.1" customHeight="1">
      <c r="A1426" s="251" t="s">
        <v>1215</v>
      </c>
      <c r="B1426" s="252" t="s">
        <v>3685</v>
      </c>
      <c r="C1426" s="254" t="s">
        <v>1071</v>
      </c>
      <c r="D1426" s="252" t="s">
        <v>3686</v>
      </c>
      <c r="E1426" s="252" t="s">
        <v>888</v>
      </c>
      <c r="F1426" s="252" t="s">
        <v>889</v>
      </c>
      <c r="G1426" s="255"/>
    </row>
    <row r="1427" spans="1:7" s="108" customFormat="1" ht="14.1" customHeight="1">
      <c r="A1427" s="251" t="s">
        <v>1215</v>
      </c>
      <c r="B1427" s="252" t="s">
        <v>3687</v>
      </c>
      <c r="C1427" s="254" t="s">
        <v>1246</v>
      </c>
      <c r="D1427" s="252" t="s">
        <v>1265</v>
      </c>
      <c r="E1427" s="252" t="s">
        <v>888</v>
      </c>
      <c r="F1427" s="252" t="s">
        <v>3658</v>
      </c>
      <c r="G1427" s="255"/>
    </row>
    <row r="1428" spans="1:7" s="108" customFormat="1" ht="14.1" customHeight="1">
      <c r="A1428" s="251" t="s">
        <v>1215</v>
      </c>
      <c r="B1428" s="252" t="s">
        <v>1962</v>
      </c>
      <c r="C1428" s="254" t="s">
        <v>1246</v>
      </c>
      <c r="D1428" s="252" t="s">
        <v>1221</v>
      </c>
      <c r="E1428" s="252" t="s">
        <v>888</v>
      </c>
      <c r="F1428" s="252" t="s">
        <v>931</v>
      </c>
      <c r="G1428" s="255"/>
    </row>
    <row r="1429" spans="1:7" s="108" customFormat="1" ht="14.1" customHeight="1">
      <c r="A1429" s="251" t="s">
        <v>1215</v>
      </c>
      <c r="B1429" s="252" t="s">
        <v>1962</v>
      </c>
      <c r="C1429" s="254" t="s">
        <v>1246</v>
      </c>
      <c r="D1429" s="252" t="s">
        <v>1221</v>
      </c>
      <c r="E1429" s="252" t="s">
        <v>888</v>
      </c>
      <c r="F1429" s="252" t="s">
        <v>889</v>
      </c>
      <c r="G1429" s="255">
        <v>51.716999999999999</v>
      </c>
    </row>
    <row r="1430" spans="1:7" s="108" customFormat="1" ht="14.1" customHeight="1">
      <c r="A1430" s="251" t="s">
        <v>1215</v>
      </c>
      <c r="B1430" s="252" t="s">
        <v>3688</v>
      </c>
      <c r="C1430" s="254" t="s">
        <v>1055</v>
      </c>
      <c r="D1430" s="252" t="s">
        <v>1226</v>
      </c>
      <c r="E1430" s="252" t="s">
        <v>888</v>
      </c>
      <c r="F1430" s="252" t="s">
        <v>889</v>
      </c>
      <c r="G1430" s="255">
        <v>126.36199999999999</v>
      </c>
    </row>
    <row r="1431" spans="1:7" s="108" customFormat="1" ht="14.1" customHeight="1">
      <c r="A1431" s="251" t="s">
        <v>1215</v>
      </c>
      <c r="B1431" s="252" t="s">
        <v>2698</v>
      </c>
      <c r="C1431" s="254" t="s">
        <v>1345</v>
      </c>
      <c r="D1431" s="252" t="s">
        <v>1006</v>
      </c>
      <c r="E1431" s="252" t="s">
        <v>888</v>
      </c>
      <c r="F1431" s="252" t="s">
        <v>889</v>
      </c>
      <c r="G1431" s="255">
        <v>144.119</v>
      </c>
    </row>
    <row r="1432" spans="1:7" s="108" customFormat="1" ht="14.1" customHeight="1">
      <c r="A1432" s="251" t="s">
        <v>1215</v>
      </c>
      <c r="B1432" s="252" t="s">
        <v>3689</v>
      </c>
      <c r="C1432" s="254" t="s">
        <v>3690</v>
      </c>
      <c r="D1432" s="252" t="s">
        <v>1223</v>
      </c>
      <c r="E1432" s="252" t="s">
        <v>888</v>
      </c>
      <c r="F1432" s="252" t="s">
        <v>889</v>
      </c>
      <c r="G1432" s="255">
        <v>70.218999999999994</v>
      </c>
    </row>
    <row r="1433" spans="1:7" s="108" customFormat="1" ht="14.1" customHeight="1">
      <c r="A1433" s="251" t="s">
        <v>1215</v>
      </c>
      <c r="B1433" s="252" t="s">
        <v>3691</v>
      </c>
      <c r="C1433" s="254" t="s">
        <v>1110</v>
      </c>
      <c r="D1433" s="252" t="s">
        <v>3692</v>
      </c>
      <c r="E1433" s="252" t="s">
        <v>907</v>
      </c>
      <c r="F1433" s="252" t="s">
        <v>889</v>
      </c>
      <c r="G1433" s="255"/>
    </row>
    <row r="1434" spans="1:7" s="108" customFormat="1" ht="14.1" customHeight="1">
      <c r="A1434" s="251" t="s">
        <v>1215</v>
      </c>
      <c r="B1434" s="252" t="s">
        <v>3693</v>
      </c>
      <c r="C1434" s="254" t="s">
        <v>1972</v>
      </c>
      <c r="D1434" s="252" t="s">
        <v>3694</v>
      </c>
      <c r="E1434" s="252" t="s">
        <v>1085</v>
      </c>
      <c r="F1434" s="252" t="s">
        <v>889</v>
      </c>
      <c r="G1434" s="255"/>
    </row>
    <row r="1435" spans="1:7" s="108" customFormat="1" ht="14.1" customHeight="1">
      <c r="A1435" s="251" t="s">
        <v>1215</v>
      </c>
      <c r="B1435" s="252" t="s">
        <v>1971</v>
      </c>
      <c r="C1435" s="254" t="s">
        <v>1972</v>
      </c>
      <c r="D1435" s="252" t="s">
        <v>886</v>
      </c>
      <c r="E1435" s="252" t="s">
        <v>888</v>
      </c>
      <c r="F1435" s="252" t="s">
        <v>889</v>
      </c>
      <c r="G1435" s="255">
        <v>39.962000000000003</v>
      </c>
    </row>
    <row r="1436" spans="1:7" s="108" customFormat="1" ht="14.1" customHeight="1">
      <c r="A1436" s="251" t="s">
        <v>1215</v>
      </c>
      <c r="B1436" s="252" t="s">
        <v>3695</v>
      </c>
      <c r="C1436" s="254" t="s">
        <v>1099</v>
      </c>
      <c r="D1436" s="252" t="s">
        <v>3696</v>
      </c>
      <c r="E1436" s="252" t="s">
        <v>888</v>
      </c>
      <c r="F1436" s="252" t="s">
        <v>892</v>
      </c>
      <c r="G1436" s="255"/>
    </row>
    <row r="1437" spans="1:7" s="108" customFormat="1" ht="14.1" customHeight="1">
      <c r="A1437" s="251" t="s">
        <v>1215</v>
      </c>
      <c r="B1437" s="252" t="s">
        <v>3697</v>
      </c>
      <c r="C1437" s="254" t="s">
        <v>1099</v>
      </c>
      <c r="D1437" s="252" t="s">
        <v>3698</v>
      </c>
      <c r="E1437" s="252" t="s">
        <v>939</v>
      </c>
      <c r="F1437" s="252" t="s">
        <v>889</v>
      </c>
      <c r="G1437" s="255"/>
    </row>
    <row r="1438" spans="1:7" s="108" customFormat="1" ht="14.1" customHeight="1">
      <c r="A1438" s="251" t="s">
        <v>1215</v>
      </c>
      <c r="B1438" s="252" t="s">
        <v>3699</v>
      </c>
      <c r="C1438" s="254" t="s">
        <v>911</v>
      </c>
      <c r="D1438" s="252" t="s">
        <v>1224</v>
      </c>
      <c r="E1438" s="252" t="s">
        <v>1225</v>
      </c>
      <c r="F1438" s="252" t="s">
        <v>892</v>
      </c>
      <c r="G1438" s="255">
        <v>100</v>
      </c>
    </row>
    <row r="1439" spans="1:7" s="108" customFormat="1" ht="14.1" customHeight="1">
      <c r="A1439" s="251" t="s">
        <v>1215</v>
      </c>
      <c r="B1439" s="252" t="s">
        <v>3316</v>
      </c>
      <c r="C1439" s="254" t="s">
        <v>1020</v>
      </c>
      <c r="D1439" s="252" t="s">
        <v>3700</v>
      </c>
      <c r="E1439" s="252" t="s">
        <v>888</v>
      </c>
      <c r="F1439" s="252" t="s">
        <v>889</v>
      </c>
      <c r="G1439" s="255"/>
    </row>
    <row r="1440" spans="1:7" s="108" customFormat="1" ht="14.1" customHeight="1">
      <c r="A1440" s="251" t="s">
        <v>1215</v>
      </c>
      <c r="B1440" s="252" t="s">
        <v>3701</v>
      </c>
      <c r="C1440" s="254" t="s">
        <v>1020</v>
      </c>
      <c r="D1440" s="252" t="s">
        <v>3702</v>
      </c>
      <c r="E1440" s="252" t="s">
        <v>888</v>
      </c>
      <c r="F1440" s="252" t="s">
        <v>889</v>
      </c>
      <c r="G1440" s="255"/>
    </row>
    <row r="1441" spans="1:7" s="108" customFormat="1" ht="14.1" customHeight="1">
      <c r="A1441" s="251" t="s">
        <v>1215</v>
      </c>
      <c r="B1441" s="252" t="s">
        <v>3703</v>
      </c>
      <c r="C1441" s="254" t="s">
        <v>1068</v>
      </c>
      <c r="D1441" s="252" t="s">
        <v>3704</v>
      </c>
      <c r="E1441" s="252" t="s">
        <v>1119</v>
      </c>
      <c r="F1441" s="252" t="s">
        <v>889</v>
      </c>
      <c r="G1441" s="255"/>
    </row>
    <row r="1442" spans="1:7" s="108" customFormat="1" ht="14.1" customHeight="1">
      <c r="A1442" s="251" t="s">
        <v>1215</v>
      </c>
      <c r="B1442" s="252" t="s">
        <v>3705</v>
      </c>
      <c r="C1442" s="254" t="s">
        <v>1068</v>
      </c>
      <c r="D1442" s="252" t="s">
        <v>3706</v>
      </c>
      <c r="E1442" s="252" t="s">
        <v>1026</v>
      </c>
      <c r="F1442" s="252" t="s">
        <v>889</v>
      </c>
      <c r="G1442" s="255"/>
    </row>
    <row r="1443" spans="1:7" s="108" customFormat="1" ht="14.1" customHeight="1">
      <c r="A1443" s="251" t="s">
        <v>1215</v>
      </c>
      <c r="B1443" s="252" t="s">
        <v>3705</v>
      </c>
      <c r="C1443" s="254" t="s">
        <v>1068</v>
      </c>
      <c r="D1443" s="252" t="s">
        <v>3706</v>
      </c>
      <c r="E1443" s="252" t="s">
        <v>1026</v>
      </c>
      <c r="F1443" s="252" t="s">
        <v>889</v>
      </c>
      <c r="G1443" s="255"/>
    </row>
    <row r="1444" spans="1:7" s="108" customFormat="1" ht="14.1" customHeight="1">
      <c r="A1444" s="251" t="s">
        <v>1215</v>
      </c>
      <c r="B1444" s="252" t="s">
        <v>3707</v>
      </c>
      <c r="C1444" s="254" t="s">
        <v>1068</v>
      </c>
      <c r="D1444" s="252" t="s">
        <v>3708</v>
      </c>
      <c r="E1444" s="252" t="s">
        <v>1033</v>
      </c>
      <c r="F1444" s="252" t="s">
        <v>889</v>
      </c>
      <c r="G1444" s="255"/>
    </row>
    <row r="1445" spans="1:7" s="108" customFormat="1" ht="14.1" customHeight="1">
      <c r="A1445" s="251" t="s">
        <v>1215</v>
      </c>
      <c r="B1445" s="252" t="s">
        <v>3709</v>
      </c>
      <c r="C1445" s="254" t="s">
        <v>983</v>
      </c>
      <c r="D1445" s="252" t="s">
        <v>3696</v>
      </c>
      <c r="E1445" s="252" t="s">
        <v>888</v>
      </c>
      <c r="F1445" s="252" t="s">
        <v>892</v>
      </c>
      <c r="G1445" s="255"/>
    </row>
    <row r="1446" spans="1:7" s="108" customFormat="1" ht="14.1" customHeight="1">
      <c r="A1446" s="251" t="s">
        <v>1215</v>
      </c>
      <c r="B1446" s="252" t="s">
        <v>3710</v>
      </c>
      <c r="C1446" s="254" t="s">
        <v>983</v>
      </c>
      <c r="D1446" s="252" t="s">
        <v>3711</v>
      </c>
      <c r="E1446" s="252" t="s">
        <v>895</v>
      </c>
      <c r="F1446" s="252" t="s">
        <v>889</v>
      </c>
      <c r="G1446" s="255"/>
    </row>
    <row r="1447" spans="1:7" s="108" customFormat="1" ht="14.1" customHeight="1">
      <c r="A1447" s="251" t="s">
        <v>1352</v>
      </c>
      <c r="B1447" s="252" t="s">
        <v>3712</v>
      </c>
      <c r="C1447" s="254" t="s">
        <v>1168</v>
      </c>
      <c r="D1447" s="252" t="s">
        <v>1357</v>
      </c>
      <c r="E1447" s="252" t="s">
        <v>1094</v>
      </c>
      <c r="F1447" s="252" t="s">
        <v>889</v>
      </c>
      <c r="G1447" s="255">
        <v>613.16399999999999</v>
      </c>
    </row>
    <row r="1448" spans="1:7" s="108" customFormat="1" ht="14.1" customHeight="1">
      <c r="A1448" s="251" t="s">
        <v>1352</v>
      </c>
      <c r="B1448" s="252" t="s">
        <v>3713</v>
      </c>
      <c r="C1448" s="254" t="s">
        <v>968</v>
      </c>
      <c r="D1448" s="252" t="s">
        <v>1322</v>
      </c>
      <c r="E1448" s="252" t="s">
        <v>918</v>
      </c>
      <c r="F1448" s="252" t="s">
        <v>889</v>
      </c>
      <c r="G1448" s="255"/>
    </row>
    <row r="1449" spans="1:7" s="108" customFormat="1" ht="14.1" customHeight="1">
      <c r="A1449" s="251" t="s">
        <v>1352</v>
      </c>
      <c r="B1449" s="252" t="s">
        <v>3714</v>
      </c>
      <c r="C1449" s="254" t="s">
        <v>968</v>
      </c>
      <c r="D1449" s="252" t="s">
        <v>3715</v>
      </c>
      <c r="E1449" s="252" t="s">
        <v>907</v>
      </c>
      <c r="F1449" s="252" t="s">
        <v>889</v>
      </c>
      <c r="G1449" s="255"/>
    </row>
    <row r="1450" spans="1:7" s="108" customFormat="1" ht="14.1" customHeight="1">
      <c r="A1450" s="251" t="s">
        <v>1352</v>
      </c>
      <c r="B1450" s="252" t="s">
        <v>3716</v>
      </c>
      <c r="C1450" s="254" t="s">
        <v>968</v>
      </c>
      <c r="D1450" s="252" t="s">
        <v>3717</v>
      </c>
      <c r="E1450" s="252" t="s">
        <v>918</v>
      </c>
      <c r="F1450" s="252" t="s">
        <v>889</v>
      </c>
      <c r="G1450" s="255"/>
    </row>
    <row r="1451" spans="1:7" s="108" customFormat="1" ht="14.1" customHeight="1">
      <c r="A1451" s="251" t="s">
        <v>1352</v>
      </c>
      <c r="B1451" s="252" t="s">
        <v>3718</v>
      </c>
      <c r="C1451" s="254" t="s">
        <v>968</v>
      </c>
      <c r="D1451" s="252" t="s">
        <v>1741</v>
      </c>
      <c r="E1451" s="252" t="s">
        <v>984</v>
      </c>
      <c r="F1451" s="252" t="s">
        <v>889</v>
      </c>
      <c r="G1451" s="255"/>
    </row>
    <row r="1452" spans="1:7" s="108" customFormat="1" ht="14.1" customHeight="1">
      <c r="A1452" s="251" t="s">
        <v>1352</v>
      </c>
      <c r="B1452" s="252" t="s">
        <v>3719</v>
      </c>
      <c r="C1452" s="254" t="s">
        <v>1032</v>
      </c>
      <c r="D1452" s="252" t="s">
        <v>1355</v>
      </c>
      <c r="E1452" s="252" t="s">
        <v>907</v>
      </c>
      <c r="F1452" s="252" t="s">
        <v>889</v>
      </c>
      <c r="G1452" s="255">
        <v>31</v>
      </c>
    </row>
    <row r="1453" spans="1:7" s="108" customFormat="1" ht="14.1" customHeight="1">
      <c r="A1453" s="251" t="s">
        <v>1352</v>
      </c>
      <c r="B1453" s="252" t="s">
        <v>3720</v>
      </c>
      <c r="C1453" s="254" t="s">
        <v>1150</v>
      </c>
      <c r="D1453" s="252" t="s">
        <v>1356</v>
      </c>
      <c r="E1453" s="252" t="s">
        <v>888</v>
      </c>
      <c r="F1453" s="252" t="s">
        <v>931</v>
      </c>
      <c r="G1453" s="255">
        <v>77.308000000000007</v>
      </c>
    </row>
    <row r="1454" spans="1:7" s="108" customFormat="1" ht="14.1" customHeight="1">
      <c r="A1454" s="251" t="s">
        <v>1352</v>
      </c>
      <c r="B1454" s="252" t="s">
        <v>3721</v>
      </c>
      <c r="C1454" s="254" t="s">
        <v>1018</v>
      </c>
      <c r="D1454" s="252" t="s">
        <v>1780</v>
      </c>
      <c r="E1454" s="252" t="s">
        <v>907</v>
      </c>
      <c r="F1454" s="252" t="s">
        <v>889</v>
      </c>
      <c r="G1454" s="255"/>
    </row>
    <row r="1455" spans="1:7" s="108" customFormat="1" ht="14.1" customHeight="1">
      <c r="A1455" s="251" t="s">
        <v>1352</v>
      </c>
      <c r="B1455" s="252" t="s">
        <v>3722</v>
      </c>
      <c r="C1455" s="254" t="s">
        <v>917</v>
      </c>
      <c r="D1455" s="252" t="s">
        <v>1354</v>
      </c>
      <c r="E1455" s="252" t="s">
        <v>918</v>
      </c>
      <c r="F1455" s="252" t="s">
        <v>913</v>
      </c>
      <c r="G1455" s="255">
        <v>24.754999999999999</v>
      </c>
    </row>
    <row r="1456" spans="1:7" s="108" customFormat="1" ht="14.1" customHeight="1">
      <c r="A1456" s="251" t="s">
        <v>1352</v>
      </c>
      <c r="B1456" s="252" t="s">
        <v>3723</v>
      </c>
      <c r="C1456" s="254" t="s">
        <v>917</v>
      </c>
      <c r="D1456" s="252" t="s">
        <v>3724</v>
      </c>
      <c r="E1456" s="252" t="s">
        <v>918</v>
      </c>
      <c r="F1456" s="252" t="s">
        <v>889</v>
      </c>
      <c r="G1456" s="255"/>
    </row>
    <row r="1457" spans="1:7" s="108" customFormat="1" ht="14.1" customHeight="1">
      <c r="A1457" s="251" t="s">
        <v>1352</v>
      </c>
      <c r="B1457" s="252" t="s">
        <v>3725</v>
      </c>
      <c r="C1457" s="254" t="s">
        <v>1037</v>
      </c>
      <c r="D1457" s="252" t="s">
        <v>1036</v>
      </c>
      <c r="E1457" s="252" t="s">
        <v>888</v>
      </c>
      <c r="F1457" s="252" t="s">
        <v>889</v>
      </c>
      <c r="G1457" s="255"/>
    </row>
    <row r="1458" spans="1:7" s="108" customFormat="1" ht="14.1" customHeight="1">
      <c r="A1458" s="251" t="s">
        <v>1352</v>
      </c>
      <c r="B1458" s="252" t="s">
        <v>3726</v>
      </c>
      <c r="C1458" s="254" t="s">
        <v>1246</v>
      </c>
      <c r="D1458" s="252" t="s">
        <v>1353</v>
      </c>
      <c r="E1458" s="252" t="s">
        <v>907</v>
      </c>
      <c r="F1458" s="252" t="s">
        <v>889</v>
      </c>
      <c r="G1458" s="255">
        <v>6.78</v>
      </c>
    </row>
    <row r="1459" spans="1:7" s="108" customFormat="1" ht="14.1" customHeight="1">
      <c r="A1459" s="251" t="s">
        <v>1352</v>
      </c>
      <c r="B1459" s="252" t="s">
        <v>3727</v>
      </c>
      <c r="C1459" s="254" t="s">
        <v>1246</v>
      </c>
      <c r="D1459" s="252" t="s">
        <v>3728</v>
      </c>
      <c r="E1459" s="252" t="s">
        <v>888</v>
      </c>
      <c r="F1459" s="252" t="s">
        <v>889</v>
      </c>
      <c r="G1459" s="255"/>
    </row>
    <row r="1460" spans="1:7" s="108" customFormat="1" ht="14.1" customHeight="1">
      <c r="A1460" s="251" t="s">
        <v>1424</v>
      </c>
      <c r="B1460" s="252" t="s">
        <v>3729</v>
      </c>
      <c r="C1460" s="254" t="s">
        <v>1146</v>
      </c>
      <c r="D1460" s="252" t="s">
        <v>1427</v>
      </c>
      <c r="E1460" s="252" t="s">
        <v>895</v>
      </c>
      <c r="F1460" s="252" t="s">
        <v>892</v>
      </c>
      <c r="G1460" s="255">
        <v>2.1560000000000001</v>
      </c>
    </row>
    <row r="1461" spans="1:7" s="108" customFormat="1" ht="14.1" customHeight="1">
      <c r="A1461" s="251" t="s">
        <v>1424</v>
      </c>
      <c r="B1461" s="252" t="s">
        <v>3730</v>
      </c>
      <c r="C1461" s="254" t="s">
        <v>1168</v>
      </c>
      <c r="D1461" s="252" t="s">
        <v>3731</v>
      </c>
      <c r="E1461" s="252" t="s">
        <v>891</v>
      </c>
      <c r="F1461" s="252" t="s">
        <v>889</v>
      </c>
      <c r="G1461" s="255"/>
    </row>
    <row r="1462" spans="1:7" s="108" customFormat="1" ht="14.1" customHeight="1">
      <c r="A1462" s="251" t="s">
        <v>1424</v>
      </c>
      <c r="B1462" s="252" t="s">
        <v>3732</v>
      </c>
      <c r="C1462" s="254" t="s">
        <v>968</v>
      </c>
      <c r="D1462" s="252" t="s">
        <v>1741</v>
      </c>
      <c r="E1462" s="252" t="s">
        <v>984</v>
      </c>
      <c r="F1462" s="252" t="s">
        <v>889</v>
      </c>
      <c r="G1462" s="255"/>
    </row>
    <row r="1463" spans="1:7" s="108" customFormat="1" ht="14.1" customHeight="1">
      <c r="A1463" s="251" t="s">
        <v>1424</v>
      </c>
      <c r="B1463" s="252" t="s">
        <v>3733</v>
      </c>
      <c r="C1463" s="254" t="s">
        <v>1046</v>
      </c>
      <c r="D1463" s="252" t="s">
        <v>1428</v>
      </c>
      <c r="E1463" s="252" t="s">
        <v>918</v>
      </c>
      <c r="F1463" s="252" t="s">
        <v>889</v>
      </c>
      <c r="G1463" s="255">
        <v>2.2850000000000001</v>
      </c>
    </row>
    <row r="1464" spans="1:7" s="108" customFormat="1" ht="14.1" customHeight="1">
      <c r="A1464" s="251" t="s">
        <v>1424</v>
      </c>
      <c r="B1464" s="252" t="s">
        <v>3344</v>
      </c>
      <c r="C1464" s="254" t="s">
        <v>986</v>
      </c>
      <c r="D1464" s="252" t="s">
        <v>2416</v>
      </c>
      <c r="E1464" s="252" t="s">
        <v>888</v>
      </c>
      <c r="F1464" s="252" t="s">
        <v>892</v>
      </c>
      <c r="G1464" s="255"/>
    </row>
    <row r="1465" spans="1:7" s="108" customFormat="1" ht="14.1" customHeight="1">
      <c r="A1465" s="251" t="s">
        <v>1424</v>
      </c>
      <c r="B1465" s="252" t="s">
        <v>3734</v>
      </c>
      <c r="C1465" s="254" t="s">
        <v>887</v>
      </c>
      <c r="D1465" s="252" t="s">
        <v>1425</v>
      </c>
      <c r="E1465" s="252" t="s">
        <v>895</v>
      </c>
      <c r="F1465" s="252" t="s">
        <v>889</v>
      </c>
      <c r="G1465" s="255">
        <v>0.193</v>
      </c>
    </row>
    <row r="1466" spans="1:7" s="108" customFormat="1" ht="14.1" customHeight="1">
      <c r="A1466" s="251" t="s">
        <v>1424</v>
      </c>
      <c r="B1466" s="252" t="s">
        <v>3735</v>
      </c>
      <c r="C1466" s="254" t="s">
        <v>917</v>
      </c>
      <c r="D1466" s="252" t="s">
        <v>3736</v>
      </c>
      <c r="E1466" s="252" t="s">
        <v>918</v>
      </c>
      <c r="F1466" s="252" t="s">
        <v>889</v>
      </c>
      <c r="G1466" s="255"/>
    </row>
    <row r="1467" spans="1:7" s="108" customFormat="1" ht="14.1" customHeight="1">
      <c r="A1467" s="251" t="s">
        <v>1424</v>
      </c>
      <c r="B1467" s="252" t="s">
        <v>3737</v>
      </c>
      <c r="C1467" s="254" t="s">
        <v>917</v>
      </c>
      <c r="D1467" s="252" t="s">
        <v>3738</v>
      </c>
      <c r="E1467" s="252" t="s">
        <v>918</v>
      </c>
      <c r="F1467" s="252" t="s">
        <v>889</v>
      </c>
      <c r="G1467" s="255"/>
    </row>
    <row r="1468" spans="1:7" s="108" customFormat="1" ht="14.1" customHeight="1">
      <c r="A1468" s="251" t="s">
        <v>1424</v>
      </c>
      <c r="B1468" s="252" t="s">
        <v>3739</v>
      </c>
      <c r="C1468" s="254" t="s">
        <v>894</v>
      </c>
      <c r="D1468" s="252" t="s">
        <v>1426</v>
      </c>
      <c r="E1468" s="252" t="s">
        <v>925</v>
      </c>
      <c r="F1468" s="252" t="s">
        <v>892</v>
      </c>
      <c r="G1468" s="255">
        <v>0.76600000000000001</v>
      </c>
    </row>
    <row r="1469" spans="1:7" s="108" customFormat="1" ht="14.1" customHeight="1">
      <c r="A1469" s="251" t="s">
        <v>1424</v>
      </c>
      <c r="B1469" s="252" t="s">
        <v>3740</v>
      </c>
      <c r="C1469" s="254" t="s">
        <v>3690</v>
      </c>
      <c r="D1469" s="252" t="s">
        <v>3741</v>
      </c>
      <c r="E1469" s="252" t="s">
        <v>888</v>
      </c>
      <c r="F1469" s="252" t="s">
        <v>889</v>
      </c>
      <c r="G1469" s="255"/>
    </row>
    <row r="1470" spans="1:7" s="108" customFormat="1" ht="14.1" customHeight="1">
      <c r="A1470" s="251" t="s">
        <v>1424</v>
      </c>
      <c r="B1470" s="252" t="s">
        <v>3742</v>
      </c>
      <c r="C1470" s="254" t="s">
        <v>911</v>
      </c>
      <c r="D1470" s="252" t="s">
        <v>1429</v>
      </c>
      <c r="E1470" s="252" t="s">
        <v>959</v>
      </c>
      <c r="F1470" s="252" t="s">
        <v>889</v>
      </c>
      <c r="G1470" s="255">
        <v>60</v>
      </c>
    </row>
    <row r="1471" spans="1:7" s="108" customFormat="1" ht="14.1" customHeight="1">
      <c r="A1471" s="251" t="s">
        <v>3743</v>
      </c>
      <c r="B1471" s="252" t="s">
        <v>3744</v>
      </c>
      <c r="C1471" s="254" t="s">
        <v>897</v>
      </c>
      <c r="D1471" s="252" t="s">
        <v>2456</v>
      </c>
      <c r="E1471" s="252" t="s">
        <v>888</v>
      </c>
      <c r="F1471" s="252" t="s">
        <v>889</v>
      </c>
      <c r="G1471" s="255"/>
    </row>
    <row r="1472" spans="1:7" s="108" customFormat="1" ht="14.1" customHeight="1">
      <c r="A1472" s="251" t="s">
        <v>3743</v>
      </c>
      <c r="B1472" s="252" t="s">
        <v>3745</v>
      </c>
      <c r="C1472" s="254" t="s">
        <v>906</v>
      </c>
      <c r="D1472" s="252" t="s">
        <v>3746</v>
      </c>
      <c r="E1472" s="252" t="s">
        <v>3747</v>
      </c>
      <c r="F1472" s="252" t="s">
        <v>1794</v>
      </c>
      <c r="G1472" s="255"/>
    </row>
    <row r="1473" spans="1:7" s="108" customFormat="1" ht="14.1" customHeight="1">
      <c r="A1473" s="251" t="s">
        <v>1571</v>
      </c>
      <c r="B1473" s="252" t="s">
        <v>2311</v>
      </c>
      <c r="C1473" s="254" t="s">
        <v>968</v>
      </c>
      <c r="D1473" s="252" t="s">
        <v>886</v>
      </c>
      <c r="E1473" s="252" t="s">
        <v>888</v>
      </c>
      <c r="F1473" s="252" t="s">
        <v>889</v>
      </c>
      <c r="G1473" s="255"/>
    </row>
    <row r="1474" spans="1:7" s="108" customFormat="1" ht="14.1" customHeight="1">
      <c r="A1474" s="251" t="s">
        <v>1571</v>
      </c>
      <c r="B1474" s="252" t="s">
        <v>3748</v>
      </c>
      <c r="C1474" s="254" t="s">
        <v>968</v>
      </c>
      <c r="D1474" s="252" t="s">
        <v>1996</v>
      </c>
      <c r="E1474" s="252" t="s">
        <v>888</v>
      </c>
      <c r="F1474" s="252" t="s">
        <v>889</v>
      </c>
      <c r="G1474" s="255"/>
    </row>
    <row r="1475" spans="1:7" s="108" customFormat="1" ht="14.1" customHeight="1">
      <c r="A1475" s="251" t="s">
        <v>1571</v>
      </c>
      <c r="B1475" s="252" t="s">
        <v>3749</v>
      </c>
      <c r="C1475" s="254" t="s">
        <v>1030</v>
      </c>
      <c r="D1475" s="252" t="s">
        <v>886</v>
      </c>
      <c r="E1475" s="252" t="s">
        <v>929</v>
      </c>
      <c r="F1475" s="252" t="s">
        <v>1794</v>
      </c>
      <c r="G1475" s="255"/>
    </row>
    <row r="1476" spans="1:7" s="108" customFormat="1" ht="14.1" customHeight="1">
      <c r="A1476" s="251" t="s">
        <v>1571</v>
      </c>
      <c r="B1476" s="252" t="s">
        <v>3749</v>
      </c>
      <c r="C1476" s="254" t="s">
        <v>1030</v>
      </c>
      <c r="D1476" s="252" t="s">
        <v>3750</v>
      </c>
      <c r="E1476" s="252" t="s">
        <v>929</v>
      </c>
      <c r="F1476" s="252" t="s">
        <v>1794</v>
      </c>
      <c r="G1476" s="255"/>
    </row>
    <row r="1477" spans="1:7" s="108" customFormat="1" ht="14.1" customHeight="1">
      <c r="A1477" s="251" t="s">
        <v>1571</v>
      </c>
      <c r="B1477" s="252" t="s">
        <v>3751</v>
      </c>
      <c r="C1477" s="254" t="s">
        <v>938</v>
      </c>
      <c r="D1477" s="252" t="s">
        <v>3752</v>
      </c>
      <c r="E1477" s="252" t="s">
        <v>888</v>
      </c>
      <c r="F1477" s="252" t="s">
        <v>889</v>
      </c>
      <c r="G1477" s="255"/>
    </row>
    <row r="1478" spans="1:7" s="108" customFormat="1" ht="14.1" customHeight="1">
      <c r="A1478" s="251" t="s">
        <v>1571</v>
      </c>
      <c r="B1478" s="252" t="s">
        <v>3751</v>
      </c>
      <c r="C1478" s="254" t="s">
        <v>938</v>
      </c>
      <c r="D1478" s="252" t="s">
        <v>3753</v>
      </c>
      <c r="E1478" s="252" t="s">
        <v>904</v>
      </c>
      <c r="F1478" s="252" t="s">
        <v>3658</v>
      </c>
      <c r="G1478" s="255"/>
    </row>
    <row r="1479" spans="1:7" s="108" customFormat="1" ht="14.1" customHeight="1">
      <c r="A1479" s="251" t="s">
        <v>1571</v>
      </c>
      <c r="B1479" s="252" t="s">
        <v>3754</v>
      </c>
      <c r="C1479" s="254" t="s">
        <v>1088</v>
      </c>
      <c r="D1479" s="252" t="s">
        <v>3755</v>
      </c>
      <c r="E1479" s="252" t="s">
        <v>907</v>
      </c>
      <c r="F1479" s="252" t="s">
        <v>889</v>
      </c>
      <c r="G1479" s="255"/>
    </row>
    <row r="1480" spans="1:7" s="108" customFormat="1" ht="14.1" customHeight="1">
      <c r="A1480" s="251" t="s">
        <v>1571</v>
      </c>
      <c r="B1480" s="252" t="s">
        <v>3756</v>
      </c>
      <c r="C1480" s="254" t="s">
        <v>906</v>
      </c>
      <c r="D1480" s="252" t="s">
        <v>2170</v>
      </c>
      <c r="E1480" s="252" t="s">
        <v>888</v>
      </c>
      <c r="F1480" s="252" t="s">
        <v>931</v>
      </c>
      <c r="G1480" s="255"/>
    </row>
    <row r="1481" spans="1:7" s="108" customFormat="1" ht="14.1" customHeight="1">
      <c r="A1481" s="251" t="s">
        <v>1571</v>
      </c>
      <c r="B1481" s="252" t="s">
        <v>3757</v>
      </c>
      <c r="C1481" s="254" t="s">
        <v>917</v>
      </c>
      <c r="D1481" s="252" t="s">
        <v>1574</v>
      </c>
      <c r="E1481" s="252" t="s">
        <v>918</v>
      </c>
      <c r="F1481" s="252" t="s">
        <v>889</v>
      </c>
      <c r="G1481" s="255">
        <v>143.57400000000001</v>
      </c>
    </row>
    <row r="1482" spans="1:7" s="108" customFormat="1" ht="14.1" customHeight="1">
      <c r="A1482" s="251" t="s">
        <v>1571</v>
      </c>
      <c r="B1482" s="252" t="s">
        <v>2447</v>
      </c>
      <c r="C1482" s="254" t="s">
        <v>917</v>
      </c>
      <c r="D1482" s="252" t="s">
        <v>3758</v>
      </c>
      <c r="E1482" s="252" t="s">
        <v>918</v>
      </c>
      <c r="F1482" s="252" t="s">
        <v>892</v>
      </c>
      <c r="G1482" s="255"/>
    </row>
    <row r="1483" spans="1:7" s="108" customFormat="1" ht="14.1" customHeight="1">
      <c r="A1483" s="251" t="s">
        <v>1571</v>
      </c>
      <c r="B1483" s="252" t="s">
        <v>3759</v>
      </c>
      <c r="C1483" s="254" t="s">
        <v>917</v>
      </c>
      <c r="D1483" s="252" t="s">
        <v>979</v>
      </c>
      <c r="E1483" s="252" t="s">
        <v>918</v>
      </c>
      <c r="F1483" s="252" t="s">
        <v>913</v>
      </c>
      <c r="G1483" s="255"/>
    </row>
    <row r="1484" spans="1:7" s="108" customFormat="1" ht="14.1" customHeight="1">
      <c r="A1484" s="251" t="s">
        <v>1571</v>
      </c>
      <c r="B1484" s="252" t="s">
        <v>3760</v>
      </c>
      <c r="C1484" s="254" t="s">
        <v>917</v>
      </c>
      <c r="D1484" s="252" t="s">
        <v>1517</v>
      </c>
      <c r="E1484" s="252" t="s">
        <v>918</v>
      </c>
      <c r="F1484" s="252" t="s">
        <v>889</v>
      </c>
      <c r="G1484" s="255">
        <v>5.2670000000000003</v>
      </c>
    </row>
    <row r="1485" spans="1:7" s="108" customFormat="1" ht="14.1" customHeight="1">
      <c r="A1485" s="251" t="s">
        <v>1571</v>
      </c>
      <c r="B1485" s="252" t="s">
        <v>3761</v>
      </c>
      <c r="C1485" s="254" t="s">
        <v>917</v>
      </c>
      <c r="D1485" s="252" t="s">
        <v>1573</v>
      </c>
      <c r="E1485" s="252" t="s">
        <v>929</v>
      </c>
      <c r="F1485" s="252" t="s">
        <v>892</v>
      </c>
      <c r="G1485" s="255">
        <v>1.5269999999999999</v>
      </c>
    </row>
    <row r="1486" spans="1:7" s="108" customFormat="1" ht="14.1" customHeight="1">
      <c r="A1486" s="251" t="s">
        <v>1571</v>
      </c>
      <c r="B1486" s="252" t="s">
        <v>3762</v>
      </c>
      <c r="C1486" s="254" t="s">
        <v>894</v>
      </c>
      <c r="D1486" s="252" t="s">
        <v>3608</v>
      </c>
      <c r="E1486" s="252" t="s">
        <v>888</v>
      </c>
      <c r="F1486" s="252" t="s">
        <v>892</v>
      </c>
      <c r="G1486" s="255"/>
    </row>
    <row r="1487" spans="1:7" s="108" customFormat="1" ht="14.1" customHeight="1">
      <c r="A1487" s="251" t="s">
        <v>1571</v>
      </c>
      <c r="B1487" s="252" t="s">
        <v>3763</v>
      </c>
      <c r="C1487" s="254" t="s">
        <v>1246</v>
      </c>
      <c r="D1487" s="252" t="s">
        <v>1572</v>
      </c>
      <c r="E1487" s="252" t="s">
        <v>888</v>
      </c>
      <c r="F1487" s="252" t="s">
        <v>889</v>
      </c>
      <c r="G1487" s="255">
        <v>1.333</v>
      </c>
    </row>
    <row r="1488" spans="1:7" s="108" customFormat="1" ht="14.1" customHeight="1">
      <c r="A1488" s="251" t="s">
        <v>1571</v>
      </c>
      <c r="B1488" s="252" t="s">
        <v>3764</v>
      </c>
      <c r="C1488" s="254" t="s">
        <v>1246</v>
      </c>
      <c r="D1488" s="252" t="s">
        <v>2440</v>
      </c>
      <c r="E1488" s="252" t="s">
        <v>888</v>
      </c>
      <c r="F1488" s="252" t="s">
        <v>889</v>
      </c>
      <c r="G1488" s="255"/>
    </row>
    <row r="1489" spans="1:7" s="108" customFormat="1" ht="14.1" customHeight="1">
      <c r="A1489" s="251" t="s">
        <v>1571</v>
      </c>
      <c r="B1489" s="252" t="s">
        <v>3765</v>
      </c>
      <c r="C1489" s="254" t="s">
        <v>983</v>
      </c>
      <c r="D1489" s="252" t="s">
        <v>3229</v>
      </c>
      <c r="E1489" s="252" t="s">
        <v>1024</v>
      </c>
      <c r="F1489" s="252" t="s">
        <v>889</v>
      </c>
      <c r="G1489" s="255"/>
    </row>
    <row r="1490" spans="1:7" s="108" customFormat="1" ht="14.1" customHeight="1">
      <c r="A1490" s="251" t="s">
        <v>1651</v>
      </c>
      <c r="B1490" s="252" t="s">
        <v>3766</v>
      </c>
      <c r="C1490" s="254" t="s">
        <v>1051</v>
      </c>
      <c r="D1490" s="252" t="s">
        <v>1662</v>
      </c>
      <c r="E1490" s="252" t="s">
        <v>888</v>
      </c>
      <c r="F1490" s="252" t="s">
        <v>889</v>
      </c>
      <c r="G1490" s="255"/>
    </row>
    <row r="1491" spans="1:7" s="108" customFormat="1" ht="14.1" customHeight="1">
      <c r="A1491" s="251" t="s">
        <v>1651</v>
      </c>
      <c r="B1491" s="252" t="s">
        <v>3767</v>
      </c>
      <c r="C1491" s="254" t="s">
        <v>1030</v>
      </c>
      <c r="D1491" s="252" t="s">
        <v>1653</v>
      </c>
      <c r="E1491" s="252" t="s">
        <v>907</v>
      </c>
      <c r="F1491" s="252" t="s">
        <v>889</v>
      </c>
      <c r="G1491" s="255">
        <v>1651.155</v>
      </c>
    </row>
    <row r="1492" spans="1:7" s="108" customFormat="1" ht="14.1" customHeight="1">
      <c r="A1492" s="251" t="s">
        <v>1651</v>
      </c>
      <c r="B1492" s="252" t="s">
        <v>3768</v>
      </c>
      <c r="C1492" s="254" t="s">
        <v>1150</v>
      </c>
      <c r="D1492" s="252" t="s">
        <v>3769</v>
      </c>
      <c r="E1492" s="252" t="s">
        <v>939</v>
      </c>
      <c r="F1492" s="252" t="s">
        <v>889</v>
      </c>
      <c r="G1492" s="255"/>
    </row>
    <row r="1493" spans="1:7" s="108" customFormat="1" ht="14.1" customHeight="1">
      <c r="A1493" s="251" t="s">
        <v>1651</v>
      </c>
      <c r="B1493" s="252" t="s">
        <v>3770</v>
      </c>
      <c r="C1493" s="254" t="s">
        <v>986</v>
      </c>
      <c r="D1493" s="252" t="s">
        <v>3771</v>
      </c>
      <c r="E1493" s="252" t="s">
        <v>895</v>
      </c>
      <c r="F1493" s="252" t="s">
        <v>889</v>
      </c>
      <c r="G1493" s="255"/>
    </row>
    <row r="1494" spans="1:7" s="108" customFormat="1" ht="14.1" customHeight="1">
      <c r="A1494" s="251" t="s">
        <v>1651</v>
      </c>
      <c r="B1494" s="252" t="s">
        <v>3772</v>
      </c>
      <c r="C1494" s="254" t="s">
        <v>917</v>
      </c>
      <c r="D1494" s="252" t="s">
        <v>1585</v>
      </c>
      <c r="E1494" s="252" t="s">
        <v>888</v>
      </c>
      <c r="F1494" s="252" t="s">
        <v>913</v>
      </c>
      <c r="G1494" s="255">
        <v>2</v>
      </c>
    </row>
    <row r="1495" spans="1:7" s="108" customFormat="1" ht="14.1" customHeight="1">
      <c r="A1495" s="251" t="s">
        <v>1651</v>
      </c>
      <c r="B1495" s="252" t="s">
        <v>3773</v>
      </c>
      <c r="C1495" s="254" t="s">
        <v>917</v>
      </c>
      <c r="D1495" s="252" t="s">
        <v>1643</v>
      </c>
      <c r="E1495" s="252" t="s">
        <v>918</v>
      </c>
      <c r="F1495" s="252" t="s">
        <v>889</v>
      </c>
      <c r="G1495" s="255">
        <v>0.67800000000000005</v>
      </c>
    </row>
    <row r="1496" spans="1:7" s="108" customFormat="1" ht="14.1" customHeight="1">
      <c r="A1496" s="251" t="s">
        <v>1651</v>
      </c>
      <c r="B1496" s="252" t="s">
        <v>3774</v>
      </c>
      <c r="C1496" s="254" t="s">
        <v>917</v>
      </c>
      <c r="D1496" s="252" t="s">
        <v>3775</v>
      </c>
      <c r="E1496" s="252" t="s">
        <v>929</v>
      </c>
      <c r="F1496" s="252" t="s">
        <v>889</v>
      </c>
      <c r="G1496" s="255"/>
    </row>
    <row r="1497" spans="1:7" s="108" customFormat="1" ht="14.1" customHeight="1">
      <c r="A1497" s="251" t="s">
        <v>1651</v>
      </c>
      <c r="B1497" s="252" t="s">
        <v>3776</v>
      </c>
      <c r="C1497" s="254" t="s">
        <v>917</v>
      </c>
      <c r="D1497" s="252" t="s">
        <v>1652</v>
      </c>
      <c r="E1497" s="252" t="s">
        <v>929</v>
      </c>
      <c r="F1497" s="252" t="s">
        <v>889</v>
      </c>
      <c r="G1497" s="255">
        <v>0.502</v>
      </c>
    </row>
    <row r="1498" spans="1:7" s="108" customFormat="1" ht="14.1" customHeight="1">
      <c r="A1498" s="251" t="s">
        <v>1651</v>
      </c>
      <c r="B1498" s="252" t="s">
        <v>3777</v>
      </c>
      <c r="C1498" s="254" t="s">
        <v>917</v>
      </c>
      <c r="D1498" s="252" t="s">
        <v>1661</v>
      </c>
      <c r="E1498" s="252" t="s">
        <v>939</v>
      </c>
      <c r="F1498" s="252" t="s">
        <v>892</v>
      </c>
      <c r="G1498" s="255"/>
    </row>
    <row r="1499" spans="1:7" s="108" customFormat="1" ht="14.1" customHeight="1">
      <c r="A1499" s="251" t="s">
        <v>1651</v>
      </c>
      <c r="B1499" s="252" t="s">
        <v>3778</v>
      </c>
      <c r="C1499" s="254" t="s">
        <v>911</v>
      </c>
      <c r="D1499" s="252" t="s">
        <v>886</v>
      </c>
      <c r="E1499" s="252" t="s">
        <v>939</v>
      </c>
      <c r="F1499" s="252" t="s">
        <v>889</v>
      </c>
      <c r="G1499" s="255">
        <v>4</v>
      </c>
    </row>
    <row r="1500" spans="1:7" s="108" customFormat="1" ht="14.1" customHeight="1">
      <c r="A1500" s="251" t="s">
        <v>1651</v>
      </c>
      <c r="B1500" s="252" t="s">
        <v>3779</v>
      </c>
      <c r="C1500" s="254" t="s">
        <v>1000</v>
      </c>
      <c r="D1500" s="252" t="s">
        <v>2458</v>
      </c>
      <c r="E1500" s="252" t="s">
        <v>888</v>
      </c>
      <c r="F1500" s="252" t="s">
        <v>889</v>
      </c>
      <c r="G1500" s="255"/>
    </row>
    <row r="1501" spans="1:7" s="108" customFormat="1" ht="14.1" customHeight="1">
      <c r="A1501" s="251" t="s">
        <v>1651</v>
      </c>
      <c r="B1501" s="252" t="s">
        <v>3780</v>
      </c>
      <c r="C1501" s="254" t="s">
        <v>1000</v>
      </c>
      <c r="D1501" s="252" t="s">
        <v>3781</v>
      </c>
      <c r="E1501" s="252" t="s">
        <v>1021</v>
      </c>
      <c r="F1501" s="252" t="s">
        <v>892</v>
      </c>
      <c r="G1501" s="255"/>
    </row>
    <row r="1502" spans="1:7" s="108" customFormat="1" ht="14.1" customHeight="1">
      <c r="A1502" s="251" t="s">
        <v>976</v>
      </c>
      <c r="B1502" s="252" t="s">
        <v>3782</v>
      </c>
      <c r="C1502" s="254" t="s">
        <v>968</v>
      </c>
      <c r="D1502" s="252" t="s">
        <v>3783</v>
      </c>
      <c r="E1502" s="252" t="s">
        <v>888</v>
      </c>
      <c r="F1502" s="252" t="s">
        <v>889</v>
      </c>
      <c r="G1502" s="255"/>
    </row>
    <row r="1503" spans="1:7" s="108" customFormat="1" ht="14.1" customHeight="1">
      <c r="A1503" s="251" t="s">
        <v>976</v>
      </c>
      <c r="B1503" s="252" t="s">
        <v>3784</v>
      </c>
      <c r="C1503" s="254" t="s">
        <v>906</v>
      </c>
      <c r="D1503" s="252" t="s">
        <v>3785</v>
      </c>
      <c r="E1503" s="252" t="s">
        <v>1010</v>
      </c>
      <c r="F1503" s="252" t="s">
        <v>889</v>
      </c>
      <c r="G1503" s="255"/>
    </row>
    <row r="1504" spans="1:7" s="108" customFormat="1" ht="14.1" customHeight="1">
      <c r="A1504" s="251" t="s">
        <v>976</v>
      </c>
      <c r="B1504" s="252" t="s">
        <v>3786</v>
      </c>
      <c r="C1504" s="254" t="s">
        <v>1150</v>
      </c>
      <c r="D1504" s="252" t="s">
        <v>3787</v>
      </c>
      <c r="E1504" s="252" t="s">
        <v>888</v>
      </c>
      <c r="F1504" s="252" t="s">
        <v>889</v>
      </c>
      <c r="G1504" s="255"/>
    </row>
    <row r="1505" spans="1:7" s="108" customFormat="1" ht="14.1" customHeight="1">
      <c r="A1505" s="251" t="s">
        <v>976</v>
      </c>
      <c r="B1505" s="252" t="s">
        <v>3788</v>
      </c>
      <c r="C1505" s="254" t="s">
        <v>986</v>
      </c>
      <c r="D1505" s="252" t="s">
        <v>985</v>
      </c>
      <c r="E1505" s="252" t="s">
        <v>918</v>
      </c>
      <c r="F1505" s="252" t="s">
        <v>889</v>
      </c>
      <c r="G1505" s="255">
        <v>240</v>
      </c>
    </row>
    <row r="1506" spans="1:7" s="108" customFormat="1" ht="14.1" customHeight="1">
      <c r="A1506" s="251" t="s">
        <v>976</v>
      </c>
      <c r="B1506" s="252" t="s">
        <v>3789</v>
      </c>
      <c r="C1506" s="254" t="s">
        <v>887</v>
      </c>
      <c r="D1506" s="252" t="s">
        <v>3790</v>
      </c>
      <c r="E1506" s="252" t="s">
        <v>888</v>
      </c>
      <c r="F1506" s="252" t="s">
        <v>889</v>
      </c>
      <c r="G1506" s="255"/>
    </row>
    <row r="1507" spans="1:7" s="108" customFormat="1" ht="14.1" customHeight="1">
      <c r="A1507" s="251" t="s">
        <v>976</v>
      </c>
      <c r="B1507" s="252" t="s">
        <v>3791</v>
      </c>
      <c r="C1507" s="254" t="s">
        <v>890</v>
      </c>
      <c r="D1507" s="252" t="s">
        <v>980</v>
      </c>
      <c r="E1507" s="252" t="s">
        <v>904</v>
      </c>
      <c r="F1507" s="252" t="s">
        <v>889</v>
      </c>
      <c r="G1507" s="255">
        <v>7.7</v>
      </c>
    </row>
    <row r="1508" spans="1:7" s="108" customFormat="1" ht="14.1" customHeight="1">
      <c r="A1508" s="251" t="s">
        <v>976</v>
      </c>
      <c r="B1508" s="252" t="s">
        <v>3792</v>
      </c>
      <c r="C1508" s="254" t="s">
        <v>917</v>
      </c>
      <c r="D1508" s="252" t="s">
        <v>978</v>
      </c>
      <c r="E1508" s="252" t="s">
        <v>888</v>
      </c>
      <c r="F1508" s="252" t="s">
        <v>892</v>
      </c>
      <c r="G1508" s="255">
        <v>5</v>
      </c>
    </row>
    <row r="1509" spans="1:7" s="108" customFormat="1" ht="14.1" customHeight="1">
      <c r="A1509" s="251" t="s">
        <v>976</v>
      </c>
      <c r="B1509" s="252" t="s">
        <v>3793</v>
      </c>
      <c r="C1509" s="254" t="s">
        <v>917</v>
      </c>
      <c r="D1509" s="252" t="s">
        <v>981</v>
      </c>
      <c r="E1509" s="252" t="s">
        <v>888</v>
      </c>
      <c r="F1509" s="252" t="s">
        <v>913</v>
      </c>
      <c r="G1509" s="255">
        <v>8.5</v>
      </c>
    </row>
    <row r="1510" spans="1:7" s="108" customFormat="1" ht="14.1" customHeight="1">
      <c r="A1510" s="251" t="s">
        <v>976</v>
      </c>
      <c r="B1510" s="252" t="s">
        <v>3794</v>
      </c>
      <c r="C1510" s="254" t="s">
        <v>917</v>
      </c>
      <c r="D1510" s="252" t="s">
        <v>979</v>
      </c>
      <c r="E1510" s="252" t="s">
        <v>918</v>
      </c>
      <c r="F1510" s="252" t="s">
        <v>889</v>
      </c>
      <c r="G1510" s="255">
        <v>37.808999999999997</v>
      </c>
    </row>
    <row r="1511" spans="1:7" s="108" customFormat="1" ht="14.1" customHeight="1">
      <c r="A1511" s="251" t="s">
        <v>976</v>
      </c>
      <c r="B1511" s="252" t="s">
        <v>3794</v>
      </c>
      <c r="C1511" s="254" t="s">
        <v>917</v>
      </c>
      <c r="D1511" s="252" t="s">
        <v>979</v>
      </c>
      <c r="E1511" s="252" t="s">
        <v>918</v>
      </c>
      <c r="F1511" s="252" t="s">
        <v>913</v>
      </c>
      <c r="G1511" s="255">
        <v>5</v>
      </c>
    </row>
    <row r="1512" spans="1:7" s="108" customFormat="1" ht="14.1" customHeight="1">
      <c r="A1512" s="251" t="s">
        <v>976</v>
      </c>
      <c r="B1512" s="252" t="s">
        <v>3795</v>
      </c>
      <c r="C1512" s="254" t="s">
        <v>917</v>
      </c>
      <c r="D1512" s="252" t="s">
        <v>977</v>
      </c>
      <c r="E1512" s="252" t="s">
        <v>918</v>
      </c>
      <c r="F1512" s="252" t="s">
        <v>889</v>
      </c>
      <c r="G1512" s="255">
        <v>3.1230000000000002</v>
      </c>
    </row>
    <row r="1513" spans="1:7" s="108" customFormat="1" ht="14.1" customHeight="1">
      <c r="A1513" s="251" t="s">
        <v>976</v>
      </c>
      <c r="B1513" s="252" t="s">
        <v>3796</v>
      </c>
      <c r="C1513" s="254" t="s">
        <v>917</v>
      </c>
      <c r="D1513" s="252" t="s">
        <v>977</v>
      </c>
      <c r="E1513" s="252" t="s">
        <v>918</v>
      </c>
      <c r="F1513" s="252" t="s">
        <v>889</v>
      </c>
      <c r="G1513" s="255">
        <v>2.1040000000000001</v>
      </c>
    </row>
    <row r="1514" spans="1:7" s="108" customFormat="1" ht="14.1" customHeight="1">
      <c r="A1514" s="251" t="s">
        <v>976</v>
      </c>
      <c r="B1514" s="252" t="s">
        <v>3797</v>
      </c>
      <c r="C1514" s="254" t="s">
        <v>917</v>
      </c>
      <c r="D1514" s="252" t="s">
        <v>977</v>
      </c>
      <c r="E1514" s="252" t="s">
        <v>918</v>
      </c>
      <c r="F1514" s="252" t="s">
        <v>889</v>
      </c>
      <c r="G1514" s="255">
        <v>0.86099999999999999</v>
      </c>
    </row>
    <row r="1515" spans="1:7" s="108" customFormat="1" ht="14.1" customHeight="1">
      <c r="A1515" s="251" t="s">
        <v>976</v>
      </c>
      <c r="B1515" s="252" t="s">
        <v>3798</v>
      </c>
      <c r="C1515" s="254" t="s">
        <v>894</v>
      </c>
      <c r="D1515" s="252" t="s">
        <v>982</v>
      </c>
      <c r="E1515" s="252" t="s">
        <v>984</v>
      </c>
      <c r="F1515" s="252" t="s">
        <v>892</v>
      </c>
      <c r="G1515" s="255">
        <v>200</v>
      </c>
    </row>
    <row r="1516" spans="1:7" s="108" customFormat="1" ht="14.1" customHeight="1">
      <c r="A1516" s="251" t="s">
        <v>976</v>
      </c>
      <c r="B1516" s="252" t="s">
        <v>3798</v>
      </c>
      <c r="C1516" s="254" t="s">
        <v>894</v>
      </c>
      <c r="D1516" s="252" t="s">
        <v>3799</v>
      </c>
      <c r="E1516" s="252" t="s">
        <v>1268</v>
      </c>
      <c r="F1516" s="252" t="s">
        <v>892</v>
      </c>
      <c r="G1516" s="255"/>
    </row>
    <row r="1517" spans="1:7" s="108" customFormat="1" ht="14.1" customHeight="1">
      <c r="A1517" s="251" t="s">
        <v>976</v>
      </c>
      <c r="B1517" s="252" t="s">
        <v>3635</v>
      </c>
      <c r="C1517" s="254" t="s">
        <v>1037</v>
      </c>
      <c r="D1517" s="252" t="s">
        <v>987</v>
      </c>
      <c r="E1517" s="252" t="s">
        <v>888</v>
      </c>
      <c r="F1517" s="252" t="s">
        <v>892</v>
      </c>
      <c r="G1517" s="255">
        <v>345</v>
      </c>
    </row>
    <row r="1518" spans="1:7" s="108" customFormat="1" ht="14.1" customHeight="1">
      <c r="A1518" s="251" t="s">
        <v>976</v>
      </c>
      <c r="B1518" s="252" t="s">
        <v>3800</v>
      </c>
      <c r="C1518" s="254" t="s">
        <v>1020</v>
      </c>
      <c r="D1518" s="252" t="s">
        <v>1061</v>
      </c>
      <c r="E1518" s="252" t="s">
        <v>888</v>
      </c>
      <c r="F1518" s="252" t="s">
        <v>892</v>
      </c>
      <c r="G1518" s="255"/>
    </row>
    <row r="1519" spans="1:7" s="108" customFormat="1" ht="14.1" customHeight="1">
      <c r="A1519" s="251" t="s">
        <v>1228</v>
      </c>
      <c r="B1519" s="252" t="s">
        <v>2057</v>
      </c>
      <c r="C1519" s="254" t="s">
        <v>1168</v>
      </c>
      <c r="D1519" s="252" t="s">
        <v>886</v>
      </c>
      <c r="E1519" s="252" t="s">
        <v>888</v>
      </c>
      <c r="F1519" s="252" t="s">
        <v>889</v>
      </c>
      <c r="G1519" s="255"/>
    </row>
    <row r="1520" spans="1:7" s="108" customFormat="1" ht="14.1" customHeight="1">
      <c r="A1520" s="251" t="s">
        <v>1228</v>
      </c>
      <c r="B1520" s="252" t="s">
        <v>3801</v>
      </c>
      <c r="C1520" s="254" t="s">
        <v>968</v>
      </c>
      <c r="D1520" s="252" t="s">
        <v>3802</v>
      </c>
      <c r="E1520" s="252" t="s">
        <v>888</v>
      </c>
      <c r="F1520" s="252" t="s">
        <v>889</v>
      </c>
      <c r="G1520" s="255"/>
    </row>
    <row r="1521" spans="1:7" s="108" customFormat="1" ht="14.1" customHeight="1">
      <c r="A1521" s="251" t="s">
        <v>1228</v>
      </c>
      <c r="B1521" s="252" t="s">
        <v>3803</v>
      </c>
      <c r="C1521" s="254" t="s">
        <v>968</v>
      </c>
      <c r="D1521" s="252" t="s">
        <v>3260</v>
      </c>
      <c r="E1521" s="252" t="s">
        <v>907</v>
      </c>
      <c r="F1521" s="252" t="s">
        <v>889</v>
      </c>
      <c r="G1521" s="255"/>
    </row>
    <row r="1522" spans="1:7" s="108" customFormat="1" ht="14.1" customHeight="1">
      <c r="A1522" s="251" t="s">
        <v>1228</v>
      </c>
      <c r="B1522" s="252" t="s">
        <v>2504</v>
      </c>
      <c r="C1522" s="254" t="s">
        <v>968</v>
      </c>
      <c r="D1522" s="252" t="s">
        <v>886</v>
      </c>
      <c r="E1522" s="252" t="s">
        <v>888</v>
      </c>
      <c r="F1522" s="252" t="s">
        <v>889</v>
      </c>
      <c r="G1522" s="255"/>
    </row>
    <row r="1523" spans="1:7" s="108" customFormat="1" ht="14.1" customHeight="1">
      <c r="A1523" s="251" t="s">
        <v>1228</v>
      </c>
      <c r="B1523" s="252" t="s">
        <v>3804</v>
      </c>
      <c r="C1523" s="254" t="s">
        <v>968</v>
      </c>
      <c r="D1523" s="252" t="s">
        <v>1237</v>
      </c>
      <c r="E1523" s="252" t="s">
        <v>925</v>
      </c>
      <c r="F1523" s="252" t="s">
        <v>889</v>
      </c>
      <c r="G1523" s="255">
        <v>103.23</v>
      </c>
    </row>
    <row r="1524" spans="1:7" s="108" customFormat="1" ht="14.1" customHeight="1">
      <c r="A1524" s="251" t="s">
        <v>1228</v>
      </c>
      <c r="B1524" s="252" t="s">
        <v>3805</v>
      </c>
      <c r="C1524" s="254" t="s">
        <v>968</v>
      </c>
      <c r="D1524" s="252" t="s">
        <v>3806</v>
      </c>
      <c r="E1524" s="252" t="s">
        <v>907</v>
      </c>
      <c r="F1524" s="252" t="s">
        <v>889</v>
      </c>
      <c r="G1524" s="255"/>
    </row>
    <row r="1525" spans="1:7" s="108" customFormat="1" ht="14.1" customHeight="1">
      <c r="A1525" s="251" t="s">
        <v>1228</v>
      </c>
      <c r="B1525" s="252" t="s">
        <v>3807</v>
      </c>
      <c r="C1525" s="254" t="s">
        <v>968</v>
      </c>
      <c r="D1525" s="252" t="s">
        <v>3808</v>
      </c>
      <c r="E1525" s="252" t="s">
        <v>907</v>
      </c>
      <c r="F1525" s="252" t="s">
        <v>889</v>
      </c>
      <c r="G1525" s="255"/>
    </row>
    <row r="1526" spans="1:7" s="108" customFormat="1" ht="14.1" customHeight="1">
      <c r="A1526" s="251" t="s">
        <v>1228</v>
      </c>
      <c r="B1526" s="252" t="s">
        <v>3809</v>
      </c>
      <c r="C1526" s="254" t="s">
        <v>968</v>
      </c>
      <c r="D1526" s="252" t="s">
        <v>3810</v>
      </c>
      <c r="E1526" s="252" t="s">
        <v>895</v>
      </c>
      <c r="F1526" s="252" t="s">
        <v>889</v>
      </c>
      <c r="G1526" s="255"/>
    </row>
    <row r="1527" spans="1:7" s="108" customFormat="1" ht="14.1" customHeight="1">
      <c r="A1527" s="251" t="s">
        <v>1228</v>
      </c>
      <c r="B1527" s="252" t="s">
        <v>3811</v>
      </c>
      <c r="C1527" s="254" t="s">
        <v>968</v>
      </c>
      <c r="D1527" s="252" t="s">
        <v>2409</v>
      </c>
      <c r="E1527" s="252" t="s">
        <v>907</v>
      </c>
      <c r="F1527" s="252" t="s">
        <v>889</v>
      </c>
      <c r="G1527" s="255"/>
    </row>
    <row r="1528" spans="1:7" s="108" customFormat="1" ht="14.1" customHeight="1">
      <c r="A1528" s="251" t="s">
        <v>1228</v>
      </c>
      <c r="B1528" s="252" t="s">
        <v>3812</v>
      </c>
      <c r="C1528" s="254" t="s">
        <v>968</v>
      </c>
      <c r="D1528" s="252" t="s">
        <v>2493</v>
      </c>
      <c r="E1528" s="252" t="s">
        <v>1026</v>
      </c>
      <c r="F1528" s="252" t="s">
        <v>889</v>
      </c>
      <c r="G1528" s="255"/>
    </row>
    <row r="1529" spans="1:7" s="108" customFormat="1" ht="14.1" customHeight="1">
      <c r="A1529" s="251" t="s">
        <v>1228</v>
      </c>
      <c r="B1529" s="252" t="s">
        <v>3813</v>
      </c>
      <c r="C1529" s="254" t="s">
        <v>968</v>
      </c>
      <c r="D1529" s="252" t="s">
        <v>3519</v>
      </c>
      <c r="E1529" s="252" t="s">
        <v>888</v>
      </c>
      <c r="F1529" s="252" t="s">
        <v>889</v>
      </c>
      <c r="G1529" s="255"/>
    </row>
    <row r="1530" spans="1:7" s="108" customFormat="1" ht="14.1" customHeight="1">
      <c r="A1530" s="251" t="s">
        <v>1228</v>
      </c>
      <c r="B1530" s="252" t="s">
        <v>3814</v>
      </c>
      <c r="C1530" s="254" t="s">
        <v>968</v>
      </c>
      <c r="D1530" s="252" t="s">
        <v>886</v>
      </c>
      <c r="E1530" s="252" t="s">
        <v>888</v>
      </c>
      <c r="F1530" s="252" t="s">
        <v>889</v>
      </c>
      <c r="G1530" s="255"/>
    </row>
    <row r="1531" spans="1:7" s="108" customFormat="1" ht="14.1" customHeight="1">
      <c r="A1531" s="251" t="s">
        <v>1228</v>
      </c>
      <c r="B1531" s="252" t="s">
        <v>3815</v>
      </c>
      <c r="C1531" s="254" t="s">
        <v>944</v>
      </c>
      <c r="D1531" s="252" t="s">
        <v>1231</v>
      </c>
      <c r="E1531" s="252" t="s">
        <v>1047</v>
      </c>
      <c r="F1531" s="252" t="s">
        <v>892</v>
      </c>
      <c r="G1531" s="255">
        <v>1.593</v>
      </c>
    </row>
    <row r="1532" spans="1:7" s="108" customFormat="1" ht="14.1" customHeight="1">
      <c r="A1532" s="251" t="s">
        <v>1228</v>
      </c>
      <c r="B1532" s="252" t="s">
        <v>3816</v>
      </c>
      <c r="C1532" s="254" t="s">
        <v>944</v>
      </c>
      <c r="D1532" s="252" t="s">
        <v>3817</v>
      </c>
      <c r="E1532" s="252" t="s">
        <v>888</v>
      </c>
      <c r="F1532" s="252" t="s">
        <v>889</v>
      </c>
      <c r="G1532" s="255"/>
    </row>
    <row r="1533" spans="1:7" s="108" customFormat="1" ht="14.1" customHeight="1">
      <c r="A1533" s="251" t="s">
        <v>1228</v>
      </c>
      <c r="B1533" s="252" t="s">
        <v>3818</v>
      </c>
      <c r="C1533" s="254" t="s">
        <v>944</v>
      </c>
      <c r="D1533" s="252" t="s">
        <v>1108</v>
      </c>
      <c r="E1533" s="252" t="s">
        <v>888</v>
      </c>
      <c r="F1533" s="252" t="s">
        <v>889</v>
      </c>
      <c r="G1533" s="255">
        <v>2160.962</v>
      </c>
    </row>
    <row r="1534" spans="1:7" s="108" customFormat="1" ht="14.1" customHeight="1">
      <c r="A1534" s="251" t="s">
        <v>1228</v>
      </c>
      <c r="B1534" s="252" t="s">
        <v>3819</v>
      </c>
      <c r="C1534" s="254" t="s">
        <v>944</v>
      </c>
      <c r="D1534" s="252" t="s">
        <v>1117</v>
      </c>
      <c r="E1534" s="252" t="s">
        <v>895</v>
      </c>
      <c r="F1534" s="252" t="s">
        <v>889</v>
      </c>
      <c r="G1534" s="255">
        <v>11.367000000000001</v>
      </c>
    </row>
    <row r="1535" spans="1:7" s="108" customFormat="1" ht="14.1" customHeight="1">
      <c r="A1535" s="251" t="s">
        <v>1228</v>
      </c>
      <c r="B1535" s="252" t="s">
        <v>3820</v>
      </c>
      <c r="C1535" s="254" t="s">
        <v>938</v>
      </c>
      <c r="D1535" s="252" t="s">
        <v>3821</v>
      </c>
      <c r="E1535" s="252" t="s">
        <v>907</v>
      </c>
      <c r="F1535" s="252" t="s">
        <v>892</v>
      </c>
      <c r="G1535" s="255"/>
    </row>
    <row r="1536" spans="1:7" s="108" customFormat="1" ht="14.1" customHeight="1">
      <c r="A1536" s="251" t="s">
        <v>1228</v>
      </c>
      <c r="B1536" s="252" t="s">
        <v>3822</v>
      </c>
      <c r="C1536" s="254" t="s">
        <v>938</v>
      </c>
      <c r="D1536" s="252" t="s">
        <v>3821</v>
      </c>
      <c r="E1536" s="252" t="s">
        <v>907</v>
      </c>
      <c r="F1536" s="252" t="s">
        <v>892</v>
      </c>
      <c r="G1536" s="255"/>
    </row>
    <row r="1537" spans="1:7" s="108" customFormat="1" ht="14.1" customHeight="1">
      <c r="A1537" s="251" t="s">
        <v>1228</v>
      </c>
      <c r="B1537" s="252" t="s">
        <v>3823</v>
      </c>
      <c r="C1537" s="254" t="s">
        <v>1088</v>
      </c>
      <c r="D1537" s="252" t="s">
        <v>1235</v>
      </c>
      <c r="E1537" s="252" t="s">
        <v>1026</v>
      </c>
      <c r="F1537" s="252" t="s">
        <v>889</v>
      </c>
      <c r="G1537" s="255">
        <v>1200</v>
      </c>
    </row>
    <row r="1538" spans="1:7" s="108" customFormat="1" ht="14.1" customHeight="1">
      <c r="A1538" s="251" t="s">
        <v>1228</v>
      </c>
      <c r="B1538" s="252" t="s">
        <v>3824</v>
      </c>
      <c r="C1538" s="254" t="s">
        <v>1088</v>
      </c>
      <c r="D1538" s="252" t="s">
        <v>1235</v>
      </c>
      <c r="E1538" s="252" t="s">
        <v>1026</v>
      </c>
      <c r="F1538" s="252" t="s">
        <v>892</v>
      </c>
      <c r="G1538" s="255">
        <v>39.46</v>
      </c>
    </row>
    <row r="1539" spans="1:7" s="108" customFormat="1" ht="14.1" customHeight="1">
      <c r="A1539" s="251" t="s">
        <v>1228</v>
      </c>
      <c r="B1539" s="252" t="s">
        <v>3825</v>
      </c>
      <c r="C1539" s="254" t="s">
        <v>1088</v>
      </c>
      <c r="D1539" s="252" t="s">
        <v>886</v>
      </c>
      <c r="E1539" s="252" t="s">
        <v>918</v>
      </c>
      <c r="F1539" s="252" t="s">
        <v>889</v>
      </c>
      <c r="G1539" s="255">
        <v>1019.539</v>
      </c>
    </row>
    <row r="1540" spans="1:7" s="108" customFormat="1" ht="14.1" customHeight="1">
      <c r="A1540" s="251" t="s">
        <v>1228</v>
      </c>
      <c r="B1540" s="252" t="s">
        <v>3826</v>
      </c>
      <c r="C1540" s="254" t="s">
        <v>1088</v>
      </c>
      <c r="D1540" s="252" t="s">
        <v>3827</v>
      </c>
      <c r="E1540" s="252" t="s">
        <v>904</v>
      </c>
      <c r="F1540" s="252" t="s">
        <v>889</v>
      </c>
      <c r="G1540" s="255"/>
    </row>
    <row r="1541" spans="1:7" s="108" customFormat="1" ht="14.1" customHeight="1">
      <c r="A1541" s="251" t="s">
        <v>1228</v>
      </c>
      <c r="B1541" s="252" t="s">
        <v>3828</v>
      </c>
      <c r="C1541" s="254" t="s">
        <v>1088</v>
      </c>
      <c r="D1541" s="252" t="s">
        <v>3827</v>
      </c>
      <c r="E1541" s="252" t="s">
        <v>904</v>
      </c>
      <c r="F1541" s="252" t="s">
        <v>889</v>
      </c>
      <c r="G1541" s="255"/>
    </row>
    <row r="1542" spans="1:7" s="108" customFormat="1" ht="14.1" customHeight="1">
      <c r="A1542" s="251" t="s">
        <v>1228</v>
      </c>
      <c r="B1542" s="252" t="s">
        <v>3829</v>
      </c>
      <c r="C1542" s="254" t="s">
        <v>1088</v>
      </c>
      <c r="D1542" s="252" t="s">
        <v>1243</v>
      </c>
      <c r="E1542" s="252" t="s">
        <v>907</v>
      </c>
      <c r="F1542" s="252" t="s">
        <v>892</v>
      </c>
      <c r="G1542" s="255"/>
    </row>
    <row r="1543" spans="1:7" s="108" customFormat="1" ht="14.1" customHeight="1">
      <c r="A1543" s="251" t="s">
        <v>1228</v>
      </c>
      <c r="B1543" s="252" t="s">
        <v>3830</v>
      </c>
      <c r="C1543" s="254" t="s">
        <v>1088</v>
      </c>
      <c r="D1543" s="252" t="s">
        <v>1904</v>
      </c>
      <c r="E1543" s="252" t="s">
        <v>888</v>
      </c>
      <c r="F1543" s="252" t="s">
        <v>889</v>
      </c>
      <c r="G1543" s="255"/>
    </row>
    <row r="1544" spans="1:7" s="108" customFormat="1" ht="14.1" customHeight="1">
      <c r="A1544" s="251" t="s">
        <v>1228</v>
      </c>
      <c r="B1544" s="252" t="s">
        <v>3831</v>
      </c>
      <c r="C1544" s="254" t="s">
        <v>906</v>
      </c>
      <c r="D1544" s="252" t="s">
        <v>3832</v>
      </c>
      <c r="E1544" s="252" t="s">
        <v>888</v>
      </c>
      <c r="F1544" s="252" t="s">
        <v>889</v>
      </c>
      <c r="G1544" s="255"/>
    </row>
    <row r="1545" spans="1:7" s="108" customFormat="1" ht="14.1" customHeight="1">
      <c r="A1545" s="251" t="s">
        <v>1228</v>
      </c>
      <c r="B1545" s="252" t="s">
        <v>3833</v>
      </c>
      <c r="C1545" s="254" t="s">
        <v>906</v>
      </c>
      <c r="D1545" s="252" t="s">
        <v>3834</v>
      </c>
      <c r="E1545" s="252" t="s">
        <v>888</v>
      </c>
      <c r="F1545" s="252" t="s">
        <v>889</v>
      </c>
      <c r="G1545" s="255"/>
    </row>
    <row r="1546" spans="1:7" s="108" customFormat="1" ht="14.1" customHeight="1">
      <c r="A1546" s="251" t="s">
        <v>1228</v>
      </c>
      <c r="B1546" s="252" t="s">
        <v>3835</v>
      </c>
      <c r="C1546" s="254" t="s">
        <v>906</v>
      </c>
      <c r="D1546" s="252" t="s">
        <v>1239</v>
      </c>
      <c r="E1546" s="252" t="s">
        <v>907</v>
      </c>
      <c r="F1546" s="252" t="s">
        <v>889</v>
      </c>
      <c r="G1546" s="255">
        <v>202.75</v>
      </c>
    </row>
    <row r="1547" spans="1:7" s="108" customFormat="1" ht="14.1" customHeight="1">
      <c r="A1547" s="251" t="s">
        <v>1228</v>
      </c>
      <c r="B1547" s="252" t="s">
        <v>3836</v>
      </c>
      <c r="C1547" s="254" t="s">
        <v>986</v>
      </c>
      <c r="D1547" s="252" t="s">
        <v>1240</v>
      </c>
      <c r="E1547" s="252" t="s">
        <v>984</v>
      </c>
      <c r="F1547" s="252" t="s">
        <v>889</v>
      </c>
      <c r="G1547" s="255">
        <v>218.709</v>
      </c>
    </row>
    <row r="1548" spans="1:7" s="108" customFormat="1" ht="14.1" customHeight="1">
      <c r="A1548" s="251" t="s">
        <v>1228</v>
      </c>
      <c r="B1548" s="252" t="s">
        <v>3837</v>
      </c>
      <c r="C1548" s="254" t="s">
        <v>986</v>
      </c>
      <c r="D1548" s="252" t="s">
        <v>2616</v>
      </c>
      <c r="E1548" s="252" t="s">
        <v>895</v>
      </c>
      <c r="F1548" s="252" t="s">
        <v>889</v>
      </c>
      <c r="G1548" s="255"/>
    </row>
    <row r="1549" spans="1:7" s="108" customFormat="1" ht="14.1" customHeight="1">
      <c r="A1549" s="251" t="s">
        <v>1228</v>
      </c>
      <c r="B1549" s="252" t="s">
        <v>3838</v>
      </c>
      <c r="C1549" s="254" t="s">
        <v>986</v>
      </c>
      <c r="D1549" s="252" t="s">
        <v>1883</v>
      </c>
      <c r="E1549" s="252" t="s">
        <v>888</v>
      </c>
      <c r="F1549" s="252" t="s">
        <v>892</v>
      </c>
      <c r="G1549" s="255"/>
    </row>
    <row r="1550" spans="1:7" s="108" customFormat="1" ht="14.1" customHeight="1">
      <c r="A1550" s="251" t="s">
        <v>1228</v>
      </c>
      <c r="B1550" s="252" t="s">
        <v>3839</v>
      </c>
      <c r="C1550" s="254" t="s">
        <v>986</v>
      </c>
      <c r="D1550" s="252" t="s">
        <v>3840</v>
      </c>
      <c r="E1550" s="252" t="s">
        <v>895</v>
      </c>
      <c r="F1550" s="252" t="s">
        <v>889</v>
      </c>
      <c r="G1550" s="255"/>
    </row>
    <row r="1551" spans="1:7" s="108" customFormat="1" ht="14.1" customHeight="1">
      <c r="A1551" s="251" t="s">
        <v>1228</v>
      </c>
      <c r="B1551" s="252" t="s">
        <v>1765</v>
      </c>
      <c r="C1551" s="254" t="s">
        <v>887</v>
      </c>
      <c r="D1551" s="252" t="s">
        <v>1111</v>
      </c>
      <c r="E1551" s="252" t="s">
        <v>939</v>
      </c>
      <c r="F1551" s="252" t="s">
        <v>892</v>
      </c>
      <c r="G1551" s="255"/>
    </row>
    <row r="1552" spans="1:7" s="108" customFormat="1" ht="14.1" customHeight="1">
      <c r="A1552" s="251" t="s">
        <v>1228</v>
      </c>
      <c r="B1552" s="252" t="s">
        <v>3841</v>
      </c>
      <c r="C1552" s="254" t="s">
        <v>887</v>
      </c>
      <c r="D1552" s="252" t="s">
        <v>1016</v>
      </c>
      <c r="E1552" s="252" t="s">
        <v>895</v>
      </c>
      <c r="F1552" s="252" t="s">
        <v>889</v>
      </c>
      <c r="G1552" s="255">
        <v>3.1</v>
      </c>
    </row>
    <row r="1553" spans="1:7" s="108" customFormat="1" ht="14.1" customHeight="1">
      <c r="A1553" s="251" t="s">
        <v>1228</v>
      </c>
      <c r="B1553" s="252" t="s">
        <v>3842</v>
      </c>
      <c r="C1553" s="254" t="s">
        <v>890</v>
      </c>
      <c r="D1553" s="252" t="s">
        <v>3843</v>
      </c>
      <c r="E1553" s="252" t="s">
        <v>1119</v>
      </c>
      <c r="F1553" s="252" t="s">
        <v>913</v>
      </c>
      <c r="G1553" s="255"/>
    </row>
    <row r="1554" spans="1:7" s="108" customFormat="1" ht="14.1" customHeight="1">
      <c r="A1554" s="251" t="s">
        <v>1228</v>
      </c>
      <c r="B1554" s="252" t="s">
        <v>3842</v>
      </c>
      <c r="C1554" s="254" t="s">
        <v>890</v>
      </c>
      <c r="D1554" s="252" t="s">
        <v>3843</v>
      </c>
      <c r="E1554" s="252" t="s">
        <v>1119</v>
      </c>
      <c r="F1554" s="252" t="s">
        <v>889</v>
      </c>
      <c r="G1554" s="255"/>
    </row>
    <row r="1555" spans="1:7" s="108" customFormat="1" ht="14.1" customHeight="1">
      <c r="A1555" s="251" t="s">
        <v>1228</v>
      </c>
      <c r="B1555" s="252" t="s">
        <v>3844</v>
      </c>
      <c r="C1555" s="254" t="s">
        <v>1202</v>
      </c>
      <c r="D1555" s="252" t="s">
        <v>2458</v>
      </c>
      <c r="E1555" s="252" t="s">
        <v>888</v>
      </c>
      <c r="F1555" s="252" t="s">
        <v>889</v>
      </c>
      <c r="G1555" s="255"/>
    </row>
    <row r="1556" spans="1:7" s="108" customFormat="1" ht="14.1" customHeight="1">
      <c r="A1556" s="251" t="s">
        <v>1228</v>
      </c>
      <c r="B1556" s="252" t="s">
        <v>3845</v>
      </c>
      <c r="C1556" s="254" t="s">
        <v>917</v>
      </c>
      <c r="D1556" s="252" t="s">
        <v>1233</v>
      </c>
      <c r="E1556" s="252" t="s">
        <v>929</v>
      </c>
      <c r="F1556" s="252" t="s">
        <v>889</v>
      </c>
      <c r="G1556" s="255">
        <v>9</v>
      </c>
    </row>
    <row r="1557" spans="1:7" s="108" customFormat="1" ht="14.1" customHeight="1">
      <c r="A1557" s="251" t="s">
        <v>1228</v>
      </c>
      <c r="B1557" s="252" t="s">
        <v>3846</v>
      </c>
      <c r="C1557" s="254" t="s">
        <v>917</v>
      </c>
      <c r="D1557" s="252" t="s">
        <v>1183</v>
      </c>
      <c r="E1557" s="252" t="s">
        <v>929</v>
      </c>
      <c r="F1557" s="252" t="s">
        <v>889</v>
      </c>
      <c r="G1557" s="255"/>
    </row>
    <row r="1558" spans="1:7" s="108" customFormat="1" ht="14.1" customHeight="1">
      <c r="A1558" s="251" t="s">
        <v>1228</v>
      </c>
      <c r="B1558" s="252" t="s">
        <v>3847</v>
      </c>
      <c r="C1558" s="254" t="s">
        <v>917</v>
      </c>
      <c r="D1558" s="252" t="s">
        <v>992</v>
      </c>
      <c r="E1558" s="252" t="s">
        <v>904</v>
      </c>
      <c r="F1558" s="252" t="s">
        <v>889</v>
      </c>
      <c r="G1558" s="255">
        <v>7.9829999999999997</v>
      </c>
    </row>
    <row r="1559" spans="1:7" s="108" customFormat="1" ht="14.1" customHeight="1">
      <c r="A1559" s="251" t="s">
        <v>1228</v>
      </c>
      <c r="B1559" s="252" t="s">
        <v>3848</v>
      </c>
      <c r="C1559" s="254" t="s">
        <v>894</v>
      </c>
      <c r="D1559" s="252" t="s">
        <v>1243</v>
      </c>
      <c r="E1559" s="252" t="s">
        <v>907</v>
      </c>
      <c r="F1559" s="252" t="s">
        <v>889</v>
      </c>
      <c r="G1559" s="255">
        <v>2500</v>
      </c>
    </row>
    <row r="1560" spans="1:7" s="108" customFormat="1" ht="14.1" customHeight="1">
      <c r="A1560" s="251" t="s">
        <v>1228</v>
      </c>
      <c r="B1560" s="252" t="s">
        <v>3849</v>
      </c>
      <c r="C1560" s="254" t="s">
        <v>1135</v>
      </c>
      <c r="D1560" s="252" t="s">
        <v>1242</v>
      </c>
      <c r="E1560" s="252" t="s">
        <v>912</v>
      </c>
      <c r="F1560" s="252" t="s">
        <v>889</v>
      </c>
      <c r="G1560" s="255">
        <v>300.61599999999999</v>
      </c>
    </row>
    <row r="1561" spans="1:7" s="108" customFormat="1" ht="14.1" customHeight="1">
      <c r="A1561" s="251" t="s">
        <v>1228</v>
      </c>
      <c r="B1561" s="252" t="s">
        <v>3850</v>
      </c>
      <c r="C1561" s="254" t="s">
        <v>1135</v>
      </c>
      <c r="D1561" s="252" t="s">
        <v>1232</v>
      </c>
      <c r="E1561" s="252" t="s">
        <v>1021</v>
      </c>
      <c r="F1561" s="252" t="s">
        <v>889</v>
      </c>
      <c r="G1561" s="255">
        <v>4.3860000000000001</v>
      </c>
    </row>
    <row r="1562" spans="1:7" s="108" customFormat="1" ht="14.1" customHeight="1">
      <c r="A1562" s="251" t="s">
        <v>1228</v>
      </c>
      <c r="B1562" s="252" t="s">
        <v>3851</v>
      </c>
      <c r="C1562" s="254" t="s">
        <v>1071</v>
      </c>
      <c r="D1562" s="252" t="s">
        <v>886</v>
      </c>
      <c r="E1562" s="252" t="s">
        <v>888</v>
      </c>
      <c r="F1562" s="252" t="s">
        <v>889</v>
      </c>
      <c r="G1562" s="255">
        <v>19.2</v>
      </c>
    </row>
    <row r="1563" spans="1:7" s="108" customFormat="1" ht="14.1" customHeight="1">
      <c r="A1563" s="251" t="s">
        <v>1228</v>
      </c>
      <c r="B1563" s="252" t="s">
        <v>3852</v>
      </c>
      <c r="C1563" s="254" t="s">
        <v>1071</v>
      </c>
      <c r="D1563" s="252" t="s">
        <v>1229</v>
      </c>
      <c r="E1563" s="252" t="s">
        <v>888</v>
      </c>
      <c r="F1563" s="252" t="s">
        <v>889</v>
      </c>
      <c r="G1563" s="255">
        <v>0.14599999999999999</v>
      </c>
    </row>
    <row r="1564" spans="1:7" s="108" customFormat="1" ht="14.1" customHeight="1">
      <c r="A1564" s="251" t="s">
        <v>1228</v>
      </c>
      <c r="B1564" s="252" t="s">
        <v>3853</v>
      </c>
      <c r="C1564" s="254" t="s">
        <v>1071</v>
      </c>
      <c r="D1564" s="252" t="s">
        <v>3854</v>
      </c>
      <c r="E1564" s="252" t="s">
        <v>1047</v>
      </c>
      <c r="F1564" s="252" t="s">
        <v>889</v>
      </c>
      <c r="G1564" s="255"/>
    </row>
    <row r="1565" spans="1:7" s="108" customFormat="1" ht="14.1" customHeight="1">
      <c r="A1565" s="251" t="s">
        <v>1228</v>
      </c>
      <c r="B1565" s="252" t="s">
        <v>3855</v>
      </c>
      <c r="C1565" s="254" t="s">
        <v>1071</v>
      </c>
      <c r="D1565" s="252" t="s">
        <v>3856</v>
      </c>
      <c r="E1565" s="252" t="s">
        <v>888</v>
      </c>
      <c r="F1565" s="252" t="s">
        <v>889</v>
      </c>
      <c r="G1565" s="255"/>
    </row>
    <row r="1566" spans="1:7" s="108" customFormat="1" ht="14.1" customHeight="1">
      <c r="A1566" s="251" t="s">
        <v>1228</v>
      </c>
      <c r="B1566" s="252" t="s">
        <v>3857</v>
      </c>
      <c r="C1566" s="254" t="s">
        <v>1080</v>
      </c>
      <c r="D1566" s="252" t="s">
        <v>2695</v>
      </c>
      <c r="E1566" s="252" t="s">
        <v>888</v>
      </c>
      <c r="F1566" s="252" t="s">
        <v>889</v>
      </c>
      <c r="G1566" s="255"/>
    </row>
    <row r="1567" spans="1:7" s="108" customFormat="1" ht="14.1" customHeight="1">
      <c r="A1567" s="251" t="s">
        <v>1228</v>
      </c>
      <c r="B1567" s="252" t="s">
        <v>3858</v>
      </c>
      <c r="C1567" s="254" t="s">
        <v>1246</v>
      </c>
      <c r="D1567" s="252" t="s">
        <v>1230</v>
      </c>
      <c r="E1567" s="252" t="s">
        <v>954</v>
      </c>
      <c r="F1567" s="252" t="s">
        <v>889</v>
      </c>
      <c r="G1567" s="255">
        <v>1.3959999999999999</v>
      </c>
    </row>
    <row r="1568" spans="1:7" s="108" customFormat="1" ht="14.1" customHeight="1">
      <c r="A1568" s="251" t="s">
        <v>1228</v>
      </c>
      <c r="B1568" s="252" t="s">
        <v>3859</v>
      </c>
      <c r="C1568" s="254" t="s">
        <v>1246</v>
      </c>
      <c r="D1568" s="252" t="s">
        <v>1236</v>
      </c>
      <c r="E1568" s="252" t="s">
        <v>888</v>
      </c>
      <c r="F1568" s="252" t="s">
        <v>892</v>
      </c>
      <c r="G1568" s="255">
        <v>69.486999999999995</v>
      </c>
    </row>
    <row r="1569" spans="1:7" s="108" customFormat="1" ht="14.1" customHeight="1">
      <c r="A1569" s="251" t="s">
        <v>1228</v>
      </c>
      <c r="B1569" s="252" t="s">
        <v>3306</v>
      </c>
      <c r="C1569" s="254" t="s">
        <v>1055</v>
      </c>
      <c r="D1569" s="252" t="s">
        <v>3860</v>
      </c>
      <c r="E1569" s="252" t="s">
        <v>888</v>
      </c>
      <c r="F1569" s="252" t="s">
        <v>889</v>
      </c>
      <c r="G1569" s="255"/>
    </row>
    <row r="1570" spans="1:7" s="108" customFormat="1" ht="14.1" customHeight="1">
      <c r="A1570" s="251" t="s">
        <v>1228</v>
      </c>
      <c r="B1570" s="252" t="s">
        <v>3861</v>
      </c>
      <c r="C1570" s="254" t="s">
        <v>2919</v>
      </c>
      <c r="D1570" s="252" t="s">
        <v>3862</v>
      </c>
      <c r="E1570" s="252" t="s">
        <v>1327</v>
      </c>
      <c r="F1570" s="252" t="s">
        <v>1791</v>
      </c>
      <c r="G1570" s="255"/>
    </row>
    <row r="1571" spans="1:7" s="108" customFormat="1" ht="14.1" customHeight="1">
      <c r="A1571" s="251" t="s">
        <v>1228</v>
      </c>
      <c r="B1571" s="252" t="s">
        <v>3863</v>
      </c>
      <c r="C1571" s="254" t="s">
        <v>1110</v>
      </c>
      <c r="D1571" s="252" t="s">
        <v>3864</v>
      </c>
      <c r="E1571" s="252" t="s">
        <v>1026</v>
      </c>
      <c r="F1571" s="252" t="s">
        <v>889</v>
      </c>
      <c r="G1571" s="255"/>
    </row>
    <row r="1572" spans="1:7" s="108" customFormat="1" ht="14.1" customHeight="1">
      <c r="A1572" s="251" t="s">
        <v>1228</v>
      </c>
      <c r="B1572" s="252" t="s">
        <v>3865</v>
      </c>
      <c r="C1572" s="254" t="s">
        <v>1099</v>
      </c>
      <c r="D1572" s="252" t="s">
        <v>1234</v>
      </c>
      <c r="E1572" s="252" t="s">
        <v>888</v>
      </c>
      <c r="F1572" s="252" t="s">
        <v>889</v>
      </c>
      <c r="G1572" s="255"/>
    </row>
    <row r="1573" spans="1:7" s="108" customFormat="1" ht="14.1" customHeight="1">
      <c r="A1573" s="251" t="s">
        <v>1228</v>
      </c>
      <c r="B1573" s="252" t="s">
        <v>3866</v>
      </c>
      <c r="C1573" s="254" t="s">
        <v>1099</v>
      </c>
      <c r="D1573" s="252" t="s">
        <v>1234</v>
      </c>
      <c r="E1573" s="252" t="s">
        <v>888</v>
      </c>
      <c r="F1573" s="252" t="s">
        <v>889</v>
      </c>
      <c r="G1573" s="255">
        <v>14.272</v>
      </c>
    </row>
    <row r="1574" spans="1:7" s="108" customFormat="1" ht="14.1" customHeight="1">
      <c r="A1574" s="251" t="s">
        <v>1228</v>
      </c>
      <c r="B1574" s="252" t="s">
        <v>3867</v>
      </c>
      <c r="C1574" s="254" t="s">
        <v>1099</v>
      </c>
      <c r="D1574" s="252" t="s">
        <v>3868</v>
      </c>
      <c r="E1574" s="252" t="s">
        <v>1136</v>
      </c>
      <c r="F1574" s="252" t="s">
        <v>889</v>
      </c>
      <c r="G1574" s="255"/>
    </row>
    <row r="1575" spans="1:7" s="108" customFormat="1" ht="14.1" customHeight="1">
      <c r="A1575" s="251" t="s">
        <v>1228</v>
      </c>
      <c r="B1575" s="252" t="s">
        <v>3869</v>
      </c>
      <c r="C1575" s="254" t="s">
        <v>3870</v>
      </c>
      <c r="D1575" s="252" t="s">
        <v>2374</v>
      </c>
      <c r="E1575" s="252" t="s">
        <v>888</v>
      </c>
      <c r="F1575" s="252" t="s">
        <v>892</v>
      </c>
      <c r="G1575" s="255"/>
    </row>
    <row r="1576" spans="1:7" s="108" customFormat="1" ht="14.1" customHeight="1">
      <c r="A1576" s="251" t="s">
        <v>1228</v>
      </c>
      <c r="B1576" s="252" t="s">
        <v>3871</v>
      </c>
      <c r="C1576" s="254" t="s">
        <v>911</v>
      </c>
      <c r="D1576" s="252" t="s">
        <v>1241</v>
      </c>
      <c r="E1576" s="252" t="s">
        <v>1010</v>
      </c>
      <c r="F1576" s="252" t="s">
        <v>913</v>
      </c>
      <c r="G1576" s="255">
        <v>241.56800000000001</v>
      </c>
    </row>
    <row r="1577" spans="1:7" s="108" customFormat="1" ht="14.1" customHeight="1">
      <c r="A1577" s="251" t="s">
        <v>1228</v>
      </c>
      <c r="B1577" s="252" t="s">
        <v>3871</v>
      </c>
      <c r="C1577" s="254" t="s">
        <v>911</v>
      </c>
      <c r="D1577" s="252" t="s">
        <v>1241</v>
      </c>
      <c r="E1577" s="252" t="s">
        <v>1010</v>
      </c>
      <c r="F1577" s="252" t="s">
        <v>889</v>
      </c>
      <c r="G1577" s="255">
        <v>264.505</v>
      </c>
    </row>
    <row r="1578" spans="1:7" s="108" customFormat="1" ht="14.1" customHeight="1">
      <c r="A1578" s="251" t="s">
        <v>1228</v>
      </c>
      <c r="B1578" s="252" t="s">
        <v>2542</v>
      </c>
      <c r="C1578" s="254" t="s">
        <v>1000</v>
      </c>
      <c r="D1578" s="252" t="s">
        <v>1063</v>
      </c>
      <c r="E1578" s="252" t="s">
        <v>1026</v>
      </c>
      <c r="F1578" s="252" t="s">
        <v>892</v>
      </c>
      <c r="G1578" s="255">
        <v>156.79499999999999</v>
      </c>
    </row>
    <row r="1579" spans="1:7" s="108" customFormat="1" ht="14.1" customHeight="1">
      <c r="A1579" s="251" t="s">
        <v>1228</v>
      </c>
      <c r="B1579" s="252" t="s">
        <v>3872</v>
      </c>
      <c r="C1579" s="254" t="s">
        <v>1000</v>
      </c>
      <c r="D1579" s="252" t="s">
        <v>3873</v>
      </c>
      <c r="E1579" s="252" t="s">
        <v>1022</v>
      </c>
      <c r="F1579" s="252" t="s">
        <v>889</v>
      </c>
      <c r="G1579" s="255"/>
    </row>
    <row r="1580" spans="1:7" s="108" customFormat="1" ht="14.1" customHeight="1">
      <c r="A1580" s="251" t="s">
        <v>1228</v>
      </c>
      <c r="B1580" s="252" t="s">
        <v>3874</v>
      </c>
      <c r="C1580" s="254" t="s">
        <v>1000</v>
      </c>
      <c r="D1580" s="252" t="s">
        <v>3875</v>
      </c>
      <c r="E1580" s="252" t="s">
        <v>1024</v>
      </c>
      <c r="F1580" s="252" t="s">
        <v>889</v>
      </c>
      <c r="G1580" s="255"/>
    </row>
    <row r="1581" spans="1:7" s="108" customFormat="1" ht="14.1" customHeight="1">
      <c r="A1581" s="251" t="s">
        <v>1228</v>
      </c>
      <c r="B1581" s="252" t="s">
        <v>3876</v>
      </c>
      <c r="C1581" s="254" t="s">
        <v>1000</v>
      </c>
      <c r="D1581" s="252" t="s">
        <v>2830</v>
      </c>
      <c r="E1581" s="252" t="s">
        <v>888</v>
      </c>
      <c r="F1581" s="252" t="s">
        <v>889</v>
      </c>
      <c r="G1581" s="255"/>
    </row>
    <row r="1582" spans="1:7" s="108" customFormat="1" ht="14.1" customHeight="1">
      <c r="A1582" s="251" t="s">
        <v>1228</v>
      </c>
      <c r="B1582" s="252" t="s">
        <v>3877</v>
      </c>
      <c r="C1582" s="254" t="s">
        <v>1000</v>
      </c>
      <c r="D1582" s="252" t="s">
        <v>2671</v>
      </c>
      <c r="E1582" s="252" t="s">
        <v>929</v>
      </c>
      <c r="F1582" s="252" t="s">
        <v>1794</v>
      </c>
      <c r="G1582" s="255"/>
    </row>
    <row r="1583" spans="1:7" s="108" customFormat="1" ht="14.1" customHeight="1">
      <c r="A1583" s="251" t="s">
        <v>1228</v>
      </c>
      <c r="B1583" s="252" t="s">
        <v>3877</v>
      </c>
      <c r="C1583" s="254" t="s">
        <v>1000</v>
      </c>
      <c r="D1583" s="252" t="s">
        <v>2355</v>
      </c>
      <c r="E1583" s="252" t="s">
        <v>925</v>
      </c>
      <c r="F1583" s="252" t="s">
        <v>1794</v>
      </c>
      <c r="G1583" s="255"/>
    </row>
    <row r="1584" spans="1:7" s="108" customFormat="1" ht="14.1" customHeight="1">
      <c r="A1584" s="251" t="s">
        <v>1228</v>
      </c>
      <c r="B1584" s="252" t="s">
        <v>3877</v>
      </c>
      <c r="C1584" s="254" t="s">
        <v>1000</v>
      </c>
      <c r="D1584" s="252" t="s">
        <v>3878</v>
      </c>
      <c r="E1584" s="252" t="s">
        <v>895</v>
      </c>
      <c r="F1584" s="252" t="s">
        <v>1794</v>
      </c>
      <c r="G1584" s="255"/>
    </row>
    <row r="1585" spans="1:7" s="108" customFormat="1" ht="14.1" customHeight="1">
      <c r="A1585" s="251" t="s">
        <v>1228</v>
      </c>
      <c r="B1585" s="252" t="s">
        <v>3879</v>
      </c>
      <c r="C1585" s="254" t="s">
        <v>1000</v>
      </c>
      <c r="D1585" s="252" t="s">
        <v>3880</v>
      </c>
      <c r="E1585" s="252" t="s">
        <v>907</v>
      </c>
      <c r="F1585" s="252" t="s">
        <v>889</v>
      </c>
      <c r="G1585" s="255"/>
    </row>
    <row r="1586" spans="1:7" s="108" customFormat="1" ht="14.1" customHeight="1">
      <c r="A1586" s="251" t="s">
        <v>1228</v>
      </c>
      <c r="B1586" s="252" t="s">
        <v>3881</v>
      </c>
      <c r="C1586" s="254" t="s">
        <v>1068</v>
      </c>
      <c r="D1586" s="252" t="s">
        <v>1238</v>
      </c>
      <c r="E1586" s="252" t="s">
        <v>888</v>
      </c>
      <c r="F1586" s="252" t="s">
        <v>892</v>
      </c>
      <c r="G1586" s="255">
        <v>126.94499999999999</v>
      </c>
    </row>
    <row r="1587" spans="1:7" s="108" customFormat="1" ht="14.1" customHeight="1">
      <c r="A1587" s="251" t="s">
        <v>1228</v>
      </c>
      <c r="B1587" s="252" t="s">
        <v>3882</v>
      </c>
      <c r="C1587" s="254" t="s">
        <v>983</v>
      </c>
      <c r="D1587" s="252" t="s">
        <v>3883</v>
      </c>
      <c r="E1587" s="252" t="s">
        <v>888</v>
      </c>
      <c r="F1587" s="252" t="s">
        <v>889</v>
      </c>
      <c r="G1587" s="255"/>
    </row>
    <row r="1588" spans="1:7" s="108" customFormat="1" ht="14.1" customHeight="1">
      <c r="A1588" s="251" t="s">
        <v>1228</v>
      </c>
      <c r="B1588" s="252" t="s">
        <v>3884</v>
      </c>
      <c r="C1588" s="254" t="s">
        <v>983</v>
      </c>
      <c r="D1588" s="252" t="s">
        <v>3885</v>
      </c>
      <c r="E1588" s="252" t="s">
        <v>907</v>
      </c>
      <c r="F1588" s="252" t="s">
        <v>889</v>
      </c>
      <c r="G1588" s="255"/>
    </row>
    <row r="1589" spans="1:7" s="108" customFormat="1" ht="14.1" customHeight="1">
      <c r="A1589" s="251" t="s">
        <v>1358</v>
      </c>
      <c r="B1589" s="252" t="s">
        <v>3886</v>
      </c>
      <c r="C1589" s="254" t="s">
        <v>897</v>
      </c>
      <c r="D1589" s="252" t="s">
        <v>2353</v>
      </c>
      <c r="E1589" s="252" t="s">
        <v>895</v>
      </c>
      <c r="F1589" s="252" t="s">
        <v>889</v>
      </c>
      <c r="G1589" s="255"/>
    </row>
    <row r="1590" spans="1:7" s="108" customFormat="1" ht="14.1" customHeight="1">
      <c r="A1590" s="251" t="s">
        <v>1358</v>
      </c>
      <c r="B1590" s="252" t="s">
        <v>3887</v>
      </c>
      <c r="C1590" s="254" t="s">
        <v>1146</v>
      </c>
      <c r="D1590" s="252" t="s">
        <v>3888</v>
      </c>
      <c r="E1590" s="252" t="s">
        <v>888</v>
      </c>
      <c r="F1590" s="252" t="s">
        <v>889</v>
      </c>
      <c r="G1590" s="255"/>
    </row>
    <row r="1591" spans="1:7" s="108" customFormat="1" ht="14.1" customHeight="1">
      <c r="A1591" s="251" t="s">
        <v>1358</v>
      </c>
      <c r="B1591" s="252" t="s">
        <v>3889</v>
      </c>
      <c r="C1591" s="254" t="s">
        <v>968</v>
      </c>
      <c r="D1591" s="252" t="s">
        <v>1596</v>
      </c>
      <c r="E1591" s="252" t="s">
        <v>1157</v>
      </c>
      <c r="F1591" s="252" t="s">
        <v>889</v>
      </c>
      <c r="G1591" s="255"/>
    </row>
    <row r="1592" spans="1:7" s="108" customFormat="1" ht="14.1" customHeight="1">
      <c r="A1592" s="251" t="s">
        <v>1358</v>
      </c>
      <c r="B1592" s="252" t="s">
        <v>3890</v>
      </c>
      <c r="C1592" s="254" t="s">
        <v>944</v>
      </c>
      <c r="D1592" s="252" t="s">
        <v>1361</v>
      </c>
      <c r="E1592" s="252" t="s">
        <v>1142</v>
      </c>
      <c r="F1592" s="252" t="s">
        <v>889</v>
      </c>
      <c r="G1592" s="255">
        <v>180</v>
      </c>
    </row>
    <row r="1593" spans="1:7" s="108" customFormat="1" ht="14.1" customHeight="1">
      <c r="A1593" s="251" t="s">
        <v>1358</v>
      </c>
      <c r="B1593" s="252" t="s">
        <v>3891</v>
      </c>
      <c r="C1593" s="254" t="s">
        <v>1030</v>
      </c>
      <c r="D1593" s="252" t="s">
        <v>1363</v>
      </c>
      <c r="E1593" s="252" t="s">
        <v>1024</v>
      </c>
      <c r="F1593" s="252" t="s">
        <v>892</v>
      </c>
      <c r="G1593" s="255">
        <v>554.00099999999998</v>
      </c>
    </row>
    <row r="1594" spans="1:7" s="108" customFormat="1" ht="14.1" customHeight="1">
      <c r="A1594" s="251" t="s">
        <v>1358</v>
      </c>
      <c r="B1594" s="252" t="s">
        <v>3892</v>
      </c>
      <c r="C1594" s="254" t="s">
        <v>1088</v>
      </c>
      <c r="D1594" s="252" t="s">
        <v>1360</v>
      </c>
      <c r="E1594" s="252" t="s">
        <v>1033</v>
      </c>
      <c r="F1594" s="252" t="s">
        <v>892</v>
      </c>
      <c r="G1594" s="255">
        <v>42.947000000000003</v>
      </c>
    </row>
    <row r="1595" spans="1:7" s="108" customFormat="1" ht="14.1" customHeight="1">
      <c r="A1595" s="251" t="s">
        <v>1358</v>
      </c>
      <c r="B1595" s="252" t="s">
        <v>3893</v>
      </c>
      <c r="C1595" s="254" t="s">
        <v>1088</v>
      </c>
      <c r="D1595" s="252" t="s">
        <v>1019</v>
      </c>
      <c r="E1595" s="252" t="s">
        <v>939</v>
      </c>
      <c r="F1595" s="252" t="s">
        <v>889</v>
      </c>
      <c r="G1595" s="255">
        <v>9.6199999999999992</v>
      </c>
    </row>
    <row r="1596" spans="1:7" s="108" customFormat="1" ht="14.1" customHeight="1">
      <c r="A1596" s="251" t="s">
        <v>1358</v>
      </c>
      <c r="B1596" s="252" t="s">
        <v>3894</v>
      </c>
      <c r="C1596" s="254" t="s">
        <v>887</v>
      </c>
      <c r="D1596" s="252" t="s">
        <v>3895</v>
      </c>
      <c r="E1596" s="252" t="s">
        <v>925</v>
      </c>
      <c r="F1596" s="252" t="s">
        <v>931</v>
      </c>
      <c r="G1596" s="255"/>
    </row>
    <row r="1597" spans="1:7" s="108" customFormat="1" ht="14.1" customHeight="1">
      <c r="A1597" s="251" t="s">
        <v>1358</v>
      </c>
      <c r="B1597" s="252" t="s">
        <v>3896</v>
      </c>
      <c r="C1597" s="254" t="s">
        <v>917</v>
      </c>
      <c r="D1597" s="252" t="s">
        <v>1359</v>
      </c>
      <c r="E1597" s="252" t="s">
        <v>918</v>
      </c>
      <c r="F1597" s="252" t="s">
        <v>892</v>
      </c>
      <c r="G1597" s="255">
        <v>4.101</v>
      </c>
    </row>
    <row r="1598" spans="1:7" s="108" customFormat="1" ht="14.1" customHeight="1">
      <c r="A1598" s="251" t="s">
        <v>1358</v>
      </c>
      <c r="B1598" s="252" t="s">
        <v>3897</v>
      </c>
      <c r="C1598" s="254" t="s">
        <v>917</v>
      </c>
      <c r="D1598" s="252" t="s">
        <v>2556</v>
      </c>
      <c r="E1598" s="252" t="s">
        <v>918</v>
      </c>
      <c r="F1598" s="252" t="s">
        <v>892</v>
      </c>
      <c r="G1598" s="255"/>
    </row>
    <row r="1599" spans="1:7" s="108" customFormat="1" ht="14.1" customHeight="1">
      <c r="A1599" s="251" t="s">
        <v>1358</v>
      </c>
      <c r="B1599" s="252" t="s">
        <v>3898</v>
      </c>
      <c r="C1599" s="254" t="s">
        <v>1023</v>
      </c>
      <c r="D1599" s="252" t="s">
        <v>1362</v>
      </c>
      <c r="E1599" s="252" t="s">
        <v>895</v>
      </c>
      <c r="F1599" s="252" t="s">
        <v>889</v>
      </c>
      <c r="G1599" s="255">
        <v>289.10700000000003</v>
      </c>
    </row>
    <row r="1600" spans="1:7" s="108" customFormat="1" ht="14.1" customHeight="1">
      <c r="A1600" s="251" t="s">
        <v>1358</v>
      </c>
      <c r="B1600" s="252" t="s">
        <v>3899</v>
      </c>
      <c r="C1600" s="254" t="s">
        <v>1246</v>
      </c>
      <c r="D1600" s="252" t="s">
        <v>3900</v>
      </c>
      <c r="E1600" s="252" t="s">
        <v>912</v>
      </c>
      <c r="F1600" s="252" t="s">
        <v>889</v>
      </c>
      <c r="G1600" s="255"/>
    </row>
    <row r="1601" spans="1:7" s="108" customFormat="1" ht="14.1" customHeight="1">
      <c r="A1601" s="251" t="s">
        <v>1358</v>
      </c>
      <c r="B1601" s="252" t="s">
        <v>3901</v>
      </c>
      <c r="C1601" s="254" t="s">
        <v>1345</v>
      </c>
      <c r="D1601" s="252" t="s">
        <v>3902</v>
      </c>
      <c r="E1601" s="252" t="s">
        <v>1136</v>
      </c>
      <c r="F1601" s="252" t="s">
        <v>889</v>
      </c>
      <c r="G1601" s="255"/>
    </row>
    <row r="1602" spans="1:7" s="108" customFormat="1" ht="14.1" customHeight="1">
      <c r="A1602" s="251" t="s">
        <v>1358</v>
      </c>
      <c r="B1602" s="252" t="s">
        <v>3903</v>
      </c>
      <c r="C1602" s="254" t="s">
        <v>1345</v>
      </c>
      <c r="D1602" s="252" t="s">
        <v>2458</v>
      </c>
      <c r="E1602" s="252" t="s">
        <v>888</v>
      </c>
      <c r="F1602" s="252" t="s">
        <v>889</v>
      </c>
      <c r="G1602" s="255"/>
    </row>
    <row r="1603" spans="1:7" s="108" customFormat="1" ht="14.1" customHeight="1">
      <c r="A1603" s="251" t="s">
        <v>1358</v>
      </c>
      <c r="B1603" s="252" t="s">
        <v>3904</v>
      </c>
      <c r="C1603" s="254" t="s">
        <v>911</v>
      </c>
      <c r="D1603" s="252" t="s">
        <v>1364</v>
      </c>
      <c r="E1603" s="252" t="s">
        <v>888</v>
      </c>
      <c r="F1603" s="252" t="s">
        <v>889</v>
      </c>
      <c r="G1603" s="255">
        <v>1230</v>
      </c>
    </row>
    <row r="1604" spans="1:7" s="108" customFormat="1" ht="14.1" customHeight="1">
      <c r="A1604" s="251" t="s">
        <v>1358</v>
      </c>
      <c r="B1604" s="252" t="s">
        <v>3905</v>
      </c>
      <c r="C1604" s="254" t="s">
        <v>1000</v>
      </c>
      <c r="D1604" s="252" t="s">
        <v>3906</v>
      </c>
      <c r="E1604" s="252" t="s">
        <v>1119</v>
      </c>
      <c r="F1604" s="252" t="s">
        <v>889</v>
      </c>
      <c r="G1604" s="255"/>
    </row>
    <row r="1605" spans="1:7" s="108" customFormat="1" ht="14.1" customHeight="1">
      <c r="A1605" s="251" t="s">
        <v>1358</v>
      </c>
      <c r="B1605" s="252" t="s">
        <v>3907</v>
      </c>
      <c r="C1605" s="254" t="s">
        <v>983</v>
      </c>
      <c r="D1605" s="252" t="s">
        <v>3908</v>
      </c>
      <c r="E1605" s="252" t="s">
        <v>984</v>
      </c>
      <c r="F1605" s="252" t="s">
        <v>892</v>
      </c>
      <c r="G1605" s="255"/>
    </row>
    <row r="1606" spans="1:7" s="108" customFormat="1" ht="14.1" customHeight="1">
      <c r="A1606" s="251" t="s">
        <v>1430</v>
      </c>
      <c r="B1606" s="252" t="s">
        <v>3909</v>
      </c>
      <c r="C1606" s="254" t="s">
        <v>968</v>
      </c>
      <c r="D1606" s="252" t="s">
        <v>3910</v>
      </c>
      <c r="E1606" s="252" t="s">
        <v>939</v>
      </c>
      <c r="F1606" s="252" t="s">
        <v>889</v>
      </c>
      <c r="G1606" s="255"/>
    </row>
    <row r="1607" spans="1:7" s="108" customFormat="1" ht="14.1" customHeight="1">
      <c r="A1607" s="251" t="s">
        <v>1430</v>
      </c>
      <c r="B1607" s="252" t="s">
        <v>3911</v>
      </c>
      <c r="C1607" s="254" t="s">
        <v>938</v>
      </c>
      <c r="D1607" s="252" t="s">
        <v>3912</v>
      </c>
      <c r="E1607" s="252" t="s">
        <v>907</v>
      </c>
      <c r="F1607" s="252" t="s">
        <v>889</v>
      </c>
      <c r="G1607" s="255"/>
    </row>
    <row r="1608" spans="1:7" s="108" customFormat="1" ht="14.1" customHeight="1">
      <c r="A1608" s="251" t="s">
        <v>1430</v>
      </c>
      <c r="B1608" s="252" t="s">
        <v>3913</v>
      </c>
      <c r="C1608" s="254" t="s">
        <v>894</v>
      </c>
      <c r="D1608" s="252" t="s">
        <v>886</v>
      </c>
      <c r="E1608" s="252" t="s">
        <v>918</v>
      </c>
      <c r="F1608" s="252" t="s">
        <v>892</v>
      </c>
      <c r="G1608" s="255">
        <v>53.4</v>
      </c>
    </row>
    <row r="1609" spans="1:7" s="108" customFormat="1" ht="14.1" customHeight="1">
      <c r="A1609" s="251" t="s">
        <v>1430</v>
      </c>
      <c r="B1609" s="252" t="s">
        <v>3914</v>
      </c>
      <c r="C1609" s="254" t="s">
        <v>1441</v>
      </c>
      <c r="D1609" s="252" t="s">
        <v>2095</v>
      </c>
      <c r="E1609" s="252" t="s">
        <v>907</v>
      </c>
      <c r="F1609" s="252" t="s">
        <v>889</v>
      </c>
      <c r="G1609" s="255"/>
    </row>
    <row r="1610" spans="1:7" s="108" customFormat="1" ht="14.1" customHeight="1">
      <c r="A1610" s="251" t="s">
        <v>1430</v>
      </c>
      <c r="B1610" s="252" t="s">
        <v>3915</v>
      </c>
      <c r="C1610" s="254" t="s">
        <v>1000</v>
      </c>
      <c r="D1610" s="252" t="s">
        <v>3916</v>
      </c>
      <c r="E1610" s="252" t="s">
        <v>984</v>
      </c>
      <c r="F1610" s="252" t="s">
        <v>889</v>
      </c>
      <c r="G1610" s="255"/>
    </row>
    <row r="1611" spans="1:7" s="108" customFormat="1" ht="14.1" customHeight="1">
      <c r="A1611" s="251" t="s">
        <v>1453</v>
      </c>
      <c r="B1611" s="252" t="s">
        <v>3917</v>
      </c>
      <c r="C1611" s="254" t="s">
        <v>917</v>
      </c>
      <c r="D1611" s="252" t="s">
        <v>1455</v>
      </c>
      <c r="E1611" s="252" t="s">
        <v>929</v>
      </c>
      <c r="F1611" s="252" t="s">
        <v>892</v>
      </c>
      <c r="G1611" s="255">
        <v>275</v>
      </c>
    </row>
    <row r="1612" spans="1:7" s="108" customFormat="1" ht="14.1" customHeight="1">
      <c r="A1612" s="251" t="s">
        <v>1453</v>
      </c>
      <c r="B1612" s="252" t="s">
        <v>3918</v>
      </c>
      <c r="C1612" s="254" t="s">
        <v>917</v>
      </c>
      <c r="D1612" s="252" t="s">
        <v>1454</v>
      </c>
      <c r="E1612" s="252" t="s">
        <v>918</v>
      </c>
      <c r="F1612" s="252" t="s">
        <v>913</v>
      </c>
      <c r="G1612" s="255">
        <v>0.05</v>
      </c>
    </row>
    <row r="1613" spans="1:7" s="108" customFormat="1" ht="14.1" customHeight="1">
      <c r="A1613" s="251" t="s">
        <v>1453</v>
      </c>
      <c r="B1613" s="252" t="s">
        <v>3919</v>
      </c>
      <c r="C1613" s="254" t="s">
        <v>911</v>
      </c>
      <c r="D1613" s="252" t="s">
        <v>3920</v>
      </c>
      <c r="E1613" s="252" t="s">
        <v>1106</v>
      </c>
      <c r="F1613" s="252" t="s">
        <v>889</v>
      </c>
      <c r="G1613" s="255"/>
    </row>
    <row r="1614" spans="1:7" s="108" customFormat="1" ht="14.1" customHeight="1">
      <c r="A1614" s="251" t="s">
        <v>1575</v>
      </c>
      <c r="B1614" s="252" t="s">
        <v>3921</v>
      </c>
      <c r="C1614" s="254" t="s">
        <v>947</v>
      </c>
      <c r="D1614" s="252" t="s">
        <v>3922</v>
      </c>
      <c r="E1614" s="252" t="s">
        <v>939</v>
      </c>
      <c r="F1614" s="252" t="s">
        <v>3658</v>
      </c>
      <c r="G1614" s="255"/>
    </row>
    <row r="1615" spans="1:7" s="108" customFormat="1" ht="14.1" customHeight="1">
      <c r="A1615" s="251" t="s">
        <v>1575</v>
      </c>
      <c r="B1615" s="252" t="s">
        <v>3923</v>
      </c>
      <c r="C1615" s="254" t="s">
        <v>944</v>
      </c>
      <c r="D1615" s="252" t="s">
        <v>1578</v>
      </c>
      <c r="E1615" s="252" t="s">
        <v>888</v>
      </c>
      <c r="F1615" s="252" t="s">
        <v>889</v>
      </c>
      <c r="G1615" s="255">
        <v>182.065</v>
      </c>
    </row>
    <row r="1616" spans="1:7" s="108" customFormat="1" ht="14.1" customHeight="1">
      <c r="A1616" s="251" t="s">
        <v>1575</v>
      </c>
      <c r="B1616" s="252" t="s">
        <v>1849</v>
      </c>
      <c r="C1616" s="254" t="s">
        <v>1030</v>
      </c>
      <c r="D1616" s="252" t="s">
        <v>3924</v>
      </c>
      <c r="E1616" s="252" t="s">
        <v>939</v>
      </c>
      <c r="F1616" s="252" t="s">
        <v>1794</v>
      </c>
      <c r="G1616" s="255"/>
    </row>
    <row r="1617" spans="1:7" s="108" customFormat="1" ht="14.1" customHeight="1">
      <c r="A1617" s="251" t="s">
        <v>1575</v>
      </c>
      <c r="B1617" s="252" t="s">
        <v>3925</v>
      </c>
      <c r="C1617" s="254" t="s">
        <v>906</v>
      </c>
      <c r="D1617" s="252" t="s">
        <v>3926</v>
      </c>
      <c r="E1617" s="252" t="s">
        <v>2641</v>
      </c>
      <c r="F1617" s="252" t="s">
        <v>889</v>
      </c>
      <c r="G1617" s="255"/>
    </row>
    <row r="1618" spans="1:7" s="108" customFormat="1" ht="14.1" customHeight="1">
      <c r="A1618" s="251" t="s">
        <v>1575</v>
      </c>
      <c r="B1618" s="252" t="s">
        <v>3927</v>
      </c>
      <c r="C1618" s="254" t="s">
        <v>906</v>
      </c>
      <c r="D1618" s="252" t="s">
        <v>1579</v>
      </c>
      <c r="E1618" s="252" t="s">
        <v>939</v>
      </c>
      <c r="F1618" s="252" t="s">
        <v>889</v>
      </c>
      <c r="G1618" s="255">
        <v>205.93799999999999</v>
      </c>
    </row>
    <row r="1619" spans="1:7" s="108" customFormat="1" ht="14.1" customHeight="1">
      <c r="A1619" s="251" t="s">
        <v>1575</v>
      </c>
      <c r="B1619" s="252" t="s">
        <v>3928</v>
      </c>
      <c r="C1619" s="254" t="s">
        <v>906</v>
      </c>
      <c r="D1619" s="252" t="s">
        <v>1462</v>
      </c>
      <c r="E1619" s="252" t="s">
        <v>888</v>
      </c>
      <c r="F1619" s="252" t="s">
        <v>889</v>
      </c>
      <c r="G1619" s="255">
        <v>600</v>
      </c>
    </row>
    <row r="1620" spans="1:7" s="108" customFormat="1" ht="14.1" customHeight="1">
      <c r="A1620" s="251" t="s">
        <v>1575</v>
      </c>
      <c r="B1620" s="252" t="s">
        <v>3929</v>
      </c>
      <c r="C1620" s="254" t="s">
        <v>906</v>
      </c>
      <c r="D1620" s="252" t="s">
        <v>1231</v>
      </c>
      <c r="E1620" s="252" t="s">
        <v>1047</v>
      </c>
      <c r="F1620" s="252" t="s">
        <v>889</v>
      </c>
      <c r="G1620" s="255">
        <v>20.5</v>
      </c>
    </row>
    <row r="1621" spans="1:7" s="108" customFormat="1" ht="14.1" customHeight="1">
      <c r="A1621" s="251" t="s">
        <v>1575</v>
      </c>
      <c r="B1621" s="252" t="s">
        <v>3930</v>
      </c>
      <c r="C1621" s="254" t="s">
        <v>1150</v>
      </c>
      <c r="D1621" s="252" t="s">
        <v>3931</v>
      </c>
      <c r="E1621" s="252" t="s">
        <v>888</v>
      </c>
      <c r="F1621" s="252" t="s">
        <v>889</v>
      </c>
      <c r="G1621" s="255"/>
    </row>
    <row r="1622" spans="1:7" s="108" customFormat="1" ht="14.1" customHeight="1">
      <c r="A1622" s="251" t="s">
        <v>1575</v>
      </c>
      <c r="B1622" s="252" t="s">
        <v>3932</v>
      </c>
      <c r="C1622" s="254" t="s">
        <v>890</v>
      </c>
      <c r="D1622" s="252" t="s">
        <v>3933</v>
      </c>
      <c r="E1622" s="252" t="s">
        <v>918</v>
      </c>
      <c r="F1622" s="252" t="s">
        <v>889</v>
      </c>
      <c r="G1622" s="255"/>
    </row>
    <row r="1623" spans="1:7" s="108" customFormat="1" ht="14.1" customHeight="1">
      <c r="A1623" s="251" t="s">
        <v>1575</v>
      </c>
      <c r="B1623" s="252" t="s">
        <v>3934</v>
      </c>
      <c r="C1623" s="254" t="s">
        <v>917</v>
      </c>
      <c r="D1623" s="252" t="s">
        <v>1576</v>
      </c>
      <c r="E1623" s="252" t="s">
        <v>918</v>
      </c>
      <c r="F1623" s="252" t="s">
        <v>892</v>
      </c>
      <c r="G1623" s="255">
        <v>4.72</v>
      </c>
    </row>
    <row r="1624" spans="1:7" s="108" customFormat="1" ht="14.1" customHeight="1">
      <c r="A1624" s="251" t="s">
        <v>1575</v>
      </c>
      <c r="B1624" s="252" t="s">
        <v>3935</v>
      </c>
      <c r="C1624" s="254" t="s">
        <v>988</v>
      </c>
      <c r="D1624" s="252" t="s">
        <v>886</v>
      </c>
      <c r="E1624" s="252" t="s">
        <v>939</v>
      </c>
      <c r="F1624" s="252" t="s">
        <v>889</v>
      </c>
      <c r="G1624" s="255"/>
    </row>
    <row r="1625" spans="1:7" s="108" customFormat="1" ht="14.1" customHeight="1">
      <c r="A1625" s="251" t="s">
        <v>1575</v>
      </c>
      <c r="B1625" s="252" t="s">
        <v>3936</v>
      </c>
      <c r="C1625" s="254" t="s">
        <v>1071</v>
      </c>
      <c r="D1625" s="252" t="s">
        <v>3937</v>
      </c>
      <c r="E1625" s="252" t="s">
        <v>939</v>
      </c>
      <c r="F1625" s="252" t="s">
        <v>889</v>
      </c>
      <c r="G1625" s="255"/>
    </row>
    <row r="1626" spans="1:7" s="108" customFormat="1" ht="14.1" customHeight="1">
      <c r="A1626" s="251" t="s">
        <v>1575</v>
      </c>
      <c r="B1626" s="252" t="s">
        <v>3938</v>
      </c>
      <c r="C1626" s="254" t="s">
        <v>1071</v>
      </c>
      <c r="D1626" s="252" t="s">
        <v>2882</v>
      </c>
      <c r="E1626" s="252" t="s">
        <v>939</v>
      </c>
      <c r="F1626" s="252" t="s">
        <v>889</v>
      </c>
      <c r="G1626" s="255"/>
    </row>
    <row r="1627" spans="1:7" s="108" customFormat="1" ht="14.1" customHeight="1">
      <c r="A1627" s="251" t="s">
        <v>1575</v>
      </c>
      <c r="B1627" s="252" t="s">
        <v>3939</v>
      </c>
      <c r="C1627" s="254" t="s">
        <v>911</v>
      </c>
      <c r="D1627" s="252" t="s">
        <v>1577</v>
      </c>
      <c r="E1627" s="252" t="s">
        <v>939</v>
      </c>
      <c r="F1627" s="252" t="s">
        <v>892</v>
      </c>
      <c r="G1627" s="255">
        <v>109</v>
      </c>
    </row>
    <row r="1628" spans="1:7" s="108" customFormat="1" ht="14.1" customHeight="1">
      <c r="A1628" s="251" t="s">
        <v>1575</v>
      </c>
      <c r="B1628" s="252" t="s">
        <v>3940</v>
      </c>
      <c r="C1628" s="254" t="s">
        <v>911</v>
      </c>
      <c r="D1628" s="252" t="s">
        <v>3941</v>
      </c>
      <c r="E1628" s="252" t="s">
        <v>939</v>
      </c>
      <c r="F1628" s="252" t="s">
        <v>889</v>
      </c>
      <c r="G1628" s="255"/>
    </row>
    <row r="1629" spans="1:7" s="108" customFormat="1" ht="14.1" customHeight="1">
      <c r="A1629" s="251" t="s">
        <v>1575</v>
      </c>
      <c r="B1629" s="252" t="s">
        <v>3942</v>
      </c>
      <c r="C1629" s="254" t="s">
        <v>911</v>
      </c>
      <c r="D1629" s="252" t="s">
        <v>3943</v>
      </c>
      <c r="E1629" s="252" t="s">
        <v>959</v>
      </c>
      <c r="F1629" s="252" t="s">
        <v>889</v>
      </c>
      <c r="G1629" s="255"/>
    </row>
    <row r="1630" spans="1:7" s="108" customFormat="1" ht="14.1" customHeight="1">
      <c r="A1630" s="251" t="s">
        <v>1575</v>
      </c>
      <c r="B1630" s="252" t="s">
        <v>3944</v>
      </c>
      <c r="C1630" s="254" t="s">
        <v>1000</v>
      </c>
      <c r="D1630" s="252" t="s">
        <v>1535</v>
      </c>
      <c r="E1630" s="252" t="s">
        <v>929</v>
      </c>
      <c r="F1630" s="252" t="s">
        <v>889</v>
      </c>
      <c r="G1630" s="255">
        <v>472.47</v>
      </c>
    </row>
    <row r="1631" spans="1:7" s="108" customFormat="1" ht="14.1" customHeight="1">
      <c r="A1631" s="251" t="s">
        <v>1575</v>
      </c>
      <c r="B1631" s="252" t="s">
        <v>3945</v>
      </c>
      <c r="C1631" s="254" t="s">
        <v>1000</v>
      </c>
      <c r="D1631" s="252" t="s">
        <v>3946</v>
      </c>
      <c r="E1631" s="252" t="s">
        <v>888</v>
      </c>
      <c r="F1631" s="252" t="s">
        <v>889</v>
      </c>
      <c r="G1631" s="255"/>
    </row>
    <row r="1632" spans="1:7" s="108" customFormat="1" ht="14.1" customHeight="1">
      <c r="A1632" s="251" t="s">
        <v>1654</v>
      </c>
      <c r="B1632" s="252" t="s">
        <v>3947</v>
      </c>
      <c r="C1632" s="254" t="s">
        <v>947</v>
      </c>
      <c r="D1632" s="252" t="s">
        <v>1178</v>
      </c>
      <c r="E1632" s="252" t="s">
        <v>888</v>
      </c>
      <c r="F1632" s="252" t="s">
        <v>889</v>
      </c>
      <c r="G1632" s="255"/>
    </row>
    <row r="1633" spans="1:7" s="108" customFormat="1" ht="14.1" customHeight="1">
      <c r="A1633" s="251" t="s">
        <v>1654</v>
      </c>
      <c r="B1633" s="252" t="s">
        <v>3948</v>
      </c>
      <c r="C1633" s="254" t="s">
        <v>968</v>
      </c>
      <c r="D1633" s="252" t="s">
        <v>3949</v>
      </c>
      <c r="E1633" s="252" t="s">
        <v>907</v>
      </c>
      <c r="F1633" s="252" t="s">
        <v>889</v>
      </c>
      <c r="G1633" s="255"/>
    </row>
    <row r="1634" spans="1:7" s="108" customFormat="1" ht="14.1" customHeight="1">
      <c r="A1634" s="251" t="s">
        <v>1654</v>
      </c>
      <c r="B1634" s="252" t="s">
        <v>3950</v>
      </c>
      <c r="C1634" s="254" t="s">
        <v>1088</v>
      </c>
      <c r="D1634" s="252" t="s">
        <v>1657</v>
      </c>
      <c r="E1634" s="252" t="s">
        <v>888</v>
      </c>
      <c r="F1634" s="252" t="s">
        <v>889</v>
      </c>
      <c r="G1634" s="255">
        <v>1200</v>
      </c>
    </row>
    <row r="1635" spans="1:7" s="108" customFormat="1" ht="14.1" customHeight="1">
      <c r="A1635" s="251" t="s">
        <v>1654</v>
      </c>
      <c r="B1635" s="252" t="s">
        <v>3951</v>
      </c>
      <c r="C1635" s="254" t="s">
        <v>1088</v>
      </c>
      <c r="D1635" s="252" t="s">
        <v>886</v>
      </c>
      <c r="E1635" s="252" t="s">
        <v>918</v>
      </c>
      <c r="F1635" s="252" t="s">
        <v>892</v>
      </c>
      <c r="G1635" s="255"/>
    </row>
    <row r="1636" spans="1:7" s="108" customFormat="1" ht="14.1" customHeight="1">
      <c r="A1636" s="251" t="s">
        <v>1654</v>
      </c>
      <c r="B1636" s="252" t="s">
        <v>2330</v>
      </c>
      <c r="C1636" s="254" t="s">
        <v>1088</v>
      </c>
      <c r="D1636" s="252" t="s">
        <v>1062</v>
      </c>
      <c r="E1636" s="252" t="s">
        <v>918</v>
      </c>
      <c r="F1636" s="252" t="s">
        <v>889</v>
      </c>
      <c r="G1636" s="255"/>
    </row>
    <row r="1637" spans="1:7" s="108" customFormat="1" ht="14.1" customHeight="1">
      <c r="A1637" s="251" t="s">
        <v>1654</v>
      </c>
      <c r="B1637" s="252" t="s">
        <v>3952</v>
      </c>
      <c r="C1637" s="254" t="s">
        <v>1833</v>
      </c>
      <c r="D1637" s="252" t="s">
        <v>3953</v>
      </c>
      <c r="E1637" s="252" t="s">
        <v>939</v>
      </c>
      <c r="F1637" s="252" t="s">
        <v>889</v>
      </c>
      <c r="G1637" s="255"/>
    </row>
    <row r="1638" spans="1:7" s="108" customFormat="1" ht="14.1" customHeight="1">
      <c r="A1638" s="251" t="s">
        <v>1654</v>
      </c>
      <c r="B1638" s="252" t="s">
        <v>3954</v>
      </c>
      <c r="C1638" s="254" t="s">
        <v>917</v>
      </c>
      <c r="D1638" s="252" t="s">
        <v>1655</v>
      </c>
      <c r="E1638" s="252" t="s">
        <v>918</v>
      </c>
      <c r="F1638" s="252" t="s">
        <v>889</v>
      </c>
      <c r="G1638" s="255">
        <v>6.7919999999999998</v>
      </c>
    </row>
    <row r="1639" spans="1:7" s="108" customFormat="1" ht="14.1" customHeight="1">
      <c r="A1639" s="251" t="s">
        <v>1654</v>
      </c>
      <c r="B1639" s="252" t="s">
        <v>3955</v>
      </c>
      <c r="C1639" s="254" t="s">
        <v>917</v>
      </c>
      <c r="D1639" s="252" t="s">
        <v>1277</v>
      </c>
      <c r="E1639" s="252" t="s">
        <v>984</v>
      </c>
      <c r="F1639" s="252" t="s">
        <v>889</v>
      </c>
      <c r="G1639" s="255">
        <v>21</v>
      </c>
    </row>
    <row r="1640" spans="1:7" s="108" customFormat="1" ht="14.1" customHeight="1">
      <c r="A1640" s="251" t="s">
        <v>1654</v>
      </c>
      <c r="B1640" s="252" t="s">
        <v>3956</v>
      </c>
      <c r="C1640" s="254" t="s">
        <v>917</v>
      </c>
      <c r="D1640" s="252" t="s">
        <v>1656</v>
      </c>
      <c r="E1640" s="252" t="s">
        <v>925</v>
      </c>
      <c r="F1640" s="252" t="s">
        <v>892</v>
      </c>
      <c r="G1640" s="255">
        <v>10</v>
      </c>
    </row>
    <row r="1641" spans="1:7" s="108" customFormat="1" ht="14.1" customHeight="1">
      <c r="A1641" s="251" t="s">
        <v>990</v>
      </c>
      <c r="B1641" s="252" t="s">
        <v>3957</v>
      </c>
      <c r="C1641" s="254" t="s">
        <v>968</v>
      </c>
      <c r="D1641" s="252" t="s">
        <v>993</v>
      </c>
      <c r="E1641" s="252" t="s">
        <v>929</v>
      </c>
      <c r="F1641" s="252" t="s">
        <v>892</v>
      </c>
      <c r="G1641" s="255">
        <v>5.0579999999999998</v>
      </c>
    </row>
    <row r="1642" spans="1:7" s="108" customFormat="1" ht="14.1" customHeight="1">
      <c r="A1642" s="251" t="s">
        <v>990</v>
      </c>
      <c r="B1642" s="252" t="s">
        <v>3958</v>
      </c>
      <c r="C1642" s="254" t="s">
        <v>968</v>
      </c>
      <c r="D1642" s="252" t="s">
        <v>3959</v>
      </c>
      <c r="E1642" s="252" t="s">
        <v>888</v>
      </c>
      <c r="F1642" s="252" t="s">
        <v>892</v>
      </c>
      <c r="G1642" s="255"/>
    </row>
    <row r="1643" spans="1:7" s="108" customFormat="1" ht="14.1" customHeight="1">
      <c r="A1643" s="251" t="s">
        <v>990</v>
      </c>
      <c r="B1643" s="252" t="s">
        <v>3960</v>
      </c>
      <c r="C1643" s="254" t="s">
        <v>1088</v>
      </c>
      <c r="D1643" s="252" t="s">
        <v>996</v>
      </c>
      <c r="E1643" s="252" t="s">
        <v>939</v>
      </c>
      <c r="F1643" s="252" t="s">
        <v>889</v>
      </c>
      <c r="G1643" s="255">
        <v>11.2</v>
      </c>
    </row>
    <row r="1644" spans="1:7" s="108" customFormat="1" ht="14.1" customHeight="1">
      <c r="A1644" s="251" t="s">
        <v>990</v>
      </c>
      <c r="B1644" s="252" t="s">
        <v>3961</v>
      </c>
      <c r="C1644" s="254" t="s">
        <v>906</v>
      </c>
      <c r="D1644" s="252" t="s">
        <v>3962</v>
      </c>
      <c r="E1644" s="252" t="s">
        <v>888</v>
      </c>
      <c r="F1644" s="252" t="s">
        <v>892</v>
      </c>
      <c r="G1644" s="255"/>
    </row>
    <row r="1645" spans="1:7" s="108" customFormat="1" ht="14.1" customHeight="1">
      <c r="A1645" s="251" t="s">
        <v>990</v>
      </c>
      <c r="B1645" s="252" t="s">
        <v>3963</v>
      </c>
      <c r="C1645" s="254" t="s">
        <v>917</v>
      </c>
      <c r="D1645" s="252" t="s">
        <v>930</v>
      </c>
      <c r="E1645" s="252" t="s">
        <v>918</v>
      </c>
      <c r="F1645" s="252" t="s">
        <v>892</v>
      </c>
      <c r="G1645" s="255">
        <v>25</v>
      </c>
    </row>
    <row r="1646" spans="1:7" s="108" customFormat="1" ht="14.1" customHeight="1">
      <c r="A1646" s="251" t="s">
        <v>990</v>
      </c>
      <c r="B1646" s="252" t="s">
        <v>3964</v>
      </c>
      <c r="C1646" s="254" t="s">
        <v>917</v>
      </c>
      <c r="D1646" s="252" t="s">
        <v>991</v>
      </c>
      <c r="E1646" s="252" t="s">
        <v>918</v>
      </c>
      <c r="F1646" s="252" t="s">
        <v>913</v>
      </c>
      <c r="G1646" s="255">
        <v>2.806</v>
      </c>
    </row>
    <row r="1647" spans="1:7" s="108" customFormat="1" ht="14.1" customHeight="1">
      <c r="A1647" s="251" t="s">
        <v>990</v>
      </c>
      <c r="B1647" s="252" t="s">
        <v>3965</v>
      </c>
      <c r="C1647" s="254" t="s">
        <v>917</v>
      </c>
      <c r="D1647" s="252" t="s">
        <v>994</v>
      </c>
      <c r="E1647" s="252" t="s">
        <v>918</v>
      </c>
      <c r="F1647" s="252" t="s">
        <v>889</v>
      </c>
      <c r="G1647" s="255">
        <v>42.948999999999998</v>
      </c>
    </row>
    <row r="1648" spans="1:7" s="108" customFormat="1" ht="14.1" customHeight="1">
      <c r="A1648" s="251" t="s">
        <v>990</v>
      </c>
      <c r="B1648" s="252" t="s">
        <v>3966</v>
      </c>
      <c r="C1648" s="254" t="s">
        <v>917</v>
      </c>
      <c r="D1648" s="252" t="s">
        <v>994</v>
      </c>
      <c r="E1648" s="252" t="s">
        <v>918</v>
      </c>
      <c r="F1648" s="252" t="s">
        <v>889</v>
      </c>
      <c r="G1648" s="255">
        <v>7</v>
      </c>
    </row>
    <row r="1649" spans="1:7" s="108" customFormat="1" ht="14.1" customHeight="1">
      <c r="A1649" s="251" t="s">
        <v>990</v>
      </c>
      <c r="B1649" s="252" t="s">
        <v>3967</v>
      </c>
      <c r="C1649" s="254" t="s">
        <v>894</v>
      </c>
      <c r="D1649" s="252" t="s">
        <v>995</v>
      </c>
      <c r="E1649" s="252" t="s">
        <v>918</v>
      </c>
      <c r="F1649" s="252" t="s">
        <v>889</v>
      </c>
      <c r="G1649" s="255">
        <v>10</v>
      </c>
    </row>
    <row r="1650" spans="1:7" s="108" customFormat="1" ht="14.1" customHeight="1">
      <c r="A1650" s="251" t="s">
        <v>990</v>
      </c>
      <c r="B1650" s="252" t="s">
        <v>2343</v>
      </c>
      <c r="C1650" s="254" t="s">
        <v>894</v>
      </c>
      <c r="D1650" s="252" t="s">
        <v>3790</v>
      </c>
      <c r="E1650" s="252" t="s">
        <v>888</v>
      </c>
      <c r="F1650" s="252" t="s">
        <v>3658</v>
      </c>
      <c r="G1650" s="255"/>
    </row>
    <row r="1651" spans="1:7" s="108" customFormat="1" ht="14.1" customHeight="1">
      <c r="A1651" s="251" t="s">
        <v>990</v>
      </c>
      <c r="B1651" s="252" t="s">
        <v>2052</v>
      </c>
      <c r="C1651" s="254" t="s">
        <v>1020</v>
      </c>
      <c r="D1651" s="252" t="s">
        <v>921</v>
      </c>
      <c r="E1651" s="252" t="s">
        <v>888</v>
      </c>
      <c r="F1651" s="252" t="s">
        <v>892</v>
      </c>
      <c r="G1651" s="255"/>
    </row>
    <row r="1652" spans="1:7" s="108" customFormat="1" ht="14.1" customHeight="1">
      <c r="A1652" s="251" t="s">
        <v>990</v>
      </c>
      <c r="B1652" s="252" t="s">
        <v>3968</v>
      </c>
      <c r="C1652" s="254" t="s">
        <v>1000</v>
      </c>
      <c r="D1652" s="252" t="s">
        <v>3969</v>
      </c>
      <c r="E1652" s="252" t="s">
        <v>888</v>
      </c>
      <c r="F1652" s="252" t="s">
        <v>889</v>
      </c>
      <c r="G1652" s="255"/>
    </row>
    <row r="1653" spans="1:7" s="108" customFormat="1" ht="14.1" customHeight="1">
      <c r="A1653" s="251" t="s">
        <v>990</v>
      </c>
      <c r="B1653" s="252" t="s">
        <v>3970</v>
      </c>
      <c r="C1653" s="254" t="s">
        <v>1068</v>
      </c>
      <c r="D1653" s="252" t="s">
        <v>992</v>
      </c>
      <c r="E1653" s="252" t="s">
        <v>904</v>
      </c>
      <c r="F1653" s="252" t="s">
        <v>889</v>
      </c>
      <c r="G1653" s="255">
        <v>3.1230000000000002</v>
      </c>
    </row>
    <row r="1654" spans="1:7" s="108" customFormat="1" ht="14.1" customHeight="1">
      <c r="A1654" s="251" t="s">
        <v>990</v>
      </c>
      <c r="B1654" s="252" t="s">
        <v>3971</v>
      </c>
      <c r="C1654" s="254" t="s">
        <v>983</v>
      </c>
      <c r="D1654" s="252" t="s">
        <v>3451</v>
      </c>
      <c r="E1654" s="252" t="s">
        <v>888</v>
      </c>
      <c r="F1654" s="252" t="s">
        <v>889</v>
      </c>
      <c r="G1654" s="255"/>
    </row>
    <row r="1655" spans="1:7" s="108" customFormat="1" ht="14.1" customHeight="1">
      <c r="A1655" s="251" t="s">
        <v>1244</v>
      </c>
      <c r="B1655" s="252" t="s">
        <v>3972</v>
      </c>
      <c r="C1655" s="254" t="s">
        <v>897</v>
      </c>
      <c r="D1655" s="252" t="s">
        <v>2163</v>
      </c>
      <c r="E1655" s="252" t="s">
        <v>907</v>
      </c>
      <c r="F1655" s="252" t="s">
        <v>3658</v>
      </c>
      <c r="G1655" s="255"/>
    </row>
    <row r="1656" spans="1:7" s="108" customFormat="1" ht="14.1" customHeight="1">
      <c r="A1656" s="251" t="s">
        <v>1244</v>
      </c>
      <c r="B1656" s="252" t="s">
        <v>2948</v>
      </c>
      <c r="C1656" s="254" t="s">
        <v>2487</v>
      </c>
      <c r="D1656" s="252" t="s">
        <v>2949</v>
      </c>
      <c r="E1656" s="252" t="s">
        <v>1157</v>
      </c>
      <c r="F1656" s="252" t="s">
        <v>889</v>
      </c>
      <c r="G1656" s="255"/>
    </row>
    <row r="1657" spans="1:7" s="108" customFormat="1" ht="14.1" customHeight="1">
      <c r="A1657" s="251" t="s">
        <v>1244</v>
      </c>
      <c r="B1657" s="252" t="s">
        <v>3973</v>
      </c>
      <c r="C1657" s="254" t="s">
        <v>1146</v>
      </c>
      <c r="D1657" s="252" t="s">
        <v>3711</v>
      </c>
      <c r="E1657" s="252" t="s">
        <v>895</v>
      </c>
      <c r="F1657" s="252" t="s">
        <v>889</v>
      </c>
      <c r="G1657" s="255"/>
    </row>
    <row r="1658" spans="1:7" s="108" customFormat="1" ht="14.1" customHeight="1">
      <c r="A1658" s="251" t="s">
        <v>1244</v>
      </c>
      <c r="B1658" s="252" t="s">
        <v>3974</v>
      </c>
      <c r="C1658" s="254" t="s">
        <v>1146</v>
      </c>
      <c r="D1658" s="252" t="s">
        <v>1245</v>
      </c>
      <c r="E1658" s="252" t="s">
        <v>925</v>
      </c>
      <c r="F1658" s="252" t="s">
        <v>889</v>
      </c>
      <c r="G1658" s="255">
        <v>252.88499999999999</v>
      </c>
    </row>
    <row r="1659" spans="1:7" s="108" customFormat="1" ht="14.1" customHeight="1">
      <c r="A1659" s="251" t="s">
        <v>1244</v>
      </c>
      <c r="B1659" s="252" t="s">
        <v>3975</v>
      </c>
      <c r="C1659" s="254" t="s">
        <v>1168</v>
      </c>
      <c r="D1659" s="252" t="s">
        <v>1258</v>
      </c>
      <c r="E1659" s="252" t="s">
        <v>907</v>
      </c>
      <c r="F1659" s="252" t="s">
        <v>892</v>
      </c>
      <c r="G1659" s="255">
        <v>512.40800000000002</v>
      </c>
    </row>
    <row r="1660" spans="1:7" s="108" customFormat="1" ht="14.1" customHeight="1">
      <c r="A1660" s="251" t="s">
        <v>1244</v>
      </c>
      <c r="B1660" s="252" t="s">
        <v>3976</v>
      </c>
      <c r="C1660" s="254" t="s">
        <v>1168</v>
      </c>
      <c r="D1660" s="252" t="s">
        <v>1255</v>
      </c>
      <c r="E1660" s="252" t="s">
        <v>959</v>
      </c>
      <c r="F1660" s="252" t="s">
        <v>892</v>
      </c>
      <c r="G1660" s="255">
        <v>485.25700000000001</v>
      </c>
    </row>
    <row r="1661" spans="1:7" s="108" customFormat="1" ht="14.1" customHeight="1">
      <c r="A1661" s="251" t="s">
        <v>1244</v>
      </c>
      <c r="B1661" s="252" t="s">
        <v>3977</v>
      </c>
      <c r="C1661" s="254" t="s">
        <v>1168</v>
      </c>
      <c r="D1661" s="252" t="s">
        <v>1255</v>
      </c>
      <c r="E1661" s="252" t="s">
        <v>959</v>
      </c>
      <c r="F1661" s="252" t="s">
        <v>892</v>
      </c>
      <c r="G1661" s="255">
        <v>123.11</v>
      </c>
    </row>
    <row r="1662" spans="1:7" s="108" customFormat="1" ht="14.1" customHeight="1">
      <c r="A1662" s="251" t="s">
        <v>1244</v>
      </c>
      <c r="B1662" s="252" t="s">
        <v>3978</v>
      </c>
      <c r="C1662" s="254" t="s">
        <v>1168</v>
      </c>
      <c r="D1662" s="252" t="s">
        <v>1253</v>
      </c>
      <c r="E1662" s="252" t="s">
        <v>984</v>
      </c>
      <c r="F1662" s="252" t="s">
        <v>892</v>
      </c>
      <c r="G1662" s="255">
        <v>77.667000000000002</v>
      </c>
    </row>
    <row r="1663" spans="1:7" s="108" customFormat="1" ht="14.1" customHeight="1">
      <c r="A1663" s="251" t="s">
        <v>1244</v>
      </c>
      <c r="B1663" s="252" t="s">
        <v>3979</v>
      </c>
      <c r="C1663" s="254" t="s">
        <v>968</v>
      </c>
      <c r="D1663" s="252" t="s">
        <v>2929</v>
      </c>
      <c r="E1663" s="252" t="s">
        <v>888</v>
      </c>
      <c r="F1663" s="252" t="s">
        <v>889</v>
      </c>
      <c r="G1663" s="255"/>
    </row>
    <row r="1664" spans="1:7" s="108" customFormat="1" ht="14.1" customHeight="1">
      <c r="A1664" s="251" t="s">
        <v>1244</v>
      </c>
      <c r="B1664" s="252" t="s">
        <v>3980</v>
      </c>
      <c r="C1664" s="254" t="s">
        <v>968</v>
      </c>
      <c r="D1664" s="252" t="s">
        <v>3981</v>
      </c>
      <c r="E1664" s="252" t="s">
        <v>929</v>
      </c>
      <c r="F1664" s="252" t="s">
        <v>889</v>
      </c>
      <c r="G1664" s="255"/>
    </row>
    <row r="1665" spans="1:7" s="108" customFormat="1" ht="14.1" customHeight="1">
      <c r="A1665" s="251" t="s">
        <v>1244</v>
      </c>
      <c r="B1665" s="252" t="s">
        <v>3982</v>
      </c>
      <c r="C1665" s="254" t="s">
        <v>968</v>
      </c>
      <c r="D1665" s="252" t="s">
        <v>3983</v>
      </c>
      <c r="E1665" s="252" t="s">
        <v>939</v>
      </c>
      <c r="F1665" s="252" t="s">
        <v>3658</v>
      </c>
      <c r="G1665" s="255"/>
    </row>
    <row r="1666" spans="1:7" s="108" customFormat="1" ht="14.1" customHeight="1">
      <c r="A1666" s="251" t="s">
        <v>1244</v>
      </c>
      <c r="B1666" s="252" t="s">
        <v>3984</v>
      </c>
      <c r="C1666" s="254" t="s">
        <v>968</v>
      </c>
      <c r="D1666" s="252" t="s">
        <v>3985</v>
      </c>
      <c r="E1666" s="252" t="s">
        <v>888</v>
      </c>
      <c r="F1666" s="252" t="s">
        <v>889</v>
      </c>
      <c r="G1666" s="255"/>
    </row>
    <row r="1667" spans="1:7" s="108" customFormat="1" ht="14.1" customHeight="1">
      <c r="A1667" s="251" t="s">
        <v>1244</v>
      </c>
      <c r="B1667" s="252" t="s">
        <v>3986</v>
      </c>
      <c r="C1667" s="254" t="s">
        <v>968</v>
      </c>
      <c r="D1667" s="252" t="s">
        <v>3646</v>
      </c>
      <c r="E1667" s="252" t="s">
        <v>1026</v>
      </c>
      <c r="F1667" s="252" t="s">
        <v>889</v>
      </c>
      <c r="G1667" s="255"/>
    </row>
    <row r="1668" spans="1:7" s="108" customFormat="1" ht="14.1" customHeight="1">
      <c r="A1668" s="251" t="s">
        <v>1244</v>
      </c>
      <c r="B1668" s="252" t="s">
        <v>3987</v>
      </c>
      <c r="C1668" s="254" t="s">
        <v>944</v>
      </c>
      <c r="D1668" s="252" t="s">
        <v>3004</v>
      </c>
      <c r="E1668" s="252" t="s">
        <v>907</v>
      </c>
      <c r="F1668" s="252" t="s">
        <v>889</v>
      </c>
      <c r="G1668" s="255"/>
    </row>
    <row r="1669" spans="1:7" s="108" customFormat="1" ht="14.1" customHeight="1">
      <c r="A1669" s="251" t="s">
        <v>1244</v>
      </c>
      <c r="B1669" s="252" t="s">
        <v>3988</v>
      </c>
      <c r="C1669" s="254" t="s">
        <v>1051</v>
      </c>
      <c r="D1669" s="252" t="s">
        <v>886</v>
      </c>
      <c r="E1669" s="252" t="s">
        <v>888</v>
      </c>
      <c r="F1669" s="252" t="s">
        <v>889</v>
      </c>
      <c r="G1669" s="255">
        <v>19.332999999999998</v>
      </c>
    </row>
    <row r="1670" spans="1:7" s="108" customFormat="1" ht="14.1" customHeight="1">
      <c r="A1670" s="251" t="s">
        <v>1244</v>
      </c>
      <c r="B1670" s="252" t="s">
        <v>3989</v>
      </c>
      <c r="C1670" s="254" t="s">
        <v>1756</v>
      </c>
      <c r="D1670" s="252" t="s">
        <v>3990</v>
      </c>
      <c r="E1670" s="252" t="s">
        <v>888</v>
      </c>
      <c r="F1670" s="252" t="s">
        <v>889</v>
      </c>
      <c r="G1670" s="255"/>
    </row>
    <row r="1671" spans="1:7" s="108" customFormat="1" ht="14.1" customHeight="1">
      <c r="A1671" s="251" t="s">
        <v>1244</v>
      </c>
      <c r="B1671" s="252" t="s">
        <v>3823</v>
      </c>
      <c r="C1671" s="254" t="s">
        <v>1088</v>
      </c>
      <c r="D1671" s="252" t="s">
        <v>1257</v>
      </c>
      <c r="E1671" s="252" t="s">
        <v>1026</v>
      </c>
      <c r="F1671" s="252" t="s">
        <v>889</v>
      </c>
      <c r="G1671" s="255">
        <v>400</v>
      </c>
    </row>
    <row r="1672" spans="1:7" s="108" customFormat="1" ht="14.1" customHeight="1">
      <c r="A1672" s="251" t="s">
        <v>1244</v>
      </c>
      <c r="B1672" s="252" t="s">
        <v>3991</v>
      </c>
      <c r="C1672" s="254" t="s">
        <v>1088</v>
      </c>
      <c r="D1672" s="252" t="s">
        <v>1250</v>
      </c>
      <c r="E1672" s="252" t="s">
        <v>984</v>
      </c>
      <c r="F1672" s="252" t="s">
        <v>889</v>
      </c>
      <c r="G1672" s="255">
        <v>22.207999999999998</v>
      </c>
    </row>
    <row r="1673" spans="1:7" s="108" customFormat="1" ht="14.1" customHeight="1">
      <c r="A1673" s="251" t="s">
        <v>1244</v>
      </c>
      <c r="B1673" s="252" t="s">
        <v>3992</v>
      </c>
      <c r="C1673" s="254" t="s">
        <v>1032</v>
      </c>
      <c r="D1673" s="252" t="s">
        <v>3993</v>
      </c>
      <c r="E1673" s="252" t="s">
        <v>888</v>
      </c>
      <c r="F1673" s="252" t="s">
        <v>889</v>
      </c>
      <c r="G1673" s="255"/>
    </row>
    <row r="1674" spans="1:7" s="108" customFormat="1" ht="14.1" customHeight="1">
      <c r="A1674" s="251" t="s">
        <v>1244</v>
      </c>
      <c r="B1674" s="252" t="s">
        <v>3994</v>
      </c>
      <c r="C1674" s="254" t="s">
        <v>1032</v>
      </c>
      <c r="D1674" s="252" t="s">
        <v>1248</v>
      </c>
      <c r="E1674" s="252" t="s">
        <v>904</v>
      </c>
      <c r="F1674" s="252" t="s">
        <v>889</v>
      </c>
      <c r="G1674" s="255">
        <v>3.6560000000000001</v>
      </c>
    </row>
    <row r="1675" spans="1:7" s="108" customFormat="1" ht="14.1" customHeight="1">
      <c r="A1675" s="251" t="s">
        <v>1244</v>
      </c>
      <c r="B1675" s="252" t="s">
        <v>3995</v>
      </c>
      <c r="C1675" s="254" t="s">
        <v>906</v>
      </c>
      <c r="D1675" s="252" t="s">
        <v>1179</v>
      </c>
      <c r="E1675" s="252" t="s">
        <v>895</v>
      </c>
      <c r="F1675" s="252" t="s">
        <v>889</v>
      </c>
      <c r="G1675" s="255">
        <v>66.36</v>
      </c>
    </row>
    <row r="1676" spans="1:7" s="108" customFormat="1" ht="14.1" customHeight="1">
      <c r="A1676" s="251" t="s">
        <v>1244</v>
      </c>
      <c r="B1676" s="252" t="s">
        <v>3996</v>
      </c>
      <c r="C1676" s="254" t="s">
        <v>906</v>
      </c>
      <c r="D1676" s="252" t="s">
        <v>1931</v>
      </c>
      <c r="E1676" s="252" t="s">
        <v>888</v>
      </c>
      <c r="F1676" s="252" t="s">
        <v>889</v>
      </c>
      <c r="G1676" s="255"/>
    </row>
    <row r="1677" spans="1:7" s="108" customFormat="1" ht="14.1" customHeight="1">
      <c r="A1677" s="251" t="s">
        <v>1244</v>
      </c>
      <c r="B1677" s="252" t="s">
        <v>3997</v>
      </c>
      <c r="C1677" s="254" t="s">
        <v>906</v>
      </c>
      <c r="D1677" s="252" t="s">
        <v>3998</v>
      </c>
      <c r="E1677" s="252" t="s">
        <v>888</v>
      </c>
      <c r="F1677" s="252" t="s">
        <v>889</v>
      </c>
      <c r="G1677" s="255"/>
    </row>
    <row r="1678" spans="1:7" s="108" customFormat="1" ht="14.1" customHeight="1">
      <c r="A1678" s="251" t="s">
        <v>1244</v>
      </c>
      <c r="B1678" s="252" t="s">
        <v>3999</v>
      </c>
      <c r="C1678" s="254" t="s">
        <v>1833</v>
      </c>
      <c r="D1678" s="252" t="s">
        <v>4000</v>
      </c>
      <c r="E1678" s="252" t="s">
        <v>959</v>
      </c>
      <c r="F1678" s="252" t="s">
        <v>889</v>
      </c>
      <c r="G1678" s="255"/>
    </row>
    <row r="1679" spans="1:7" s="108" customFormat="1" ht="14.1" customHeight="1">
      <c r="A1679" s="251" t="s">
        <v>1244</v>
      </c>
      <c r="B1679" s="252" t="s">
        <v>4001</v>
      </c>
      <c r="C1679" s="254" t="s">
        <v>1150</v>
      </c>
      <c r="D1679" s="252" t="s">
        <v>1265</v>
      </c>
      <c r="E1679" s="252" t="s">
        <v>888</v>
      </c>
      <c r="F1679" s="252" t="s">
        <v>889</v>
      </c>
      <c r="G1679" s="255"/>
    </row>
    <row r="1680" spans="1:7" s="108" customFormat="1" ht="14.1" customHeight="1">
      <c r="A1680" s="251" t="s">
        <v>1244</v>
      </c>
      <c r="B1680" s="252" t="s">
        <v>4002</v>
      </c>
      <c r="C1680" s="254" t="s">
        <v>986</v>
      </c>
      <c r="D1680" s="252" t="s">
        <v>3015</v>
      </c>
      <c r="E1680" s="252" t="s">
        <v>888</v>
      </c>
      <c r="F1680" s="252" t="s">
        <v>892</v>
      </c>
      <c r="G1680" s="255"/>
    </row>
    <row r="1681" spans="1:7" s="108" customFormat="1" ht="14.1" customHeight="1">
      <c r="A1681" s="251" t="s">
        <v>1244</v>
      </c>
      <c r="B1681" s="252" t="s">
        <v>4003</v>
      </c>
      <c r="C1681" s="254" t="s">
        <v>887</v>
      </c>
      <c r="D1681" s="252" t="s">
        <v>1251</v>
      </c>
      <c r="E1681" s="252" t="s">
        <v>1022</v>
      </c>
      <c r="F1681" s="252" t="s">
        <v>931</v>
      </c>
      <c r="G1681" s="255">
        <v>46.482999999999997</v>
      </c>
    </row>
    <row r="1682" spans="1:7" s="108" customFormat="1" ht="14.1" customHeight="1">
      <c r="A1682" s="251" t="s">
        <v>1244</v>
      </c>
      <c r="B1682" s="252" t="s">
        <v>2983</v>
      </c>
      <c r="C1682" s="254" t="s">
        <v>887</v>
      </c>
      <c r="D1682" s="252" t="s">
        <v>2984</v>
      </c>
      <c r="E1682" s="252" t="s">
        <v>954</v>
      </c>
      <c r="F1682" s="252" t="s">
        <v>889</v>
      </c>
      <c r="G1682" s="255"/>
    </row>
    <row r="1683" spans="1:7" s="108" customFormat="1" ht="14.1" customHeight="1">
      <c r="A1683" s="251" t="s">
        <v>1244</v>
      </c>
      <c r="B1683" s="252" t="s">
        <v>4004</v>
      </c>
      <c r="C1683" s="254" t="s">
        <v>890</v>
      </c>
      <c r="D1683" s="252" t="s">
        <v>1252</v>
      </c>
      <c r="E1683" s="252" t="s">
        <v>888</v>
      </c>
      <c r="F1683" s="252" t="s">
        <v>931</v>
      </c>
      <c r="G1683" s="255">
        <v>120.839</v>
      </c>
    </row>
    <row r="1684" spans="1:7" s="108" customFormat="1" ht="14.1" customHeight="1">
      <c r="A1684" s="251" t="s">
        <v>1244</v>
      </c>
      <c r="B1684" s="252" t="s">
        <v>4004</v>
      </c>
      <c r="C1684" s="254" t="s">
        <v>890</v>
      </c>
      <c r="D1684" s="252" t="s">
        <v>1252</v>
      </c>
      <c r="E1684" s="252" t="s">
        <v>888</v>
      </c>
      <c r="F1684" s="252" t="s">
        <v>931</v>
      </c>
      <c r="G1684" s="255">
        <v>64.873000000000005</v>
      </c>
    </row>
    <row r="1685" spans="1:7" s="108" customFormat="1" ht="14.1" customHeight="1">
      <c r="A1685" s="251" t="s">
        <v>1244</v>
      </c>
      <c r="B1685" s="252" t="s">
        <v>4005</v>
      </c>
      <c r="C1685" s="254" t="s">
        <v>890</v>
      </c>
      <c r="D1685" s="252" t="s">
        <v>4006</v>
      </c>
      <c r="E1685" s="252" t="s">
        <v>888</v>
      </c>
      <c r="F1685" s="252" t="s">
        <v>889</v>
      </c>
      <c r="G1685" s="255"/>
    </row>
    <row r="1686" spans="1:7" s="108" customFormat="1" ht="14.1" customHeight="1">
      <c r="A1686" s="251" t="s">
        <v>1244</v>
      </c>
      <c r="B1686" s="252" t="s">
        <v>4007</v>
      </c>
      <c r="C1686" s="254" t="s">
        <v>1018</v>
      </c>
      <c r="D1686" s="252" t="s">
        <v>1254</v>
      </c>
      <c r="E1686" s="252" t="s">
        <v>904</v>
      </c>
      <c r="F1686" s="252" t="s">
        <v>889</v>
      </c>
      <c r="G1686" s="255">
        <v>117.861</v>
      </c>
    </row>
    <row r="1687" spans="1:7" s="108" customFormat="1" ht="14.1" customHeight="1">
      <c r="A1687" s="251" t="s">
        <v>1244</v>
      </c>
      <c r="B1687" s="252" t="s">
        <v>4008</v>
      </c>
      <c r="C1687" s="254" t="s">
        <v>917</v>
      </c>
      <c r="D1687" s="252" t="s">
        <v>1247</v>
      </c>
      <c r="E1687" s="252" t="s">
        <v>918</v>
      </c>
      <c r="F1687" s="252" t="s">
        <v>892</v>
      </c>
      <c r="G1687" s="255">
        <v>0.98</v>
      </c>
    </row>
    <row r="1688" spans="1:7" s="108" customFormat="1" ht="14.1" customHeight="1">
      <c r="A1688" s="251" t="s">
        <v>1244</v>
      </c>
      <c r="B1688" s="252" t="s">
        <v>4009</v>
      </c>
      <c r="C1688" s="254" t="s">
        <v>1441</v>
      </c>
      <c r="D1688" s="252" t="s">
        <v>3451</v>
      </c>
      <c r="E1688" s="252" t="s">
        <v>888</v>
      </c>
      <c r="F1688" s="252" t="s">
        <v>889</v>
      </c>
      <c r="G1688" s="255"/>
    </row>
    <row r="1689" spans="1:7" s="108" customFormat="1" ht="14.1" customHeight="1">
      <c r="A1689" s="251" t="s">
        <v>1244</v>
      </c>
      <c r="B1689" s="252" t="s">
        <v>2860</v>
      </c>
      <c r="C1689" s="254" t="s">
        <v>1071</v>
      </c>
      <c r="D1689" s="252" t="s">
        <v>886</v>
      </c>
      <c r="E1689" s="252" t="s">
        <v>925</v>
      </c>
      <c r="F1689" s="252" t="s">
        <v>889</v>
      </c>
      <c r="G1689" s="255"/>
    </row>
    <row r="1690" spans="1:7" s="108" customFormat="1" ht="14.1" customHeight="1">
      <c r="A1690" s="251" t="s">
        <v>1244</v>
      </c>
      <c r="B1690" s="252" t="s">
        <v>4010</v>
      </c>
      <c r="C1690" s="254" t="s">
        <v>1071</v>
      </c>
      <c r="D1690" s="252" t="s">
        <v>1249</v>
      </c>
      <c r="E1690" s="252" t="s">
        <v>1021</v>
      </c>
      <c r="F1690" s="252" t="s">
        <v>889</v>
      </c>
      <c r="G1690" s="255">
        <v>8.7070000000000007</v>
      </c>
    </row>
    <row r="1691" spans="1:7" s="108" customFormat="1" ht="14.1" customHeight="1">
      <c r="A1691" s="251" t="s">
        <v>1244</v>
      </c>
      <c r="B1691" s="252" t="s">
        <v>4011</v>
      </c>
      <c r="C1691" s="254" t="s">
        <v>1246</v>
      </c>
      <c r="D1691" s="252" t="s">
        <v>886</v>
      </c>
      <c r="E1691" s="252" t="s">
        <v>918</v>
      </c>
      <c r="F1691" s="252" t="s">
        <v>889</v>
      </c>
      <c r="G1691" s="255"/>
    </row>
    <row r="1692" spans="1:7" s="108" customFormat="1" ht="14.1" customHeight="1">
      <c r="A1692" s="251" t="s">
        <v>1244</v>
      </c>
      <c r="B1692" s="252" t="s">
        <v>4012</v>
      </c>
      <c r="C1692" s="254" t="s">
        <v>1246</v>
      </c>
      <c r="D1692" s="252" t="s">
        <v>1256</v>
      </c>
      <c r="E1692" s="252" t="s">
        <v>888</v>
      </c>
      <c r="F1692" s="252" t="s">
        <v>889</v>
      </c>
      <c r="G1692" s="255">
        <v>363.47199999999998</v>
      </c>
    </row>
    <row r="1693" spans="1:7" s="108" customFormat="1" ht="14.1" customHeight="1">
      <c r="A1693" s="251" t="s">
        <v>1244</v>
      </c>
      <c r="B1693" s="252" t="s">
        <v>4013</v>
      </c>
      <c r="C1693" s="254" t="s">
        <v>1246</v>
      </c>
      <c r="D1693" s="252" t="s">
        <v>1245</v>
      </c>
      <c r="E1693" s="252" t="s">
        <v>925</v>
      </c>
      <c r="F1693" s="252" t="s">
        <v>889</v>
      </c>
      <c r="G1693" s="255">
        <v>1.4999999999999999E-2</v>
      </c>
    </row>
    <row r="1694" spans="1:7" s="108" customFormat="1" ht="14.1" customHeight="1">
      <c r="A1694" s="251" t="s">
        <v>1244</v>
      </c>
      <c r="B1694" s="252" t="s">
        <v>1980</v>
      </c>
      <c r="C1694" s="254" t="s">
        <v>1000</v>
      </c>
      <c r="D1694" s="252" t="s">
        <v>1981</v>
      </c>
      <c r="E1694" s="252" t="s">
        <v>888</v>
      </c>
      <c r="F1694" s="252" t="s">
        <v>889</v>
      </c>
      <c r="G1694" s="255"/>
    </row>
    <row r="1695" spans="1:7" s="108" customFormat="1" ht="14.1" customHeight="1">
      <c r="A1695" s="251" t="s">
        <v>1244</v>
      </c>
      <c r="B1695" s="252" t="s">
        <v>4014</v>
      </c>
      <c r="C1695" s="254" t="s">
        <v>1000</v>
      </c>
      <c r="D1695" s="252" t="s">
        <v>3880</v>
      </c>
      <c r="E1695" s="252" t="s">
        <v>907</v>
      </c>
      <c r="F1695" s="252" t="s">
        <v>889</v>
      </c>
      <c r="G1695" s="255"/>
    </row>
    <row r="1696" spans="1:7" s="108" customFormat="1" ht="14.1" customHeight="1">
      <c r="A1696" s="251" t="s">
        <v>1244</v>
      </c>
      <c r="B1696" s="252" t="s">
        <v>4015</v>
      </c>
      <c r="C1696" s="254" t="s">
        <v>1164</v>
      </c>
      <c r="D1696" s="252" t="s">
        <v>4016</v>
      </c>
      <c r="E1696" s="252" t="s">
        <v>888</v>
      </c>
      <c r="F1696" s="252" t="s">
        <v>889</v>
      </c>
      <c r="G1696" s="255"/>
    </row>
    <row r="1697" spans="1:7" s="108" customFormat="1" ht="14.1" customHeight="1">
      <c r="A1697" s="251" t="s">
        <v>1244</v>
      </c>
      <c r="B1697" s="252" t="s">
        <v>3884</v>
      </c>
      <c r="C1697" s="254" t="s">
        <v>983</v>
      </c>
      <c r="D1697" s="252" t="s">
        <v>3885</v>
      </c>
      <c r="E1697" s="252" t="s">
        <v>907</v>
      </c>
      <c r="F1697" s="252" t="s">
        <v>913</v>
      </c>
      <c r="G1697" s="255"/>
    </row>
    <row r="1698" spans="1:7" s="108" customFormat="1" ht="14.1" customHeight="1">
      <c r="A1698" s="251" t="s">
        <v>1244</v>
      </c>
      <c r="B1698" s="252" t="s">
        <v>4017</v>
      </c>
      <c r="C1698" s="254" t="s">
        <v>983</v>
      </c>
      <c r="D1698" s="252" t="s">
        <v>3275</v>
      </c>
      <c r="E1698" s="252" t="s">
        <v>904</v>
      </c>
      <c r="F1698" s="252" t="s">
        <v>889</v>
      </c>
      <c r="G1698" s="255"/>
    </row>
    <row r="1699" spans="1:7" s="108" customFormat="1" ht="14.1" customHeight="1">
      <c r="A1699" s="251" t="s">
        <v>1365</v>
      </c>
      <c r="B1699" s="252" t="s">
        <v>4018</v>
      </c>
      <c r="C1699" s="254" t="s">
        <v>968</v>
      </c>
      <c r="D1699" s="252" t="s">
        <v>4019</v>
      </c>
      <c r="E1699" s="252" t="s">
        <v>912</v>
      </c>
      <c r="F1699" s="252" t="s">
        <v>889</v>
      </c>
      <c r="G1699" s="255"/>
    </row>
    <row r="1700" spans="1:7" s="108" customFormat="1" ht="14.1" customHeight="1">
      <c r="A1700" s="251" t="s">
        <v>1365</v>
      </c>
      <c r="B1700" s="252" t="s">
        <v>4020</v>
      </c>
      <c r="C1700" s="254" t="s">
        <v>1088</v>
      </c>
      <c r="D1700" s="252" t="s">
        <v>1366</v>
      </c>
      <c r="E1700" s="252" t="s">
        <v>929</v>
      </c>
      <c r="F1700" s="252" t="s">
        <v>892</v>
      </c>
      <c r="G1700" s="255">
        <v>44</v>
      </c>
    </row>
    <row r="1701" spans="1:7" s="108" customFormat="1" ht="14.1" customHeight="1">
      <c r="A1701" s="251" t="s">
        <v>1365</v>
      </c>
      <c r="B1701" s="252" t="s">
        <v>2884</v>
      </c>
      <c r="C1701" s="254" t="s">
        <v>887</v>
      </c>
      <c r="D1701" s="252" t="s">
        <v>4021</v>
      </c>
      <c r="E1701" s="252" t="s">
        <v>939</v>
      </c>
      <c r="F1701" s="252" t="s">
        <v>889</v>
      </c>
      <c r="G1701" s="255"/>
    </row>
    <row r="1702" spans="1:7" s="108" customFormat="1" ht="14.1" customHeight="1">
      <c r="A1702" s="251" t="s">
        <v>1365</v>
      </c>
      <c r="B1702" s="252" t="s">
        <v>4022</v>
      </c>
      <c r="C1702" s="254" t="s">
        <v>1018</v>
      </c>
      <c r="D1702" s="252" t="s">
        <v>3912</v>
      </c>
      <c r="E1702" s="252" t="s">
        <v>907</v>
      </c>
      <c r="F1702" s="252" t="s">
        <v>889</v>
      </c>
      <c r="G1702" s="255"/>
    </row>
    <row r="1703" spans="1:7" s="108" customFormat="1" ht="14.1" customHeight="1">
      <c r="A1703" s="251" t="s">
        <v>1365</v>
      </c>
      <c r="B1703" s="252" t="s">
        <v>4023</v>
      </c>
      <c r="C1703" s="254" t="s">
        <v>917</v>
      </c>
      <c r="D1703" s="252" t="s">
        <v>1335</v>
      </c>
      <c r="E1703" s="252" t="s">
        <v>918</v>
      </c>
      <c r="F1703" s="252" t="s">
        <v>889</v>
      </c>
      <c r="G1703" s="255">
        <v>20</v>
      </c>
    </row>
    <row r="1704" spans="1:7" s="108" customFormat="1" ht="14.1" customHeight="1">
      <c r="A1704" s="251" t="s">
        <v>1365</v>
      </c>
      <c r="B1704" s="252" t="s">
        <v>4024</v>
      </c>
      <c r="C1704" s="254" t="s">
        <v>917</v>
      </c>
      <c r="D1704" s="252" t="s">
        <v>1335</v>
      </c>
      <c r="E1704" s="252" t="s">
        <v>918</v>
      </c>
      <c r="F1704" s="252" t="s">
        <v>889</v>
      </c>
      <c r="G1704" s="255">
        <v>300</v>
      </c>
    </row>
    <row r="1705" spans="1:7" s="108" customFormat="1" ht="14.1" customHeight="1">
      <c r="A1705" s="251" t="s">
        <v>1365</v>
      </c>
      <c r="B1705" s="252" t="s">
        <v>4024</v>
      </c>
      <c r="C1705" s="254" t="s">
        <v>917</v>
      </c>
      <c r="D1705" s="252" t="s">
        <v>1335</v>
      </c>
      <c r="E1705" s="252" t="s">
        <v>918</v>
      </c>
      <c r="F1705" s="252" t="s">
        <v>889</v>
      </c>
      <c r="G1705" s="255">
        <v>300</v>
      </c>
    </row>
    <row r="1706" spans="1:7" s="108" customFormat="1" ht="14.1" customHeight="1">
      <c r="A1706" s="251" t="s">
        <v>1365</v>
      </c>
      <c r="B1706" s="252" t="s">
        <v>4025</v>
      </c>
      <c r="C1706" s="254" t="s">
        <v>2919</v>
      </c>
      <c r="D1706" s="252" t="s">
        <v>3229</v>
      </c>
      <c r="E1706" s="252" t="s">
        <v>1024</v>
      </c>
      <c r="F1706" s="252" t="s">
        <v>889</v>
      </c>
      <c r="G1706" s="255"/>
    </row>
    <row r="1707" spans="1:7" s="108" customFormat="1" ht="14.1" customHeight="1">
      <c r="A1707" s="251" t="s">
        <v>1365</v>
      </c>
      <c r="B1707" s="252" t="s">
        <v>4026</v>
      </c>
      <c r="C1707" s="254" t="s">
        <v>1972</v>
      </c>
      <c r="D1707" s="252" t="s">
        <v>4027</v>
      </c>
      <c r="E1707" s="252" t="s">
        <v>907</v>
      </c>
      <c r="F1707" s="252" t="s">
        <v>889</v>
      </c>
      <c r="G1707" s="255"/>
    </row>
    <row r="1708" spans="1:7" s="108" customFormat="1" ht="14.1" customHeight="1">
      <c r="A1708" s="251" t="s">
        <v>1365</v>
      </c>
      <c r="B1708" s="252" t="s">
        <v>4028</v>
      </c>
      <c r="C1708" s="254" t="s">
        <v>1020</v>
      </c>
      <c r="D1708" s="252" t="s">
        <v>4029</v>
      </c>
      <c r="E1708" s="252" t="s">
        <v>888</v>
      </c>
      <c r="F1708" s="252" t="s">
        <v>889</v>
      </c>
      <c r="G1708" s="255"/>
    </row>
    <row r="1709" spans="1:7" s="108" customFormat="1" ht="14.1" customHeight="1">
      <c r="A1709" s="251" t="s">
        <v>1431</v>
      </c>
      <c r="B1709" s="252" t="s">
        <v>4030</v>
      </c>
      <c r="C1709" s="254" t="s">
        <v>968</v>
      </c>
      <c r="D1709" s="252" t="s">
        <v>4031</v>
      </c>
      <c r="E1709" s="252" t="s">
        <v>888</v>
      </c>
      <c r="F1709" s="252" t="s">
        <v>889</v>
      </c>
      <c r="G1709" s="255"/>
    </row>
    <row r="1710" spans="1:7" s="108" customFormat="1" ht="14.1" customHeight="1">
      <c r="A1710" s="251" t="s">
        <v>1431</v>
      </c>
      <c r="B1710" s="252" t="s">
        <v>4032</v>
      </c>
      <c r="C1710" s="254" t="s">
        <v>944</v>
      </c>
      <c r="D1710" s="252" t="s">
        <v>3619</v>
      </c>
      <c r="E1710" s="252" t="s">
        <v>904</v>
      </c>
      <c r="F1710" s="252" t="s">
        <v>889</v>
      </c>
      <c r="G1710" s="255"/>
    </row>
    <row r="1711" spans="1:7" s="108" customFormat="1" ht="14.1" customHeight="1">
      <c r="A1711" s="251" t="s">
        <v>1431</v>
      </c>
      <c r="B1711" s="252" t="s">
        <v>4033</v>
      </c>
      <c r="C1711" s="254" t="s">
        <v>906</v>
      </c>
      <c r="D1711" s="252" t="s">
        <v>3832</v>
      </c>
      <c r="E1711" s="252" t="s">
        <v>888</v>
      </c>
      <c r="F1711" s="252" t="s">
        <v>889</v>
      </c>
      <c r="G1711" s="255"/>
    </row>
    <row r="1712" spans="1:7" s="108" customFormat="1" ht="14.1" customHeight="1">
      <c r="A1712" s="251" t="s">
        <v>1431</v>
      </c>
      <c r="B1712" s="252" t="s">
        <v>4034</v>
      </c>
      <c r="C1712" s="254" t="s">
        <v>906</v>
      </c>
      <c r="D1712" s="252" t="s">
        <v>4035</v>
      </c>
      <c r="E1712" s="252" t="s">
        <v>888</v>
      </c>
      <c r="F1712" s="252" t="s">
        <v>889</v>
      </c>
      <c r="G1712" s="255"/>
    </row>
    <row r="1713" spans="1:7" s="108" customFormat="1" ht="14.1" customHeight="1">
      <c r="A1713" s="251" t="s">
        <v>1431</v>
      </c>
      <c r="B1713" s="252" t="s">
        <v>4036</v>
      </c>
      <c r="C1713" s="254" t="s">
        <v>917</v>
      </c>
      <c r="D1713" s="252" t="s">
        <v>1432</v>
      </c>
      <c r="E1713" s="252" t="s">
        <v>918</v>
      </c>
      <c r="F1713" s="252" t="s">
        <v>892</v>
      </c>
      <c r="G1713" s="255">
        <v>0.3</v>
      </c>
    </row>
    <row r="1714" spans="1:7" s="108" customFormat="1" ht="14.1" customHeight="1">
      <c r="A1714" s="251" t="s">
        <v>1431</v>
      </c>
      <c r="B1714" s="252" t="s">
        <v>4036</v>
      </c>
      <c r="C1714" s="254" t="s">
        <v>917</v>
      </c>
      <c r="D1714" s="252" t="s">
        <v>1432</v>
      </c>
      <c r="E1714" s="252" t="s">
        <v>918</v>
      </c>
      <c r="F1714" s="252" t="s">
        <v>913</v>
      </c>
      <c r="G1714" s="255">
        <v>5.05</v>
      </c>
    </row>
    <row r="1715" spans="1:7" s="108" customFormat="1" ht="14.1" customHeight="1">
      <c r="A1715" s="251" t="s">
        <v>1431</v>
      </c>
      <c r="B1715" s="252" t="s">
        <v>4037</v>
      </c>
      <c r="C1715" s="254" t="s">
        <v>1023</v>
      </c>
      <c r="D1715" s="252" t="s">
        <v>4038</v>
      </c>
      <c r="E1715" s="252" t="s">
        <v>888</v>
      </c>
      <c r="F1715" s="252" t="s">
        <v>892</v>
      </c>
      <c r="G1715" s="255"/>
    </row>
    <row r="1716" spans="1:7" s="108" customFormat="1" ht="14.1" customHeight="1">
      <c r="A1716" s="251" t="s">
        <v>1431</v>
      </c>
      <c r="B1716" s="252" t="s">
        <v>4039</v>
      </c>
      <c r="C1716" s="254" t="s">
        <v>3870</v>
      </c>
      <c r="D1716" s="252" t="s">
        <v>4040</v>
      </c>
      <c r="E1716" s="252" t="s">
        <v>907</v>
      </c>
      <c r="F1716" s="252" t="s">
        <v>889</v>
      </c>
      <c r="G1716" s="255"/>
    </row>
    <row r="1717" spans="1:7" s="108" customFormat="1" ht="14.1" customHeight="1">
      <c r="A1717" s="251" t="s">
        <v>1456</v>
      </c>
      <c r="B1717" s="252" t="s">
        <v>4041</v>
      </c>
      <c r="C1717" s="254" t="s">
        <v>917</v>
      </c>
      <c r="D1717" s="252" t="s">
        <v>1457</v>
      </c>
      <c r="E1717" s="252" t="s">
        <v>918</v>
      </c>
      <c r="F1717" s="252" t="s">
        <v>892</v>
      </c>
      <c r="G1717" s="255">
        <v>0.91500000000000004</v>
      </c>
    </row>
    <row r="1718" spans="1:7" s="108" customFormat="1" ht="14.1" customHeight="1">
      <c r="A1718" s="251" t="s">
        <v>1580</v>
      </c>
      <c r="B1718" s="252" t="s">
        <v>4042</v>
      </c>
      <c r="C1718" s="254" t="s">
        <v>968</v>
      </c>
      <c r="D1718" s="252" t="s">
        <v>4043</v>
      </c>
      <c r="E1718" s="252" t="s">
        <v>939</v>
      </c>
      <c r="F1718" s="252" t="s">
        <v>889</v>
      </c>
      <c r="G1718" s="255"/>
    </row>
    <row r="1719" spans="1:7" s="108" customFormat="1" ht="14.1" customHeight="1">
      <c r="A1719" s="251" t="s">
        <v>1580</v>
      </c>
      <c r="B1719" s="252" t="s">
        <v>4044</v>
      </c>
      <c r="C1719" s="254" t="s">
        <v>968</v>
      </c>
      <c r="D1719" s="252" t="s">
        <v>4045</v>
      </c>
      <c r="E1719" s="252" t="s">
        <v>888</v>
      </c>
      <c r="F1719" s="252" t="s">
        <v>889</v>
      </c>
      <c r="G1719" s="255"/>
    </row>
    <row r="1720" spans="1:7" s="108" customFormat="1" ht="14.1" customHeight="1">
      <c r="A1720" s="251" t="s">
        <v>1580</v>
      </c>
      <c r="B1720" s="252" t="s">
        <v>4046</v>
      </c>
      <c r="C1720" s="254" t="s">
        <v>968</v>
      </c>
      <c r="D1720" s="252" t="s">
        <v>4047</v>
      </c>
      <c r="E1720" s="252" t="s">
        <v>888</v>
      </c>
      <c r="F1720" s="252" t="s">
        <v>889</v>
      </c>
      <c r="G1720" s="255"/>
    </row>
    <row r="1721" spans="1:7" s="108" customFormat="1" ht="14.1" customHeight="1">
      <c r="A1721" s="251" t="s">
        <v>1580</v>
      </c>
      <c r="B1721" s="252" t="s">
        <v>4048</v>
      </c>
      <c r="C1721" s="254" t="s">
        <v>1030</v>
      </c>
      <c r="D1721" s="252" t="s">
        <v>2868</v>
      </c>
      <c r="E1721" s="252" t="s">
        <v>888</v>
      </c>
      <c r="F1721" s="252" t="s">
        <v>889</v>
      </c>
      <c r="G1721" s="255"/>
    </row>
    <row r="1722" spans="1:7" s="108" customFormat="1" ht="14.1" customHeight="1">
      <c r="A1722" s="251" t="s">
        <v>1580</v>
      </c>
      <c r="B1722" s="252" t="s">
        <v>1849</v>
      </c>
      <c r="C1722" s="254" t="s">
        <v>1030</v>
      </c>
      <c r="D1722" s="252" t="s">
        <v>4049</v>
      </c>
      <c r="E1722" s="252" t="s">
        <v>904</v>
      </c>
      <c r="F1722" s="252" t="s">
        <v>3658</v>
      </c>
      <c r="G1722" s="255"/>
    </row>
    <row r="1723" spans="1:7" s="108" customFormat="1" ht="14.1" customHeight="1">
      <c r="A1723" s="251" t="s">
        <v>1580</v>
      </c>
      <c r="B1723" s="252" t="s">
        <v>4050</v>
      </c>
      <c r="C1723" s="254" t="s">
        <v>1032</v>
      </c>
      <c r="D1723" s="252" t="s">
        <v>1609</v>
      </c>
      <c r="E1723" s="252" t="s">
        <v>895</v>
      </c>
      <c r="F1723" s="252" t="s">
        <v>889</v>
      </c>
      <c r="G1723" s="255"/>
    </row>
    <row r="1724" spans="1:7" s="108" customFormat="1" ht="14.1" customHeight="1">
      <c r="A1724" s="251" t="s">
        <v>1580</v>
      </c>
      <c r="B1724" s="252" t="s">
        <v>4051</v>
      </c>
      <c r="C1724" s="254" t="s">
        <v>906</v>
      </c>
      <c r="D1724" s="252" t="s">
        <v>2728</v>
      </c>
      <c r="E1724" s="252" t="s">
        <v>939</v>
      </c>
      <c r="F1724" s="252" t="s">
        <v>889</v>
      </c>
      <c r="G1724" s="255"/>
    </row>
    <row r="1725" spans="1:7" s="108" customFormat="1" ht="14.1" customHeight="1">
      <c r="A1725" s="251" t="s">
        <v>1580</v>
      </c>
      <c r="B1725" s="252" t="s">
        <v>4052</v>
      </c>
      <c r="C1725" s="254" t="s">
        <v>906</v>
      </c>
      <c r="D1725" s="252" t="s">
        <v>4053</v>
      </c>
      <c r="E1725" s="252" t="s">
        <v>888</v>
      </c>
      <c r="F1725" s="252" t="s">
        <v>889</v>
      </c>
      <c r="G1725" s="255"/>
    </row>
    <row r="1726" spans="1:7" s="108" customFormat="1" ht="14.1" customHeight="1">
      <c r="A1726" s="251" t="s">
        <v>1580</v>
      </c>
      <c r="B1726" s="252" t="s">
        <v>4054</v>
      </c>
      <c r="C1726" s="254" t="s">
        <v>906</v>
      </c>
      <c r="D1726" s="252" t="s">
        <v>1590</v>
      </c>
      <c r="E1726" s="252" t="s">
        <v>939</v>
      </c>
      <c r="F1726" s="252" t="s">
        <v>889</v>
      </c>
      <c r="G1726" s="255">
        <v>86.935000000000002</v>
      </c>
    </row>
    <row r="1727" spans="1:7" s="108" customFormat="1" ht="14.1" customHeight="1">
      <c r="A1727" s="251" t="s">
        <v>1580</v>
      </c>
      <c r="B1727" s="252" t="s">
        <v>4055</v>
      </c>
      <c r="C1727" s="254" t="s">
        <v>887</v>
      </c>
      <c r="D1727" s="252" t="s">
        <v>4056</v>
      </c>
      <c r="E1727" s="252" t="s">
        <v>888</v>
      </c>
      <c r="F1727" s="252" t="s">
        <v>892</v>
      </c>
      <c r="G1727" s="255"/>
    </row>
    <row r="1728" spans="1:7" s="108" customFormat="1" ht="14.1" customHeight="1">
      <c r="A1728" s="251" t="s">
        <v>1580</v>
      </c>
      <c r="B1728" s="252" t="s">
        <v>4057</v>
      </c>
      <c r="C1728" s="254" t="s">
        <v>917</v>
      </c>
      <c r="D1728" s="252" t="s">
        <v>1592</v>
      </c>
      <c r="E1728" s="252" t="s">
        <v>918</v>
      </c>
      <c r="F1728" s="252" t="s">
        <v>889</v>
      </c>
      <c r="G1728" s="255">
        <v>295.55500000000001</v>
      </c>
    </row>
    <row r="1729" spans="1:7" s="108" customFormat="1" ht="14.1" customHeight="1">
      <c r="A1729" s="251" t="s">
        <v>1580</v>
      </c>
      <c r="B1729" s="252" t="s">
        <v>4058</v>
      </c>
      <c r="C1729" s="254" t="s">
        <v>917</v>
      </c>
      <c r="D1729" s="252" t="s">
        <v>1532</v>
      </c>
      <c r="E1729" s="252" t="s">
        <v>918</v>
      </c>
      <c r="F1729" s="252" t="s">
        <v>913</v>
      </c>
      <c r="G1729" s="255">
        <v>0.53</v>
      </c>
    </row>
    <row r="1730" spans="1:7" s="108" customFormat="1" ht="14.1" customHeight="1">
      <c r="A1730" s="251" t="s">
        <v>1580</v>
      </c>
      <c r="B1730" s="252" t="s">
        <v>4059</v>
      </c>
      <c r="C1730" s="254" t="s">
        <v>917</v>
      </c>
      <c r="D1730" s="252" t="s">
        <v>1587</v>
      </c>
      <c r="E1730" s="252" t="s">
        <v>929</v>
      </c>
      <c r="F1730" s="252" t="s">
        <v>913</v>
      </c>
      <c r="G1730" s="255">
        <v>13.009</v>
      </c>
    </row>
    <row r="1731" spans="1:7" s="108" customFormat="1" ht="14.1" customHeight="1">
      <c r="A1731" s="251" t="s">
        <v>1580</v>
      </c>
      <c r="B1731" s="252" t="s">
        <v>4060</v>
      </c>
      <c r="C1731" s="254" t="s">
        <v>917</v>
      </c>
      <c r="D1731" s="252" t="s">
        <v>1583</v>
      </c>
      <c r="E1731" s="252" t="s">
        <v>918</v>
      </c>
      <c r="F1731" s="252" t="s">
        <v>889</v>
      </c>
      <c r="G1731" s="255">
        <v>1.165</v>
      </c>
    </row>
    <row r="1732" spans="1:7" s="108" customFormat="1" ht="14.1" customHeight="1">
      <c r="A1732" s="251" t="s">
        <v>1580</v>
      </c>
      <c r="B1732" s="252" t="s">
        <v>4061</v>
      </c>
      <c r="C1732" s="254" t="s">
        <v>917</v>
      </c>
      <c r="D1732" s="252" t="s">
        <v>1584</v>
      </c>
      <c r="E1732" s="252" t="s">
        <v>918</v>
      </c>
      <c r="F1732" s="252" t="s">
        <v>889</v>
      </c>
      <c r="G1732" s="255">
        <v>1.2250000000000001</v>
      </c>
    </row>
    <row r="1733" spans="1:7" s="108" customFormat="1" ht="14.1" customHeight="1">
      <c r="A1733" s="251" t="s">
        <v>1580</v>
      </c>
      <c r="B1733" s="252" t="s">
        <v>4062</v>
      </c>
      <c r="C1733" s="254" t="s">
        <v>917</v>
      </c>
      <c r="D1733" s="252" t="s">
        <v>1581</v>
      </c>
      <c r="E1733" s="252" t="s">
        <v>918</v>
      </c>
      <c r="F1733" s="252" t="s">
        <v>889</v>
      </c>
      <c r="G1733" s="255">
        <v>0.5</v>
      </c>
    </row>
    <row r="1734" spans="1:7" s="108" customFormat="1" ht="14.1" customHeight="1">
      <c r="A1734" s="251" t="s">
        <v>1580</v>
      </c>
      <c r="B1734" s="252" t="s">
        <v>4063</v>
      </c>
      <c r="C1734" s="254" t="s">
        <v>1023</v>
      </c>
      <c r="D1734" s="252" t="s">
        <v>1429</v>
      </c>
      <c r="E1734" s="252" t="s">
        <v>959</v>
      </c>
      <c r="F1734" s="252" t="s">
        <v>889</v>
      </c>
      <c r="G1734" s="255"/>
    </row>
    <row r="1735" spans="1:7" s="108" customFormat="1" ht="14.1" customHeight="1">
      <c r="A1735" s="251" t="s">
        <v>1580</v>
      </c>
      <c r="B1735" s="252" t="s">
        <v>4064</v>
      </c>
      <c r="C1735" s="254" t="s">
        <v>894</v>
      </c>
      <c r="D1735" s="252" t="s">
        <v>1586</v>
      </c>
      <c r="E1735" s="252" t="s">
        <v>918</v>
      </c>
      <c r="F1735" s="252" t="s">
        <v>889</v>
      </c>
      <c r="G1735" s="255">
        <v>1.75</v>
      </c>
    </row>
    <row r="1736" spans="1:7" s="108" customFormat="1" ht="14.1" customHeight="1">
      <c r="A1736" s="251" t="s">
        <v>1580</v>
      </c>
      <c r="B1736" s="252" t="s">
        <v>4065</v>
      </c>
      <c r="C1736" s="254" t="s">
        <v>894</v>
      </c>
      <c r="D1736" s="252" t="s">
        <v>1585</v>
      </c>
      <c r="E1736" s="252" t="s">
        <v>888</v>
      </c>
      <c r="F1736" s="252" t="s">
        <v>913</v>
      </c>
      <c r="G1736" s="255">
        <v>1.5</v>
      </c>
    </row>
    <row r="1737" spans="1:7" s="108" customFormat="1" ht="14.1" customHeight="1">
      <c r="A1737" s="251" t="s">
        <v>1580</v>
      </c>
      <c r="B1737" s="252" t="s">
        <v>4066</v>
      </c>
      <c r="C1737" s="254" t="s">
        <v>1135</v>
      </c>
      <c r="D1737" s="252" t="s">
        <v>1588</v>
      </c>
      <c r="E1737" s="252" t="s">
        <v>888</v>
      </c>
      <c r="F1737" s="252" t="s">
        <v>889</v>
      </c>
      <c r="G1737" s="255">
        <v>22</v>
      </c>
    </row>
    <row r="1738" spans="1:7" s="108" customFormat="1" ht="14.1" customHeight="1">
      <c r="A1738" s="251" t="s">
        <v>1580</v>
      </c>
      <c r="B1738" s="252" t="s">
        <v>4067</v>
      </c>
      <c r="C1738" s="254" t="s">
        <v>1068</v>
      </c>
      <c r="D1738" s="252" t="s">
        <v>1591</v>
      </c>
      <c r="E1738" s="252" t="s">
        <v>888</v>
      </c>
      <c r="F1738" s="252" t="s">
        <v>889</v>
      </c>
      <c r="G1738" s="255">
        <v>144.1</v>
      </c>
    </row>
    <row r="1739" spans="1:7" s="108" customFormat="1" ht="14.1" customHeight="1">
      <c r="A1739" s="251" t="s">
        <v>1580</v>
      </c>
      <c r="B1739" s="252" t="s">
        <v>4068</v>
      </c>
      <c r="C1739" s="254" t="s">
        <v>1164</v>
      </c>
      <c r="D1739" s="252" t="s">
        <v>1582</v>
      </c>
      <c r="E1739" s="252" t="s">
        <v>918</v>
      </c>
      <c r="F1739" s="252" t="s">
        <v>889</v>
      </c>
      <c r="G1739" s="255">
        <v>0.99399999999999999</v>
      </c>
    </row>
    <row r="1740" spans="1:7" s="108" customFormat="1" ht="14.1" customHeight="1">
      <c r="A1740" s="251" t="s">
        <v>1580</v>
      </c>
      <c r="B1740" s="252" t="s">
        <v>4069</v>
      </c>
      <c r="C1740" s="254" t="s">
        <v>983</v>
      </c>
      <c r="D1740" s="252" t="s">
        <v>1589</v>
      </c>
      <c r="E1740" s="252" t="s">
        <v>888</v>
      </c>
      <c r="F1740" s="252" t="s">
        <v>889</v>
      </c>
      <c r="G1740" s="255">
        <v>58</v>
      </c>
    </row>
    <row r="1741" spans="1:7" s="108" customFormat="1" ht="14.1" customHeight="1">
      <c r="A1741" s="251" t="s">
        <v>1658</v>
      </c>
      <c r="B1741" s="252" t="s">
        <v>4070</v>
      </c>
      <c r="C1741" s="254" t="s">
        <v>1146</v>
      </c>
      <c r="D1741" s="252" t="s">
        <v>4071</v>
      </c>
      <c r="E1741" s="252" t="s">
        <v>1327</v>
      </c>
      <c r="F1741" s="252" t="s">
        <v>889</v>
      </c>
      <c r="G1741" s="255"/>
    </row>
    <row r="1742" spans="1:7" s="108" customFormat="1" ht="14.1" customHeight="1">
      <c r="A1742" s="251" t="s">
        <v>1658</v>
      </c>
      <c r="B1742" s="252" t="s">
        <v>3766</v>
      </c>
      <c r="C1742" s="254" t="s">
        <v>1051</v>
      </c>
      <c r="D1742" s="252" t="s">
        <v>1662</v>
      </c>
      <c r="E1742" s="252" t="s">
        <v>888</v>
      </c>
      <c r="F1742" s="252" t="s">
        <v>931</v>
      </c>
      <c r="G1742" s="255">
        <v>2.7589999999999999</v>
      </c>
    </row>
    <row r="1743" spans="1:7" s="108" customFormat="1" ht="14.1" customHeight="1">
      <c r="A1743" s="251" t="s">
        <v>1658</v>
      </c>
      <c r="B1743" s="252" t="s">
        <v>3620</v>
      </c>
      <c r="C1743" s="254" t="s">
        <v>1030</v>
      </c>
      <c r="D1743" s="252" t="s">
        <v>1081</v>
      </c>
      <c r="E1743" s="252" t="s">
        <v>918</v>
      </c>
      <c r="F1743" s="252" t="s">
        <v>3658</v>
      </c>
      <c r="G1743" s="255"/>
    </row>
    <row r="1744" spans="1:7" s="108" customFormat="1" ht="14.1" customHeight="1">
      <c r="A1744" s="251" t="s">
        <v>1658</v>
      </c>
      <c r="B1744" s="252" t="s">
        <v>1878</v>
      </c>
      <c r="C1744" s="254" t="s">
        <v>1088</v>
      </c>
      <c r="D1744" s="252" t="s">
        <v>4072</v>
      </c>
      <c r="E1744" s="252" t="s">
        <v>939</v>
      </c>
      <c r="F1744" s="252" t="s">
        <v>889</v>
      </c>
      <c r="G1744" s="255"/>
    </row>
    <row r="1745" spans="1:7" s="108" customFormat="1" ht="14.1" customHeight="1">
      <c r="A1745" s="251" t="s">
        <v>1658</v>
      </c>
      <c r="B1745" s="252" t="s">
        <v>2330</v>
      </c>
      <c r="C1745" s="254" t="s">
        <v>1088</v>
      </c>
      <c r="D1745" s="252" t="s">
        <v>1628</v>
      </c>
      <c r="E1745" s="252" t="s">
        <v>888</v>
      </c>
      <c r="F1745" s="252" t="s">
        <v>889</v>
      </c>
      <c r="G1745" s="255"/>
    </row>
    <row r="1746" spans="1:7" s="108" customFormat="1" ht="14.1" customHeight="1">
      <c r="A1746" s="251" t="s">
        <v>1658</v>
      </c>
      <c r="B1746" s="252" t="s">
        <v>4073</v>
      </c>
      <c r="C1746" s="254" t="s">
        <v>917</v>
      </c>
      <c r="D1746" s="252" t="s">
        <v>1661</v>
      </c>
      <c r="E1746" s="252" t="s">
        <v>918</v>
      </c>
      <c r="F1746" s="252" t="s">
        <v>889</v>
      </c>
      <c r="G1746" s="255">
        <v>2.121</v>
      </c>
    </row>
    <row r="1747" spans="1:7" s="108" customFormat="1" ht="14.1" customHeight="1">
      <c r="A1747" s="251" t="s">
        <v>1658</v>
      </c>
      <c r="B1747" s="252" t="s">
        <v>4074</v>
      </c>
      <c r="C1747" s="254" t="s">
        <v>917</v>
      </c>
      <c r="D1747" s="252" t="s">
        <v>1660</v>
      </c>
      <c r="E1747" s="252" t="s">
        <v>918</v>
      </c>
      <c r="F1747" s="252" t="s">
        <v>913</v>
      </c>
      <c r="G1747" s="255">
        <v>0.6</v>
      </c>
    </row>
    <row r="1748" spans="1:7" s="108" customFormat="1" ht="14.1" customHeight="1">
      <c r="A1748" s="251" t="s">
        <v>1658</v>
      </c>
      <c r="B1748" s="252" t="s">
        <v>4074</v>
      </c>
      <c r="C1748" s="254" t="s">
        <v>917</v>
      </c>
      <c r="D1748" s="252" t="s">
        <v>1660</v>
      </c>
      <c r="E1748" s="252" t="s">
        <v>918</v>
      </c>
      <c r="F1748" s="252" t="s">
        <v>889</v>
      </c>
      <c r="G1748" s="255">
        <v>0.4</v>
      </c>
    </row>
    <row r="1749" spans="1:7" s="108" customFormat="1" ht="14.1" customHeight="1">
      <c r="A1749" s="251" t="s">
        <v>1658</v>
      </c>
      <c r="B1749" s="252" t="s">
        <v>4075</v>
      </c>
      <c r="C1749" s="254" t="s">
        <v>917</v>
      </c>
      <c r="D1749" s="252" t="s">
        <v>1664</v>
      </c>
      <c r="E1749" s="252" t="s">
        <v>929</v>
      </c>
      <c r="F1749" s="252" t="s">
        <v>889</v>
      </c>
      <c r="G1749" s="255">
        <v>9.1989999999999998</v>
      </c>
    </row>
    <row r="1750" spans="1:7" s="108" customFormat="1" ht="14.1" customHeight="1">
      <c r="A1750" s="251" t="s">
        <v>1658</v>
      </c>
      <c r="B1750" s="252" t="s">
        <v>4076</v>
      </c>
      <c r="C1750" s="254" t="s">
        <v>917</v>
      </c>
      <c r="D1750" s="252" t="s">
        <v>1643</v>
      </c>
      <c r="E1750" s="252" t="s">
        <v>918</v>
      </c>
      <c r="F1750" s="252" t="s">
        <v>892</v>
      </c>
      <c r="G1750" s="255">
        <v>9.4</v>
      </c>
    </row>
    <row r="1751" spans="1:7" s="108" customFormat="1" ht="14.1" customHeight="1">
      <c r="A1751" s="251" t="s">
        <v>1658</v>
      </c>
      <c r="B1751" s="252" t="s">
        <v>4077</v>
      </c>
      <c r="C1751" s="254" t="s">
        <v>917</v>
      </c>
      <c r="D1751" s="252" t="s">
        <v>1659</v>
      </c>
      <c r="E1751" s="252" t="s">
        <v>918</v>
      </c>
      <c r="F1751" s="252" t="s">
        <v>889</v>
      </c>
      <c r="G1751" s="255">
        <v>0.122</v>
      </c>
    </row>
    <row r="1752" spans="1:7" s="108" customFormat="1" ht="14.1" customHeight="1">
      <c r="A1752" s="251" t="s">
        <v>1658</v>
      </c>
      <c r="B1752" s="252" t="s">
        <v>2332</v>
      </c>
      <c r="C1752" s="254" t="s">
        <v>917</v>
      </c>
      <c r="D1752" s="252" t="s">
        <v>1663</v>
      </c>
      <c r="E1752" s="252" t="s">
        <v>929</v>
      </c>
      <c r="F1752" s="252" t="s">
        <v>913</v>
      </c>
      <c r="G1752" s="255">
        <v>3.9140000000000001</v>
      </c>
    </row>
    <row r="1753" spans="1:7" s="108" customFormat="1" ht="14.1" customHeight="1">
      <c r="A1753" s="251" t="s">
        <v>1658</v>
      </c>
      <c r="B1753" s="252" t="s">
        <v>4078</v>
      </c>
      <c r="C1753" s="254" t="s">
        <v>917</v>
      </c>
      <c r="D1753" s="252" t="s">
        <v>1659</v>
      </c>
      <c r="E1753" s="252" t="s">
        <v>918</v>
      </c>
      <c r="F1753" s="252" t="s">
        <v>892</v>
      </c>
      <c r="G1753" s="255">
        <v>0.111</v>
      </c>
    </row>
    <row r="1754" spans="1:7" s="108" customFormat="1" ht="14.1" customHeight="1">
      <c r="A1754" s="251" t="s">
        <v>1658</v>
      </c>
      <c r="B1754" s="252" t="s">
        <v>4079</v>
      </c>
      <c r="C1754" s="254" t="s">
        <v>1972</v>
      </c>
      <c r="D1754" s="252" t="s">
        <v>4027</v>
      </c>
      <c r="E1754" s="252" t="s">
        <v>907</v>
      </c>
      <c r="F1754" s="252" t="s">
        <v>889</v>
      </c>
      <c r="G1754" s="255"/>
    </row>
    <row r="1755" spans="1:7" s="108" customFormat="1" ht="14.1" customHeight="1">
      <c r="A1755" s="251" t="s">
        <v>4080</v>
      </c>
      <c r="B1755" s="252" t="s">
        <v>4081</v>
      </c>
      <c r="C1755" s="254" t="s">
        <v>894</v>
      </c>
      <c r="D1755" s="252" t="s">
        <v>1677</v>
      </c>
      <c r="E1755" s="252" t="s">
        <v>919</v>
      </c>
      <c r="F1755" s="252" t="s">
        <v>3658</v>
      </c>
      <c r="G1755" s="255"/>
    </row>
    <row r="1756" spans="1:7" s="108" customFormat="1" ht="14.1" customHeight="1">
      <c r="A1756" s="251" t="s">
        <v>998</v>
      </c>
      <c r="B1756" s="252" t="s">
        <v>4082</v>
      </c>
      <c r="C1756" s="254" t="s">
        <v>968</v>
      </c>
      <c r="D1756" s="252" t="s">
        <v>1001</v>
      </c>
      <c r="E1756" s="252" t="s">
        <v>888</v>
      </c>
      <c r="F1756" s="252" t="s">
        <v>892</v>
      </c>
      <c r="G1756" s="255">
        <v>209</v>
      </c>
    </row>
    <row r="1757" spans="1:7" s="108" customFormat="1" ht="14.1" customHeight="1">
      <c r="A1757" s="251" t="s">
        <v>998</v>
      </c>
      <c r="B1757" s="252" t="s">
        <v>4083</v>
      </c>
      <c r="C1757" s="254" t="s">
        <v>1030</v>
      </c>
      <c r="D1757" s="252" t="s">
        <v>2700</v>
      </c>
      <c r="E1757" s="252" t="s">
        <v>888</v>
      </c>
      <c r="F1757" s="252" t="s">
        <v>889</v>
      </c>
      <c r="G1757" s="255"/>
    </row>
    <row r="1758" spans="1:7" s="108" customFormat="1" ht="14.1" customHeight="1">
      <c r="A1758" s="251" t="s">
        <v>998</v>
      </c>
      <c r="B1758" s="252" t="s">
        <v>4084</v>
      </c>
      <c r="C1758" s="254" t="s">
        <v>1030</v>
      </c>
      <c r="D1758" s="252" t="s">
        <v>4085</v>
      </c>
      <c r="E1758" s="252" t="s">
        <v>918</v>
      </c>
      <c r="F1758" s="252" t="s">
        <v>889</v>
      </c>
      <c r="G1758" s="255"/>
    </row>
    <row r="1759" spans="1:7" s="108" customFormat="1" ht="14.1" customHeight="1">
      <c r="A1759" s="251" t="s">
        <v>998</v>
      </c>
      <c r="B1759" s="252" t="s">
        <v>4086</v>
      </c>
      <c r="C1759" s="254" t="s">
        <v>1030</v>
      </c>
      <c r="D1759" s="252" t="s">
        <v>4087</v>
      </c>
      <c r="E1759" s="252" t="s">
        <v>904</v>
      </c>
      <c r="F1759" s="252" t="s">
        <v>892</v>
      </c>
      <c r="G1759" s="255"/>
    </row>
    <row r="1760" spans="1:7" s="108" customFormat="1" ht="14.1" customHeight="1">
      <c r="A1760" s="251" t="s">
        <v>998</v>
      </c>
      <c r="B1760" s="252" t="s">
        <v>4088</v>
      </c>
      <c r="C1760" s="254" t="s">
        <v>906</v>
      </c>
      <c r="D1760" s="252" t="s">
        <v>4089</v>
      </c>
      <c r="E1760" s="252" t="s">
        <v>925</v>
      </c>
      <c r="F1760" s="252" t="s">
        <v>889</v>
      </c>
      <c r="G1760" s="255"/>
    </row>
    <row r="1761" spans="1:7" s="108" customFormat="1" ht="14.1" customHeight="1">
      <c r="A1761" s="251" t="s">
        <v>998</v>
      </c>
      <c r="B1761" s="252" t="s">
        <v>4090</v>
      </c>
      <c r="C1761" s="254" t="s">
        <v>917</v>
      </c>
      <c r="D1761" s="252" t="s">
        <v>1002</v>
      </c>
      <c r="E1761" s="252" t="s">
        <v>925</v>
      </c>
      <c r="F1761" s="252" t="s">
        <v>889</v>
      </c>
      <c r="G1761" s="255">
        <v>960</v>
      </c>
    </row>
    <row r="1762" spans="1:7" s="108" customFormat="1" ht="14.1" customHeight="1">
      <c r="A1762" s="251" t="s">
        <v>998</v>
      </c>
      <c r="B1762" s="252" t="s">
        <v>4091</v>
      </c>
      <c r="C1762" s="254" t="s">
        <v>917</v>
      </c>
      <c r="D1762" s="252" t="s">
        <v>4092</v>
      </c>
      <c r="E1762" s="252" t="s">
        <v>1022</v>
      </c>
      <c r="F1762" s="252" t="s">
        <v>892</v>
      </c>
      <c r="G1762" s="255"/>
    </row>
    <row r="1763" spans="1:7" s="108" customFormat="1" ht="14.1" customHeight="1">
      <c r="A1763" s="251" t="s">
        <v>998</v>
      </c>
      <c r="B1763" s="252" t="s">
        <v>4093</v>
      </c>
      <c r="C1763" s="254" t="s">
        <v>1071</v>
      </c>
      <c r="D1763" s="252" t="s">
        <v>3646</v>
      </c>
      <c r="E1763" s="252" t="s">
        <v>1026</v>
      </c>
      <c r="F1763" s="252" t="s">
        <v>892</v>
      </c>
      <c r="G1763" s="255"/>
    </row>
    <row r="1764" spans="1:7" s="108" customFormat="1" ht="14.1" customHeight="1">
      <c r="A1764" s="251" t="s">
        <v>998</v>
      </c>
      <c r="B1764" s="252" t="s">
        <v>4094</v>
      </c>
      <c r="C1764" s="254" t="s">
        <v>1000</v>
      </c>
      <c r="D1764" s="252" t="s">
        <v>999</v>
      </c>
      <c r="E1764" s="252" t="s">
        <v>929</v>
      </c>
      <c r="F1764" s="252" t="s">
        <v>889</v>
      </c>
      <c r="G1764" s="255">
        <v>7</v>
      </c>
    </row>
    <row r="1765" spans="1:7" s="108" customFormat="1" ht="14.1" customHeight="1">
      <c r="A1765" s="251" t="s">
        <v>1259</v>
      </c>
      <c r="B1765" s="252" t="s">
        <v>4095</v>
      </c>
      <c r="C1765" s="254" t="s">
        <v>1146</v>
      </c>
      <c r="D1765" s="252" t="s">
        <v>1266</v>
      </c>
      <c r="E1765" s="252" t="s">
        <v>1033</v>
      </c>
      <c r="F1765" s="252" t="s">
        <v>889</v>
      </c>
      <c r="G1765" s="255">
        <v>318.60000000000002</v>
      </c>
    </row>
    <row r="1766" spans="1:7" s="108" customFormat="1" ht="14.1" customHeight="1">
      <c r="A1766" s="251" t="s">
        <v>1259</v>
      </c>
      <c r="B1766" s="252" t="s">
        <v>4095</v>
      </c>
      <c r="C1766" s="254" t="s">
        <v>1146</v>
      </c>
      <c r="D1766" s="252" t="s">
        <v>1266</v>
      </c>
      <c r="E1766" s="252" t="s">
        <v>1033</v>
      </c>
      <c r="F1766" s="252" t="s">
        <v>913</v>
      </c>
      <c r="G1766" s="255"/>
    </row>
    <row r="1767" spans="1:7" s="108" customFormat="1" ht="14.1" customHeight="1">
      <c r="A1767" s="251" t="s">
        <v>1259</v>
      </c>
      <c r="B1767" s="252" t="s">
        <v>4096</v>
      </c>
      <c r="C1767" s="254" t="s">
        <v>968</v>
      </c>
      <c r="D1767" s="252" t="s">
        <v>1734</v>
      </c>
      <c r="E1767" s="252" t="s">
        <v>888</v>
      </c>
      <c r="F1767" s="252" t="s">
        <v>892</v>
      </c>
      <c r="G1767" s="255"/>
    </row>
    <row r="1768" spans="1:7" s="108" customFormat="1" ht="14.1" customHeight="1">
      <c r="A1768" s="251" t="s">
        <v>1259</v>
      </c>
      <c r="B1768" s="252" t="s">
        <v>4097</v>
      </c>
      <c r="C1768" s="254" t="s">
        <v>968</v>
      </c>
      <c r="D1768" s="252" t="s">
        <v>4098</v>
      </c>
      <c r="E1768" s="252" t="s">
        <v>1142</v>
      </c>
      <c r="F1768" s="252" t="s">
        <v>889</v>
      </c>
      <c r="G1768" s="255"/>
    </row>
    <row r="1769" spans="1:7" s="108" customFormat="1" ht="14.1" customHeight="1">
      <c r="A1769" s="251" t="s">
        <v>1259</v>
      </c>
      <c r="B1769" s="252" t="s">
        <v>4099</v>
      </c>
      <c r="C1769" s="254" t="s">
        <v>968</v>
      </c>
      <c r="D1769" s="252" t="s">
        <v>4100</v>
      </c>
      <c r="E1769" s="252" t="s">
        <v>1157</v>
      </c>
      <c r="F1769" s="252" t="s">
        <v>889</v>
      </c>
      <c r="G1769" s="255"/>
    </row>
    <row r="1770" spans="1:7" s="108" customFormat="1" ht="14.1" customHeight="1">
      <c r="A1770" s="251" t="s">
        <v>1259</v>
      </c>
      <c r="B1770" s="252" t="s">
        <v>4101</v>
      </c>
      <c r="C1770" s="254" t="s">
        <v>968</v>
      </c>
      <c r="D1770" s="252" t="s">
        <v>1265</v>
      </c>
      <c r="E1770" s="252" t="s">
        <v>888</v>
      </c>
      <c r="F1770" s="252" t="s">
        <v>889</v>
      </c>
      <c r="G1770" s="255">
        <v>150</v>
      </c>
    </row>
    <row r="1771" spans="1:7" s="108" customFormat="1" ht="14.1" customHeight="1">
      <c r="A1771" s="251" t="s">
        <v>1259</v>
      </c>
      <c r="B1771" s="252" t="s">
        <v>4102</v>
      </c>
      <c r="C1771" s="254" t="s">
        <v>968</v>
      </c>
      <c r="D1771" s="252" t="s">
        <v>4103</v>
      </c>
      <c r="E1771" s="252" t="s">
        <v>888</v>
      </c>
      <c r="F1771" s="252" t="s">
        <v>889</v>
      </c>
      <c r="G1771" s="255"/>
    </row>
    <row r="1772" spans="1:7" s="108" customFormat="1" ht="14.1" customHeight="1">
      <c r="A1772" s="251" t="s">
        <v>1259</v>
      </c>
      <c r="B1772" s="252" t="s">
        <v>4104</v>
      </c>
      <c r="C1772" s="254" t="s">
        <v>938</v>
      </c>
      <c r="D1772" s="252" t="s">
        <v>4105</v>
      </c>
      <c r="E1772" s="252" t="s">
        <v>907</v>
      </c>
      <c r="F1772" s="252" t="s">
        <v>889</v>
      </c>
      <c r="G1772" s="255"/>
    </row>
    <row r="1773" spans="1:7" s="108" customFormat="1" ht="14.1" customHeight="1">
      <c r="A1773" s="251" t="s">
        <v>1259</v>
      </c>
      <c r="B1773" s="252" t="s">
        <v>4106</v>
      </c>
      <c r="C1773" s="254" t="s">
        <v>1088</v>
      </c>
      <c r="D1773" s="252" t="s">
        <v>4107</v>
      </c>
      <c r="E1773" s="252" t="s">
        <v>925</v>
      </c>
      <c r="F1773" s="252" t="s">
        <v>889</v>
      </c>
      <c r="G1773" s="255"/>
    </row>
    <row r="1774" spans="1:7" s="108" customFormat="1" ht="14.1" customHeight="1">
      <c r="A1774" s="251" t="s">
        <v>1259</v>
      </c>
      <c r="B1774" s="252" t="s">
        <v>4108</v>
      </c>
      <c r="C1774" s="254" t="s">
        <v>1088</v>
      </c>
      <c r="D1774" s="252" t="s">
        <v>1609</v>
      </c>
      <c r="E1774" s="252" t="s">
        <v>895</v>
      </c>
      <c r="F1774" s="252" t="s">
        <v>3658</v>
      </c>
      <c r="G1774" s="255"/>
    </row>
    <row r="1775" spans="1:7" s="108" customFormat="1" ht="14.1" customHeight="1">
      <c r="A1775" s="251" t="s">
        <v>1259</v>
      </c>
      <c r="B1775" s="252" t="s">
        <v>4109</v>
      </c>
      <c r="C1775" s="254" t="s">
        <v>1088</v>
      </c>
      <c r="D1775" s="252" t="s">
        <v>1261</v>
      </c>
      <c r="E1775" s="252" t="s">
        <v>888</v>
      </c>
      <c r="F1775" s="252" t="s">
        <v>889</v>
      </c>
      <c r="G1775" s="255">
        <v>7.5</v>
      </c>
    </row>
    <row r="1776" spans="1:7" s="108" customFormat="1" ht="14.1" customHeight="1">
      <c r="A1776" s="251" t="s">
        <v>1259</v>
      </c>
      <c r="B1776" s="252" t="s">
        <v>4110</v>
      </c>
      <c r="C1776" s="254" t="s">
        <v>1088</v>
      </c>
      <c r="D1776" s="252" t="s">
        <v>1262</v>
      </c>
      <c r="E1776" s="252" t="s">
        <v>959</v>
      </c>
      <c r="F1776" s="252" t="s">
        <v>892</v>
      </c>
      <c r="G1776" s="255"/>
    </row>
    <row r="1777" spans="1:7" s="108" customFormat="1" ht="14.1" customHeight="1">
      <c r="A1777" s="251" t="s">
        <v>1259</v>
      </c>
      <c r="B1777" s="252" t="s">
        <v>4111</v>
      </c>
      <c r="C1777" s="254" t="s">
        <v>1088</v>
      </c>
      <c r="D1777" s="252" t="s">
        <v>1283</v>
      </c>
      <c r="E1777" s="252" t="s">
        <v>925</v>
      </c>
      <c r="F1777" s="252" t="s">
        <v>892</v>
      </c>
      <c r="G1777" s="255"/>
    </row>
    <row r="1778" spans="1:7" s="108" customFormat="1" ht="14.1" customHeight="1">
      <c r="A1778" s="251" t="s">
        <v>1259</v>
      </c>
      <c r="B1778" s="252" t="s">
        <v>4112</v>
      </c>
      <c r="C1778" s="254" t="s">
        <v>1088</v>
      </c>
      <c r="D1778" s="252" t="s">
        <v>4113</v>
      </c>
      <c r="E1778" s="252" t="s">
        <v>888</v>
      </c>
      <c r="F1778" s="252" t="s">
        <v>889</v>
      </c>
      <c r="G1778" s="255"/>
    </row>
    <row r="1779" spans="1:7" s="108" customFormat="1" ht="14.1" customHeight="1">
      <c r="A1779" s="251" t="s">
        <v>1259</v>
      </c>
      <c r="B1779" s="252" t="s">
        <v>4114</v>
      </c>
      <c r="C1779" s="254" t="s">
        <v>906</v>
      </c>
      <c r="D1779" s="252" t="s">
        <v>3746</v>
      </c>
      <c r="E1779" s="252" t="s">
        <v>3747</v>
      </c>
      <c r="F1779" s="252" t="s">
        <v>3658</v>
      </c>
      <c r="G1779" s="255"/>
    </row>
    <row r="1780" spans="1:7" s="108" customFormat="1" ht="14.1" customHeight="1">
      <c r="A1780" s="251" t="s">
        <v>1259</v>
      </c>
      <c r="B1780" s="252" t="s">
        <v>4115</v>
      </c>
      <c r="C1780" s="254" t="s">
        <v>906</v>
      </c>
      <c r="D1780" s="252" t="s">
        <v>3746</v>
      </c>
      <c r="E1780" s="252" t="s">
        <v>3747</v>
      </c>
      <c r="F1780" s="252" t="s">
        <v>3658</v>
      </c>
      <c r="G1780" s="255"/>
    </row>
    <row r="1781" spans="1:7" s="108" customFormat="1" ht="14.1" customHeight="1">
      <c r="A1781" s="251" t="s">
        <v>1259</v>
      </c>
      <c r="B1781" s="252" t="s">
        <v>4116</v>
      </c>
      <c r="C1781" s="254" t="s">
        <v>906</v>
      </c>
      <c r="D1781" s="252" t="s">
        <v>1936</v>
      </c>
      <c r="E1781" s="252" t="s">
        <v>959</v>
      </c>
      <c r="F1781" s="252" t="s">
        <v>892</v>
      </c>
      <c r="G1781" s="255"/>
    </row>
    <row r="1782" spans="1:7" s="108" customFormat="1" ht="14.1" customHeight="1">
      <c r="A1782" s="251" t="s">
        <v>1259</v>
      </c>
      <c r="B1782" s="252" t="s">
        <v>4117</v>
      </c>
      <c r="C1782" s="254" t="s">
        <v>1833</v>
      </c>
      <c r="D1782" s="252" t="s">
        <v>4118</v>
      </c>
      <c r="E1782" s="252" t="s">
        <v>888</v>
      </c>
      <c r="F1782" s="252" t="s">
        <v>889</v>
      </c>
      <c r="G1782" s="255"/>
    </row>
    <row r="1783" spans="1:7" s="108" customFormat="1" ht="14.1" customHeight="1">
      <c r="A1783" s="251" t="s">
        <v>1259</v>
      </c>
      <c r="B1783" s="252" t="s">
        <v>4119</v>
      </c>
      <c r="C1783" s="254" t="s">
        <v>887</v>
      </c>
      <c r="D1783" s="252" t="s">
        <v>1262</v>
      </c>
      <c r="E1783" s="252" t="s">
        <v>959</v>
      </c>
      <c r="F1783" s="252" t="s">
        <v>892</v>
      </c>
      <c r="G1783" s="255">
        <v>21</v>
      </c>
    </row>
    <row r="1784" spans="1:7" s="108" customFormat="1" ht="14.1" customHeight="1">
      <c r="A1784" s="251" t="s">
        <v>1259</v>
      </c>
      <c r="B1784" s="252" t="s">
        <v>4120</v>
      </c>
      <c r="C1784" s="254" t="s">
        <v>887</v>
      </c>
      <c r="D1784" s="252" t="s">
        <v>1261</v>
      </c>
      <c r="E1784" s="252" t="s">
        <v>888</v>
      </c>
      <c r="F1784" s="252" t="s">
        <v>889</v>
      </c>
      <c r="G1784" s="255"/>
    </row>
    <row r="1785" spans="1:7" s="108" customFormat="1" ht="14.1" customHeight="1">
      <c r="A1785" s="251" t="s">
        <v>1259</v>
      </c>
      <c r="B1785" s="252" t="s">
        <v>4121</v>
      </c>
      <c r="C1785" s="254" t="s">
        <v>887</v>
      </c>
      <c r="D1785" s="252" t="s">
        <v>1283</v>
      </c>
      <c r="E1785" s="252" t="s">
        <v>925</v>
      </c>
      <c r="F1785" s="252" t="s">
        <v>892</v>
      </c>
      <c r="G1785" s="255"/>
    </row>
    <row r="1786" spans="1:7" s="108" customFormat="1" ht="14.1" customHeight="1">
      <c r="A1786" s="251" t="s">
        <v>1259</v>
      </c>
      <c r="B1786" s="252" t="s">
        <v>4122</v>
      </c>
      <c r="C1786" s="254" t="s">
        <v>890</v>
      </c>
      <c r="D1786" s="252" t="s">
        <v>4123</v>
      </c>
      <c r="E1786" s="252" t="s">
        <v>1157</v>
      </c>
      <c r="F1786" s="252" t="s">
        <v>889</v>
      </c>
      <c r="G1786" s="255"/>
    </row>
    <row r="1787" spans="1:7" s="108" customFormat="1" ht="14.1" customHeight="1">
      <c r="A1787" s="251" t="s">
        <v>1259</v>
      </c>
      <c r="B1787" s="252" t="s">
        <v>4124</v>
      </c>
      <c r="C1787" s="254" t="s">
        <v>890</v>
      </c>
      <c r="D1787" s="252" t="s">
        <v>4123</v>
      </c>
      <c r="E1787" s="252" t="s">
        <v>1157</v>
      </c>
      <c r="F1787" s="252" t="s">
        <v>889</v>
      </c>
      <c r="G1787" s="255"/>
    </row>
    <row r="1788" spans="1:7" s="108" customFormat="1" ht="14.1" customHeight="1">
      <c r="A1788" s="251" t="s">
        <v>1259</v>
      </c>
      <c r="B1788" s="252" t="s">
        <v>2087</v>
      </c>
      <c r="C1788" s="254" t="s">
        <v>890</v>
      </c>
      <c r="D1788" s="252" t="s">
        <v>1067</v>
      </c>
      <c r="E1788" s="252" t="s">
        <v>1010</v>
      </c>
      <c r="F1788" s="252" t="s">
        <v>889</v>
      </c>
      <c r="G1788" s="255"/>
    </row>
    <row r="1789" spans="1:7" s="108" customFormat="1" ht="14.1" customHeight="1">
      <c r="A1789" s="251" t="s">
        <v>1259</v>
      </c>
      <c r="B1789" s="252" t="s">
        <v>4125</v>
      </c>
      <c r="C1789" s="254" t="s">
        <v>1202</v>
      </c>
      <c r="D1789" s="252" t="s">
        <v>4126</v>
      </c>
      <c r="E1789" s="252" t="s">
        <v>888</v>
      </c>
      <c r="F1789" s="252" t="s">
        <v>892</v>
      </c>
      <c r="G1789" s="255"/>
    </row>
    <row r="1790" spans="1:7" s="108" customFormat="1" ht="14.1" customHeight="1">
      <c r="A1790" s="251" t="s">
        <v>1259</v>
      </c>
      <c r="B1790" s="252" t="s">
        <v>4127</v>
      </c>
      <c r="C1790" s="254" t="s">
        <v>917</v>
      </c>
      <c r="D1790" s="252" t="s">
        <v>1260</v>
      </c>
      <c r="E1790" s="252" t="s">
        <v>929</v>
      </c>
      <c r="F1790" s="252" t="s">
        <v>892</v>
      </c>
      <c r="G1790" s="255">
        <v>0.6</v>
      </c>
    </row>
    <row r="1791" spans="1:7" s="108" customFormat="1" ht="14.1" customHeight="1">
      <c r="A1791" s="251" t="s">
        <v>1259</v>
      </c>
      <c r="B1791" s="252" t="s">
        <v>1956</v>
      </c>
      <c r="C1791" s="254" t="s">
        <v>894</v>
      </c>
      <c r="D1791" s="252" t="s">
        <v>4128</v>
      </c>
      <c r="E1791" s="252" t="s">
        <v>1026</v>
      </c>
      <c r="F1791" s="252" t="s">
        <v>889</v>
      </c>
      <c r="G1791" s="255"/>
    </row>
    <row r="1792" spans="1:7" s="108" customFormat="1" ht="14.1" customHeight="1">
      <c r="A1792" s="251" t="s">
        <v>1259</v>
      </c>
      <c r="B1792" s="252" t="s">
        <v>4129</v>
      </c>
      <c r="C1792" s="254" t="s">
        <v>894</v>
      </c>
      <c r="D1792" s="252" t="s">
        <v>3981</v>
      </c>
      <c r="E1792" s="252" t="s">
        <v>929</v>
      </c>
      <c r="F1792" s="252" t="s">
        <v>889</v>
      </c>
      <c r="G1792" s="255"/>
    </row>
    <row r="1793" spans="1:7" s="108" customFormat="1" ht="14.1" customHeight="1">
      <c r="A1793" s="251" t="s">
        <v>1259</v>
      </c>
      <c r="B1793" s="252" t="s">
        <v>1967</v>
      </c>
      <c r="C1793" s="254" t="s">
        <v>1055</v>
      </c>
      <c r="D1793" s="252" t="s">
        <v>1042</v>
      </c>
      <c r="E1793" s="252" t="s">
        <v>945</v>
      </c>
      <c r="F1793" s="252" t="s">
        <v>889</v>
      </c>
      <c r="G1793" s="255">
        <v>0.224</v>
      </c>
    </row>
    <row r="1794" spans="1:7" s="108" customFormat="1" ht="14.1" customHeight="1">
      <c r="A1794" s="251" t="s">
        <v>1259</v>
      </c>
      <c r="B1794" s="252" t="s">
        <v>4130</v>
      </c>
      <c r="C1794" s="254" t="s">
        <v>1345</v>
      </c>
      <c r="D1794" s="252" t="s">
        <v>4131</v>
      </c>
      <c r="E1794" s="252" t="s">
        <v>888</v>
      </c>
      <c r="F1794" s="252" t="s">
        <v>889</v>
      </c>
      <c r="G1794" s="255"/>
    </row>
    <row r="1795" spans="1:7" s="108" customFormat="1" ht="14.1" customHeight="1">
      <c r="A1795" s="251" t="s">
        <v>1259</v>
      </c>
      <c r="B1795" s="252" t="s">
        <v>4132</v>
      </c>
      <c r="C1795" s="254" t="s">
        <v>1972</v>
      </c>
      <c r="D1795" s="252" t="s">
        <v>886</v>
      </c>
      <c r="E1795" s="252" t="s">
        <v>918</v>
      </c>
      <c r="F1795" s="252" t="s">
        <v>889</v>
      </c>
      <c r="G1795" s="255"/>
    </row>
    <row r="1796" spans="1:7" s="108" customFormat="1" ht="14.1" customHeight="1">
      <c r="A1796" s="251" t="s">
        <v>1259</v>
      </c>
      <c r="B1796" s="252" t="s">
        <v>4133</v>
      </c>
      <c r="C1796" s="254" t="s">
        <v>1020</v>
      </c>
      <c r="D1796" s="252" t="s">
        <v>1264</v>
      </c>
      <c r="E1796" s="252" t="s">
        <v>954</v>
      </c>
      <c r="F1796" s="252" t="s">
        <v>913</v>
      </c>
      <c r="G1796" s="255">
        <v>875.09100000000001</v>
      </c>
    </row>
    <row r="1797" spans="1:7" s="108" customFormat="1" ht="14.1" customHeight="1">
      <c r="A1797" s="251" t="s">
        <v>1259</v>
      </c>
      <c r="B1797" s="252" t="s">
        <v>4133</v>
      </c>
      <c r="C1797" s="254" t="s">
        <v>1020</v>
      </c>
      <c r="D1797" s="252" t="s">
        <v>1264</v>
      </c>
      <c r="E1797" s="252" t="s">
        <v>954</v>
      </c>
      <c r="F1797" s="252" t="s">
        <v>913</v>
      </c>
      <c r="G1797" s="255"/>
    </row>
    <row r="1798" spans="1:7" s="108" customFormat="1" ht="14.1" customHeight="1">
      <c r="A1798" s="251" t="s">
        <v>1259</v>
      </c>
      <c r="B1798" s="252" t="s">
        <v>4133</v>
      </c>
      <c r="C1798" s="254" t="s">
        <v>1020</v>
      </c>
      <c r="D1798" s="252" t="s">
        <v>1264</v>
      </c>
      <c r="E1798" s="252" t="s">
        <v>954</v>
      </c>
      <c r="F1798" s="252" t="s">
        <v>889</v>
      </c>
      <c r="G1798" s="255">
        <v>50</v>
      </c>
    </row>
    <row r="1799" spans="1:7" s="108" customFormat="1" ht="14.1" customHeight="1">
      <c r="A1799" s="251" t="s">
        <v>1259</v>
      </c>
      <c r="B1799" s="252" t="s">
        <v>3320</v>
      </c>
      <c r="C1799" s="254" t="s">
        <v>1000</v>
      </c>
      <c r="D1799" s="252" t="s">
        <v>1197</v>
      </c>
      <c r="E1799" s="252" t="s">
        <v>904</v>
      </c>
      <c r="F1799" s="252" t="s">
        <v>889</v>
      </c>
      <c r="G1799" s="255"/>
    </row>
    <row r="1800" spans="1:7" s="108" customFormat="1" ht="14.1" customHeight="1">
      <c r="A1800" s="251" t="s">
        <v>1259</v>
      </c>
      <c r="B1800" s="252" t="s">
        <v>4134</v>
      </c>
      <c r="C1800" s="254" t="s">
        <v>1000</v>
      </c>
      <c r="D1800" s="252" t="s">
        <v>1263</v>
      </c>
      <c r="E1800" s="252" t="s">
        <v>895</v>
      </c>
      <c r="F1800" s="252" t="s">
        <v>889</v>
      </c>
      <c r="G1800" s="255">
        <v>28.1</v>
      </c>
    </row>
    <row r="1801" spans="1:7" s="108" customFormat="1" ht="14.1" customHeight="1">
      <c r="A1801" s="251" t="s">
        <v>1259</v>
      </c>
      <c r="B1801" s="252" t="s">
        <v>4135</v>
      </c>
      <c r="C1801" s="254" t="s">
        <v>1000</v>
      </c>
      <c r="D1801" s="252" t="s">
        <v>4136</v>
      </c>
      <c r="E1801" s="252" t="s">
        <v>907</v>
      </c>
      <c r="F1801" s="252" t="s">
        <v>889</v>
      </c>
      <c r="G1801" s="255"/>
    </row>
    <row r="1802" spans="1:7" s="108" customFormat="1" ht="14.1" customHeight="1">
      <c r="A1802" s="251" t="s">
        <v>1259</v>
      </c>
      <c r="B1802" s="252" t="s">
        <v>4137</v>
      </c>
      <c r="C1802" s="254" t="s">
        <v>1000</v>
      </c>
      <c r="D1802" s="252" t="s">
        <v>1267</v>
      </c>
      <c r="E1802" s="252" t="s">
        <v>1268</v>
      </c>
      <c r="F1802" s="252" t="s">
        <v>889</v>
      </c>
      <c r="G1802" s="255">
        <v>394.95800000000003</v>
      </c>
    </row>
    <row r="1803" spans="1:7" s="108" customFormat="1" ht="14.1" customHeight="1">
      <c r="A1803" s="251" t="s">
        <v>1259</v>
      </c>
      <c r="B1803" s="252" t="s">
        <v>4138</v>
      </c>
      <c r="C1803" s="254" t="s">
        <v>1000</v>
      </c>
      <c r="D1803" s="252" t="s">
        <v>1262</v>
      </c>
      <c r="E1803" s="252" t="s">
        <v>959</v>
      </c>
      <c r="F1803" s="252" t="s">
        <v>892</v>
      </c>
      <c r="G1803" s="255"/>
    </row>
    <row r="1804" spans="1:7" s="108" customFormat="1" ht="14.1" customHeight="1">
      <c r="A1804" s="251" t="s">
        <v>1259</v>
      </c>
      <c r="B1804" s="252" t="s">
        <v>4139</v>
      </c>
      <c r="C1804" s="254" t="s">
        <v>1068</v>
      </c>
      <c r="D1804" s="252" t="s">
        <v>4140</v>
      </c>
      <c r="E1804" s="252" t="s">
        <v>959</v>
      </c>
      <c r="F1804" s="252" t="s">
        <v>889</v>
      </c>
      <c r="G1804" s="255"/>
    </row>
    <row r="1805" spans="1:7" s="108" customFormat="1" ht="14.1" customHeight="1">
      <c r="A1805" s="251" t="s">
        <v>1259</v>
      </c>
      <c r="B1805" s="252" t="s">
        <v>4141</v>
      </c>
      <c r="C1805" s="254" t="s">
        <v>983</v>
      </c>
      <c r="D1805" s="252" t="s">
        <v>3480</v>
      </c>
      <c r="E1805" s="252" t="s">
        <v>888</v>
      </c>
      <c r="F1805" s="252" t="s">
        <v>889</v>
      </c>
      <c r="G1805" s="255"/>
    </row>
    <row r="1806" spans="1:7" s="108" customFormat="1" ht="14.1" customHeight="1">
      <c r="A1806" s="251" t="s">
        <v>1259</v>
      </c>
      <c r="B1806" s="252" t="s">
        <v>4142</v>
      </c>
      <c r="C1806" s="254" t="s">
        <v>983</v>
      </c>
      <c r="D1806" s="252" t="s">
        <v>4143</v>
      </c>
      <c r="E1806" s="252" t="s">
        <v>1026</v>
      </c>
      <c r="F1806" s="252" t="s">
        <v>889</v>
      </c>
      <c r="G1806" s="255"/>
    </row>
    <row r="1807" spans="1:7" s="108" customFormat="1" ht="14.1" customHeight="1">
      <c r="A1807" s="251" t="s">
        <v>1367</v>
      </c>
      <c r="B1807" s="252" t="s">
        <v>4144</v>
      </c>
      <c r="C1807" s="254" t="s">
        <v>1146</v>
      </c>
      <c r="D1807" s="252" t="s">
        <v>886</v>
      </c>
      <c r="E1807" s="252" t="s">
        <v>888</v>
      </c>
      <c r="F1807" s="252" t="s">
        <v>889</v>
      </c>
      <c r="G1807" s="255">
        <v>2.8</v>
      </c>
    </row>
    <row r="1808" spans="1:7" s="108" customFormat="1" ht="14.1" customHeight="1">
      <c r="A1808" s="251" t="s">
        <v>1367</v>
      </c>
      <c r="B1808" s="252" t="s">
        <v>4145</v>
      </c>
      <c r="C1808" s="254" t="s">
        <v>1088</v>
      </c>
      <c r="D1808" s="252" t="s">
        <v>886</v>
      </c>
      <c r="E1808" s="252" t="s">
        <v>918</v>
      </c>
      <c r="F1808" s="252" t="s">
        <v>889</v>
      </c>
      <c r="G1808" s="255">
        <v>341</v>
      </c>
    </row>
    <row r="1809" spans="1:7" s="108" customFormat="1" ht="14.1" customHeight="1">
      <c r="A1809" s="251" t="s">
        <v>1367</v>
      </c>
      <c r="B1809" s="252" t="s">
        <v>4146</v>
      </c>
      <c r="C1809" s="254" t="s">
        <v>1088</v>
      </c>
      <c r="D1809" s="252" t="s">
        <v>4107</v>
      </c>
      <c r="E1809" s="252" t="s">
        <v>925</v>
      </c>
      <c r="F1809" s="252" t="s">
        <v>3658</v>
      </c>
      <c r="G1809" s="255"/>
    </row>
    <row r="1810" spans="1:7" s="108" customFormat="1" ht="14.1" customHeight="1">
      <c r="A1810" s="251" t="s">
        <v>1367</v>
      </c>
      <c r="B1810" s="252" t="s">
        <v>4147</v>
      </c>
      <c r="C1810" s="254" t="s">
        <v>1088</v>
      </c>
      <c r="D1810" s="252" t="s">
        <v>3224</v>
      </c>
      <c r="E1810" s="252" t="s">
        <v>888</v>
      </c>
      <c r="F1810" s="252" t="s">
        <v>889</v>
      </c>
      <c r="G1810" s="255"/>
    </row>
    <row r="1811" spans="1:7" s="108" customFormat="1" ht="14.1" customHeight="1">
      <c r="A1811" s="251" t="s">
        <v>1367</v>
      </c>
      <c r="B1811" s="252" t="s">
        <v>4148</v>
      </c>
      <c r="C1811" s="254" t="s">
        <v>1972</v>
      </c>
      <c r="D1811" s="252" t="s">
        <v>4149</v>
      </c>
      <c r="E1811" s="252" t="s">
        <v>888</v>
      </c>
      <c r="F1811" s="252" t="s">
        <v>889</v>
      </c>
      <c r="G1811" s="255"/>
    </row>
    <row r="1812" spans="1:7" s="108" customFormat="1" ht="14.1" customHeight="1">
      <c r="A1812" s="251" t="s">
        <v>1367</v>
      </c>
      <c r="B1812" s="252" t="s">
        <v>4150</v>
      </c>
      <c r="C1812" s="254" t="s">
        <v>1972</v>
      </c>
      <c r="D1812" s="252" t="s">
        <v>4149</v>
      </c>
      <c r="E1812" s="252" t="s">
        <v>888</v>
      </c>
      <c r="F1812" s="252" t="s">
        <v>889</v>
      </c>
      <c r="G1812" s="255"/>
    </row>
    <row r="1813" spans="1:7" s="108" customFormat="1" ht="14.1" customHeight="1">
      <c r="A1813" s="251" t="s">
        <v>1367</v>
      </c>
      <c r="B1813" s="252" t="s">
        <v>4151</v>
      </c>
      <c r="C1813" s="254" t="s">
        <v>911</v>
      </c>
      <c r="D1813" s="252" t="s">
        <v>3337</v>
      </c>
      <c r="E1813" s="252" t="s">
        <v>959</v>
      </c>
      <c r="F1813" s="252" t="s">
        <v>889</v>
      </c>
      <c r="G1813" s="255"/>
    </row>
    <row r="1814" spans="1:7" s="108" customFormat="1" ht="14.1" customHeight="1">
      <c r="A1814" s="251" t="s">
        <v>1367</v>
      </c>
      <c r="B1814" s="252" t="s">
        <v>4152</v>
      </c>
      <c r="C1814" s="254" t="s">
        <v>1000</v>
      </c>
      <c r="D1814" s="252" t="s">
        <v>1368</v>
      </c>
      <c r="E1814" s="252" t="s">
        <v>912</v>
      </c>
      <c r="F1814" s="252" t="s">
        <v>889</v>
      </c>
      <c r="G1814" s="255">
        <v>9.1999999999999998E-2</v>
      </c>
    </row>
    <row r="1815" spans="1:7" s="108" customFormat="1" ht="14.1" customHeight="1">
      <c r="A1815" s="251" t="s">
        <v>1433</v>
      </c>
      <c r="B1815" s="252" t="s">
        <v>4153</v>
      </c>
      <c r="C1815" s="254" t="s">
        <v>968</v>
      </c>
      <c r="D1815" s="252" t="s">
        <v>4154</v>
      </c>
      <c r="E1815" s="252" t="s">
        <v>939</v>
      </c>
      <c r="F1815" s="252" t="s">
        <v>889</v>
      </c>
      <c r="G1815" s="255"/>
    </row>
    <row r="1816" spans="1:7" s="108" customFormat="1" ht="14.1" customHeight="1">
      <c r="A1816" s="251" t="s">
        <v>1433</v>
      </c>
      <c r="B1816" s="252" t="s">
        <v>4155</v>
      </c>
      <c r="C1816" s="254" t="s">
        <v>944</v>
      </c>
      <c r="D1816" s="252" t="s">
        <v>4156</v>
      </c>
      <c r="E1816" s="252" t="s">
        <v>888</v>
      </c>
      <c r="F1816" s="252" t="s">
        <v>892</v>
      </c>
      <c r="G1816" s="255"/>
    </row>
    <row r="1817" spans="1:7" s="108" customFormat="1" ht="14.1" customHeight="1">
      <c r="A1817" s="251" t="s">
        <v>1433</v>
      </c>
      <c r="B1817" s="252" t="s">
        <v>4157</v>
      </c>
      <c r="C1817" s="254" t="s">
        <v>1030</v>
      </c>
      <c r="D1817" s="252" t="s">
        <v>1434</v>
      </c>
      <c r="E1817" s="252" t="s">
        <v>895</v>
      </c>
      <c r="F1817" s="252" t="s">
        <v>889</v>
      </c>
      <c r="G1817" s="255">
        <v>1.4E-2</v>
      </c>
    </row>
    <row r="1818" spans="1:7" s="108" customFormat="1" ht="14.1" customHeight="1">
      <c r="A1818" s="251" t="s">
        <v>1433</v>
      </c>
      <c r="B1818" s="252" t="s">
        <v>4158</v>
      </c>
      <c r="C1818" s="254" t="s">
        <v>1833</v>
      </c>
      <c r="D1818" s="252" t="s">
        <v>1436</v>
      </c>
      <c r="E1818" s="252" t="s">
        <v>918</v>
      </c>
      <c r="F1818" s="252" t="s">
        <v>892</v>
      </c>
      <c r="G1818" s="255">
        <v>4.024</v>
      </c>
    </row>
    <row r="1819" spans="1:7" s="108" customFormat="1" ht="14.1" customHeight="1">
      <c r="A1819" s="251" t="s">
        <v>1433</v>
      </c>
      <c r="B1819" s="252" t="s">
        <v>4158</v>
      </c>
      <c r="C1819" s="254" t="s">
        <v>1833</v>
      </c>
      <c r="D1819" s="252" t="s">
        <v>1436</v>
      </c>
      <c r="E1819" s="252" t="s">
        <v>918</v>
      </c>
      <c r="F1819" s="252" t="s">
        <v>913</v>
      </c>
      <c r="G1819" s="255">
        <v>7.5</v>
      </c>
    </row>
    <row r="1820" spans="1:7" s="108" customFormat="1" ht="14.1" customHeight="1">
      <c r="A1820" s="251" t="s">
        <v>1433</v>
      </c>
      <c r="B1820" s="252" t="s">
        <v>4159</v>
      </c>
      <c r="C1820" s="254" t="s">
        <v>1135</v>
      </c>
      <c r="D1820" s="252" t="s">
        <v>1160</v>
      </c>
      <c r="E1820" s="252" t="s">
        <v>929</v>
      </c>
      <c r="F1820" s="252" t="s">
        <v>889</v>
      </c>
      <c r="G1820" s="255"/>
    </row>
    <row r="1821" spans="1:7" s="108" customFormat="1" ht="14.1" customHeight="1">
      <c r="A1821" s="251" t="s">
        <v>1433</v>
      </c>
      <c r="B1821" s="252" t="s">
        <v>4160</v>
      </c>
      <c r="C1821" s="254" t="s">
        <v>1099</v>
      </c>
      <c r="D1821" s="252" t="s">
        <v>2769</v>
      </c>
      <c r="E1821" s="252" t="s">
        <v>895</v>
      </c>
      <c r="F1821" s="252" t="s">
        <v>892</v>
      </c>
      <c r="G1821" s="255"/>
    </row>
    <row r="1822" spans="1:7" s="108" customFormat="1" ht="14.1" customHeight="1">
      <c r="A1822" s="251" t="s">
        <v>1433</v>
      </c>
      <c r="B1822" s="252" t="s">
        <v>4161</v>
      </c>
      <c r="C1822" s="254" t="s">
        <v>1020</v>
      </c>
      <c r="D1822" s="252" t="s">
        <v>4085</v>
      </c>
      <c r="E1822" s="252" t="s">
        <v>918</v>
      </c>
      <c r="F1822" s="252" t="s">
        <v>889</v>
      </c>
      <c r="G1822" s="255"/>
    </row>
    <row r="1823" spans="1:7" s="108" customFormat="1" ht="14.1" customHeight="1">
      <c r="A1823" s="251" t="s">
        <v>1433</v>
      </c>
      <c r="B1823" s="252" t="s">
        <v>4162</v>
      </c>
      <c r="C1823" s="254" t="s">
        <v>1000</v>
      </c>
      <c r="D1823" s="252" t="s">
        <v>1435</v>
      </c>
      <c r="E1823" s="252" t="s">
        <v>904</v>
      </c>
      <c r="F1823" s="252" t="s">
        <v>889</v>
      </c>
      <c r="G1823" s="255">
        <v>0.25</v>
      </c>
    </row>
    <row r="1824" spans="1:7" s="108" customFormat="1" ht="14.1" customHeight="1">
      <c r="A1824" s="251" t="s">
        <v>1433</v>
      </c>
      <c r="B1824" s="252" t="s">
        <v>4163</v>
      </c>
      <c r="C1824" s="254" t="s">
        <v>983</v>
      </c>
      <c r="D1824" s="252" t="s">
        <v>1437</v>
      </c>
      <c r="E1824" s="252" t="s">
        <v>945</v>
      </c>
      <c r="F1824" s="252" t="s">
        <v>889</v>
      </c>
      <c r="G1824" s="255">
        <v>38.145000000000003</v>
      </c>
    </row>
    <row r="1825" spans="1:7" s="108" customFormat="1" ht="14.1" customHeight="1">
      <c r="A1825" s="251" t="s">
        <v>1458</v>
      </c>
      <c r="B1825" s="252" t="s">
        <v>4164</v>
      </c>
      <c r="C1825" s="254" t="s">
        <v>906</v>
      </c>
      <c r="D1825" s="252" t="s">
        <v>1459</v>
      </c>
      <c r="E1825" s="252" t="s">
        <v>1136</v>
      </c>
      <c r="F1825" s="252" t="s">
        <v>889</v>
      </c>
      <c r="G1825" s="255">
        <v>119</v>
      </c>
    </row>
    <row r="1826" spans="1:7" s="108" customFormat="1" ht="14.1" customHeight="1">
      <c r="A1826" s="251" t="s">
        <v>1593</v>
      </c>
      <c r="B1826" s="252" t="s">
        <v>4165</v>
      </c>
      <c r="C1826" s="254" t="s">
        <v>968</v>
      </c>
      <c r="D1826" s="252" t="s">
        <v>1596</v>
      </c>
      <c r="E1826" s="252" t="s">
        <v>1157</v>
      </c>
      <c r="F1826" s="252" t="s">
        <v>889</v>
      </c>
      <c r="G1826" s="255">
        <v>5.6529999999999996</v>
      </c>
    </row>
    <row r="1827" spans="1:7" s="108" customFormat="1" ht="14.1" customHeight="1">
      <c r="A1827" s="251" t="s">
        <v>1593</v>
      </c>
      <c r="B1827" s="252" t="s">
        <v>4166</v>
      </c>
      <c r="C1827" s="254" t="s">
        <v>944</v>
      </c>
      <c r="D1827" s="252" t="s">
        <v>2582</v>
      </c>
      <c r="E1827" s="252" t="s">
        <v>959</v>
      </c>
      <c r="F1827" s="252" t="s">
        <v>889</v>
      </c>
      <c r="G1827" s="255"/>
    </row>
    <row r="1828" spans="1:7" s="108" customFormat="1" ht="14.1" customHeight="1">
      <c r="A1828" s="251" t="s">
        <v>1593</v>
      </c>
      <c r="B1828" s="252" t="s">
        <v>3749</v>
      </c>
      <c r="C1828" s="254" t="s">
        <v>1030</v>
      </c>
      <c r="D1828" s="252" t="s">
        <v>1598</v>
      </c>
      <c r="E1828" s="252" t="s">
        <v>939</v>
      </c>
      <c r="F1828" s="252" t="s">
        <v>889</v>
      </c>
      <c r="G1828" s="255">
        <v>726.15800000000002</v>
      </c>
    </row>
    <row r="1829" spans="1:7" s="108" customFormat="1" ht="14.1" customHeight="1">
      <c r="A1829" s="251" t="s">
        <v>1593</v>
      </c>
      <c r="B1829" s="252" t="s">
        <v>4167</v>
      </c>
      <c r="C1829" s="254" t="s">
        <v>1466</v>
      </c>
      <c r="D1829" s="252" t="s">
        <v>1595</v>
      </c>
      <c r="E1829" s="252" t="s">
        <v>954</v>
      </c>
      <c r="F1829" s="252" t="s">
        <v>889</v>
      </c>
      <c r="G1829" s="255">
        <v>2.9969999999999999</v>
      </c>
    </row>
    <row r="1830" spans="1:7" s="108" customFormat="1" ht="14.1" customHeight="1">
      <c r="A1830" s="251" t="s">
        <v>1593</v>
      </c>
      <c r="B1830" s="252" t="s">
        <v>4168</v>
      </c>
      <c r="C1830" s="254" t="s">
        <v>1466</v>
      </c>
      <c r="D1830" s="252" t="s">
        <v>4169</v>
      </c>
      <c r="E1830" s="252" t="s">
        <v>939</v>
      </c>
      <c r="F1830" s="252" t="s">
        <v>889</v>
      </c>
      <c r="G1830" s="255"/>
    </row>
    <row r="1831" spans="1:7" s="108" customFormat="1" ht="14.1" customHeight="1">
      <c r="A1831" s="251" t="s">
        <v>1593</v>
      </c>
      <c r="B1831" s="252" t="s">
        <v>4170</v>
      </c>
      <c r="C1831" s="254" t="s">
        <v>1088</v>
      </c>
      <c r="D1831" s="252" t="s">
        <v>1501</v>
      </c>
      <c r="E1831" s="252" t="s">
        <v>888</v>
      </c>
      <c r="F1831" s="252" t="s">
        <v>889</v>
      </c>
      <c r="G1831" s="255">
        <v>15</v>
      </c>
    </row>
    <row r="1832" spans="1:7" s="108" customFormat="1" ht="14.1" customHeight="1">
      <c r="A1832" s="251" t="s">
        <v>1593</v>
      </c>
      <c r="B1832" s="252" t="s">
        <v>4171</v>
      </c>
      <c r="C1832" s="254" t="s">
        <v>906</v>
      </c>
      <c r="D1832" s="252" t="s">
        <v>2747</v>
      </c>
      <c r="E1832" s="252" t="s">
        <v>959</v>
      </c>
      <c r="F1832" s="252" t="s">
        <v>889</v>
      </c>
      <c r="G1832" s="255"/>
    </row>
    <row r="1833" spans="1:7" s="108" customFormat="1" ht="14.1" customHeight="1">
      <c r="A1833" s="251" t="s">
        <v>1593</v>
      </c>
      <c r="B1833" s="252" t="s">
        <v>4172</v>
      </c>
      <c r="C1833" s="254" t="s">
        <v>1150</v>
      </c>
      <c r="D1833" s="252" t="s">
        <v>4173</v>
      </c>
      <c r="E1833" s="252" t="s">
        <v>939</v>
      </c>
      <c r="F1833" s="252" t="s">
        <v>889</v>
      </c>
      <c r="G1833" s="255"/>
    </row>
    <row r="1834" spans="1:7" s="108" customFormat="1" ht="14.1" customHeight="1">
      <c r="A1834" s="251" t="s">
        <v>1593</v>
      </c>
      <c r="B1834" s="252" t="s">
        <v>4174</v>
      </c>
      <c r="C1834" s="254" t="s">
        <v>1150</v>
      </c>
      <c r="D1834" s="252" t="s">
        <v>4175</v>
      </c>
      <c r="E1834" s="252" t="s">
        <v>888</v>
      </c>
      <c r="F1834" s="252" t="s">
        <v>889</v>
      </c>
      <c r="G1834" s="255"/>
    </row>
    <row r="1835" spans="1:7" s="108" customFormat="1" ht="14.1" customHeight="1">
      <c r="A1835" s="251" t="s">
        <v>1593</v>
      </c>
      <c r="B1835" s="252" t="s">
        <v>4176</v>
      </c>
      <c r="C1835" s="254" t="s">
        <v>887</v>
      </c>
      <c r="D1835" s="252" t="s">
        <v>1356</v>
      </c>
      <c r="E1835" s="252" t="s">
        <v>888</v>
      </c>
      <c r="F1835" s="252" t="s">
        <v>889</v>
      </c>
      <c r="G1835" s="255"/>
    </row>
    <row r="1836" spans="1:7" s="108" customFormat="1" ht="14.1" customHeight="1">
      <c r="A1836" s="251" t="s">
        <v>1593</v>
      </c>
      <c r="B1836" s="252" t="s">
        <v>4177</v>
      </c>
      <c r="C1836" s="254" t="s">
        <v>887</v>
      </c>
      <c r="D1836" s="252" t="s">
        <v>4178</v>
      </c>
      <c r="E1836" s="252" t="s">
        <v>939</v>
      </c>
      <c r="F1836" s="252" t="s">
        <v>889</v>
      </c>
      <c r="G1836" s="255"/>
    </row>
    <row r="1837" spans="1:7" s="108" customFormat="1" ht="14.1" customHeight="1">
      <c r="A1837" s="251" t="s">
        <v>1593</v>
      </c>
      <c r="B1837" s="252" t="s">
        <v>4179</v>
      </c>
      <c r="C1837" s="254" t="s">
        <v>2142</v>
      </c>
      <c r="D1837" s="252" t="s">
        <v>4180</v>
      </c>
      <c r="E1837" s="252" t="s">
        <v>895</v>
      </c>
      <c r="F1837" s="252" t="s">
        <v>892</v>
      </c>
      <c r="G1837" s="255"/>
    </row>
    <row r="1838" spans="1:7" s="108" customFormat="1" ht="14.1" customHeight="1">
      <c r="A1838" s="251" t="s">
        <v>1593</v>
      </c>
      <c r="B1838" s="252" t="s">
        <v>4181</v>
      </c>
      <c r="C1838" s="254" t="s">
        <v>890</v>
      </c>
      <c r="D1838" s="252" t="s">
        <v>4182</v>
      </c>
      <c r="E1838" s="252" t="s">
        <v>888</v>
      </c>
      <c r="F1838" s="252" t="s">
        <v>889</v>
      </c>
      <c r="G1838" s="255"/>
    </row>
    <row r="1839" spans="1:7" s="108" customFormat="1" ht="14.1" customHeight="1">
      <c r="A1839" s="251" t="s">
        <v>1593</v>
      </c>
      <c r="B1839" s="252" t="s">
        <v>4183</v>
      </c>
      <c r="C1839" s="254" t="s">
        <v>890</v>
      </c>
      <c r="D1839" s="252" t="s">
        <v>4184</v>
      </c>
      <c r="E1839" s="252" t="s">
        <v>888</v>
      </c>
      <c r="F1839" s="252" t="s">
        <v>889</v>
      </c>
      <c r="G1839" s="255"/>
    </row>
    <row r="1840" spans="1:7" s="108" customFormat="1" ht="14.1" customHeight="1">
      <c r="A1840" s="251" t="s">
        <v>1593</v>
      </c>
      <c r="B1840" s="252" t="s">
        <v>4185</v>
      </c>
      <c r="C1840" s="254" t="s">
        <v>1202</v>
      </c>
      <c r="D1840" s="252" t="s">
        <v>4186</v>
      </c>
      <c r="E1840" s="252" t="s">
        <v>939</v>
      </c>
      <c r="F1840" s="252" t="s">
        <v>889</v>
      </c>
      <c r="G1840" s="255"/>
    </row>
    <row r="1841" spans="1:7" s="108" customFormat="1" ht="14.1" customHeight="1">
      <c r="A1841" s="251" t="s">
        <v>1593</v>
      </c>
      <c r="B1841" s="252" t="s">
        <v>4187</v>
      </c>
      <c r="C1841" s="254" t="s">
        <v>917</v>
      </c>
      <c r="D1841" s="252" t="s">
        <v>1582</v>
      </c>
      <c r="E1841" s="252" t="s">
        <v>918</v>
      </c>
      <c r="F1841" s="252" t="s">
        <v>889</v>
      </c>
      <c r="G1841" s="255">
        <v>20</v>
      </c>
    </row>
    <row r="1842" spans="1:7" s="108" customFormat="1" ht="14.1" customHeight="1">
      <c r="A1842" s="251" t="s">
        <v>1593</v>
      </c>
      <c r="B1842" s="252" t="s">
        <v>4188</v>
      </c>
      <c r="C1842" s="254" t="s">
        <v>917</v>
      </c>
      <c r="D1842" s="252" t="s">
        <v>1597</v>
      </c>
      <c r="E1842" s="252" t="s">
        <v>918</v>
      </c>
      <c r="F1842" s="252" t="s">
        <v>889</v>
      </c>
      <c r="G1842" s="255">
        <v>26.454000000000001</v>
      </c>
    </row>
    <row r="1843" spans="1:7" s="108" customFormat="1" ht="14.1" customHeight="1">
      <c r="A1843" s="251" t="s">
        <v>1593</v>
      </c>
      <c r="B1843" s="252" t="s">
        <v>4189</v>
      </c>
      <c r="C1843" s="254" t="s">
        <v>1135</v>
      </c>
      <c r="D1843" s="252" t="s">
        <v>3141</v>
      </c>
      <c r="E1843" s="252" t="s">
        <v>904</v>
      </c>
      <c r="F1843" s="252" t="s">
        <v>889</v>
      </c>
      <c r="G1843" s="255"/>
    </row>
    <row r="1844" spans="1:7" s="108" customFormat="1" ht="14.1" customHeight="1">
      <c r="A1844" s="251" t="s">
        <v>1593</v>
      </c>
      <c r="B1844" s="252" t="s">
        <v>4190</v>
      </c>
      <c r="C1844" s="254" t="s">
        <v>1071</v>
      </c>
      <c r="D1844" s="252" t="s">
        <v>4191</v>
      </c>
      <c r="E1844" s="252" t="s">
        <v>888</v>
      </c>
      <c r="F1844" s="252" t="s">
        <v>889</v>
      </c>
      <c r="G1844" s="255"/>
    </row>
    <row r="1845" spans="1:7" s="108" customFormat="1" ht="14.1" customHeight="1">
      <c r="A1845" s="251" t="s">
        <v>1593</v>
      </c>
      <c r="B1845" s="252" t="s">
        <v>4192</v>
      </c>
      <c r="C1845" s="254" t="s">
        <v>1903</v>
      </c>
      <c r="D1845" s="252" t="s">
        <v>4193</v>
      </c>
      <c r="E1845" s="252" t="s">
        <v>1022</v>
      </c>
      <c r="F1845" s="252" t="s">
        <v>889</v>
      </c>
      <c r="G1845" s="255"/>
    </row>
    <row r="1846" spans="1:7" s="108" customFormat="1" ht="14.1" customHeight="1">
      <c r="A1846" s="251" t="s">
        <v>1593</v>
      </c>
      <c r="B1846" s="252" t="s">
        <v>4194</v>
      </c>
      <c r="C1846" s="254" t="s">
        <v>1246</v>
      </c>
      <c r="D1846" s="252" t="s">
        <v>4175</v>
      </c>
      <c r="E1846" s="252" t="s">
        <v>888</v>
      </c>
      <c r="F1846" s="252" t="s">
        <v>889</v>
      </c>
      <c r="G1846" s="255"/>
    </row>
    <row r="1847" spans="1:7" s="108" customFormat="1" ht="14.1" customHeight="1">
      <c r="A1847" s="251" t="s">
        <v>1593</v>
      </c>
      <c r="B1847" s="252" t="s">
        <v>4195</v>
      </c>
      <c r="C1847" s="254" t="s">
        <v>1164</v>
      </c>
      <c r="D1847" s="252" t="s">
        <v>1594</v>
      </c>
      <c r="E1847" s="252" t="s">
        <v>888</v>
      </c>
      <c r="F1847" s="252" t="s">
        <v>892</v>
      </c>
      <c r="G1847" s="255">
        <v>0.21</v>
      </c>
    </row>
    <row r="1848" spans="1:7" s="108" customFormat="1" ht="14.1" customHeight="1">
      <c r="A1848" s="251" t="s">
        <v>1593</v>
      </c>
      <c r="B1848" s="252" t="s">
        <v>4196</v>
      </c>
      <c r="C1848" s="254" t="s">
        <v>983</v>
      </c>
      <c r="D1848" s="252" t="s">
        <v>1191</v>
      </c>
      <c r="E1848" s="252" t="s">
        <v>888</v>
      </c>
      <c r="F1848" s="252" t="s">
        <v>889</v>
      </c>
      <c r="G1848" s="255">
        <v>32.271999999999998</v>
      </c>
    </row>
    <row r="1849" spans="1:7" s="108" customFormat="1" ht="14.1" customHeight="1">
      <c r="A1849" s="251" t="s">
        <v>1665</v>
      </c>
      <c r="B1849" s="252" t="s">
        <v>4197</v>
      </c>
      <c r="C1849" s="254" t="s">
        <v>1146</v>
      </c>
      <c r="D1849" s="252" t="s">
        <v>1667</v>
      </c>
      <c r="E1849" s="252" t="s">
        <v>888</v>
      </c>
      <c r="F1849" s="252" t="s">
        <v>889</v>
      </c>
      <c r="G1849" s="255">
        <v>15</v>
      </c>
    </row>
    <row r="1850" spans="1:7" s="108" customFormat="1" ht="14.1" customHeight="1">
      <c r="A1850" s="251" t="s">
        <v>1665</v>
      </c>
      <c r="B1850" s="252" t="s">
        <v>4198</v>
      </c>
      <c r="C1850" s="254" t="s">
        <v>968</v>
      </c>
      <c r="D1850" s="252" t="s">
        <v>1127</v>
      </c>
      <c r="E1850" s="252" t="s">
        <v>939</v>
      </c>
      <c r="F1850" s="252" t="s">
        <v>889</v>
      </c>
      <c r="G1850" s="255"/>
    </row>
    <row r="1851" spans="1:7" s="108" customFormat="1" ht="14.1" customHeight="1">
      <c r="A1851" s="251" t="s">
        <v>1665</v>
      </c>
      <c r="B1851" s="252" t="s">
        <v>4199</v>
      </c>
      <c r="C1851" s="254" t="s">
        <v>968</v>
      </c>
      <c r="D1851" s="252" t="s">
        <v>1356</v>
      </c>
      <c r="E1851" s="252" t="s">
        <v>888</v>
      </c>
      <c r="F1851" s="252" t="s">
        <v>889</v>
      </c>
      <c r="G1851" s="255">
        <v>84.7</v>
      </c>
    </row>
    <row r="1852" spans="1:7" s="108" customFormat="1" ht="14.1" customHeight="1">
      <c r="A1852" s="251" t="s">
        <v>1665</v>
      </c>
      <c r="B1852" s="252" t="s">
        <v>4200</v>
      </c>
      <c r="C1852" s="254" t="s">
        <v>1088</v>
      </c>
      <c r="D1852" s="252" t="s">
        <v>886</v>
      </c>
      <c r="E1852" s="252" t="s">
        <v>939</v>
      </c>
      <c r="F1852" s="252" t="s">
        <v>889</v>
      </c>
      <c r="G1852" s="255">
        <v>21.5</v>
      </c>
    </row>
    <row r="1853" spans="1:7" s="108" customFormat="1" ht="14.1" customHeight="1">
      <c r="A1853" s="251" t="s">
        <v>1665</v>
      </c>
      <c r="B1853" s="252" t="s">
        <v>4201</v>
      </c>
      <c r="C1853" s="254" t="s">
        <v>917</v>
      </c>
      <c r="D1853" s="252" t="s">
        <v>1666</v>
      </c>
      <c r="E1853" s="252" t="s">
        <v>918</v>
      </c>
      <c r="F1853" s="252" t="s">
        <v>892</v>
      </c>
      <c r="G1853" s="255">
        <v>2.5</v>
      </c>
    </row>
    <row r="1854" spans="1:7" s="108" customFormat="1" ht="14.1" customHeight="1">
      <c r="A1854" s="251" t="s">
        <v>1004</v>
      </c>
      <c r="B1854" s="252" t="s">
        <v>4202</v>
      </c>
      <c r="C1854" s="254" t="s">
        <v>1088</v>
      </c>
      <c r="D1854" s="252" t="s">
        <v>1006</v>
      </c>
      <c r="E1854" s="252" t="s">
        <v>888</v>
      </c>
      <c r="F1854" s="252" t="s">
        <v>889</v>
      </c>
      <c r="G1854" s="255">
        <v>2.7090000000000001</v>
      </c>
    </row>
    <row r="1855" spans="1:7" s="108" customFormat="1" ht="14.1" customHeight="1">
      <c r="A1855" s="251" t="s">
        <v>1004</v>
      </c>
      <c r="B1855" s="252" t="s">
        <v>4203</v>
      </c>
      <c r="C1855" s="254" t="s">
        <v>1088</v>
      </c>
      <c r="D1855" s="252" t="s">
        <v>4204</v>
      </c>
      <c r="E1855" s="252" t="s">
        <v>907</v>
      </c>
      <c r="F1855" s="252" t="s">
        <v>889</v>
      </c>
      <c r="G1855" s="255"/>
    </row>
    <row r="1856" spans="1:7" s="108" customFormat="1" ht="14.1" customHeight="1">
      <c r="A1856" s="251" t="s">
        <v>1004</v>
      </c>
      <c r="B1856" s="252" t="s">
        <v>4205</v>
      </c>
      <c r="C1856" s="254" t="s">
        <v>906</v>
      </c>
      <c r="D1856" s="252" t="s">
        <v>4206</v>
      </c>
      <c r="E1856" s="252" t="s">
        <v>888</v>
      </c>
      <c r="F1856" s="252" t="s">
        <v>889</v>
      </c>
      <c r="G1856" s="255"/>
    </row>
    <row r="1857" spans="1:7" s="108" customFormat="1" ht="14.1" customHeight="1">
      <c r="A1857" s="251" t="s">
        <v>1004</v>
      </c>
      <c r="B1857" s="252" t="s">
        <v>4207</v>
      </c>
      <c r="C1857" s="254" t="s">
        <v>887</v>
      </c>
      <c r="D1857" s="252" t="s">
        <v>4208</v>
      </c>
      <c r="E1857" s="252" t="s">
        <v>888</v>
      </c>
      <c r="F1857" s="252" t="s">
        <v>3658</v>
      </c>
      <c r="G1857" s="255"/>
    </row>
    <row r="1858" spans="1:7" s="108" customFormat="1" ht="14.1" customHeight="1">
      <c r="A1858" s="251" t="s">
        <v>1004</v>
      </c>
      <c r="B1858" s="252" t="s">
        <v>4209</v>
      </c>
      <c r="C1858" s="254" t="s">
        <v>917</v>
      </c>
      <c r="D1858" s="252" t="s">
        <v>1007</v>
      </c>
      <c r="E1858" s="252" t="s">
        <v>918</v>
      </c>
      <c r="F1858" s="252" t="s">
        <v>889</v>
      </c>
      <c r="G1858" s="255">
        <v>3.5339999999999998</v>
      </c>
    </row>
    <row r="1859" spans="1:7" s="108" customFormat="1" ht="14.1" customHeight="1">
      <c r="A1859" s="251" t="s">
        <v>1004</v>
      </c>
      <c r="B1859" s="252" t="s">
        <v>4210</v>
      </c>
      <c r="C1859" s="254" t="s">
        <v>894</v>
      </c>
      <c r="D1859" s="252" t="s">
        <v>940</v>
      </c>
      <c r="E1859" s="252" t="s">
        <v>895</v>
      </c>
      <c r="F1859" s="252" t="s">
        <v>889</v>
      </c>
      <c r="G1859" s="255">
        <v>0.4</v>
      </c>
    </row>
    <row r="1860" spans="1:7" s="108" customFormat="1" ht="14.1" customHeight="1">
      <c r="A1860" s="251" t="s">
        <v>1004</v>
      </c>
      <c r="B1860" s="252" t="s">
        <v>4211</v>
      </c>
      <c r="C1860" s="254" t="s">
        <v>894</v>
      </c>
      <c r="D1860" s="252" t="s">
        <v>940</v>
      </c>
      <c r="E1860" s="252" t="s">
        <v>895</v>
      </c>
      <c r="F1860" s="252" t="s">
        <v>892</v>
      </c>
      <c r="G1860" s="255">
        <v>0.4</v>
      </c>
    </row>
    <row r="1861" spans="1:7" s="108" customFormat="1" ht="14.1" customHeight="1">
      <c r="A1861" s="251" t="s">
        <v>1004</v>
      </c>
      <c r="B1861" s="252" t="s">
        <v>4212</v>
      </c>
      <c r="C1861" s="254" t="s">
        <v>1020</v>
      </c>
      <c r="D1861" s="252" t="s">
        <v>1005</v>
      </c>
      <c r="E1861" s="252" t="s">
        <v>918</v>
      </c>
      <c r="F1861" s="252" t="s">
        <v>892</v>
      </c>
      <c r="G1861" s="255">
        <v>2.5</v>
      </c>
    </row>
    <row r="1862" spans="1:7" s="108" customFormat="1" ht="14.1" customHeight="1">
      <c r="A1862" s="251" t="s">
        <v>1004</v>
      </c>
      <c r="B1862" s="252" t="s">
        <v>4213</v>
      </c>
      <c r="C1862" s="254" t="s">
        <v>983</v>
      </c>
      <c r="D1862" s="252" t="s">
        <v>2209</v>
      </c>
      <c r="E1862" s="252" t="s">
        <v>939</v>
      </c>
      <c r="F1862" s="252" t="s">
        <v>3658</v>
      </c>
      <c r="G1862" s="255"/>
    </row>
    <row r="1863" spans="1:7" s="108" customFormat="1" ht="14.1" customHeight="1">
      <c r="A1863" s="251" t="s">
        <v>1004</v>
      </c>
      <c r="B1863" s="252" t="s">
        <v>4214</v>
      </c>
      <c r="C1863" s="254" t="s">
        <v>983</v>
      </c>
      <c r="D1863" s="252" t="s">
        <v>3651</v>
      </c>
      <c r="E1863" s="252" t="s">
        <v>984</v>
      </c>
      <c r="F1863" s="252" t="s">
        <v>889</v>
      </c>
      <c r="G1863" s="255"/>
    </row>
    <row r="1864" spans="1:7" s="108" customFormat="1" ht="14.1" customHeight="1">
      <c r="A1864" s="251" t="s">
        <v>1004</v>
      </c>
      <c r="B1864" s="252" t="s">
        <v>4215</v>
      </c>
      <c r="C1864" s="254" t="s">
        <v>1009</v>
      </c>
      <c r="D1864" s="252" t="s">
        <v>1008</v>
      </c>
      <c r="E1864" s="252" t="s">
        <v>1010</v>
      </c>
      <c r="F1864" s="252" t="s">
        <v>889</v>
      </c>
      <c r="G1864" s="255">
        <v>155</v>
      </c>
    </row>
    <row r="1865" spans="1:7" s="108" customFormat="1" ht="14.1" customHeight="1">
      <c r="A1865" s="251" t="s">
        <v>1269</v>
      </c>
      <c r="B1865" s="252" t="s">
        <v>4216</v>
      </c>
      <c r="C1865" s="254" t="s">
        <v>897</v>
      </c>
      <c r="D1865" s="252" t="s">
        <v>4217</v>
      </c>
      <c r="E1865" s="252" t="s">
        <v>888</v>
      </c>
      <c r="F1865" s="252" t="s">
        <v>889</v>
      </c>
      <c r="G1865" s="255"/>
    </row>
    <row r="1866" spans="1:7" s="108" customFormat="1" ht="14.1" customHeight="1">
      <c r="A1866" s="251" t="s">
        <v>1269</v>
      </c>
      <c r="B1866" s="252" t="s">
        <v>4218</v>
      </c>
      <c r="C1866" s="254" t="s">
        <v>897</v>
      </c>
      <c r="D1866" s="252" t="s">
        <v>4217</v>
      </c>
      <c r="E1866" s="252" t="s">
        <v>888</v>
      </c>
      <c r="F1866" s="252" t="s">
        <v>889</v>
      </c>
      <c r="G1866" s="255"/>
    </row>
    <row r="1867" spans="1:7" s="108" customFormat="1" ht="14.1" customHeight="1">
      <c r="A1867" s="251" t="s">
        <v>1269</v>
      </c>
      <c r="B1867" s="252" t="s">
        <v>4219</v>
      </c>
      <c r="C1867" s="254" t="s">
        <v>1146</v>
      </c>
      <c r="D1867" s="252" t="s">
        <v>1282</v>
      </c>
      <c r="E1867" s="252" t="s">
        <v>925</v>
      </c>
      <c r="F1867" s="252" t="s">
        <v>889</v>
      </c>
      <c r="G1867" s="255">
        <v>1100</v>
      </c>
    </row>
    <row r="1868" spans="1:7" s="108" customFormat="1" ht="14.1" customHeight="1">
      <c r="A1868" s="251" t="s">
        <v>1269</v>
      </c>
      <c r="B1868" s="252" t="s">
        <v>4220</v>
      </c>
      <c r="C1868" s="254" t="s">
        <v>1146</v>
      </c>
      <c r="D1868" s="252" t="s">
        <v>1271</v>
      </c>
      <c r="E1868" s="252" t="s">
        <v>1026</v>
      </c>
      <c r="F1868" s="252" t="s">
        <v>889</v>
      </c>
      <c r="G1868" s="255">
        <v>5</v>
      </c>
    </row>
    <row r="1869" spans="1:7" s="108" customFormat="1" ht="14.1" customHeight="1">
      <c r="A1869" s="251" t="s">
        <v>1269</v>
      </c>
      <c r="B1869" s="252" t="s">
        <v>4221</v>
      </c>
      <c r="C1869" s="254" t="s">
        <v>1146</v>
      </c>
      <c r="D1869" s="252" t="s">
        <v>4222</v>
      </c>
      <c r="E1869" s="252" t="s">
        <v>888</v>
      </c>
      <c r="F1869" s="252" t="s">
        <v>889</v>
      </c>
      <c r="G1869" s="255"/>
    </row>
    <row r="1870" spans="1:7" s="108" customFormat="1" ht="14.1" customHeight="1">
      <c r="A1870" s="251" t="s">
        <v>1269</v>
      </c>
      <c r="B1870" s="252" t="s">
        <v>4223</v>
      </c>
      <c r="C1870" s="254" t="s">
        <v>1168</v>
      </c>
      <c r="D1870" s="252" t="s">
        <v>1276</v>
      </c>
      <c r="E1870" s="252" t="s">
        <v>925</v>
      </c>
      <c r="F1870" s="252" t="s">
        <v>892</v>
      </c>
      <c r="G1870" s="255">
        <v>18.713999999999999</v>
      </c>
    </row>
    <row r="1871" spans="1:7" s="108" customFormat="1" ht="14.1" customHeight="1">
      <c r="A1871" s="251" t="s">
        <v>1269</v>
      </c>
      <c r="B1871" s="252" t="s">
        <v>4224</v>
      </c>
      <c r="C1871" s="254" t="s">
        <v>968</v>
      </c>
      <c r="D1871" s="252" t="s">
        <v>4225</v>
      </c>
      <c r="E1871" s="252" t="s">
        <v>895</v>
      </c>
      <c r="F1871" s="252" t="s">
        <v>889</v>
      </c>
      <c r="G1871" s="255"/>
    </row>
    <row r="1872" spans="1:7" s="108" customFormat="1" ht="14.1" customHeight="1">
      <c r="A1872" s="251" t="s">
        <v>1269</v>
      </c>
      <c r="B1872" s="252" t="s">
        <v>4226</v>
      </c>
      <c r="C1872" s="254" t="s">
        <v>968</v>
      </c>
      <c r="D1872" s="252" t="s">
        <v>4227</v>
      </c>
      <c r="E1872" s="252" t="s">
        <v>907</v>
      </c>
      <c r="F1872" s="252" t="s">
        <v>889</v>
      </c>
      <c r="G1872" s="255"/>
    </row>
    <row r="1873" spans="1:7" s="108" customFormat="1" ht="14.1" customHeight="1">
      <c r="A1873" s="251" t="s">
        <v>1269</v>
      </c>
      <c r="B1873" s="252" t="s">
        <v>4228</v>
      </c>
      <c r="C1873" s="254" t="s">
        <v>968</v>
      </c>
      <c r="D1873" s="252" t="s">
        <v>4229</v>
      </c>
      <c r="E1873" s="252" t="s">
        <v>888</v>
      </c>
      <c r="F1873" s="252" t="s">
        <v>889</v>
      </c>
      <c r="G1873" s="255"/>
    </row>
    <row r="1874" spans="1:7" s="108" customFormat="1" ht="14.1" customHeight="1">
      <c r="A1874" s="251" t="s">
        <v>1269</v>
      </c>
      <c r="B1874" s="252" t="s">
        <v>4230</v>
      </c>
      <c r="C1874" s="254" t="s">
        <v>968</v>
      </c>
      <c r="D1874" s="252" t="s">
        <v>1191</v>
      </c>
      <c r="E1874" s="252" t="s">
        <v>888</v>
      </c>
      <c r="F1874" s="252" t="s">
        <v>889</v>
      </c>
      <c r="G1874" s="255"/>
    </row>
    <row r="1875" spans="1:7" s="108" customFormat="1" ht="14.1" customHeight="1">
      <c r="A1875" s="251" t="s">
        <v>1269</v>
      </c>
      <c r="B1875" s="252" t="s">
        <v>4231</v>
      </c>
      <c r="C1875" s="254" t="s">
        <v>968</v>
      </c>
      <c r="D1875" s="252" t="s">
        <v>3808</v>
      </c>
      <c r="E1875" s="252" t="s">
        <v>907</v>
      </c>
      <c r="F1875" s="252" t="s">
        <v>889</v>
      </c>
      <c r="G1875" s="255"/>
    </row>
    <row r="1876" spans="1:7" s="108" customFormat="1" ht="14.1" customHeight="1">
      <c r="A1876" s="251" t="s">
        <v>1269</v>
      </c>
      <c r="B1876" s="252" t="s">
        <v>4232</v>
      </c>
      <c r="C1876" s="254" t="s">
        <v>944</v>
      </c>
      <c r="D1876" s="252" t="s">
        <v>4233</v>
      </c>
      <c r="E1876" s="252" t="s">
        <v>954</v>
      </c>
      <c r="F1876" s="252" t="s">
        <v>889</v>
      </c>
      <c r="G1876" s="255"/>
    </row>
    <row r="1877" spans="1:7" s="108" customFormat="1" ht="14.1" customHeight="1">
      <c r="A1877" s="251" t="s">
        <v>1269</v>
      </c>
      <c r="B1877" s="252" t="s">
        <v>4234</v>
      </c>
      <c r="C1877" s="254" t="s">
        <v>944</v>
      </c>
      <c r="D1877" s="252" t="s">
        <v>1752</v>
      </c>
      <c r="E1877" s="252" t="s">
        <v>888</v>
      </c>
      <c r="F1877" s="252" t="s">
        <v>889</v>
      </c>
      <c r="G1877" s="255"/>
    </row>
    <row r="1878" spans="1:7" s="108" customFormat="1" ht="14.1" customHeight="1">
      <c r="A1878" s="251" t="s">
        <v>1269</v>
      </c>
      <c r="B1878" s="252" t="s">
        <v>4235</v>
      </c>
      <c r="C1878" s="254" t="s">
        <v>944</v>
      </c>
      <c r="D1878" s="252" t="s">
        <v>3004</v>
      </c>
      <c r="E1878" s="252" t="s">
        <v>907</v>
      </c>
      <c r="F1878" s="252" t="s">
        <v>889</v>
      </c>
      <c r="G1878" s="255"/>
    </row>
    <row r="1879" spans="1:7" s="108" customFormat="1" ht="14.1" customHeight="1">
      <c r="A1879" s="251" t="s">
        <v>1269</v>
      </c>
      <c r="B1879" s="252" t="s">
        <v>4236</v>
      </c>
      <c r="C1879" s="254" t="s">
        <v>1756</v>
      </c>
      <c r="D1879" s="252" t="s">
        <v>1278</v>
      </c>
      <c r="E1879" s="252" t="s">
        <v>888</v>
      </c>
      <c r="F1879" s="252" t="s">
        <v>889</v>
      </c>
      <c r="G1879" s="255">
        <v>63.01</v>
      </c>
    </row>
    <row r="1880" spans="1:7" s="108" customFormat="1" ht="14.1" customHeight="1">
      <c r="A1880" s="251" t="s">
        <v>1269</v>
      </c>
      <c r="B1880" s="252" t="s">
        <v>4237</v>
      </c>
      <c r="C1880" s="254" t="s">
        <v>1756</v>
      </c>
      <c r="D1880" s="252" t="s">
        <v>1356</v>
      </c>
      <c r="E1880" s="252" t="s">
        <v>888</v>
      </c>
      <c r="F1880" s="252" t="s">
        <v>889</v>
      </c>
      <c r="G1880" s="255"/>
    </row>
    <row r="1881" spans="1:7" s="108" customFormat="1" ht="14.1" customHeight="1">
      <c r="A1881" s="251" t="s">
        <v>1269</v>
      </c>
      <c r="B1881" s="252" t="s">
        <v>4238</v>
      </c>
      <c r="C1881" s="254" t="s">
        <v>1088</v>
      </c>
      <c r="D1881" s="252" t="s">
        <v>1081</v>
      </c>
      <c r="E1881" s="252" t="s">
        <v>918</v>
      </c>
      <c r="F1881" s="252" t="s">
        <v>3658</v>
      </c>
      <c r="G1881" s="255"/>
    </row>
    <row r="1882" spans="1:7" s="108" customFormat="1" ht="14.1" customHeight="1">
      <c r="A1882" s="251" t="s">
        <v>1269</v>
      </c>
      <c r="B1882" s="252" t="s">
        <v>4239</v>
      </c>
      <c r="C1882" s="254" t="s">
        <v>1088</v>
      </c>
      <c r="D1882" s="252" t="s">
        <v>1283</v>
      </c>
      <c r="E1882" s="252" t="s">
        <v>925</v>
      </c>
      <c r="F1882" s="252" t="s">
        <v>889</v>
      </c>
      <c r="G1882" s="255">
        <v>2267.7739999999999</v>
      </c>
    </row>
    <row r="1883" spans="1:7" s="108" customFormat="1" ht="14.1" customHeight="1">
      <c r="A1883" s="251" t="s">
        <v>1269</v>
      </c>
      <c r="B1883" s="252" t="s">
        <v>4240</v>
      </c>
      <c r="C1883" s="254" t="s">
        <v>1032</v>
      </c>
      <c r="D1883" s="252" t="s">
        <v>1274</v>
      </c>
      <c r="E1883" s="252" t="s">
        <v>888</v>
      </c>
      <c r="F1883" s="252" t="s">
        <v>889</v>
      </c>
      <c r="G1883" s="255">
        <v>13.372</v>
      </c>
    </row>
    <row r="1884" spans="1:7" s="108" customFormat="1" ht="14.1" customHeight="1">
      <c r="A1884" s="251" t="s">
        <v>1269</v>
      </c>
      <c r="B1884" s="252" t="s">
        <v>4241</v>
      </c>
      <c r="C1884" s="254" t="s">
        <v>906</v>
      </c>
      <c r="D1884" s="252" t="s">
        <v>2510</v>
      </c>
      <c r="E1884" s="252" t="s">
        <v>888</v>
      </c>
      <c r="F1884" s="252" t="s">
        <v>889</v>
      </c>
      <c r="G1884" s="255"/>
    </row>
    <row r="1885" spans="1:7" s="108" customFormat="1" ht="14.1" customHeight="1">
      <c r="A1885" s="251" t="s">
        <v>1269</v>
      </c>
      <c r="B1885" s="252" t="s">
        <v>4242</v>
      </c>
      <c r="C1885" s="254" t="s">
        <v>1833</v>
      </c>
      <c r="D1885" s="252" t="s">
        <v>4243</v>
      </c>
      <c r="E1885" s="252" t="s">
        <v>888</v>
      </c>
      <c r="F1885" s="252" t="s">
        <v>889</v>
      </c>
      <c r="G1885" s="255"/>
    </row>
    <row r="1886" spans="1:7" s="108" customFormat="1" ht="14.1" customHeight="1">
      <c r="A1886" s="251" t="s">
        <v>1269</v>
      </c>
      <c r="B1886" s="252" t="s">
        <v>4244</v>
      </c>
      <c r="C1886" s="254" t="s">
        <v>887</v>
      </c>
      <c r="D1886" s="252" t="s">
        <v>4245</v>
      </c>
      <c r="E1886" s="252" t="s">
        <v>1142</v>
      </c>
      <c r="F1886" s="252" t="s">
        <v>892</v>
      </c>
      <c r="G1886" s="255"/>
    </row>
    <row r="1887" spans="1:7" s="108" customFormat="1" ht="14.1" customHeight="1">
      <c r="A1887" s="251" t="s">
        <v>1269</v>
      </c>
      <c r="B1887" s="252" t="s">
        <v>4246</v>
      </c>
      <c r="C1887" s="254" t="s">
        <v>887</v>
      </c>
      <c r="D1887" s="252" t="s">
        <v>1270</v>
      </c>
      <c r="E1887" s="252" t="s">
        <v>888</v>
      </c>
      <c r="F1887" s="252" t="s">
        <v>889</v>
      </c>
      <c r="G1887" s="255">
        <v>2.5409999999999999</v>
      </c>
    </row>
    <row r="1888" spans="1:7" s="108" customFormat="1" ht="14.1" customHeight="1">
      <c r="A1888" s="251" t="s">
        <v>1269</v>
      </c>
      <c r="B1888" s="252" t="s">
        <v>4247</v>
      </c>
      <c r="C1888" s="254" t="s">
        <v>887</v>
      </c>
      <c r="D1888" s="252" t="s">
        <v>1279</v>
      </c>
      <c r="E1888" s="252" t="s">
        <v>925</v>
      </c>
      <c r="F1888" s="252" t="s">
        <v>892</v>
      </c>
      <c r="G1888" s="255">
        <v>93.47</v>
      </c>
    </row>
    <row r="1889" spans="1:7" s="108" customFormat="1" ht="14.1" customHeight="1">
      <c r="A1889" s="251" t="s">
        <v>1269</v>
      </c>
      <c r="B1889" s="252" t="s">
        <v>4248</v>
      </c>
      <c r="C1889" s="254" t="s">
        <v>887</v>
      </c>
      <c r="D1889" s="252" t="s">
        <v>4222</v>
      </c>
      <c r="E1889" s="252" t="s">
        <v>888</v>
      </c>
      <c r="F1889" s="252" t="s">
        <v>889</v>
      </c>
      <c r="G1889" s="255"/>
    </row>
    <row r="1890" spans="1:7" s="108" customFormat="1" ht="14.1" customHeight="1">
      <c r="A1890" s="251" t="s">
        <v>1269</v>
      </c>
      <c r="B1890" s="252" t="s">
        <v>4249</v>
      </c>
      <c r="C1890" s="254" t="s">
        <v>890</v>
      </c>
      <c r="D1890" s="252" t="s">
        <v>2845</v>
      </c>
      <c r="E1890" s="252" t="s">
        <v>919</v>
      </c>
      <c r="F1890" s="252" t="s">
        <v>889</v>
      </c>
      <c r="G1890" s="255"/>
    </row>
    <row r="1891" spans="1:7" s="108" customFormat="1" ht="14.1" customHeight="1">
      <c r="A1891" s="251" t="s">
        <v>1269</v>
      </c>
      <c r="B1891" s="252" t="s">
        <v>4250</v>
      </c>
      <c r="C1891" s="254" t="s">
        <v>890</v>
      </c>
      <c r="D1891" s="252" t="s">
        <v>4251</v>
      </c>
      <c r="E1891" s="252" t="s">
        <v>4252</v>
      </c>
      <c r="F1891" s="252" t="s">
        <v>889</v>
      </c>
      <c r="G1891" s="255"/>
    </row>
    <row r="1892" spans="1:7" s="108" customFormat="1" ht="14.1" customHeight="1">
      <c r="A1892" s="251" t="s">
        <v>1269</v>
      </c>
      <c r="B1892" s="252" t="s">
        <v>4253</v>
      </c>
      <c r="C1892" s="254" t="s">
        <v>890</v>
      </c>
      <c r="D1892" s="252" t="s">
        <v>4254</v>
      </c>
      <c r="E1892" s="252" t="s">
        <v>1085</v>
      </c>
      <c r="F1892" s="252" t="s">
        <v>889</v>
      </c>
      <c r="G1892" s="255"/>
    </row>
    <row r="1893" spans="1:7" s="108" customFormat="1" ht="14.1" customHeight="1">
      <c r="A1893" s="251" t="s">
        <v>1269</v>
      </c>
      <c r="B1893" s="252" t="s">
        <v>4255</v>
      </c>
      <c r="C1893" s="254" t="s">
        <v>1018</v>
      </c>
      <c r="D1893" s="252" t="s">
        <v>1272</v>
      </c>
      <c r="E1893" s="252" t="s">
        <v>888</v>
      </c>
      <c r="F1893" s="252" t="s">
        <v>889</v>
      </c>
      <c r="G1893" s="255">
        <v>7.92</v>
      </c>
    </row>
    <row r="1894" spans="1:7" s="108" customFormat="1" ht="14.1" customHeight="1">
      <c r="A1894" s="251" t="s">
        <v>1269</v>
      </c>
      <c r="B1894" s="252" t="s">
        <v>4256</v>
      </c>
      <c r="C1894" s="254" t="s">
        <v>1018</v>
      </c>
      <c r="D1894" s="252" t="s">
        <v>1275</v>
      </c>
      <c r="E1894" s="252" t="s">
        <v>895</v>
      </c>
      <c r="F1894" s="252" t="s">
        <v>889</v>
      </c>
      <c r="G1894" s="255">
        <v>17.568000000000001</v>
      </c>
    </row>
    <row r="1895" spans="1:7" s="108" customFormat="1" ht="14.1" customHeight="1">
      <c r="A1895" s="251" t="s">
        <v>1269</v>
      </c>
      <c r="B1895" s="252" t="s">
        <v>4257</v>
      </c>
      <c r="C1895" s="254" t="s">
        <v>1018</v>
      </c>
      <c r="D1895" s="252" t="s">
        <v>4258</v>
      </c>
      <c r="E1895" s="252" t="s">
        <v>984</v>
      </c>
      <c r="F1895" s="252" t="s">
        <v>889</v>
      </c>
      <c r="G1895" s="255"/>
    </row>
    <row r="1896" spans="1:7" s="108" customFormat="1" ht="14.1" customHeight="1">
      <c r="A1896" s="251" t="s">
        <v>1269</v>
      </c>
      <c r="B1896" s="252" t="s">
        <v>4259</v>
      </c>
      <c r="C1896" s="254" t="s">
        <v>1202</v>
      </c>
      <c r="D1896" s="252" t="s">
        <v>1277</v>
      </c>
      <c r="E1896" s="252" t="s">
        <v>984</v>
      </c>
      <c r="F1896" s="252" t="s">
        <v>892</v>
      </c>
      <c r="G1896" s="255">
        <v>21.146999999999998</v>
      </c>
    </row>
    <row r="1897" spans="1:7" s="108" customFormat="1" ht="14.1" customHeight="1">
      <c r="A1897" s="251" t="s">
        <v>1269</v>
      </c>
      <c r="B1897" s="252" t="s">
        <v>4260</v>
      </c>
      <c r="C1897" s="254" t="s">
        <v>1202</v>
      </c>
      <c r="D1897" s="252" t="s">
        <v>4261</v>
      </c>
      <c r="E1897" s="252" t="s">
        <v>891</v>
      </c>
      <c r="F1897" s="252" t="s">
        <v>889</v>
      </c>
      <c r="G1897" s="255"/>
    </row>
    <row r="1898" spans="1:7" s="108" customFormat="1" ht="14.1" customHeight="1">
      <c r="A1898" s="251" t="s">
        <v>1269</v>
      </c>
      <c r="B1898" s="252" t="s">
        <v>4262</v>
      </c>
      <c r="C1898" s="254" t="s">
        <v>917</v>
      </c>
      <c r="D1898" s="252" t="s">
        <v>4263</v>
      </c>
      <c r="E1898" s="252" t="s">
        <v>1022</v>
      </c>
      <c r="F1898" s="252" t="s">
        <v>892</v>
      </c>
      <c r="G1898" s="255"/>
    </row>
    <row r="1899" spans="1:7" s="108" customFormat="1" ht="14.1" customHeight="1">
      <c r="A1899" s="251" t="s">
        <v>1269</v>
      </c>
      <c r="B1899" s="252" t="s">
        <v>4264</v>
      </c>
      <c r="C1899" s="254" t="s">
        <v>988</v>
      </c>
      <c r="D1899" s="252" t="s">
        <v>4217</v>
      </c>
      <c r="E1899" s="252" t="s">
        <v>888</v>
      </c>
      <c r="F1899" s="252" t="s">
        <v>889</v>
      </c>
      <c r="G1899" s="255"/>
    </row>
    <row r="1900" spans="1:7" s="108" customFormat="1" ht="14.1" customHeight="1">
      <c r="A1900" s="251" t="s">
        <v>1269</v>
      </c>
      <c r="B1900" s="252" t="s">
        <v>4265</v>
      </c>
      <c r="C1900" s="254" t="s">
        <v>894</v>
      </c>
      <c r="D1900" s="252" t="s">
        <v>4266</v>
      </c>
      <c r="E1900" s="252" t="s">
        <v>954</v>
      </c>
      <c r="F1900" s="252" t="s">
        <v>889</v>
      </c>
      <c r="G1900" s="255"/>
    </row>
    <row r="1901" spans="1:7" s="108" customFormat="1" ht="14.1" customHeight="1">
      <c r="A1901" s="251" t="s">
        <v>1269</v>
      </c>
      <c r="B1901" s="252" t="s">
        <v>4267</v>
      </c>
      <c r="C1901" s="254" t="s">
        <v>1135</v>
      </c>
      <c r="D1901" s="252" t="s">
        <v>4268</v>
      </c>
      <c r="E1901" s="252" t="s">
        <v>925</v>
      </c>
      <c r="F1901" s="252" t="s">
        <v>3658</v>
      </c>
      <c r="G1901" s="255"/>
    </row>
    <row r="1902" spans="1:7" s="108" customFormat="1" ht="14.1" customHeight="1">
      <c r="A1902" s="251" t="s">
        <v>1269</v>
      </c>
      <c r="B1902" s="252" t="s">
        <v>4269</v>
      </c>
      <c r="C1902" s="254" t="s">
        <v>1441</v>
      </c>
      <c r="D1902" s="252" t="s">
        <v>2095</v>
      </c>
      <c r="E1902" s="252" t="s">
        <v>907</v>
      </c>
      <c r="F1902" s="252" t="s">
        <v>889</v>
      </c>
      <c r="G1902" s="255"/>
    </row>
    <row r="1903" spans="1:7" s="108" customFormat="1" ht="14.1" customHeight="1">
      <c r="A1903" s="251" t="s">
        <v>1269</v>
      </c>
      <c r="B1903" s="252" t="s">
        <v>4270</v>
      </c>
      <c r="C1903" s="254" t="s">
        <v>1071</v>
      </c>
      <c r="D1903" s="252" t="s">
        <v>1273</v>
      </c>
      <c r="E1903" s="252" t="s">
        <v>929</v>
      </c>
      <c r="F1903" s="252" t="s">
        <v>889</v>
      </c>
      <c r="G1903" s="255">
        <v>9</v>
      </c>
    </row>
    <row r="1904" spans="1:7" s="108" customFormat="1" ht="14.1" customHeight="1">
      <c r="A1904" s="251" t="s">
        <v>1269</v>
      </c>
      <c r="B1904" s="252" t="s">
        <v>4271</v>
      </c>
      <c r="C1904" s="254" t="s">
        <v>1071</v>
      </c>
      <c r="D1904" s="252" t="s">
        <v>4272</v>
      </c>
      <c r="E1904" s="252" t="s">
        <v>918</v>
      </c>
      <c r="F1904" s="252" t="s">
        <v>889</v>
      </c>
      <c r="G1904" s="255"/>
    </row>
    <row r="1905" spans="1:7" s="108" customFormat="1" ht="14.1" customHeight="1">
      <c r="A1905" s="251" t="s">
        <v>1269</v>
      </c>
      <c r="B1905" s="252" t="s">
        <v>4273</v>
      </c>
      <c r="C1905" s="254" t="s">
        <v>1246</v>
      </c>
      <c r="D1905" s="252" t="s">
        <v>1279</v>
      </c>
      <c r="E1905" s="252" t="s">
        <v>925</v>
      </c>
      <c r="F1905" s="252" t="s">
        <v>889</v>
      </c>
      <c r="G1905" s="255">
        <v>138.21700000000001</v>
      </c>
    </row>
    <row r="1906" spans="1:7" s="108" customFormat="1" ht="14.1" customHeight="1">
      <c r="A1906" s="251" t="s">
        <v>1269</v>
      </c>
      <c r="B1906" s="252" t="s">
        <v>4274</v>
      </c>
      <c r="C1906" s="254" t="s">
        <v>1345</v>
      </c>
      <c r="D1906" s="252" t="s">
        <v>4275</v>
      </c>
      <c r="E1906" s="252" t="s">
        <v>939</v>
      </c>
      <c r="F1906" s="252" t="s">
        <v>889</v>
      </c>
      <c r="G1906" s="255"/>
    </row>
    <row r="1907" spans="1:7" s="108" customFormat="1" ht="14.1" customHeight="1">
      <c r="A1907" s="251" t="s">
        <v>1269</v>
      </c>
      <c r="B1907" s="252" t="s">
        <v>4276</v>
      </c>
      <c r="C1907" s="254" t="s">
        <v>1972</v>
      </c>
      <c r="D1907" s="252" t="s">
        <v>4277</v>
      </c>
      <c r="E1907" s="252" t="s">
        <v>888</v>
      </c>
      <c r="F1907" s="252" t="s">
        <v>889</v>
      </c>
      <c r="G1907" s="255"/>
    </row>
    <row r="1908" spans="1:7" s="108" customFormat="1" ht="14.1" customHeight="1">
      <c r="A1908" s="251" t="s">
        <v>1269</v>
      </c>
      <c r="B1908" s="252" t="s">
        <v>4278</v>
      </c>
      <c r="C1908" s="254" t="s">
        <v>1020</v>
      </c>
      <c r="D1908" s="252" t="s">
        <v>1274</v>
      </c>
      <c r="E1908" s="252" t="s">
        <v>888</v>
      </c>
      <c r="F1908" s="252" t="s">
        <v>889</v>
      </c>
      <c r="G1908" s="255">
        <v>75</v>
      </c>
    </row>
    <row r="1909" spans="1:7" s="108" customFormat="1" ht="14.1" customHeight="1">
      <c r="A1909" s="251" t="s">
        <v>1269</v>
      </c>
      <c r="B1909" s="252" t="s">
        <v>4279</v>
      </c>
      <c r="C1909" s="254" t="s">
        <v>903</v>
      </c>
      <c r="D1909" s="252" t="s">
        <v>4280</v>
      </c>
      <c r="E1909" s="252" t="s">
        <v>888</v>
      </c>
      <c r="F1909" s="252" t="s">
        <v>889</v>
      </c>
      <c r="G1909" s="255"/>
    </row>
    <row r="1910" spans="1:7" s="108" customFormat="1" ht="14.1" customHeight="1">
      <c r="A1910" s="251" t="s">
        <v>1269</v>
      </c>
      <c r="B1910" s="252" t="s">
        <v>4281</v>
      </c>
      <c r="C1910" s="254" t="s">
        <v>1000</v>
      </c>
      <c r="D1910" s="252" t="s">
        <v>1435</v>
      </c>
      <c r="E1910" s="252" t="s">
        <v>904</v>
      </c>
      <c r="F1910" s="252" t="s">
        <v>889</v>
      </c>
      <c r="G1910" s="255"/>
    </row>
    <row r="1911" spans="1:7" s="108" customFormat="1" ht="14.1" customHeight="1">
      <c r="A1911" s="251" t="s">
        <v>1269</v>
      </c>
      <c r="B1911" s="252" t="s">
        <v>4282</v>
      </c>
      <c r="C1911" s="254" t="s">
        <v>1000</v>
      </c>
      <c r="D1911" s="252" t="s">
        <v>1266</v>
      </c>
      <c r="E1911" s="252" t="s">
        <v>1033</v>
      </c>
      <c r="F1911" s="252" t="s">
        <v>889</v>
      </c>
      <c r="G1911" s="255">
        <v>220.91499999999999</v>
      </c>
    </row>
    <row r="1912" spans="1:7" s="108" customFormat="1" ht="14.1" customHeight="1">
      <c r="A1912" s="251" t="s">
        <v>1269</v>
      </c>
      <c r="B1912" s="252" t="s">
        <v>4283</v>
      </c>
      <c r="C1912" s="254" t="s">
        <v>1000</v>
      </c>
      <c r="D1912" s="252" t="s">
        <v>1281</v>
      </c>
      <c r="E1912" s="252" t="s">
        <v>1022</v>
      </c>
      <c r="F1912" s="252" t="s">
        <v>889</v>
      </c>
      <c r="G1912" s="255">
        <v>920.22400000000005</v>
      </c>
    </row>
    <row r="1913" spans="1:7" s="108" customFormat="1" ht="14.1" customHeight="1">
      <c r="A1913" s="251" t="s">
        <v>1269</v>
      </c>
      <c r="B1913" s="252" t="s">
        <v>4284</v>
      </c>
      <c r="C1913" s="254" t="s">
        <v>1068</v>
      </c>
      <c r="D1913" s="252" t="s">
        <v>4285</v>
      </c>
      <c r="E1913" s="252" t="s">
        <v>888</v>
      </c>
      <c r="F1913" s="252" t="s">
        <v>892</v>
      </c>
      <c r="G1913" s="255"/>
    </row>
    <row r="1914" spans="1:7" s="108" customFormat="1" ht="14.1" customHeight="1">
      <c r="A1914" s="251" t="s">
        <v>1269</v>
      </c>
      <c r="B1914" s="252" t="s">
        <v>4286</v>
      </c>
      <c r="C1914" s="254" t="s">
        <v>1164</v>
      </c>
      <c r="D1914" s="252" t="s">
        <v>4287</v>
      </c>
      <c r="E1914" s="252" t="s">
        <v>888</v>
      </c>
      <c r="F1914" s="252" t="s">
        <v>889</v>
      </c>
      <c r="G1914" s="255"/>
    </row>
    <row r="1915" spans="1:7" s="108" customFormat="1" ht="14.1" customHeight="1">
      <c r="A1915" s="251" t="s">
        <v>1269</v>
      </c>
      <c r="B1915" s="252" t="s">
        <v>4288</v>
      </c>
      <c r="C1915" s="254" t="s">
        <v>1164</v>
      </c>
      <c r="D1915" s="252" t="s">
        <v>886</v>
      </c>
      <c r="E1915" s="252" t="s">
        <v>888</v>
      </c>
      <c r="F1915" s="252" t="s">
        <v>889</v>
      </c>
      <c r="G1915" s="255">
        <v>13.372</v>
      </c>
    </row>
    <row r="1916" spans="1:7" s="108" customFormat="1" ht="14.1" customHeight="1">
      <c r="A1916" s="251" t="s">
        <v>1269</v>
      </c>
      <c r="B1916" s="252" t="s">
        <v>4289</v>
      </c>
      <c r="C1916" s="254" t="s">
        <v>983</v>
      </c>
      <c r="D1916" s="252" t="s">
        <v>1280</v>
      </c>
      <c r="E1916" s="252" t="s">
        <v>888</v>
      </c>
      <c r="F1916" s="252" t="s">
        <v>889</v>
      </c>
      <c r="G1916" s="255">
        <v>104</v>
      </c>
    </row>
    <row r="1917" spans="1:7" s="108" customFormat="1" ht="14.1" customHeight="1">
      <c r="A1917" s="251" t="s">
        <v>1369</v>
      </c>
      <c r="B1917" s="252" t="s">
        <v>4290</v>
      </c>
      <c r="C1917" s="254" t="s">
        <v>968</v>
      </c>
      <c r="D1917" s="252" t="s">
        <v>2726</v>
      </c>
      <c r="E1917" s="252" t="s">
        <v>918</v>
      </c>
      <c r="F1917" s="252" t="s">
        <v>889</v>
      </c>
      <c r="G1917" s="255"/>
    </row>
    <row r="1918" spans="1:7" s="108" customFormat="1" ht="14.1" customHeight="1">
      <c r="A1918" s="251" t="s">
        <v>1369</v>
      </c>
      <c r="B1918" s="252" t="s">
        <v>4291</v>
      </c>
      <c r="C1918" s="254" t="s">
        <v>968</v>
      </c>
      <c r="D1918" s="252" t="s">
        <v>4292</v>
      </c>
      <c r="E1918" s="252" t="s">
        <v>888</v>
      </c>
      <c r="F1918" s="252" t="s">
        <v>889</v>
      </c>
      <c r="G1918" s="255"/>
    </row>
    <row r="1919" spans="1:7" s="108" customFormat="1" ht="14.1" customHeight="1">
      <c r="A1919" s="251" t="s">
        <v>1369</v>
      </c>
      <c r="B1919" s="252" t="s">
        <v>2882</v>
      </c>
      <c r="C1919" s="254" t="s">
        <v>1051</v>
      </c>
      <c r="D1919" s="252" t="s">
        <v>1319</v>
      </c>
      <c r="E1919" s="252" t="s">
        <v>918</v>
      </c>
      <c r="F1919" s="252" t="s">
        <v>913</v>
      </c>
      <c r="G1919" s="255"/>
    </row>
    <row r="1920" spans="1:7" s="108" customFormat="1" ht="14.1" customHeight="1">
      <c r="A1920" s="251" t="s">
        <v>1369</v>
      </c>
      <c r="B1920" s="252" t="s">
        <v>2882</v>
      </c>
      <c r="C1920" s="254" t="s">
        <v>1051</v>
      </c>
      <c r="D1920" s="252" t="s">
        <v>1319</v>
      </c>
      <c r="E1920" s="252" t="s">
        <v>918</v>
      </c>
      <c r="F1920" s="252" t="s">
        <v>892</v>
      </c>
      <c r="G1920" s="255">
        <v>2200</v>
      </c>
    </row>
    <row r="1921" spans="1:7" s="108" customFormat="1" ht="14.1" customHeight="1">
      <c r="A1921" s="251" t="s">
        <v>1369</v>
      </c>
      <c r="B1921" s="252" t="s">
        <v>4293</v>
      </c>
      <c r="C1921" s="254" t="s">
        <v>1030</v>
      </c>
      <c r="D1921" s="252" t="s">
        <v>1372</v>
      </c>
      <c r="E1921" s="252" t="s">
        <v>939</v>
      </c>
      <c r="F1921" s="252" t="s">
        <v>889</v>
      </c>
      <c r="G1921" s="255">
        <v>394.44200000000001</v>
      </c>
    </row>
    <row r="1922" spans="1:7" s="108" customFormat="1" ht="14.1" customHeight="1">
      <c r="A1922" s="251" t="s">
        <v>1369</v>
      </c>
      <c r="B1922" s="252" t="s">
        <v>4294</v>
      </c>
      <c r="C1922" s="254" t="s">
        <v>1088</v>
      </c>
      <c r="D1922" s="252" t="s">
        <v>1370</v>
      </c>
      <c r="E1922" s="252" t="s">
        <v>939</v>
      </c>
      <c r="F1922" s="252" t="s">
        <v>889</v>
      </c>
      <c r="G1922" s="255">
        <v>15</v>
      </c>
    </row>
    <row r="1923" spans="1:7" s="108" customFormat="1" ht="14.1" customHeight="1">
      <c r="A1923" s="251" t="s">
        <v>1369</v>
      </c>
      <c r="B1923" s="252" t="s">
        <v>4295</v>
      </c>
      <c r="C1923" s="254" t="s">
        <v>1088</v>
      </c>
      <c r="D1923" s="252" t="s">
        <v>4296</v>
      </c>
      <c r="E1923" s="252" t="s">
        <v>888</v>
      </c>
      <c r="F1923" s="252" t="s">
        <v>889</v>
      </c>
      <c r="G1923" s="255"/>
    </row>
    <row r="1924" spans="1:7" s="108" customFormat="1" ht="14.1" customHeight="1">
      <c r="A1924" s="251" t="s">
        <v>1369</v>
      </c>
      <c r="B1924" s="252" t="s">
        <v>4297</v>
      </c>
      <c r="C1924" s="254" t="s">
        <v>906</v>
      </c>
      <c r="D1924" s="252" t="s">
        <v>4298</v>
      </c>
      <c r="E1924" s="252" t="s">
        <v>939</v>
      </c>
      <c r="F1924" s="252" t="s">
        <v>889</v>
      </c>
      <c r="G1924" s="255"/>
    </row>
    <row r="1925" spans="1:7" s="108" customFormat="1" ht="14.1" customHeight="1">
      <c r="A1925" s="251" t="s">
        <v>1369</v>
      </c>
      <c r="B1925" s="252" t="s">
        <v>4299</v>
      </c>
      <c r="C1925" s="254" t="s">
        <v>1202</v>
      </c>
      <c r="D1925" s="252" t="s">
        <v>4300</v>
      </c>
      <c r="E1925" s="252" t="s">
        <v>939</v>
      </c>
      <c r="F1925" s="252" t="s">
        <v>889</v>
      </c>
      <c r="G1925" s="255"/>
    </row>
    <row r="1926" spans="1:7" s="108" customFormat="1" ht="14.1" customHeight="1">
      <c r="A1926" s="251" t="s">
        <v>1369</v>
      </c>
      <c r="B1926" s="252" t="s">
        <v>4301</v>
      </c>
      <c r="C1926" s="254" t="s">
        <v>917</v>
      </c>
      <c r="D1926" s="252" t="s">
        <v>962</v>
      </c>
      <c r="E1926" s="252" t="s">
        <v>929</v>
      </c>
      <c r="F1926" s="252" t="s">
        <v>892</v>
      </c>
      <c r="G1926" s="255">
        <v>1.325</v>
      </c>
    </row>
    <row r="1927" spans="1:7" s="108" customFormat="1" ht="14.1" customHeight="1">
      <c r="A1927" s="251" t="s">
        <v>1369</v>
      </c>
      <c r="B1927" s="252" t="s">
        <v>4302</v>
      </c>
      <c r="C1927" s="254" t="s">
        <v>917</v>
      </c>
      <c r="D1927" s="252" t="s">
        <v>1354</v>
      </c>
      <c r="E1927" s="252" t="s">
        <v>918</v>
      </c>
      <c r="F1927" s="252" t="s">
        <v>892</v>
      </c>
      <c r="G1927" s="255">
        <v>18.637</v>
      </c>
    </row>
    <row r="1928" spans="1:7" s="108" customFormat="1" ht="14.1" customHeight="1">
      <c r="A1928" s="251" t="s">
        <v>1369</v>
      </c>
      <c r="B1928" s="252" t="s">
        <v>4303</v>
      </c>
      <c r="C1928" s="254" t="s">
        <v>917</v>
      </c>
      <c r="D1928" s="252" t="s">
        <v>1371</v>
      </c>
      <c r="E1928" s="252" t="s">
        <v>918</v>
      </c>
      <c r="F1928" s="252" t="s">
        <v>889</v>
      </c>
      <c r="G1928" s="255">
        <v>39.9</v>
      </c>
    </row>
    <row r="1929" spans="1:7" s="108" customFormat="1" ht="14.1" customHeight="1">
      <c r="A1929" s="251" t="s">
        <v>1438</v>
      </c>
      <c r="B1929" s="252" t="s">
        <v>4304</v>
      </c>
      <c r="C1929" s="254" t="s">
        <v>968</v>
      </c>
      <c r="D1929" s="252" t="s">
        <v>4305</v>
      </c>
      <c r="E1929" s="252" t="s">
        <v>939</v>
      </c>
      <c r="F1929" s="252" t="s">
        <v>889</v>
      </c>
      <c r="G1929" s="255"/>
    </row>
    <row r="1930" spans="1:7" s="108" customFormat="1" ht="14.1" customHeight="1">
      <c r="A1930" s="251" t="s">
        <v>1438</v>
      </c>
      <c r="B1930" s="252" t="s">
        <v>4306</v>
      </c>
      <c r="C1930" s="254" t="s">
        <v>1030</v>
      </c>
      <c r="D1930" s="252" t="s">
        <v>1439</v>
      </c>
      <c r="E1930" s="252" t="s">
        <v>925</v>
      </c>
      <c r="F1930" s="252" t="s">
        <v>889</v>
      </c>
      <c r="G1930" s="255">
        <v>4.2279999999999998</v>
      </c>
    </row>
    <row r="1931" spans="1:7" s="108" customFormat="1" ht="14.1" customHeight="1">
      <c r="A1931" s="251" t="s">
        <v>1438</v>
      </c>
      <c r="B1931" s="252" t="s">
        <v>4307</v>
      </c>
      <c r="C1931" s="254" t="s">
        <v>938</v>
      </c>
      <c r="D1931" s="252" t="s">
        <v>1442</v>
      </c>
      <c r="E1931" s="252" t="s">
        <v>888</v>
      </c>
      <c r="F1931" s="252" t="s">
        <v>889</v>
      </c>
      <c r="G1931" s="255">
        <v>90</v>
      </c>
    </row>
    <row r="1932" spans="1:7" s="108" customFormat="1" ht="14.1" customHeight="1">
      <c r="A1932" s="251" t="s">
        <v>1438</v>
      </c>
      <c r="B1932" s="252" t="s">
        <v>4308</v>
      </c>
      <c r="C1932" s="254" t="s">
        <v>1441</v>
      </c>
      <c r="D1932" s="252" t="s">
        <v>1440</v>
      </c>
      <c r="E1932" s="252" t="s">
        <v>939</v>
      </c>
      <c r="F1932" s="252" t="s">
        <v>889</v>
      </c>
      <c r="G1932" s="255">
        <v>20</v>
      </c>
    </row>
    <row r="1933" spans="1:7" s="108" customFormat="1" ht="14.1" customHeight="1">
      <c r="A1933" s="251" t="s">
        <v>1438</v>
      </c>
      <c r="B1933" s="252" t="s">
        <v>4309</v>
      </c>
      <c r="C1933" s="254" t="s">
        <v>1071</v>
      </c>
      <c r="D1933" s="252" t="s">
        <v>4310</v>
      </c>
      <c r="E1933" s="252" t="s">
        <v>888</v>
      </c>
      <c r="F1933" s="252" t="s">
        <v>889</v>
      </c>
      <c r="G1933" s="255"/>
    </row>
    <row r="1934" spans="1:7" s="108" customFormat="1" ht="14.1" customHeight="1">
      <c r="A1934" s="251" t="s">
        <v>1438</v>
      </c>
      <c r="B1934" s="252" t="s">
        <v>4311</v>
      </c>
      <c r="C1934" s="254" t="s">
        <v>1020</v>
      </c>
      <c r="D1934" s="252" t="s">
        <v>1061</v>
      </c>
      <c r="E1934" s="252" t="s">
        <v>888</v>
      </c>
      <c r="F1934" s="252" t="s">
        <v>892</v>
      </c>
      <c r="G1934" s="255">
        <v>147.84</v>
      </c>
    </row>
    <row r="1935" spans="1:7" s="108" customFormat="1" ht="14.1" customHeight="1">
      <c r="A1935" s="251" t="s">
        <v>1438</v>
      </c>
      <c r="B1935" s="252" t="s">
        <v>4312</v>
      </c>
      <c r="C1935" s="254" t="s">
        <v>1000</v>
      </c>
      <c r="D1935" s="252" t="s">
        <v>1443</v>
      </c>
      <c r="E1935" s="252" t="s">
        <v>888</v>
      </c>
      <c r="F1935" s="252" t="s">
        <v>892</v>
      </c>
      <c r="G1935" s="255">
        <v>136.75200000000001</v>
      </c>
    </row>
    <row r="1936" spans="1:7" s="108" customFormat="1" ht="14.1" customHeight="1">
      <c r="A1936" s="251" t="s">
        <v>1599</v>
      </c>
      <c r="B1936" s="252" t="s">
        <v>4313</v>
      </c>
      <c r="C1936" s="254" t="s">
        <v>968</v>
      </c>
      <c r="D1936" s="252" t="s">
        <v>1600</v>
      </c>
      <c r="E1936" s="252" t="s">
        <v>895</v>
      </c>
      <c r="F1936" s="252" t="s">
        <v>889</v>
      </c>
      <c r="G1936" s="255">
        <v>4.6120000000000001</v>
      </c>
    </row>
    <row r="1937" spans="1:7" s="108" customFormat="1" ht="14.1" customHeight="1">
      <c r="A1937" s="251" t="s">
        <v>1599</v>
      </c>
      <c r="B1937" s="252" t="s">
        <v>4314</v>
      </c>
      <c r="C1937" s="254" t="s">
        <v>968</v>
      </c>
      <c r="D1937" s="252" t="s">
        <v>4315</v>
      </c>
      <c r="E1937" s="252" t="s">
        <v>1142</v>
      </c>
      <c r="F1937" s="252" t="s">
        <v>889</v>
      </c>
      <c r="G1937" s="255"/>
    </row>
    <row r="1938" spans="1:7" s="108" customFormat="1" ht="14.1" customHeight="1">
      <c r="A1938" s="251" t="s">
        <v>1599</v>
      </c>
      <c r="B1938" s="252" t="s">
        <v>4316</v>
      </c>
      <c r="C1938" s="254" t="s">
        <v>1030</v>
      </c>
      <c r="D1938" s="252" t="s">
        <v>1019</v>
      </c>
      <c r="E1938" s="252" t="s">
        <v>939</v>
      </c>
      <c r="F1938" s="252" t="s">
        <v>889</v>
      </c>
      <c r="G1938" s="255">
        <v>5.4249999999999998</v>
      </c>
    </row>
    <row r="1939" spans="1:7" s="108" customFormat="1" ht="14.1" customHeight="1">
      <c r="A1939" s="251" t="s">
        <v>1599</v>
      </c>
      <c r="B1939" s="252" t="s">
        <v>4317</v>
      </c>
      <c r="C1939" s="254" t="s">
        <v>1030</v>
      </c>
      <c r="D1939" s="252" t="s">
        <v>1019</v>
      </c>
      <c r="E1939" s="252" t="s">
        <v>939</v>
      </c>
      <c r="F1939" s="252" t="s">
        <v>889</v>
      </c>
      <c r="G1939" s="255"/>
    </row>
    <row r="1940" spans="1:7" s="108" customFormat="1" ht="14.1" customHeight="1">
      <c r="A1940" s="251" t="s">
        <v>1599</v>
      </c>
      <c r="B1940" s="252" t="s">
        <v>4318</v>
      </c>
      <c r="C1940" s="254" t="s">
        <v>938</v>
      </c>
      <c r="D1940" s="252" t="s">
        <v>1356</v>
      </c>
      <c r="E1940" s="252" t="s">
        <v>888</v>
      </c>
      <c r="F1940" s="252" t="s">
        <v>889</v>
      </c>
      <c r="G1940" s="255">
        <v>124</v>
      </c>
    </row>
    <row r="1941" spans="1:7" s="108" customFormat="1" ht="14.1" customHeight="1">
      <c r="A1941" s="251" t="s">
        <v>1599</v>
      </c>
      <c r="B1941" s="252" t="s">
        <v>4319</v>
      </c>
      <c r="C1941" s="254" t="s">
        <v>917</v>
      </c>
      <c r="D1941" s="252" t="s">
        <v>1461</v>
      </c>
      <c r="E1941" s="252" t="s">
        <v>929</v>
      </c>
      <c r="F1941" s="252" t="s">
        <v>889</v>
      </c>
      <c r="G1941" s="255">
        <v>1.5</v>
      </c>
    </row>
    <row r="1942" spans="1:7" s="108" customFormat="1" ht="14.1" customHeight="1">
      <c r="A1942" s="251" t="s">
        <v>1599</v>
      </c>
      <c r="B1942" s="252" t="s">
        <v>4320</v>
      </c>
      <c r="C1942" s="254" t="s">
        <v>917</v>
      </c>
      <c r="D1942" s="252" t="s">
        <v>1601</v>
      </c>
      <c r="E1942" s="252" t="s">
        <v>918</v>
      </c>
      <c r="F1942" s="252" t="s">
        <v>892</v>
      </c>
      <c r="G1942" s="255">
        <v>59.530999999999999</v>
      </c>
    </row>
    <row r="1943" spans="1:7" s="108" customFormat="1" ht="14.1" customHeight="1">
      <c r="A1943" s="251" t="s">
        <v>1599</v>
      </c>
      <c r="B1943" s="252" t="s">
        <v>4321</v>
      </c>
      <c r="C1943" s="254" t="s">
        <v>894</v>
      </c>
      <c r="D1943" s="252" t="s">
        <v>4322</v>
      </c>
      <c r="E1943" s="252" t="s">
        <v>888</v>
      </c>
      <c r="F1943" s="252" t="s">
        <v>889</v>
      </c>
      <c r="G1943" s="255"/>
    </row>
    <row r="1944" spans="1:7" s="108" customFormat="1" ht="14.1" customHeight="1">
      <c r="A1944" s="251" t="s">
        <v>1599</v>
      </c>
      <c r="B1944" s="252" t="s">
        <v>3063</v>
      </c>
      <c r="C1944" s="254" t="s">
        <v>1246</v>
      </c>
      <c r="D1944" s="252" t="s">
        <v>1226</v>
      </c>
      <c r="E1944" s="252" t="s">
        <v>888</v>
      </c>
      <c r="F1944" s="252" t="s">
        <v>889</v>
      </c>
      <c r="G1944" s="255">
        <v>29</v>
      </c>
    </row>
    <row r="1945" spans="1:7" s="108" customFormat="1" ht="14.1" customHeight="1">
      <c r="A1945" s="251" t="s">
        <v>1599</v>
      </c>
      <c r="B1945" s="252" t="s">
        <v>4323</v>
      </c>
      <c r="C1945" s="254" t="s">
        <v>1246</v>
      </c>
      <c r="D1945" s="252" t="s">
        <v>3372</v>
      </c>
      <c r="E1945" s="252" t="s">
        <v>888</v>
      </c>
      <c r="F1945" s="252" t="s">
        <v>889</v>
      </c>
      <c r="G1945" s="255"/>
    </row>
    <row r="1946" spans="1:7" s="108" customFormat="1" ht="14.1" customHeight="1">
      <c r="A1946" s="251" t="s">
        <v>1599</v>
      </c>
      <c r="B1946" s="252" t="s">
        <v>4324</v>
      </c>
      <c r="C1946" s="254" t="s">
        <v>2919</v>
      </c>
      <c r="D1946" s="252" t="s">
        <v>4325</v>
      </c>
      <c r="E1946" s="252" t="s">
        <v>1350</v>
      </c>
      <c r="F1946" s="252" t="s">
        <v>892</v>
      </c>
      <c r="G1946" s="255"/>
    </row>
    <row r="1947" spans="1:7" s="108" customFormat="1" ht="14.1" customHeight="1">
      <c r="A1947" s="251" t="s">
        <v>1599</v>
      </c>
      <c r="B1947" s="252" t="s">
        <v>4326</v>
      </c>
      <c r="C1947" s="254" t="s">
        <v>1110</v>
      </c>
      <c r="D1947" s="252" t="s">
        <v>4327</v>
      </c>
      <c r="E1947" s="252" t="s">
        <v>888</v>
      </c>
      <c r="F1947" s="252" t="s">
        <v>889</v>
      </c>
      <c r="G1947" s="255"/>
    </row>
    <row r="1948" spans="1:7" s="108" customFormat="1" ht="14.1" customHeight="1">
      <c r="A1948" s="251" t="s">
        <v>1599</v>
      </c>
      <c r="B1948" s="252" t="s">
        <v>4328</v>
      </c>
      <c r="C1948" s="254" t="s">
        <v>1000</v>
      </c>
      <c r="D1948" s="252" t="s">
        <v>999</v>
      </c>
      <c r="E1948" s="252" t="s">
        <v>929</v>
      </c>
      <c r="F1948" s="252" t="s">
        <v>892</v>
      </c>
      <c r="G1948" s="255"/>
    </row>
    <row r="1949" spans="1:7" s="108" customFormat="1" ht="14.1" customHeight="1">
      <c r="A1949" s="251" t="s">
        <v>1599</v>
      </c>
      <c r="B1949" s="252" t="s">
        <v>4329</v>
      </c>
      <c r="C1949" s="254" t="s">
        <v>1164</v>
      </c>
      <c r="D1949" s="252" t="s">
        <v>4330</v>
      </c>
      <c r="E1949" s="252" t="s">
        <v>3747</v>
      </c>
      <c r="F1949" s="252" t="s">
        <v>889</v>
      </c>
      <c r="G1949" s="255"/>
    </row>
    <row r="1950" spans="1:7" s="108" customFormat="1" ht="14.1" customHeight="1">
      <c r="A1950" s="251" t="s">
        <v>1668</v>
      </c>
      <c r="B1950" s="252" t="s">
        <v>4331</v>
      </c>
      <c r="C1950" s="254" t="s">
        <v>1088</v>
      </c>
      <c r="D1950" s="252" t="s">
        <v>886</v>
      </c>
      <c r="E1950" s="252" t="s">
        <v>925</v>
      </c>
      <c r="F1950" s="252" t="s">
        <v>892</v>
      </c>
      <c r="G1950" s="255">
        <v>1390</v>
      </c>
    </row>
    <row r="1951" spans="1:7" s="108" customFormat="1" ht="14.1" customHeight="1">
      <c r="A1951" s="251" t="s">
        <v>1668</v>
      </c>
      <c r="B1951" s="252" t="s">
        <v>4332</v>
      </c>
      <c r="C1951" s="254" t="s">
        <v>1833</v>
      </c>
      <c r="D1951" s="252" t="s">
        <v>4333</v>
      </c>
      <c r="E1951" s="252" t="s">
        <v>984</v>
      </c>
      <c r="F1951" s="252" t="s">
        <v>892</v>
      </c>
      <c r="G1951" s="255"/>
    </row>
    <row r="1952" spans="1:7" s="108" customFormat="1" ht="14.1" customHeight="1">
      <c r="A1952" s="251" t="s">
        <v>1668</v>
      </c>
      <c r="B1952" s="252" t="s">
        <v>4334</v>
      </c>
      <c r="C1952" s="254" t="s">
        <v>1833</v>
      </c>
      <c r="D1952" s="252" t="s">
        <v>1669</v>
      </c>
      <c r="E1952" s="252" t="s">
        <v>939</v>
      </c>
      <c r="F1952" s="252" t="s">
        <v>889</v>
      </c>
      <c r="G1952" s="255">
        <v>0.35</v>
      </c>
    </row>
    <row r="1953" spans="1:7" s="108" customFormat="1" ht="14.1" customHeight="1">
      <c r="A1953" s="251" t="s">
        <v>1668</v>
      </c>
      <c r="B1953" s="252" t="s">
        <v>4335</v>
      </c>
      <c r="C1953" s="254" t="s">
        <v>1150</v>
      </c>
      <c r="D1953" s="252" t="s">
        <v>4336</v>
      </c>
      <c r="E1953" s="252" t="s">
        <v>939</v>
      </c>
      <c r="F1953" s="252" t="s">
        <v>889</v>
      </c>
      <c r="G1953" s="255"/>
    </row>
    <row r="1954" spans="1:7" s="108" customFormat="1" ht="14.1" customHeight="1">
      <c r="A1954" s="251" t="s">
        <v>1668</v>
      </c>
      <c r="B1954" s="252" t="s">
        <v>4337</v>
      </c>
      <c r="C1954" s="254" t="s">
        <v>1150</v>
      </c>
      <c r="D1954" s="252" t="s">
        <v>4336</v>
      </c>
      <c r="E1954" s="252" t="s">
        <v>939</v>
      </c>
      <c r="F1954" s="252" t="s">
        <v>889</v>
      </c>
      <c r="G1954" s="255"/>
    </row>
    <row r="1955" spans="1:7" s="108" customFormat="1" ht="14.1" customHeight="1">
      <c r="A1955" s="251" t="s">
        <v>1668</v>
      </c>
      <c r="B1955" s="252" t="s">
        <v>4338</v>
      </c>
      <c r="C1955" s="254" t="s">
        <v>986</v>
      </c>
      <c r="D1955" s="252" t="s">
        <v>1672</v>
      </c>
      <c r="E1955" s="252" t="s">
        <v>959</v>
      </c>
      <c r="F1955" s="252" t="s">
        <v>892</v>
      </c>
      <c r="G1955" s="255">
        <v>34.67</v>
      </c>
    </row>
    <row r="1956" spans="1:7" s="108" customFormat="1" ht="14.1" customHeight="1">
      <c r="A1956" s="251" t="s">
        <v>1668</v>
      </c>
      <c r="B1956" s="252" t="s">
        <v>4339</v>
      </c>
      <c r="C1956" s="254" t="s">
        <v>917</v>
      </c>
      <c r="D1956" s="252" t="s">
        <v>1671</v>
      </c>
      <c r="E1956" s="252" t="s">
        <v>918</v>
      </c>
      <c r="F1956" s="252" t="s">
        <v>889</v>
      </c>
      <c r="G1956" s="255">
        <v>5.5460000000000003</v>
      </c>
    </row>
    <row r="1957" spans="1:7" s="108" customFormat="1" ht="14.1" customHeight="1">
      <c r="A1957" s="251" t="s">
        <v>1668</v>
      </c>
      <c r="B1957" s="252" t="s">
        <v>4340</v>
      </c>
      <c r="C1957" s="254" t="s">
        <v>917</v>
      </c>
      <c r="D1957" s="252" t="s">
        <v>1670</v>
      </c>
      <c r="E1957" s="252" t="s">
        <v>918</v>
      </c>
      <c r="F1957" s="252" t="s">
        <v>892</v>
      </c>
      <c r="G1957" s="255">
        <v>5.2229999999999999</v>
      </c>
    </row>
    <row r="1958" spans="1:7" s="108" customFormat="1" ht="14.1" customHeight="1">
      <c r="A1958" s="251" t="s">
        <v>1668</v>
      </c>
      <c r="B1958" s="252" t="s">
        <v>4341</v>
      </c>
      <c r="C1958" s="254" t="s">
        <v>1345</v>
      </c>
      <c r="D1958" s="252" t="s">
        <v>4342</v>
      </c>
      <c r="E1958" s="252" t="s">
        <v>904</v>
      </c>
      <c r="F1958" s="252" t="s">
        <v>889</v>
      </c>
      <c r="G1958" s="255"/>
    </row>
    <row r="1959" spans="1:7" s="108" customFormat="1" ht="14.1" customHeight="1">
      <c r="A1959" s="251" t="s">
        <v>1668</v>
      </c>
      <c r="B1959" s="252" t="s">
        <v>4343</v>
      </c>
      <c r="C1959" s="254" t="s">
        <v>1020</v>
      </c>
      <c r="D1959" s="252" t="s">
        <v>4344</v>
      </c>
      <c r="E1959" s="252" t="s">
        <v>888</v>
      </c>
      <c r="F1959" s="252" t="s">
        <v>889</v>
      </c>
      <c r="G1959" s="255"/>
    </row>
    <row r="1960" spans="1:7" s="108" customFormat="1" ht="14.1" customHeight="1">
      <c r="A1960" s="251" t="s">
        <v>1668</v>
      </c>
      <c r="B1960" s="252" t="s">
        <v>4345</v>
      </c>
      <c r="C1960" s="254" t="s">
        <v>1020</v>
      </c>
      <c r="D1960" s="252" t="s">
        <v>4346</v>
      </c>
      <c r="E1960" s="252" t="s">
        <v>939</v>
      </c>
      <c r="F1960" s="252" t="s">
        <v>889</v>
      </c>
      <c r="G1960" s="255"/>
    </row>
    <row r="1961" spans="1:7" s="108" customFormat="1" ht="14.1" customHeight="1">
      <c r="A1961" s="251" t="s">
        <v>1668</v>
      </c>
      <c r="B1961" s="252" t="s">
        <v>4347</v>
      </c>
      <c r="C1961" s="254" t="s">
        <v>1000</v>
      </c>
      <c r="D1961" s="252" t="s">
        <v>4348</v>
      </c>
      <c r="E1961" s="252" t="s">
        <v>939</v>
      </c>
      <c r="F1961" s="252" t="s">
        <v>889</v>
      </c>
      <c r="G1961" s="255"/>
    </row>
    <row r="1962" spans="1:7" s="108" customFormat="1" ht="14.1" customHeight="1">
      <c r="A1962" s="251" t="s">
        <v>4349</v>
      </c>
      <c r="B1962" s="252" t="s">
        <v>4350</v>
      </c>
      <c r="C1962" s="254" t="s">
        <v>894</v>
      </c>
      <c r="D1962" s="252" t="s">
        <v>1077</v>
      </c>
      <c r="E1962" s="252" t="s">
        <v>1021</v>
      </c>
      <c r="F1962" s="252" t="s">
        <v>3658</v>
      </c>
      <c r="G1962" s="255"/>
    </row>
    <row r="1963" spans="1:7" s="108" customFormat="1" ht="14.1" customHeight="1">
      <c r="A1963" s="251" t="s">
        <v>1012</v>
      </c>
      <c r="B1963" s="252" t="s">
        <v>4351</v>
      </c>
      <c r="C1963" s="254" t="s">
        <v>1146</v>
      </c>
      <c r="D1963" s="252" t="s">
        <v>3832</v>
      </c>
      <c r="E1963" s="252" t="s">
        <v>888</v>
      </c>
      <c r="F1963" s="252" t="s">
        <v>892</v>
      </c>
      <c r="G1963" s="255"/>
    </row>
    <row r="1964" spans="1:7" s="108" customFormat="1" ht="14.1" customHeight="1">
      <c r="A1964" s="251" t="s">
        <v>1012</v>
      </c>
      <c r="B1964" s="252" t="s">
        <v>4352</v>
      </c>
      <c r="C1964" s="254" t="s">
        <v>1088</v>
      </c>
      <c r="D1964" s="252" t="s">
        <v>1265</v>
      </c>
      <c r="E1964" s="252" t="s">
        <v>888</v>
      </c>
      <c r="F1964" s="252" t="s">
        <v>892</v>
      </c>
      <c r="G1964" s="255"/>
    </row>
    <row r="1965" spans="1:7" s="108" customFormat="1" ht="14.1" customHeight="1">
      <c r="A1965" s="251" t="s">
        <v>1012</v>
      </c>
      <c r="B1965" s="252" t="s">
        <v>4353</v>
      </c>
      <c r="C1965" s="254" t="s">
        <v>906</v>
      </c>
      <c r="D1965" s="252" t="s">
        <v>4354</v>
      </c>
      <c r="E1965" s="252" t="s">
        <v>984</v>
      </c>
      <c r="F1965" s="252" t="s">
        <v>889</v>
      </c>
      <c r="G1965" s="255"/>
    </row>
    <row r="1966" spans="1:7" s="108" customFormat="1" ht="14.1" customHeight="1">
      <c r="A1966" s="251" t="s">
        <v>1012</v>
      </c>
      <c r="B1966" s="252" t="s">
        <v>4355</v>
      </c>
      <c r="C1966" s="254" t="s">
        <v>906</v>
      </c>
      <c r="D1966" s="252" t="s">
        <v>4356</v>
      </c>
      <c r="E1966" s="252" t="s">
        <v>888</v>
      </c>
      <c r="F1966" s="252" t="s">
        <v>889</v>
      </c>
      <c r="G1966" s="255"/>
    </row>
    <row r="1967" spans="1:7" s="108" customFormat="1" ht="14.1" customHeight="1">
      <c r="A1967" s="251" t="s">
        <v>1012</v>
      </c>
      <c r="B1967" s="252" t="s">
        <v>4357</v>
      </c>
      <c r="C1967" s="254" t="s">
        <v>1833</v>
      </c>
      <c r="D1967" s="252" t="s">
        <v>4358</v>
      </c>
      <c r="E1967" s="252" t="s">
        <v>939</v>
      </c>
      <c r="F1967" s="252" t="s">
        <v>892</v>
      </c>
      <c r="G1967" s="255"/>
    </row>
    <row r="1968" spans="1:7" s="108" customFormat="1" ht="14.1" customHeight="1">
      <c r="A1968" s="251" t="s">
        <v>1012</v>
      </c>
      <c r="B1968" s="252" t="s">
        <v>4359</v>
      </c>
      <c r="C1968" s="254" t="s">
        <v>887</v>
      </c>
      <c r="D1968" s="252" t="s">
        <v>1006</v>
      </c>
      <c r="E1968" s="252" t="s">
        <v>888</v>
      </c>
      <c r="F1968" s="252" t="s">
        <v>889</v>
      </c>
      <c r="G1968" s="255">
        <v>875.29499999999996</v>
      </c>
    </row>
    <row r="1969" spans="1:7" s="108" customFormat="1" ht="14.1" customHeight="1">
      <c r="A1969" s="251" t="s">
        <v>1012</v>
      </c>
      <c r="B1969" s="252" t="s">
        <v>4360</v>
      </c>
      <c r="C1969" s="254" t="s">
        <v>1202</v>
      </c>
      <c r="D1969" s="252" t="s">
        <v>3004</v>
      </c>
      <c r="E1969" s="252" t="s">
        <v>907</v>
      </c>
      <c r="F1969" s="252" t="s">
        <v>889</v>
      </c>
      <c r="G1969" s="255"/>
    </row>
    <row r="1970" spans="1:7" s="108" customFormat="1" ht="14.1" customHeight="1">
      <c r="A1970" s="251" t="s">
        <v>1012</v>
      </c>
      <c r="B1970" s="252" t="s">
        <v>4361</v>
      </c>
      <c r="C1970" s="254" t="s">
        <v>917</v>
      </c>
      <c r="D1970" s="252" t="s">
        <v>1013</v>
      </c>
      <c r="E1970" s="252" t="s">
        <v>918</v>
      </c>
      <c r="F1970" s="252" t="s">
        <v>892</v>
      </c>
      <c r="G1970" s="255">
        <v>2.6</v>
      </c>
    </row>
    <row r="1971" spans="1:7" s="108" customFormat="1" ht="14.1" customHeight="1">
      <c r="A1971" s="251" t="s">
        <v>1012</v>
      </c>
      <c r="B1971" s="252" t="s">
        <v>4362</v>
      </c>
      <c r="C1971" s="254" t="s">
        <v>917</v>
      </c>
      <c r="D1971" s="252" t="s">
        <v>1014</v>
      </c>
      <c r="E1971" s="252" t="s">
        <v>918</v>
      </c>
      <c r="F1971" s="252" t="s">
        <v>889</v>
      </c>
      <c r="G1971" s="255">
        <v>21</v>
      </c>
    </row>
    <row r="1972" spans="1:7" s="108" customFormat="1" ht="14.1" customHeight="1">
      <c r="A1972" s="251" t="s">
        <v>1012</v>
      </c>
      <c r="B1972" s="252" t="s">
        <v>4363</v>
      </c>
      <c r="C1972" s="254" t="s">
        <v>917</v>
      </c>
      <c r="D1972" s="252" t="s">
        <v>994</v>
      </c>
      <c r="E1972" s="252" t="s">
        <v>918</v>
      </c>
      <c r="F1972" s="252" t="s">
        <v>892</v>
      </c>
      <c r="G1972" s="255">
        <v>2.0059999999999998</v>
      </c>
    </row>
    <row r="1973" spans="1:7" s="108" customFormat="1" ht="14.1" customHeight="1">
      <c r="A1973" s="251" t="s">
        <v>1012</v>
      </c>
      <c r="B1973" s="252" t="s">
        <v>4364</v>
      </c>
      <c r="C1973" s="254" t="s">
        <v>894</v>
      </c>
      <c r="D1973" s="252" t="s">
        <v>1015</v>
      </c>
      <c r="E1973" s="252" t="s">
        <v>918</v>
      </c>
      <c r="F1973" s="252" t="s">
        <v>892</v>
      </c>
      <c r="G1973" s="255">
        <v>28.363</v>
      </c>
    </row>
    <row r="1974" spans="1:7" s="108" customFormat="1" ht="14.1" customHeight="1">
      <c r="A1974" s="251" t="s">
        <v>1012</v>
      </c>
      <c r="B1974" s="252" t="s">
        <v>4365</v>
      </c>
      <c r="C1974" s="254" t="s">
        <v>894</v>
      </c>
      <c r="D1974" s="252" t="s">
        <v>4366</v>
      </c>
      <c r="E1974" s="252" t="s">
        <v>895</v>
      </c>
      <c r="F1974" s="252" t="s">
        <v>892</v>
      </c>
      <c r="G1974" s="255"/>
    </row>
    <row r="1975" spans="1:7" s="108" customFormat="1" ht="14.1" customHeight="1">
      <c r="A1975" s="251" t="s">
        <v>1012</v>
      </c>
      <c r="B1975" s="252" t="s">
        <v>4367</v>
      </c>
      <c r="C1975" s="254" t="s">
        <v>1020</v>
      </c>
      <c r="D1975" s="252" t="s">
        <v>886</v>
      </c>
      <c r="E1975" s="252" t="s">
        <v>888</v>
      </c>
      <c r="F1975" s="252" t="s">
        <v>889</v>
      </c>
      <c r="G1975" s="255">
        <v>190</v>
      </c>
    </row>
    <row r="1976" spans="1:7" s="108" customFormat="1" ht="14.1" customHeight="1">
      <c r="A1976" s="251" t="s">
        <v>1284</v>
      </c>
      <c r="B1976" s="252" t="s">
        <v>4368</v>
      </c>
      <c r="C1976" s="254" t="s">
        <v>1146</v>
      </c>
      <c r="D1976" s="252" t="s">
        <v>4369</v>
      </c>
      <c r="E1976" s="252" t="s">
        <v>984</v>
      </c>
      <c r="F1976" s="252" t="s">
        <v>889</v>
      </c>
      <c r="G1976" s="255"/>
    </row>
    <row r="1977" spans="1:7" s="108" customFormat="1" ht="14.1" customHeight="1">
      <c r="A1977" s="251" t="s">
        <v>1284</v>
      </c>
      <c r="B1977" s="252" t="s">
        <v>4370</v>
      </c>
      <c r="C1977" s="254" t="s">
        <v>968</v>
      </c>
      <c r="D1977" s="252" t="s">
        <v>4371</v>
      </c>
      <c r="E1977" s="252" t="s">
        <v>888</v>
      </c>
      <c r="F1977" s="252" t="s">
        <v>889</v>
      </c>
      <c r="G1977" s="255"/>
    </row>
    <row r="1978" spans="1:7" s="108" customFormat="1" ht="14.1" customHeight="1">
      <c r="A1978" s="251" t="s">
        <v>1284</v>
      </c>
      <c r="B1978" s="252" t="s">
        <v>2632</v>
      </c>
      <c r="C1978" s="254" t="s">
        <v>968</v>
      </c>
      <c r="D1978" s="252" t="s">
        <v>4372</v>
      </c>
      <c r="E1978" s="252" t="s">
        <v>888</v>
      </c>
      <c r="F1978" s="252" t="s">
        <v>889</v>
      </c>
      <c r="G1978" s="255"/>
    </row>
    <row r="1979" spans="1:7" s="108" customFormat="1" ht="14.1" customHeight="1">
      <c r="A1979" s="251" t="s">
        <v>1284</v>
      </c>
      <c r="B1979" s="252" t="s">
        <v>4373</v>
      </c>
      <c r="C1979" s="254" t="s">
        <v>968</v>
      </c>
      <c r="D1979" s="252" t="s">
        <v>4374</v>
      </c>
      <c r="E1979" s="252" t="s">
        <v>888</v>
      </c>
      <c r="F1979" s="252" t="s">
        <v>889</v>
      </c>
      <c r="G1979" s="255"/>
    </row>
    <row r="1980" spans="1:7" s="108" customFormat="1" ht="14.1" customHeight="1">
      <c r="A1980" s="251" t="s">
        <v>1284</v>
      </c>
      <c r="B1980" s="252" t="s">
        <v>4375</v>
      </c>
      <c r="C1980" s="254" t="s">
        <v>944</v>
      </c>
      <c r="D1980" s="252" t="s">
        <v>1118</v>
      </c>
      <c r="E1980" s="252" t="s">
        <v>1119</v>
      </c>
      <c r="F1980" s="252" t="s">
        <v>892</v>
      </c>
      <c r="G1980" s="255">
        <v>255</v>
      </c>
    </row>
    <row r="1981" spans="1:7" s="108" customFormat="1" ht="14.1" customHeight="1">
      <c r="A1981" s="251" t="s">
        <v>1284</v>
      </c>
      <c r="B1981" s="252" t="s">
        <v>4376</v>
      </c>
      <c r="C1981" s="254" t="s">
        <v>1030</v>
      </c>
      <c r="D1981" s="252" t="s">
        <v>1287</v>
      </c>
      <c r="E1981" s="252" t="s">
        <v>925</v>
      </c>
      <c r="F1981" s="252" t="s">
        <v>892</v>
      </c>
      <c r="G1981" s="255">
        <v>73.19</v>
      </c>
    </row>
    <row r="1982" spans="1:7" s="108" customFormat="1" ht="14.1" customHeight="1">
      <c r="A1982" s="251" t="s">
        <v>1284</v>
      </c>
      <c r="B1982" s="252" t="s">
        <v>4377</v>
      </c>
      <c r="C1982" s="254" t="s">
        <v>1756</v>
      </c>
      <c r="D1982" s="252" t="s">
        <v>4378</v>
      </c>
      <c r="E1982" s="252" t="s">
        <v>1022</v>
      </c>
      <c r="F1982" s="252" t="s">
        <v>889</v>
      </c>
      <c r="G1982" s="255"/>
    </row>
    <row r="1983" spans="1:7" s="108" customFormat="1" ht="14.1" customHeight="1">
      <c r="A1983" s="251" t="s">
        <v>1284</v>
      </c>
      <c r="B1983" s="252" t="s">
        <v>4379</v>
      </c>
      <c r="C1983" s="254" t="s">
        <v>1088</v>
      </c>
      <c r="D1983" s="252" t="s">
        <v>4380</v>
      </c>
      <c r="E1983" s="252" t="s">
        <v>888</v>
      </c>
      <c r="F1983" s="252" t="s">
        <v>889</v>
      </c>
      <c r="G1983" s="255"/>
    </row>
    <row r="1984" spans="1:7" s="108" customFormat="1" ht="14.1" customHeight="1">
      <c r="A1984" s="251" t="s">
        <v>1284</v>
      </c>
      <c r="B1984" s="252" t="s">
        <v>4381</v>
      </c>
      <c r="C1984" s="254" t="s">
        <v>1088</v>
      </c>
      <c r="D1984" s="252" t="s">
        <v>1288</v>
      </c>
      <c r="E1984" s="252" t="s">
        <v>888</v>
      </c>
      <c r="F1984" s="252" t="s">
        <v>892</v>
      </c>
      <c r="G1984" s="255">
        <v>146.40700000000001</v>
      </c>
    </row>
    <row r="1985" spans="1:7" s="108" customFormat="1" ht="14.1" customHeight="1">
      <c r="A1985" s="251" t="s">
        <v>1284</v>
      </c>
      <c r="B1985" s="252" t="s">
        <v>4382</v>
      </c>
      <c r="C1985" s="254" t="s">
        <v>1032</v>
      </c>
      <c r="D1985" s="252" t="s">
        <v>4383</v>
      </c>
      <c r="E1985" s="252" t="s">
        <v>907</v>
      </c>
      <c r="F1985" s="252" t="s">
        <v>889</v>
      </c>
      <c r="G1985" s="255"/>
    </row>
    <row r="1986" spans="1:7" s="108" customFormat="1" ht="14.1" customHeight="1">
      <c r="A1986" s="251" t="s">
        <v>1284</v>
      </c>
      <c r="B1986" s="252" t="s">
        <v>4384</v>
      </c>
      <c r="C1986" s="254" t="s">
        <v>1032</v>
      </c>
      <c r="D1986" s="252" t="s">
        <v>1739</v>
      </c>
      <c r="E1986" s="252" t="s">
        <v>907</v>
      </c>
      <c r="F1986" s="252" t="s">
        <v>889</v>
      </c>
      <c r="G1986" s="255"/>
    </row>
    <row r="1987" spans="1:7" s="108" customFormat="1" ht="14.1" customHeight="1">
      <c r="A1987" s="251" t="s">
        <v>1284</v>
      </c>
      <c r="B1987" s="252" t="s">
        <v>4385</v>
      </c>
      <c r="C1987" s="254" t="s">
        <v>906</v>
      </c>
      <c r="D1987" s="252" t="s">
        <v>2769</v>
      </c>
      <c r="E1987" s="252" t="s">
        <v>895</v>
      </c>
      <c r="F1987" s="252" t="s">
        <v>889</v>
      </c>
      <c r="G1987" s="255"/>
    </row>
    <row r="1988" spans="1:7" s="108" customFormat="1" ht="14.1" customHeight="1">
      <c r="A1988" s="251" t="s">
        <v>1284</v>
      </c>
      <c r="B1988" s="252" t="s">
        <v>4386</v>
      </c>
      <c r="C1988" s="254" t="s">
        <v>906</v>
      </c>
      <c r="D1988" s="252" t="s">
        <v>4387</v>
      </c>
      <c r="E1988" s="252" t="s">
        <v>907</v>
      </c>
      <c r="F1988" s="252" t="s">
        <v>892</v>
      </c>
      <c r="G1988" s="255"/>
    </row>
    <row r="1989" spans="1:7" s="108" customFormat="1" ht="14.1" customHeight="1">
      <c r="A1989" s="251" t="s">
        <v>1284</v>
      </c>
      <c r="B1989" s="252" t="s">
        <v>4388</v>
      </c>
      <c r="C1989" s="254" t="s">
        <v>906</v>
      </c>
      <c r="D1989" s="252" t="s">
        <v>1231</v>
      </c>
      <c r="E1989" s="252" t="s">
        <v>1047</v>
      </c>
      <c r="F1989" s="252" t="s">
        <v>892</v>
      </c>
      <c r="G1989" s="255">
        <v>31.308</v>
      </c>
    </row>
    <row r="1990" spans="1:7" s="108" customFormat="1" ht="14.1" customHeight="1">
      <c r="A1990" s="251" t="s">
        <v>1284</v>
      </c>
      <c r="B1990" s="252" t="s">
        <v>4388</v>
      </c>
      <c r="C1990" s="254" t="s">
        <v>906</v>
      </c>
      <c r="D1990" s="252" t="s">
        <v>1231</v>
      </c>
      <c r="E1990" s="252" t="s">
        <v>1047</v>
      </c>
      <c r="F1990" s="252" t="s">
        <v>913</v>
      </c>
      <c r="G1990" s="255"/>
    </row>
    <row r="1991" spans="1:7" s="108" customFormat="1" ht="14.1" customHeight="1">
      <c r="A1991" s="251" t="s">
        <v>1284</v>
      </c>
      <c r="B1991" s="252" t="s">
        <v>4389</v>
      </c>
      <c r="C1991" s="254" t="s">
        <v>1833</v>
      </c>
      <c r="D1991" s="252" t="s">
        <v>2493</v>
      </c>
      <c r="E1991" s="252" t="s">
        <v>1026</v>
      </c>
      <c r="F1991" s="252" t="s">
        <v>889</v>
      </c>
      <c r="G1991" s="255"/>
    </row>
    <row r="1992" spans="1:7" s="108" customFormat="1" ht="14.1" customHeight="1">
      <c r="A1992" s="251" t="s">
        <v>1284</v>
      </c>
      <c r="B1992" s="252" t="s">
        <v>4390</v>
      </c>
      <c r="C1992" s="254" t="s">
        <v>1202</v>
      </c>
      <c r="D1992" s="252" t="s">
        <v>1286</v>
      </c>
      <c r="E1992" s="252" t="s">
        <v>1119</v>
      </c>
      <c r="F1992" s="252" t="s">
        <v>892</v>
      </c>
      <c r="G1992" s="255">
        <v>10</v>
      </c>
    </row>
    <row r="1993" spans="1:7" s="108" customFormat="1" ht="14.1" customHeight="1">
      <c r="A1993" s="251" t="s">
        <v>1284</v>
      </c>
      <c r="B1993" s="252" t="s">
        <v>4391</v>
      </c>
      <c r="C1993" s="254" t="s">
        <v>917</v>
      </c>
      <c r="D1993" s="252" t="s">
        <v>1285</v>
      </c>
      <c r="E1993" s="252" t="s">
        <v>895</v>
      </c>
      <c r="F1993" s="252" t="s">
        <v>892</v>
      </c>
      <c r="G1993" s="255">
        <v>8</v>
      </c>
    </row>
    <row r="1994" spans="1:7" s="108" customFormat="1" ht="14.1" customHeight="1">
      <c r="A1994" s="251" t="s">
        <v>1284</v>
      </c>
      <c r="B1994" s="252" t="s">
        <v>4392</v>
      </c>
      <c r="C1994" s="254" t="s">
        <v>894</v>
      </c>
      <c r="D1994" s="252" t="s">
        <v>1289</v>
      </c>
      <c r="E1994" s="252" t="s">
        <v>1119</v>
      </c>
      <c r="F1994" s="252" t="s">
        <v>892</v>
      </c>
      <c r="G1994" s="255">
        <v>2900</v>
      </c>
    </row>
    <row r="1995" spans="1:7" s="108" customFormat="1" ht="14.1" customHeight="1">
      <c r="A1995" s="251" t="s">
        <v>1284</v>
      </c>
      <c r="B1995" s="252" t="s">
        <v>4393</v>
      </c>
      <c r="C1995" s="254" t="s">
        <v>1000</v>
      </c>
      <c r="D1995" s="252" t="s">
        <v>4394</v>
      </c>
      <c r="E1995" s="252" t="s">
        <v>954</v>
      </c>
      <c r="F1995" s="252" t="s">
        <v>889</v>
      </c>
      <c r="G1995" s="255"/>
    </row>
    <row r="1996" spans="1:7" s="108" customFormat="1" ht="14.1" customHeight="1">
      <c r="A1996" s="251" t="s">
        <v>1284</v>
      </c>
      <c r="B1996" s="252" t="s">
        <v>4395</v>
      </c>
      <c r="C1996" s="254" t="s">
        <v>1164</v>
      </c>
      <c r="D1996" s="252" t="s">
        <v>2029</v>
      </c>
      <c r="E1996" s="252" t="s">
        <v>895</v>
      </c>
      <c r="F1996" s="252" t="s">
        <v>892</v>
      </c>
      <c r="G1996" s="255"/>
    </row>
    <row r="1997" spans="1:7" s="108" customFormat="1" ht="14.1" customHeight="1">
      <c r="A1997" s="251" t="s">
        <v>1373</v>
      </c>
      <c r="B1997" s="252" t="s">
        <v>4396</v>
      </c>
      <c r="C1997" s="254" t="s">
        <v>1168</v>
      </c>
      <c r="D1997" s="252" t="s">
        <v>1375</v>
      </c>
      <c r="E1997" s="252" t="s">
        <v>939</v>
      </c>
      <c r="F1997" s="252" t="s">
        <v>892</v>
      </c>
      <c r="G1997" s="255">
        <v>38.515999999999998</v>
      </c>
    </row>
    <row r="1998" spans="1:7" s="108" customFormat="1" ht="14.1" customHeight="1">
      <c r="A1998" s="251" t="s">
        <v>1373</v>
      </c>
      <c r="B1998" s="252" t="s">
        <v>4397</v>
      </c>
      <c r="C1998" s="254" t="s">
        <v>1088</v>
      </c>
      <c r="D1998" s="252" t="s">
        <v>4398</v>
      </c>
      <c r="E1998" s="252" t="s">
        <v>954</v>
      </c>
      <c r="F1998" s="252" t="s">
        <v>889</v>
      </c>
      <c r="G1998" s="255"/>
    </row>
    <row r="1999" spans="1:7" s="108" customFormat="1" ht="14.1" customHeight="1">
      <c r="A1999" s="251" t="s">
        <v>1373</v>
      </c>
      <c r="B1999" s="252" t="s">
        <v>4399</v>
      </c>
      <c r="C1999" s="254" t="s">
        <v>1032</v>
      </c>
      <c r="D1999" s="252" t="s">
        <v>1374</v>
      </c>
      <c r="E1999" s="252" t="s">
        <v>918</v>
      </c>
      <c r="F1999" s="252" t="s">
        <v>889</v>
      </c>
      <c r="G1999" s="255">
        <v>7.5</v>
      </c>
    </row>
    <row r="2000" spans="1:7" s="108" customFormat="1" ht="14.1" customHeight="1">
      <c r="A2000" s="251" t="s">
        <v>1373</v>
      </c>
      <c r="B2000" s="252" t="s">
        <v>4400</v>
      </c>
      <c r="C2000" s="254" t="s">
        <v>917</v>
      </c>
      <c r="D2000" s="252" t="s">
        <v>4401</v>
      </c>
      <c r="E2000" s="252" t="s">
        <v>929</v>
      </c>
      <c r="F2000" s="252" t="s">
        <v>889</v>
      </c>
      <c r="G2000" s="255"/>
    </row>
    <row r="2001" spans="1:7" s="108" customFormat="1" ht="14.1" customHeight="1">
      <c r="A2001" s="251" t="s">
        <v>1373</v>
      </c>
      <c r="B2001" s="252" t="s">
        <v>2289</v>
      </c>
      <c r="C2001" s="254" t="s">
        <v>911</v>
      </c>
      <c r="D2001" s="252" t="s">
        <v>1204</v>
      </c>
      <c r="E2001" s="252" t="s">
        <v>918</v>
      </c>
      <c r="F2001" s="252" t="s">
        <v>889</v>
      </c>
      <c r="G2001" s="255">
        <v>6.24</v>
      </c>
    </row>
    <row r="2002" spans="1:7" s="108" customFormat="1" ht="14.1" customHeight="1">
      <c r="A2002" s="251" t="s">
        <v>1444</v>
      </c>
      <c r="B2002" s="252" t="s">
        <v>4402</v>
      </c>
      <c r="C2002" s="254" t="s">
        <v>968</v>
      </c>
      <c r="D2002" s="252" t="s">
        <v>2726</v>
      </c>
      <c r="E2002" s="252" t="s">
        <v>918</v>
      </c>
      <c r="F2002" s="252" t="s">
        <v>889</v>
      </c>
      <c r="G2002" s="255"/>
    </row>
    <row r="2003" spans="1:7" s="108" customFormat="1" ht="14.1" customHeight="1">
      <c r="A2003" s="251" t="s">
        <v>1444</v>
      </c>
      <c r="B2003" s="252" t="s">
        <v>4403</v>
      </c>
      <c r="C2003" s="254" t="s">
        <v>968</v>
      </c>
      <c r="D2003" s="252" t="s">
        <v>2086</v>
      </c>
      <c r="E2003" s="252" t="s">
        <v>888</v>
      </c>
      <c r="F2003" s="252" t="s">
        <v>889</v>
      </c>
      <c r="G2003" s="255"/>
    </row>
    <row r="2004" spans="1:7" s="108" customFormat="1" ht="14.1" customHeight="1">
      <c r="A2004" s="251" t="s">
        <v>1444</v>
      </c>
      <c r="B2004" s="252" t="s">
        <v>4404</v>
      </c>
      <c r="C2004" s="254" t="s">
        <v>968</v>
      </c>
      <c r="D2004" s="252" t="s">
        <v>3394</v>
      </c>
      <c r="E2004" s="252" t="s">
        <v>888</v>
      </c>
      <c r="F2004" s="252" t="s">
        <v>889</v>
      </c>
      <c r="G2004" s="255"/>
    </row>
    <row r="2005" spans="1:7" s="108" customFormat="1" ht="14.1" customHeight="1">
      <c r="A2005" s="251" t="s">
        <v>1444</v>
      </c>
      <c r="B2005" s="252" t="s">
        <v>4306</v>
      </c>
      <c r="C2005" s="254" t="s">
        <v>1030</v>
      </c>
      <c r="D2005" s="252" t="s">
        <v>1439</v>
      </c>
      <c r="E2005" s="252" t="s">
        <v>925</v>
      </c>
      <c r="F2005" s="252" t="s">
        <v>889</v>
      </c>
      <c r="G2005" s="255">
        <v>4.3470000000000004</v>
      </c>
    </row>
    <row r="2006" spans="1:7" s="108" customFormat="1" ht="14.1" customHeight="1">
      <c r="A2006" s="251" t="s">
        <v>1444</v>
      </c>
      <c r="B2006" s="252" t="s">
        <v>4405</v>
      </c>
      <c r="C2006" s="254" t="s">
        <v>1088</v>
      </c>
      <c r="D2006" s="252" t="s">
        <v>1448</v>
      </c>
      <c r="E2006" s="252" t="s">
        <v>918</v>
      </c>
      <c r="F2006" s="252" t="s">
        <v>913</v>
      </c>
      <c r="G2006" s="255"/>
    </row>
    <row r="2007" spans="1:7" s="108" customFormat="1" ht="14.1" customHeight="1">
      <c r="A2007" s="251" t="s">
        <v>1444</v>
      </c>
      <c r="B2007" s="252" t="s">
        <v>4405</v>
      </c>
      <c r="C2007" s="254" t="s">
        <v>1088</v>
      </c>
      <c r="D2007" s="252" t="s">
        <v>1448</v>
      </c>
      <c r="E2007" s="252" t="s">
        <v>918</v>
      </c>
      <c r="F2007" s="252" t="s">
        <v>892</v>
      </c>
      <c r="G2007" s="255">
        <v>567.39300000000003</v>
      </c>
    </row>
    <row r="2008" spans="1:7" s="108" customFormat="1" ht="14.1" customHeight="1">
      <c r="A2008" s="251" t="s">
        <v>1444</v>
      </c>
      <c r="B2008" s="252" t="s">
        <v>4406</v>
      </c>
      <c r="C2008" s="254" t="s">
        <v>906</v>
      </c>
      <c r="D2008" s="252" t="s">
        <v>3229</v>
      </c>
      <c r="E2008" s="252" t="s">
        <v>1024</v>
      </c>
      <c r="F2008" s="252" t="s">
        <v>889</v>
      </c>
      <c r="G2008" s="255"/>
    </row>
    <row r="2009" spans="1:7" s="108" customFormat="1" ht="14.1" customHeight="1">
      <c r="A2009" s="251" t="s">
        <v>1444</v>
      </c>
      <c r="B2009" s="252" t="s">
        <v>4407</v>
      </c>
      <c r="C2009" s="254" t="s">
        <v>1833</v>
      </c>
      <c r="D2009" s="252" t="s">
        <v>1445</v>
      </c>
      <c r="E2009" s="252" t="s">
        <v>929</v>
      </c>
      <c r="F2009" s="252" t="s">
        <v>892</v>
      </c>
      <c r="G2009" s="255">
        <v>7.15</v>
      </c>
    </row>
    <row r="2010" spans="1:7" s="108" customFormat="1" ht="14.1" customHeight="1">
      <c r="A2010" s="251" t="s">
        <v>1444</v>
      </c>
      <c r="B2010" s="252" t="s">
        <v>4408</v>
      </c>
      <c r="C2010" s="254" t="s">
        <v>917</v>
      </c>
      <c r="D2010" s="252" t="s">
        <v>1446</v>
      </c>
      <c r="E2010" s="252" t="s">
        <v>918</v>
      </c>
      <c r="F2010" s="252" t="s">
        <v>889</v>
      </c>
      <c r="G2010" s="255">
        <v>18.2</v>
      </c>
    </row>
    <row r="2011" spans="1:7" s="108" customFormat="1" ht="14.1" customHeight="1">
      <c r="A2011" s="251" t="s">
        <v>1444</v>
      </c>
      <c r="B2011" s="252" t="s">
        <v>2733</v>
      </c>
      <c r="C2011" s="254" t="s">
        <v>894</v>
      </c>
      <c r="D2011" s="252" t="s">
        <v>1447</v>
      </c>
      <c r="E2011" s="252" t="s">
        <v>918</v>
      </c>
      <c r="F2011" s="252" t="s">
        <v>892</v>
      </c>
      <c r="G2011" s="255">
        <v>180.346</v>
      </c>
    </row>
    <row r="2012" spans="1:7" s="108" customFormat="1" ht="14.1" customHeight="1">
      <c r="A2012" s="251" t="s">
        <v>1460</v>
      </c>
      <c r="B2012" s="252" t="s">
        <v>4409</v>
      </c>
      <c r="C2012" s="254" t="s">
        <v>894</v>
      </c>
      <c r="D2012" s="252" t="s">
        <v>886</v>
      </c>
      <c r="E2012" s="252" t="s">
        <v>939</v>
      </c>
      <c r="F2012" s="252" t="s">
        <v>892</v>
      </c>
      <c r="G2012" s="255">
        <v>42.2</v>
      </c>
    </row>
    <row r="2013" spans="1:7" s="108" customFormat="1" ht="14.1" customHeight="1">
      <c r="A2013" s="251" t="s">
        <v>1602</v>
      </c>
      <c r="B2013" s="252" t="s">
        <v>4410</v>
      </c>
      <c r="C2013" s="254" t="s">
        <v>1030</v>
      </c>
      <c r="D2013" s="252" t="s">
        <v>4085</v>
      </c>
      <c r="E2013" s="252" t="s">
        <v>918</v>
      </c>
      <c r="F2013" s="252" t="s">
        <v>892</v>
      </c>
      <c r="G2013" s="255"/>
    </row>
    <row r="2014" spans="1:7" s="108" customFormat="1" ht="14.1" customHeight="1">
      <c r="A2014" s="251" t="s">
        <v>1602</v>
      </c>
      <c r="B2014" s="252" t="s">
        <v>4411</v>
      </c>
      <c r="C2014" s="254" t="s">
        <v>1030</v>
      </c>
      <c r="D2014" s="252" t="s">
        <v>2409</v>
      </c>
      <c r="E2014" s="252" t="s">
        <v>907</v>
      </c>
      <c r="F2014" s="252" t="s">
        <v>889</v>
      </c>
      <c r="G2014" s="255"/>
    </row>
    <row r="2015" spans="1:7" s="108" customFormat="1" ht="14.1" customHeight="1">
      <c r="A2015" s="251" t="s">
        <v>1602</v>
      </c>
      <c r="B2015" s="252" t="s">
        <v>4412</v>
      </c>
      <c r="C2015" s="254" t="s">
        <v>1466</v>
      </c>
      <c r="D2015" s="252" t="s">
        <v>4413</v>
      </c>
      <c r="E2015" s="252" t="s">
        <v>959</v>
      </c>
      <c r="F2015" s="252" t="s">
        <v>889</v>
      </c>
      <c r="G2015" s="255"/>
    </row>
    <row r="2016" spans="1:7" s="108" customFormat="1" ht="14.1" customHeight="1">
      <c r="A2016" s="251" t="s">
        <v>1602</v>
      </c>
      <c r="B2016" s="252" t="s">
        <v>4414</v>
      </c>
      <c r="C2016" s="254" t="s">
        <v>1088</v>
      </c>
      <c r="D2016" s="252" t="s">
        <v>886</v>
      </c>
      <c r="E2016" s="252" t="s">
        <v>918</v>
      </c>
      <c r="F2016" s="252" t="s">
        <v>892</v>
      </c>
      <c r="G2016" s="255">
        <v>1350</v>
      </c>
    </row>
    <row r="2017" spans="1:7" s="108" customFormat="1" ht="14.1" customHeight="1">
      <c r="A2017" s="251" t="s">
        <v>1602</v>
      </c>
      <c r="B2017" s="252" t="s">
        <v>4415</v>
      </c>
      <c r="C2017" s="254" t="s">
        <v>1088</v>
      </c>
      <c r="D2017" s="252" t="s">
        <v>4416</v>
      </c>
      <c r="E2017" s="252" t="s">
        <v>888</v>
      </c>
      <c r="F2017" s="252" t="s">
        <v>892</v>
      </c>
      <c r="G2017" s="255"/>
    </row>
    <row r="2018" spans="1:7" s="108" customFormat="1" ht="14.1" customHeight="1">
      <c r="A2018" s="251" t="s">
        <v>1602</v>
      </c>
      <c r="B2018" s="252" t="s">
        <v>4417</v>
      </c>
      <c r="C2018" s="254" t="s">
        <v>1088</v>
      </c>
      <c r="D2018" s="252" t="s">
        <v>1607</v>
      </c>
      <c r="E2018" s="252" t="s">
        <v>918</v>
      </c>
      <c r="F2018" s="252" t="s">
        <v>892</v>
      </c>
      <c r="G2018" s="255">
        <v>88.807000000000002</v>
      </c>
    </row>
    <row r="2019" spans="1:7" s="108" customFormat="1" ht="14.1" customHeight="1">
      <c r="A2019" s="251" t="s">
        <v>1602</v>
      </c>
      <c r="B2019" s="252" t="s">
        <v>4418</v>
      </c>
      <c r="C2019" s="254" t="s">
        <v>1088</v>
      </c>
      <c r="D2019" s="252" t="s">
        <v>1609</v>
      </c>
      <c r="E2019" s="252" t="s">
        <v>895</v>
      </c>
      <c r="F2019" s="252" t="s">
        <v>892</v>
      </c>
      <c r="G2019" s="255">
        <v>1256</v>
      </c>
    </row>
    <row r="2020" spans="1:7" s="108" customFormat="1" ht="14.1" customHeight="1">
      <c r="A2020" s="251" t="s">
        <v>1602</v>
      </c>
      <c r="B2020" s="252" t="s">
        <v>4419</v>
      </c>
      <c r="C2020" s="254" t="s">
        <v>1032</v>
      </c>
      <c r="D2020" s="252" t="s">
        <v>1608</v>
      </c>
      <c r="E2020" s="252" t="s">
        <v>925</v>
      </c>
      <c r="F2020" s="252" t="s">
        <v>892</v>
      </c>
      <c r="G2020" s="255">
        <v>142</v>
      </c>
    </row>
    <row r="2021" spans="1:7" s="108" customFormat="1" ht="14.1" customHeight="1">
      <c r="A2021" s="251" t="s">
        <v>1602</v>
      </c>
      <c r="B2021" s="252" t="s">
        <v>4420</v>
      </c>
      <c r="C2021" s="254" t="s">
        <v>986</v>
      </c>
      <c r="D2021" s="252" t="s">
        <v>1817</v>
      </c>
      <c r="E2021" s="252" t="s">
        <v>895</v>
      </c>
      <c r="F2021" s="252" t="s">
        <v>889</v>
      </c>
      <c r="G2021" s="255"/>
    </row>
    <row r="2022" spans="1:7" s="108" customFormat="1" ht="14.1" customHeight="1">
      <c r="A2022" s="251" t="s">
        <v>1602</v>
      </c>
      <c r="B2022" s="252" t="s">
        <v>4421</v>
      </c>
      <c r="C2022" s="254" t="s">
        <v>887</v>
      </c>
      <c r="D2022" s="252" t="s">
        <v>1111</v>
      </c>
      <c r="E2022" s="252" t="s">
        <v>939</v>
      </c>
      <c r="F2022" s="252" t="s">
        <v>889</v>
      </c>
      <c r="G2022" s="255">
        <v>11.163</v>
      </c>
    </row>
    <row r="2023" spans="1:7" s="108" customFormat="1" ht="14.1" customHeight="1">
      <c r="A2023" s="251" t="s">
        <v>1602</v>
      </c>
      <c r="B2023" s="252" t="s">
        <v>4422</v>
      </c>
      <c r="C2023" s="254" t="s">
        <v>887</v>
      </c>
      <c r="D2023" s="252" t="s">
        <v>1111</v>
      </c>
      <c r="E2023" s="252" t="s">
        <v>939</v>
      </c>
      <c r="F2023" s="252" t="s">
        <v>889</v>
      </c>
      <c r="G2023" s="255"/>
    </row>
    <row r="2024" spans="1:7" s="108" customFormat="1" ht="14.1" customHeight="1">
      <c r="A2024" s="251" t="s">
        <v>1602</v>
      </c>
      <c r="B2024" s="252" t="s">
        <v>4423</v>
      </c>
      <c r="C2024" s="254" t="s">
        <v>887</v>
      </c>
      <c r="D2024" s="252" t="s">
        <v>4424</v>
      </c>
      <c r="E2024" s="252" t="s">
        <v>888</v>
      </c>
      <c r="F2024" s="252" t="s">
        <v>889</v>
      </c>
      <c r="G2024" s="255"/>
    </row>
    <row r="2025" spans="1:7" s="108" customFormat="1" ht="14.1" customHeight="1">
      <c r="A2025" s="251" t="s">
        <v>1602</v>
      </c>
      <c r="B2025" s="252" t="s">
        <v>4425</v>
      </c>
      <c r="C2025" s="254" t="s">
        <v>887</v>
      </c>
      <c r="D2025" s="252" t="s">
        <v>3055</v>
      </c>
      <c r="E2025" s="252" t="s">
        <v>888</v>
      </c>
      <c r="F2025" s="252" t="s">
        <v>892</v>
      </c>
      <c r="G2025" s="255"/>
    </row>
    <row r="2026" spans="1:7" s="108" customFormat="1" ht="14.1" customHeight="1">
      <c r="A2026" s="251" t="s">
        <v>1602</v>
      </c>
      <c r="B2026" s="252" t="s">
        <v>4426</v>
      </c>
      <c r="C2026" s="254" t="s">
        <v>887</v>
      </c>
      <c r="D2026" s="252" t="s">
        <v>4427</v>
      </c>
      <c r="E2026" s="252" t="s">
        <v>888</v>
      </c>
      <c r="F2026" s="252" t="s">
        <v>889</v>
      </c>
      <c r="G2026" s="255"/>
    </row>
    <row r="2027" spans="1:7" s="108" customFormat="1" ht="14.1" customHeight="1">
      <c r="A2027" s="251" t="s">
        <v>1602</v>
      </c>
      <c r="B2027" s="252" t="s">
        <v>4428</v>
      </c>
      <c r="C2027" s="254" t="s">
        <v>1202</v>
      </c>
      <c r="D2027" s="252" t="s">
        <v>4429</v>
      </c>
      <c r="E2027" s="252" t="s">
        <v>959</v>
      </c>
      <c r="F2027" s="252" t="s">
        <v>892</v>
      </c>
      <c r="G2027" s="255"/>
    </row>
    <row r="2028" spans="1:7" s="108" customFormat="1" ht="14.1" customHeight="1">
      <c r="A2028" s="251" t="s">
        <v>1602</v>
      </c>
      <c r="B2028" s="252" t="s">
        <v>4430</v>
      </c>
      <c r="C2028" s="254" t="s">
        <v>917</v>
      </c>
      <c r="D2028" s="252" t="s">
        <v>1603</v>
      </c>
      <c r="E2028" s="252" t="s">
        <v>929</v>
      </c>
      <c r="F2028" s="252" t="s">
        <v>892</v>
      </c>
      <c r="G2028" s="255">
        <v>0.11899999999999999</v>
      </c>
    </row>
    <row r="2029" spans="1:7" s="108" customFormat="1" ht="14.1" customHeight="1">
      <c r="A2029" s="251" t="s">
        <v>1602</v>
      </c>
      <c r="B2029" s="252" t="s">
        <v>4431</v>
      </c>
      <c r="C2029" s="254" t="s">
        <v>917</v>
      </c>
      <c r="D2029" s="252" t="s">
        <v>1560</v>
      </c>
      <c r="E2029" s="252" t="s">
        <v>918</v>
      </c>
      <c r="F2029" s="252" t="s">
        <v>913</v>
      </c>
      <c r="G2029" s="255">
        <v>6</v>
      </c>
    </row>
    <row r="2030" spans="1:7" s="108" customFormat="1" ht="14.1" customHeight="1">
      <c r="A2030" s="251" t="s">
        <v>1602</v>
      </c>
      <c r="B2030" s="252" t="s">
        <v>4432</v>
      </c>
      <c r="C2030" s="254" t="s">
        <v>917</v>
      </c>
      <c r="D2030" s="252" t="s">
        <v>4433</v>
      </c>
      <c r="E2030" s="252" t="s">
        <v>918</v>
      </c>
      <c r="F2030" s="252" t="s">
        <v>889</v>
      </c>
      <c r="G2030" s="255"/>
    </row>
    <row r="2031" spans="1:7" s="108" customFormat="1" ht="14.1" customHeight="1">
      <c r="A2031" s="251" t="s">
        <v>1602</v>
      </c>
      <c r="B2031" s="252" t="s">
        <v>4434</v>
      </c>
      <c r="C2031" s="254" t="s">
        <v>917</v>
      </c>
      <c r="D2031" s="252" t="s">
        <v>1604</v>
      </c>
      <c r="E2031" s="252" t="s">
        <v>918</v>
      </c>
      <c r="F2031" s="252" t="s">
        <v>892</v>
      </c>
      <c r="G2031" s="255">
        <v>0.15</v>
      </c>
    </row>
    <row r="2032" spans="1:7" s="108" customFormat="1" ht="14.1" customHeight="1">
      <c r="A2032" s="251" t="s">
        <v>1602</v>
      </c>
      <c r="B2032" s="252" t="s">
        <v>4435</v>
      </c>
      <c r="C2032" s="254" t="s">
        <v>917</v>
      </c>
      <c r="D2032" s="252" t="s">
        <v>1606</v>
      </c>
      <c r="E2032" s="252" t="s">
        <v>918</v>
      </c>
      <c r="F2032" s="252" t="s">
        <v>889</v>
      </c>
      <c r="G2032" s="255">
        <v>3.4980000000000002</v>
      </c>
    </row>
    <row r="2033" spans="1:7" s="108" customFormat="1" ht="14.1" customHeight="1">
      <c r="A2033" s="251" t="s">
        <v>1602</v>
      </c>
      <c r="B2033" s="252" t="s">
        <v>4436</v>
      </c>
      <c r="C2033" s="254" t="s">
        <v>917</v>
      </c>
      <c r="D2033" s="252" t="s">
        <v>1605</v>
      </c>
      <c r="E2033" s="252" t="s">
        <v>918</v>
      </c>
      <c r="F2033" s="252" t="s">
        <v>892</v>
      </c>
      <c r="G2033" s="255">
        <v>2.6150000000000002</v>
      </c>
    </row>
    <row r="2034" spans="1:7" s="108" customFormat="1" ht="14.1" customHeight="1">
      <c r="A2034" s="251" t="s">
        <v>1602</v>
      </c>
      <c r="B2034" s="252" t="s">
        <v>4437</v>
      </c>
      <c r="C2034" s="254" t="s">
        <v>917</v>
      </c>
      <c r="D2034" s="252" t="s">
        <v>4438</v>
      </c>
      <c r="E2034" s="252" t="s">
        <v>918</v>
      </c>
      <c r="F2034" s="252" t="s">
        <v>889</v>
      </c>
      <c r="G2034" s="255"/>
    </row>
    <row r="2035" spans="1:7" s="108" customFormat="1" ht="14.1" customHeight="1">
      <c r="A2035" s="251" t="s">
        <v>1602</v>
      </c>
      <c r="B2035" s="252" t="s">
        <v>4439</v>
      </c>
      <c r="C2035" s="254" t="s">
        <v>917</v>
      </c>
      <c r="D2035" s="252" t="s">
        <v>4440</v>
      </c>
      <c r="E2035" s="252" t="s">
        <v>918</v>
      </c>
      <c r="F2035" s="252" t="s">
        <v>892</v>
      </c>
      <c r="G2035" s="255"/>
    </row>
    <row r="2036" spans="1:7" s="108" customFormat="1" ht="14.1" customHeight="1">
      <c r="A2036" s="251" t="s">
        <v>1602</v>
      </c>
      <c r="B2036" s="252" t="s">
        <v>4441</v>
      </c>
      <c r="C2036" s="254" t="s">
        <v>1023</v>
      </c>
      <c r="D2036" s="252" t="s">
        <v>4442</v>
      </c>
      <c r="E2036" s="252" t="s">
        <v>895</v>
      </c>
      <c r="F2036" s="252" t="s">
        <v>889</v>
      </c>
      <c r="G2036" s="255"/>
    </row>
    <row r="2037" spans="1:7" s="108" customFormat="1" ht="14.1" customHeight="1">
      <c r="A2037" s="251" t="s">
        <v>1602</v>
      </c>
      <c r="B2037" s="252" t="s">
        <v>4443</v>
      </c>
      <c r="C2037" s="254" t="s">
        <v>1023</v>
      </c>
      <c r="D2037" s="252" t="s">
        <v>2436</v>
      </c>
      <c r="E2037" s="252" t="s">
        <v>888</v>
      </c>
      <c r="F2037" s="252" t="s">
        <v>889</v>
      </c>
      <c r="G2037" s="255"/>
    </row>
    <row r="2038" spans="1:7" s="108" customFormat="1" ht="14.1" customHeight="1">
      <c r="A2038" s="251" t="s">
        <v>1602</v>
      </c>
      <c r="B2038" s="252" t="s">
        <v>4444</v>
      </c>
      <c r="C2038" s="254" t="s">
        <v>988</v>
      </c>
      <c r="D2038" s="252" t="s">
        <v>1140</v>
      </c>
      <c r="E2038" s="252" t="s">
        <v>891</v>
      </c>
      <c r="F2038" s="252" t="s">
        <v>889</v>
      </c>
      <c r="G2038" s="255">
        <v>1.0309999999999999</v>
      </c>
    </row>
    <row r="2039" spans="1:7" s="108" customFormat="1" ht="14.1" customHeight="1">
      <c r="A2039" s="251" t="s">
        <v>1602</v>
      </c>
      <c r="B2039" s="252" t="s">
        <v>4445</v>
      </c>
      <c r="C2039" s="254" t="s">
        <v>1020</v>
      </c>
      <c r="D2039" s="252" t="s">
        <v>1061</v>
      </c>
      <c r="E2039" s="252" t="s">
        <v>888</v>
      </c>
      <c r="F2039" s="252" t="s">
        <v>889</v>
      </c>
      <c r="G2039" s="255">
        <v>500</v>
      </c>
    </row>
    <row r="2040" spans="1:7" s="108" customFormat="1" ht="14.1" customHeight="1">
      <c r="A2040" s="251" t="s">
        <v>1673</v>
      </c>
      <c r="B2040" s="252" t="s">
        <v>4446</v>
      </c>
      <c r="C2040" s="254" t="s">
        <v>1146</v>
      </c>
      <c r="D2040" s="252" t="s">
        <v>4447</v>
      </c>
      <c r="E2040" s="252" t="s">
        <v>912</v>
      </c>
      <c r="F2040" s="252" t="s">
        <v>889</v>
      </c>
      <c r="G2040" s="255"/>
    </row>
    <row r="2041" spans="1:7" s="108" customFormat="1" ht="14.1" customHeight="1">
      <c r="A2041" s="251" t="s">
        <v>1673</v>
      </c>
      <c r="B2041" s="252" t="s">
        <v>4448</v>
      </c>
      <c r="C2041" s="254" t="s">
        <v>1466</v>
      </c>
      <c r="D2041" s="252" t="s">
        <v>4449</v>
      </c>
      <c r="E2041" s="252" t="s">
        <v>939</v>
      </c>
      <c r="F2041" s="252" t="s">
        <v>889</v>
      </c>
      <c r="G2041" s="255"/>
    </row>
    <row r="2042" spans="1:7" s="108" customFormat="1" ht="14.1" customHeight="1">
      <c r="A2042" s="251" t="s">
        <v>1673</v>
      </c>
      <c r="B2042" s="252" t="s">
        <v>4450</v>
      </c>
      <c r="C2042" s="254" t="s">
        <v>1088</v>
      </c>
      <c r="D2042" s="252" t="s">
        <v>1657</v>
      </c>
      <c r="E2042" s="252" t="s">
        <v>888</v>
      </c>
      <c r="F2042" s="252" t="s">
        <v>3658</v>
      </c>
      <c r="G2042" s="255"/>
    </row>
    <row r="2043" spans="1:7" s="108" customFormat="1" ht="14.1" customHeight="1">
      <c r="A2043" s="251" t="s">
        <v>1673</v>
      </c>
      <c r="B2043" s="252" t="s">
        <v>4451</v>
      </c>
      <c r="C2043" s="254" t="s">
        <v>1088</v>
      </c>
      <c r="D2043" s="252" t="s">
        <v>1657</v>
      </c>
      <c r="E2043" s="252" t="s">
        <v>888</v>
      </c>
      <c r="F2043" s="252" t="s">
        <v>889</v>
      </c>
      <c r="G2043" s="255">
        <v>1952</v>
      </c>
    </row>
    <row r="2044" spans="1:7" s="108" customFormat="1" ht="14.1" customHeight="1">
      <c r="A2044" s="251" t="s">
        <v>1673</v>
      </c>
      <c r="B2044" s="252" t="s">
        <v>4452</v>
      </c>
      <c r="C2044" s="254" t="s">
        <v>917</v>
      </c>
      <c r="D2044" s="252" t="s">
        <v>1277</v>
      </c>
      <c r="E2044" s="252" t="s">
        <v>984</v>
      </c>
      <c r="F2044" s="252" t="s">
        <v>889</v>
      </c>
      <c r="G2044" s="255">
        <v>202.27500000000001</v>
      </c>
    </row>
    <row r="2045" spans="1:7" s="108" customFormat="1" ht="14.1" customHeight="1">
      <c r="A2045" s="251" t="s">
        <v>1673</v>
      </c>
      <c r="B2045" s="252" t="s">
        <v>4452</v>
      </c>
      <c r="C2045" s="254" t="s">
        <v>917</v>
      </c>
      <c r="D2045" s="252" t="s">
        <v>1277</v>
      </c>
      <c r="E2045" s="252" t="s">
        <v>984</v>
      </c>
      <c r="F2045" s="252" t="s">
        <v>889</v>
      </c>
      <c r="G2045" s="255">
        <v>530.53300000000002</v>
      </c>
    </row>
    <row r="2046" spans="1:7" s="108" customFormat="1" ht="14.1" customHeight="1">
      <c r="A2046" s="251" t="s">
        <v>1673</v>
      </c>
      <c r="B2046" s="252" t="s">
        <v>4453</v>
      </c>
      <c r="C2046" s="254" t="s">
        <v>894</v>
      </c>
      <c r="D2046" s="252" t="s">
        <v>4454</v>
      </c>
      <c r="E2046" s="252" t="s">
        <v>918</v>
      </c>
      <c r="F2046" s="252" t="s">
        <v>889</v>
      </c>
      <c r="G2046" s="255"/>
    </row>
    <row r="2047" spans="1:7" s="108" customFormat="1" ht="14.1" customHeight="1">
      <c r="A2047" s="339" t="s">
        <v>1673</v>
      </c>
      <c r="B2047" s="340" t="s">
        <v>4455</v>
      </c>
      <c r="C2047" s="341" t="s">
        <v>1020</v>
      </c>
      <c r="D2047" s="340" t="s">
        <v>4456</v>
      </c>
      <c r="E2047" s="340" t="s">
        <v>888</v>
      </c>
      <c r="F2047" s="340" t="s">
        <v>889</v>
      </c>
      <c r="G2047" s="342"/>
    </row>
    <row r="2048" spans="1:7" s="108" customFormat="1" ht="14.1" customHeight="1">
      <c r="A2048" s="346"/>
      <c r="B2048" s="343"/>
      <c r="C2048" s="344"/>
      <c r="D2048" s="343"/>
      <c r="E2048" s="343"/>
      <c r="F2048" s="343"/>
      <c r="G2048" s="345"/>
    </row>
    <row r="2049" spans="1:3" ht="14.1" customHeight="1">
      <c r="A2049" s="347" t="s">
        <v>4478</v>
      </c>
      <c r="B2049" s="347"/>
      <c r="C2049" s="348"/>
    </row>
  </sheetData>
  <pageMargins left="1.8" right="1.8" top="1.9" bottom="1.9" header="0.5" footer="0.5"/>
  <pageSetup orientation="portrait"/>
  <headerFooter>
    <oddFooter>&amp;C&amp;"Helvetica Neue,Regular"&amp;12&amp;K000000&amp;P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fitToPage="1"/>
  </sheetPr>
  <dimension ref="A1:M900"/>
  <sheetViews>
    <sheetView showGridLines="0" zoomScale="75" workbookViewId="0">
      <pane xSplit="2" ySplit="1" topLeftCell="C659" activePane="bottomRight" state="frozen"/>
      <selection activeCell="C10" sqref="C10"/>
      <selection pane="topRight" activeCell="C10" sqref="C10"/>
      <selection pane="bottomLeft" activeCell="C10" sqref="C10"/>
      <selection pane="bottomRight" activeCell="A768" sqref="A768"/>
    </sheetView>
  </sheetViews>
  <sheetFormatPr baseColWidth="10" defaultColWidth="16.375" defaultRowHeight="14.1" customHeight="1"/>
  <cols>
    <col min="1" max="1" width="13.625" style="30" customWidth="1"/>
    <col min="2" max="2" width="13.375" style="30" customWidth="1"/>
    <col min="3" max="3" width="27.375" style="102" customWidth="1"/>
    <col min="4" max="4" width="12.375" style="30" customWidth="1"/>
    <col min="5" max="5" width="18.625" style="102" customWidth="1"/>
    <col min="6" max="7" width="16.375" style="30" customWidth="1"/>
    <col min="8" max="8" width="10.125" style="30" customWidth="1"/>
    <col min="9" max="9" width="12.625" style="226" customWidth="1"/>
    <col min="10" max="247" width="16.375" style="29" customWidth="1"/>
    <col min="248" max="16384" width="16.375" style="29"/>
  </cols>
  <sheetData>
    <row r="1" spans="1:9" ht="33.950000000000003" customHeight="1">
      <c r="A1" s="248" t="s">
        <v>835</v>
      </c>
      <c r="B1" s="248" t="s">
        <v>4461</v>
      </c>
      <c r="C1" s="248" t="s">
        <v>1722</v>
      </c>
      <c r="D1" s="249" t="s">
        <v>1697</v>
      </c>
      <c r="E1" s="248" t="s">
        <v>1723</v>
      </c>
      <c r="F1" s="248" t="s">
        <v>884</v>
      </c>
      <c r="G1" s="248" t="s">
        <v>4463</v>
      </c>
      <c r="H1" s="248" t="s">
        <v>885</v>
      </c>
      <c r="I1" s="250" t="s">
        <v>4462</v>
      </c>
    </row>
    <row r="2" spans="1:9" ht="14.1" customHeight="1">
      <c r="A2" s="251" t="s">
        <v>899</v>
      </c>
      <c r="B2" s="252" t="s">
        <v>898</v>
      </c>
      <c r="C2" s="253" t="s">
        <v>1728</v>
      </c>
      <c r="D2" s="254" t="s">
        <v>822</v>
      </c>
      <c r="E2" s="252" t="s">
        <v>917</v>
      </c>
      <c r="F2" s="252" t="s">
        <v>900</v>
      </c>
      <c r="G2" s="252" t="s">
        <v>901</v>
      </c>
      <c r="H2" s="252" t="s">
        <v>889</v>
      </c>
      <c r="I2" s="255">
        <v>0.30499999999999999</v>
      </c>
    </row>
    <row r="3" spans="1:9" ht="14.1" customHeight="1">
      <c r="A3" s="251" t="s">
        <v>899</v>
      </c>
      <c r="B3" s="252" t="s">
        <v>898</v>
      </c>
      <c r="C3" s="256" t="s">
        <v>1724</v>
      </c>
      <c r="D3" s="254" t="s">
        <v>823</v>
      </c>
      <c r="E3" s="252" t="s">
        <v>1146</v>
      </c>
      <c r="F3" s="252" t="s">
        <v>902</v>
      </c>
      <c r="G3" s="252" t="s">
        <v>904</v>
      </c>
      <c r="H3" s="252" t="s">
        <v>889</v>
      </c>
      <c r="I3" s="255">
        <v>1.6</v>
      </c>
    </row>
    <row r="4" spans="1:9" ht="14.1" customHeight="1">
      <c r="A4" s="251" t="s">
        <v>899</v>
      </c>
      <c r="B4" s="252" t="s">
        <v>898</v>
      </c>
      <c r="C4" s="256" t="s">
        <v>1732</v>
      </c>
      <c r="D4" s="254" t="s">
        <v>821</v>
      </c>
      <c r="E4" s="252" t="s">
        <v>1246</v>
      </c>
      <c r="F4" s="252" t="s">
        <v>905</v>
      </c>
      <c r="G4" s="252" t="s">
        <v>907</v>
      </c>
      <c r="H4" s="252" t="s">
        <v>892</v>
      </c>
      <c r="I4" s="255">
        <v>4.1040000000000001</v>
      </c>
    </row>
    <row r="5" spans="1:9" ht="14.1" customHeight="1">
      <c r="A5" s="251" t="s">
        <v>899</v>
      </c>
      <c r="B5" s="252" t="s">
        <v>898</v>
      </c>
      <c r="C5" s="257" t="s">
        <v>1730</v>
      </c>
      <c r="D5" s="254" t="s">
        <v>822</v>
      </c>
      <c r="E5" s="252" t="s">
        <v>894</v>
      </c>
      <c r="F5" s="252" t="s">
        <v>893</v>
      </c>
      <c r="G5" s="252" t="s">
        <v>895</v>
      </c>
      <c r="H5" s="252" t="s">
        <v>889</v>
      </c>
      <c r="I5" s="255">
        <v>82.646000000000001</v>
      </c>
    </row>
    <row r="6" spans="1:9" ht="14.1" customHeight="1">
      <c r="A6" s="251" t="s">
        <v>899</v>
      </c>
      <c r="B6" s="252" t="s">
        <v>898</v>
      </c>
      <c r="C6" s="256" t="s">
        <v>1731</v>
      </c>
      <c r="D6" s="254" t="s">
        <v>822</v>
      </c>
      <c r="E6" s="252" t="s">
        <v>894</v>
      </c>
      <c r="F6" s="252" t="s">
        <v>893</v>
      </c>
      <c r="G6" s="252" t="s">
        <v>895</v>
      </c>
      <c r="H6" s="252" t="s">
        <v>889</v>
      </c>
      <c r="I6" s="255">
        <v>113.075</v>
      </c>
    </row>
    <row r="7" spans="1:9" ht="14.1" customHeight="1">
      <c r="A7" s="251" t="s">
        <v>909</v>
      </c>
      <c r="B7" s="252" t="s">
        <v>908</v>
      </c>
      <c r="C7" s="257" t="s">
        <v>1905</v>
      </c>
      <c r="D7" s="254" t="s">
        <v>822</v>
      </c>
      <c r="E7" s="252" t="s">
        <v>911</v>
      </c>
      <c r="F7" s="252" t="s">
        <v>910</v>
      </c>
      <c r="G7" s="252" t="s">
        <v>912</v>
      </c>
      <c r="H7" s="252" t="s">
        <v>913</v>
      </c>
      <c r="I7" s="255">
        <v>1.954</v>
      </c>
    </row>
    <row r="8" spans="1:9" ht="14.1" customHeight="1">
      <c r="A8" s="251" t="s">
        <v>915</v>
      </c>
      <c r="B8" s="252" t="s">
        <v>914</v>
      </c>
      <c r="C8" s="257" t="s">
        <v>2046</v>
      </c>
      <c r="D8" s="254" t="s">
        <v>822</v>
      </c>
      <c r="E8" s="252" t="s">
        <v>917</v>
      </c>
      <c r="F8" s="252" t="s">
        <v>916</v>
      </c>
      <c r="G8" s="252" t="s">
        <v>918</v>
      </c>
      <c r="H8" s="252" t="s">
        <v>889</v>
      </c>
      <c r="I8" s="255">
        <v>1.7000000000000001E-2</v>
      </c>
    </row>
    <row r="9" spans="1:9" ht="14.1" customHeight="1">
      <c r="A9" s="251" t="s">
        <v>915</v>
      </c>
      <c r="B9" s="252" t="s">
        <v>914</v>
      </c>
      <c r="C9" s="257" t="s">
        <v>2047</v>
      </c>
      <c r="D9" s="254" t="s">
        <v>822</v>
      </c>
      <c r="E9" s="252" t="s">
        <v>917</v>
      </c>
      <c r="F9" s="252" t="s">
        <v>886</v>
      </c>
      <c r="G9" s="252" t="s">
        <v>919</v>
      </c>
      <c r="H9" s="252" t="s">
        <v>889</v>
      </c>
      <c r="I9" s="255">
        <v>5</v>
      </c>
    </row>
    <row r="10" spans="1:9" ht="14.1" customHeight="1">
      <c r="A10" s="251" t="s">
        <v>915</v>
      </c>
      <c r="B10" s="252" t="s">
        <v>914</v>
      </c>
      <c r="C10" s="256" t="s">
        <v>2048</v>
      </c>
      <c r="D10" s="254" t="s">
        <v>822</v>
      </c>
      <c r="E10" s="252" t="s">
        <v>894</v>
      </c>
      <c r="F10" s="252" t="s">
        <v>920</v>
      </c>
      <c r="G10" s="252" t="s">
        <v>888</v>
      </c>
      <c r="H10" s="252" t="s">
        <v>889</v>
      </c>
      <c r="I10" s="255">
        <v>118.34099999999999</v>
      </c>
    </row>
    <row r="11" spans="1:9" ht="14.1" customHeight="1">
      <c r="A11" s="251" t="s">
        <v>915</v>
      </c>
      <c r="B11" s="252" t="s">
        <v>914</v>
      </c>
      <c r="C11" s="256" t="s">
        <v>2052</v>
      </c>
      <c r="D11" s="254" t="s">
        <v>821</v>
      </c>
      <c r="E11" s="252" t="s">
        <v>1020</v>
      </c>
      <c r="F11" s="252" t="s">
        <v>921</v>
      </c>
      <c r="G11" s="252" t="s">
        <v>888</v>
      </c>
      <c r="H11" s="252" t="s">
        <v>889</v>
      </c>
      <c r="I11" s="255">
        <v>550.6</v>
      </c>
    </row>
    <row r="12" spans="1:9" ht="14.1" customHeight="1">
      <c r="A12" s="251" t="s">
        <v>923</v>
      </c>
      <c r="B12" s="252" t="s">
        <v>922</v>
      </c>
      <c r="C12" s="253" t="s">
        <v>1729</v>
      </c>
      <c r="D12" s="254" t="s">
        <v>822</v>
      </c>
      <c r="E12" s="252" t="s">
        <v>917</v>
      </c>
      <c r="F12" s="252" t="s">
        <v>924</v>
      </c>
      <c r="G12" s="252" t="s">
        <v>925</v>
      </c>
      <c r="H12" s="252" t="s">
        <v>892</v>
      </c>
      <c r="I12" s="255">
        <v>0.45</v>
      </c>
    </row>
    <row r="13" spans="1:9" ht="14.1" customHeight="1">
      <c r="A13" s="251" t="s">
        <v>927</v>
      </c>
      <c r="B13" s="252" t="s">
        <v>926</v>
      </c>
      <c r="C13" s="256" t="s">
        <v>2342</v>
      </c>
      <c r="D13" s="254" t="s">
        <v>822</v>
      </c>
      <c r="E13" s="252" t="s">
        <v>917</v>
      </c>
      <c r="F13" s="252" t="s">
        <v>928</v>
      </c>
      <c r="G13" s="252" t="s">
        <v>929</v>
      </c>
      <c r="H13" s="252" t="s">
        <v>892</v>
      </c>
      <c r="I13" s="255">
        <v>1.885</v>
      </c>
    </row>
    <row r="14" spans="1:9" ht="14.1" customHeight="1">
      <c r="A14" s="251" t="s">
        <v>927</v>
      </c>
      <c r="B14" s="252" t="s">
        <v>926</v>
      </c>
      <c r="C14" s="256" t="s">
        <v>2341</v>
      </c>
      <c r="D14" s="254" t="s">
        <v>822</v>
      </c>
      <c r="E14" s="252" t="s">
        <v>917</v>
      </c>
      <c r="F14" s="252" t="s">
        <v>930</v>
      </c>
      <c r="G14" s="252" t="s">
        <v>918</v>
      </c>
      <c r="H14" s="252" t="s">
        <v>931</v>
      </c>
      <c r="I14" s="255">
        <v>5</v>
      </c>
    </row>
    <row r="15" spans="1:9" ht="14.1" customHeight="1">
      <c r="A15" s="251" t="s">
        <v>927</v>
      </c>
      <c r="B15" s="252" t="s">
        <v>926</v>
      </c>
      <c r="C15" s="256" t="s">
        <v>2349</v>
      </c>
      <c r="D15" s="254" t="s">
        <v>821</v>
      </c>
      <c r="E15" s="252" t="s">
        <v>1037</v>
      </c>
      <c r="F15" s="252" t="s">
        <v>932</v>
      </c>
      <c r="G15" s="252" t="s">
        <v>888</v>
      </c>
      <c r="H15" s="252" t="s">
        <v>889</v>
      </c>
      <c r="I15" s="255">
        <v>31.5</v>
      </c>
    </row>
    <row r="16" spans="1:9" ht="14.1" customHeight="1">
      <c r="A16" s="251" t="s">
        <v>927</v>
      </c>
      <c r="B16" s="252" t="s">
        <v>926</v>
      </c>
      <c r="C16" s="256" t="s">
        <v>2344</v>
      </c>
      <c r="D16" s="254" t="s">
        <v>822</v>
      </c>
      <c r="E16" s="252" t="s">
        <v>894</v>
      </c>
      <c r="F16" s="252" t="s">
        <v>933</v>
      </c>
      <c r="G16" s="252" t="s">
        <v>918</v>
      </c>
      <c r="H16" s="252" t="s">
        <v>889</v>
      </c>
      <c r="I16" s="255">
        <v>65.043999999999997</v>
      </c>
    </row>
    <row r="17" spans="1:9" ht="14.1" customHeight="1">
      <c r="A17" s="251" t="s">
        <v>927</v>
      </c>
      <c r="B17" s="252" t="s">
        <v>926</v>
      </c>
      <c r="C17" s="256" t="s">
        <v>2343</v>
      </c>
      <c r="D17" s="254" t="s">
        <v>822</v>
      </c>
      <c r="E17" s="252" t="s">
        <v>894</v>
      </c>
      <c r="F17" s="252" t="s">
        <v>934</v>
      </c>
      <c r="G17" s="252" t="s">
        <v>888</v>
      </c>
      <c r="H17" s="252" t="s">
        <v>889</v>
      </c>
      <c r="I17" s="255">
        <v>1255.3119999999999</v>
      </c>
    </row>
    <row r="18" spans="1:9" ht="14.1" customHeight="1">
      <c r="A18" s="251" t="s">
        <v>936</v>
      </c>
      <c r="B18" s="252" t="s">
        <v>935</v>
      </c>
      <c r="C18" s="256" t="s">
        <v>2469</v>
      </c>
      <c r="D18" s="254" t="s">
        <v>822</v>
      </c>
      <c r="E18" s="252" t="s">
        <v>938</v>
      </c>
      <c r="F18" s="252" t="s">
        <v>937</v>
      </c>
      <c r="G18" s="252" t="s">
        <v>888</v>
      </c>
      <c r="H18" s="252" t="s">
        <v>892</v>
      </c>
      <c r="I18" s="255">
        <v>0.27500000000000002</v>
      </c>
    </row>
    <row r="19" spans="1:9" ht="14.1" customHeight="1">
      <c r="A19" s="251" t="s">
        <v>936</v>
      </c>
      <c r="B19" s="252" t="s">
        <v>935</v>
      </c>
      <c r="C19" s="256" t="s">
        <v>2472</v>
      </c>
      <c r="D19" s="254" t="s">
        <v>822</v>
      </c>
      <c r="E19" s="252" t="s">
        <v>906</v>
      </c>
      <c r="F19" s="252" t="s">
        <v>886</v>
      </c>
      <c r="G19" s="252" t="s">
        <v>939</v>
      </c>
      <c r="H19" s="252" t="s">
        <v>889</v>
      </c>
      <c r="I19" s="255">
        <v>0.5</v>
      </c>
    </row>
    <row r="20" spans="1:9" ht="14.1" customHeight="1">
      <c r="A20" s="251" t="s">
        <v>936</v>
      </c>
      <c r="B20" s="252" t="s">
        <v>935</v>
      </c>
      <c r="C20" s="256" t="s">
        <v>2478</v>
      </c>
      <c r="D20" s="254" t="s">
        <v>822</v>
      </c>
      <c r="E20" s="252" t="s">
        <v>894</v>
      </c>
      <c r="F20" s="252" t="s">
        <v>940</v>
      </c>
      <c r="G20" s="252" t="s">
        <v>895</v>
      </c>
      <c r="H20" s="252" t="s">
        <v>889</v>
      </c>
      <c r="I20" s="255">
        <v>6.88</v>
      </c>
    </row>
    <row r="21" spans="1:9" ht="14.1" customHeight="1">
      <c r="A21" s="251" t="s">
        <v>942</v>
      </c>
      <c r="B21" s="252" t="s">
        <v>941</v>
      </c>
      <c r="C21" s="257" t="s">
        <v>2627</v>
      </c>
      <c r="D21" s="254" t="s">
        <v>821</v>
      </c>
      <c r="E21" s="252" t="s">
        <v>983</v>
      </c>
      <c r="F21" s="252" t="s">
        <v>943</v>
      </c>
      <c r="G21" s="252" t="s">
        <v>945</v>
      </c>
      <c r="H21" s="252" t="s">
        <v>892</v>
      </c>
      <c r="I21" s="255">
        <v>0.251</v>
      </c>
    </row>
    <row r="22" spans="1:9" ht="14.1" customHeight="1">
      <c r="A22" s="251" t="s">
        <v>942</v>
      </c>
      <c r="B22" s="252" t="s">
        <v>941</v>
      </c>
      <c r="C22" s="257" t="s">
        <v>2623</v>
      </c>
      <c r="D22" s="254" t="s">
        <v>821</v>
      </c>
      <c r="E22" s="252" t="s">
        <v>947</v>
      </c>
      <c r="F22" s="252" t="s">
        <v>946</v>
      </c>
      <c r="G22" s="252" t="s">
        <v>888</v>
      </c>
      <c r="H22" s="252" t="s">
        <v>889</v>
      </c>
      <c r="I22" s="255">
        <v>1</v>
      </c>
    </row>
    <row r="23" spans="1:9" ht="14.1" customHeight="1">
      <c r="A23" s="251" t="s">
        <v>942</v>
      </c>
      <c r="B23" s="252" t="s">
        <v>941</v>
      </c>
      <c r="C23" s="253" t="s">
        <v>2052</v>
      </c>
      <c r="D23" s="254" t="s">
        <v>821</v>
      </c>
      <c r="E23" s="252" t="s">
        <v>1020</v>
      </c>
      <c r="F23" s="252" t="s">
        <v>921</v>
      </c>
      <c r="G23" s="252" t="s">
        <v>888</v>
      </c>
      <c r="H23" s="252" t="s">
        <v>889</v>
      </c>
      <c r="I23" s="255">
        <v>215.7</v>
      </c>
    </row>
    <row r="24" spans="1:9" ht="14.1" customHeight="1">
      <c r="A24" s="251" t="s">
        <v>949</v>
      </c>
      <c r="B24" s="252" t="s">
        <v>948</v>
      </c>
      <c r="C24" s="256" t="s">
        <v>2047</v>
      </c>
      <c r="D24" s="254" t="s">
        <v>822</v>
      </c>
      <c r="E24" s="252" t="s">
        <v>917</v>
      </c>
      <c r="F24" s="252" t="s">
        <v>886</v>
      </c>
      <c r="G24" s="252" t="s">
        <v>919</v>
      </c>
      <c r="H24" s="252" t="s">
        <v>889</v>
      </c>
      <c r="I24" s="255">
        <v>1.3</v>
      </c>
    </row>
    <row r="25" spans="1:9" ht="14.1" customHeight="1">
      <c r="A25" s="251" t="s">
        <v>949</v>
      </c>
      <c r="B25" s="252" t="s">
        <v>948</v>
      </c>
      <c r="C25" s="257" t="s">
        <v>2794</v>
      </c>
      <c r="D25" s="254" t="s">
        <v>822</v>
      </c>
      <c r="E25" s="252" t="s">
        <v>917</v>
      </c>
      <c r="F25" s="252" t="s">
        <v>950</v>
      </c>
      <c r="G25" s="252" t="s">
        <v>918</v>
      </c>
      <c r="H25" s="252" t="s">
        <v>892</v>
      </c>
      <c r="I25" s="255">
        <v>4.75</v>
      </c>
    </row>
    <row r="26" spans="1:9" ht="14.1" customHeight="1">
      <c r="A26" s="251" t="s">
        <v>952</v>
      </c>
      <c r="B26" s="252" t="s">
        <v>951</v>
      </c>
      <c r="C26" s="256" t="s">
        <v>2947</v>
      </c>
      <c r="D26" s="254" t="s">
        <v>822</v>
      </c>
      <c r="E26" s="252" t="s">
        <v>906</v>
      </c>
      <c r="F26" s="252" t="s">
        <v>953</v>
      </c>
      <c r="G26" s="252" t="s">
        <v>954</v>
      </c>
      <c r="H26" s="252" t="s">
        <v>889</v>
      </c>
      <c r="I26" s="255">
        <v>24.372</v>
      </c>
    </row>
    <row r="27" spans="1:9" ht="14.1" customHeight="1">
      <c r="A27" s="251" t="s">
        <v>956</v>
      </c>
      <c r="B27" s="252" t="s">
        <v>955</v>
      </c>
      <c r="C27" s="256" t="s">
        <v>3241</v>
      </c>
      <c r="D27" s="254" t="s">
        <v>822</v>
      </c>
      <c r="E27" s="252" t="s">
        <v>917</v>
      </c>
      <c r="F27" s="252" t="s">
        <v>957</v>
      </c>
      <c r="G27" s="252" t="s">
        <v>918</v>
      </c>
      <c r="H27" s="252" t="s">
        <v>889</v>
      </c>
      <c r="I27" s="255">
        <v>3.8279999999999998</v>
      </c>
    </row>
    <row r="28" spans="1:9" ht="14.1" customHeight="1">
      <c r="A28" s="251" t="s">
        <v>956</v>
      </c>
      <c r="B28" s="252" t="s">
        <v>955</v>
      </c>
      <c r="C28" s="256" t="s">
        <v>3238</v>
      </c>
      <c r="D28" s="254" t="s">
        <v>822</v>
      </c>
      <c r="E28" s="252" t="s">
        <v>938</v>
      </c>
      <c r="F28" s="252" t="s">
        <v>958</v>
      </c>
      <c r="G28" s="252" t="s">
        <v>959</v>
      </c>
      <c r="H28" s="252" t="s">
        <v>889</v>
      </c>
      <c r="I28" s="255">
        <v>13</v>
      </c>
    </row>
    <row r="29" spans="1:9" ht="14.1" customHeight="1">
      <c r="A29" s="251" t="s">
        <v>961</v>
      </c>
      <c r="B29" s="252" t="s">
        <v>960</v>
      </c>
      <c r="C29" s="257" t="s">
        <v>3385</v>
      </c>
      <c r="D29" s="254" t="s">
        <v>822</v>
      </c>
      <c r="E29" s="252" t="s">
        <v>917</v>
      </c>
      <c r="F29" s="252" t="s">
        <v>962</v>
      </c>
      <c r="G29" s="252" t="s">
        <v>929</v>
      </c>
      <c r="H29" s="252" t="s">
        <v>889</v>
      </c>
      <c r="I29" s="255">
        <v>1</v>
      </c>
    </row>
    <row r="30" spans="1:9" ht="14.1" customHeight="1">
      <c r="A30" s="251" t="s">
        <v>961</v>
      </c>
      <c r="B30" s="252" t="s">
        <v>960</v>
      </c>
      <c r="C30" s="257" t="s">
        <v>3385</v>
      </c>
      <c r="D30" s="254" t="s">
        <v>822</v>
      </c>
      <c r="E30" s="252" t="s">
        <v>917</v>
      </c>
      <c r="F30" s="252" t="s">
        <v>962</v>
      </c>
      <c r="G30" s="252" t="s">
        <v>929</v>
      </c>
      <c r="H30" s="252" t="s">
        <v>889</v>
      </c>
      <c r="I30" s="255">
        <v>1</v>
      </c>
    </row>
    <row r="31" spans="1:9" ht="14.1" customHeight="1">
      <c r="A31" s="251" t="s">
        <v>961</v>
      </c>
      <c r="B31" s="252" t="s">
        <v>960</v>
      </c>
      <c r="C31" s="256" t="s">
        <v>3241</v>
      </c>
      <c r="D31" s="254" t="s">
        <v>822</v>
      </c>
      <c r="E31" s="252" t="s">
        <v>917</v>
      </c>
      <c r="F31" s="252" t="s">
        <v>963</v>
      </c>
      <c r="G31" s="252" t="s">
        <v>918</v>
      </c>
      <c r="H31" s="252" t="s">
        <v>889</v>
      </c>
      <c r="I31" s="255">
        <v>5.0650000000000004</v>
      </c>
    </row>
    <row r="32" spans="1:9" ht="14.1" customHeight="1">
      <c r="A32" s="251" t="s">
        <v>961</v>
      </c>
      <c r="B32" s="252" t="s">
        <v>960</v>
      </c>
      <c r="C32" s="256" t="s">
        <v>3385</v>
      </c>
      <c r="D32" s="254" t="s">
        <v>822</v>
      </c>
      <c r="E32" s="252" t="s">
        <v>917</v>
      </c>
      <c r="F32" s="252" t="s">
        <v>962</v>
      </c>
      <c r="G32" s="252" t="s">
        <v>929</v>
      </c>
      <c r="H32" s="252" t="s">
        <v>913</v>
      </c>
      <c r="I32" s="255">
        <v>7</v>
      </c>
    </row>
    <row r="33" spans="1:9" ht="14.1" customHeight="1">
      <c r="A33" s="251" t="s">
        <v>961</v>
      </c>
      <c r="B33" s="252" t="s">
        <v>960</v>
      </c>
      <c r="C33" s="257" t="s">
        <v>3241</v>
      </c>
      <c r="D33" s="254" t="s">
        <v>822</v>
      </c>
      <c r="E33" s="252" t="s">
        <v>917</v>
      </c>
      <c r="F33" s="252" t="s">
        <v>963</v>
      </c>
      <c r="G33" s="252" t="s">
        <v>918</v>
      </c>
      <c r="H33" s="252" t="s">
        <v>889</v>
      </c>
      <c r="I33" s="255">
        <v>12.487</v>
      </c>
    </row>
    <row r="34" spans="1:9" ht="14.1" customHeight="1">
      <c r="A34" s="251" t="s">
        <v>961</v>
      </c>
      <c r="B34" s="252" t="s">
        <v>960</v>
      </c>
      <c r="C34" s="256" t="s">
        <v>3387</v>
      </c>
      <c r="D34" s="254" t="s">
        <v>821</v>
      </c>
      <c r="E34" s="252" t="s">
        <v>1020</v>
      </c>
      <c r="F34" s="252" t="s">
        <v>921</v>
      </c>
      <c r="G34" s="252" t="s">
        <v>888</v>
      </c>
      <c r="H34" s="252" t="s">
        <v>892</v>
      </c>
      <c r="I34" s="255">
        <v>1238.578</v>
      </c>
    </row>
    <row r="35" spans="1:9" ht="14.1" customHeight="1">
      <c r="A35" s="251" t="s">
        <v>965</v>
      </c>
      <c r="B35" s="252" t="s">
        <v>964</v>
      </c>
      <c r="C35" s="256" t="s">
        <v>3509</v>
      </c>
      <c r="D35" s="254" t="s">
        <v>822</v>
      </c>
      <c r="E35" s="252" t="s">
        <v>917</v>
      </c>
      <c r="F35" s="252" t="s">
        <v>966</v>
      </c>
      <c r="G35" s="252" t="s">
        <v>929</v>
      </c>
      <c r="H35" s="252" t="s">
        <v>889</v>
      </c>
      <c r="I35" s="255">
        <v>3.9E-2</v>
      </c>
    </row>
    <row r="36" spans="1:9" ht="14.1" customHeight="1">
      <c r="A36" s="251" t="s">
        <v>965</v>
      </c>
      <c r="B36" s="252" t="s">
        <v>964</v>
      </c>
      <c r="C36" s="256" t="s">
        <v>3505</v>
      </c>
      <c r="D36" s="254" t="s">
        <v>821</v>
      </c>
      <c r="E36" s="252" t="s">
        <v>968</v>
      </c>
      <c r="F36" s="252" t="s">
        <v>967</v>
      </c>
      <c r="G36" s="252" t="s">
        <v>939</v>
      </c>
      <c r="H36" s="252" t="s">
        <v>889</v>
      </c>
      <c r="I36" s="255">
        <v>140.4</v>
      </c>
    </row>
    <row r="37" spans="1:9" ht="14.1" customHeight="1">
      <c r="A37" s="251" t="s">
        <v>965</v>
      </c>
      <c r="B37" s="252" t="s">
        <v>964</v>
      </c>
      <c r="C37" s="256" t="s">
        <v>3506</v>
      </c>
      <c r="D37" s="254" t="s">
        <v>822</v>
      </c>
      <c r="E37" s="252" t="s">
        <v>1088</v>
      </c>
      <c r="F37" s="252" t="s">
        <v>969</v>
      </c>
      <c r="G37" s="252" t="s">
        <v>888</v>
      </c>
      <c r="H37" s="252" t="s">
        <v>892</v>
      </c>
      <c r="I37" s="255">
        <v>250</v>
      </c>
    </row>
    <row r="38" spans="1:9" ht="14.1" customHeight="1">
      <c r="A38" s="251" t="s">
        <v>971</v>
      </c>
      <c r="B38" s="252" t="s">
        <v>970</v>
      </c>
      <c r="C38" s="256" t="s">
        <v>3632</v>
      </c>
      <c r="D38" s="254" t="s">
        <v>822</v>
      </c>
      <c r="E38" s="252" t="s">
        <v>917</v>
      </c>
      <c r="F38" s="252" t="s">
        <v>972</v>
      </c>
      <c r="G38" s="252" t="s">
        <v>918</v>
      </c>
      <c r="H38" s="252" t="s">
        <v>889</v>
      </c>
      <c r="I38" s="255">
        <v>2.2000000000000002</v>
      </c>
    </row>
    <row r="39" spans="1:9" ht="14.1" customHeight="1">
      <c r="A39" s="251" t="s">
        <v>971</v>
      </c>
      <c r="B39" s="252" t="s">
        <v>970</v>
      </c>
      <c r="C39" s="256" t="s">
        <v>3630</v>
      </c>
      <c r="D39" s="254" t="s">
        <v>822</v>
      </c>
      <c r="E39" s="252" t="s">
        <v>906</v>
      </c>
      <c r="F39" s="252" t="s">
        <v>973</v>
      </c>
      <c r="G39" s="252" t="s">
        <v>925</v>
      </c>
      <c r="H39" s="252" t="s">
        <v>892</v>
      </c>
      <c r="I39" s="255">
        <v>34</v>
      </c>
    </row>
    <row r="40" spans="1:9" ht="14.1" customHeight="1">
      <c r="A40" s="251" t="s">
        <v>971</v>
      </c>
      <c r="B40" s="252" t="s">
        <v>970</v>
      </c>
      <c r="C40" s="256" t="s">
        <v>3626</v>
      </c>
      <c r="D40" s="254" t="s">
        <v>821</v>
      </c>
      <c r="E40" s="252" t="s">
        <v>968</v>
      </c>
      <c r="F40" s="252" t="s">
        <v>974</v>
      </c>
      <c r="G40" s="252" t="s">
        <v>888</v>
      </c>
      <c r="H40" s="252" t="s">
        <v>889</v>
      </c>
      <c r="I40" s="255">
        <v>39</v>
      </c>
    </row>
    <row r="41" spans="1:9" ht="14.1" customHeight="1">
      <c r="A41" s="251" t="s">
        <v>971</v>
      </c>
      <c r="B41" s="252" t="s">
        <v>970</v>
      </c>
      <c r="C41" s="256" t="s">
        <v>3629</v>
      </c>
      <c r="D41" s="254" t="s">
        <v>822</v>
      </c>
      <c r="E41" s="252" t="s">
        <v>1088</v>
      </c>
      <c r="F41" s="252" t="s">
        <v>886</v>
      </c>
      <c r="G41" s="252" t="s">
        <v>939</v>
      </c>
      <c r="H41" s="252" t="s">
        <v>931</v>
      </c>
      <c r="I41" s="255">
        <v>235.97</v>
      </c>
    </row>
    <row r="42" spans="1:9" ht="14.1" customHeight="1">
      <c r="A42" s="251" t="s">
        <v>971</v>
      </c>
      <c r="B42" s="252" t="s">
        <v>970</v>
      </c>
      <c r="C42" s="256" t="s">
        <v>3631</v>
      </c>
      <c r="D42" s="254" t="s">
        <v>821</v>
      </c>
      <c r="E42" s="252" t="s">
        <v>887</v>
      </c>
      <c r="F42" s="252" t="s">
        <v>886</v>
      </c>
      <c r="G42" s="252" t="s">
        <v>939</v>
      </c>
      <c r="H42" s="252" t="s">
        <v>889</v>
      </c>
      <c r="I42" s="255">
        <v>241</v>
      </c>
    </row>
    <row r="43" spans="1:9" ht="14.1" customHeight="1">
      <c r="A43" s="251" t="s">
        <v>976</v>
      </c>
      <c r="B43" s="252" t="s">
        <v>975</v>
      </c>
      <c r="C43" s="257" t="s">
        <v>3797</v>
      </c>
      <c r="D43" s="254" t="s">
        <v>822</v>
      </c>
      <c r="E43" s="252" t="s">
        <v>917</v>
      </c>
      <c r="F43" s="252" t="s">
        <v>977</v>
      </c>
      <c r="G43" s="252" t="s">
        <v>918</v>
      </c>
      <c r="H43" s="252" t="s">
        <v>889</v>
      </c>
      <c r="I43" s="255">
        <v>0.86099999999999999</v>
      </c>
    </row>
    <row r="44" spans="1:9" ht="14.1" customHeight="1">
      <c r="A44" s="251" t="s">
        <v>976</v>
      </c>
      <c r="B44" s="252" t="s">
        <v>975</v>
      </c>
      <c r="C44" s="256" t="s">
        <v>3796</v>
      </c>
      <c r="D44" s="254" t="s">
        <v>822</v>
      </c>
      <c r="E44" s="252" t="s">
        <v>917</v>
      </c>
      <c r="F44" s="252" t="s">
        <v>977</v>
      </c>
      <c r="G44" s="252" t="s">
        <v>918</v>
      </c>
      <c r="H44" s="252" t="s">
        <v>889</v>
      </c>
      <c r="I44" s="255">
        <v>2.1040000000000001</v>
      </c>
    </row>
    <row r="45" spans="1:9" ht="14.1" customHeight="1">
      <c r="A45" s="251" t="s">
        <v>976</v>
      </c>
      <c r="B45" s="252" t="s">
        <v>975</v>
      </c>
      <c r="C45" s="256" t="s">
        <v>3795</v>
      </c>
      <c r="D45" s="254" t="s">
        <v>822</v>
      </c>
      <c r="E45" s="252" t="s">
        <v>917</v>
      </c>
      <c r="F45" s="252" t="s">
        <v>977</v>
      </c>
      <c r="G45" s="252" t="s">
        <v>918</v>
      </c>
      <c r="H45" s="252" t="s">
        <v>889</v>
      </c>
      <c r="I45" s="255">
        <v>3.1230000000000002</v>
      </c>
    </row>
    <row r="46" spans="1:9" ht="14.1" customHeight="1">
      <c r="A46" s="251" t="s">
        <v>976</v>
      </c>
      <c r="B46" s="252" t="s">
        <v>975</v>
      </c>
      <c r="C46" s="256" t="s">
        <v>3792</v>
      </c>
      <c r="D46" s="254" t="s">
        <v>822</v>
      </c>
      <c r="E46" s="252" t="s">
        <v>917</v>
      </c>
      <c r="F46" s="252" t="s">
        <v>978</v>
      </c>
      <c r="G46" s="252" t="s">
        <v>888</v>
      </c>
      <c r="H46" s="252" t="s">
        <v>892</v>
      </c>
      <c r="I46" s="255">
        <v>5</v>
      </c>
    </row>
    <row r="47" spans="1:9" ht="14.1" customHeight="1">
      <c r="A47" s="251" t="s">
        <v>976</v>
      </c>
      <c r="B47" s="252" t="s">
        <v>975</v>
      </c>
      <c r="C47" s="257" t="s">
        <v>3794</v>
      </c>
      <c r="D47" s="254" t="s">
        <v>822</v>
      </c>
      <c r="E47" s="252" t="s">
        <v>917</v>
      </c>
      <c r="F47" s="252" t="s">
        <v>979</v>
      </c>
      <c r="G47" s="252" t="s">
        <v>918</v>
      </c>
      <c r="H47" s="252" t="s">
        <v>913</v>
      </c>
      <c r="I47" s="255">
        <v>5</v>
      </c>
    </row>
    <row r="48" spans="1:9" ht="14.1" customHeight="1">
      <c r="A48" s="251" t="s">
        <v>976</v>
      </c>
      <c r="B48" s="252" t="s">
        <v>975</v>
      </c>
      <c r="C48" s="256" t="s">
        <v>3791</v>
      </c>
      <c r="D48" s="254" t="s">
        <v>822</v>
      </c>
      <c r="E48" s="252" t="s">
        <v>890</v>
      </c>
      <c r="F48" s="252" t="s">
        <v>980</v>
      </c>
      <c r="G48" s="252" t="s">
        <v>904</v>
      </c>
      <c r="H48" s="252" t="s">
        <v>889</v>
      </c>
      <c r="I48" s="255">
        <v>7.7</v>
      </c>
    </row>
    <row r="49" spans="1:9" ht="14.1" customHeight="1">
      <c r="A49" s="251" t="s">
        <v>976</v>
      </c>
      <c r="B49" s="252" t="s">
        <v>975</v>
      </c>
      <c r="C49" s="256" t="s">
        <v>3793</v>
      </c>
      <c r="D49" s="254" t="s">
        <v>822</v>
      </c>
      <c r="E49" s="252" t="s">
        <v>917</v>
      </c>
      <c r="F49" s="252" t="s">
        <v>981</v>
      </c>
      <c r="G49" s="252" t="s">
        <v>888</v>
      </c>
      <c r="H49" s="252" t="s">
        <v>913</v>
      </c>
      <c r="I49" s="255">
        <v>8.5</v>
      </c>
    </row>
    <row r="50" spans="1:9" ht="14.1" customHeight="1">
      <c r="A50" s="251" t="s">
        <v>976</v>
      </c>
      <c r="B50" s="252" t="s">
        <v>975</v>
      </c>
      <c r="C50" s="256" t="s">
        <v>3794</v>
      </c>
      <c r="D50" s="254" t="s">
        <v>822</v>
      </c>
      <c r="E50" s="252" t="s">
        <v>917</v>
      </c>
      <c r="F50" s="252" t="s">
        <v>979</v>
      </c>
      <c r="G50" s="252" t="s">
        <v>918</v>
      </c>
      <c r="H50" s="252" t="s">
        <v>889</v>
      </c>
      <c r="I50" s="255">
        <v>37.808999999999997</v>
      </c>
    </row>
    <row r="51" spans="1:9" ht="14.1" customHeight="1">
      <c r="A51" s="251" t="s">
        <v>976</v>
      </c>
      <c r="B51" s="252" t="s">
        <v>975</v>
      </c>
      <c r="C51" s="256" t="s">
        <v>3798</v>
      </c>
      <c r="D51" s="254" t="s">
        <v>822</v>
      </c>
      <c r="E51" s="252" t="s">
        <v>894</v>
      </c>
      <c r="F51" s="252" t="s">
        <v>982</v>
      </c>
      <c r="G51" s="252" t="s">
        <v>984</v>
      </c>
      <c r="H51" s="252" t="s">
        <v>892</v>
      </c>
      <c r="I51" s="255">
        <v>200</v>
      </c>
    </row>
    <row r="52" spans="1:9" ht="14.1" customHeight="1">
      <c r="A52" s="251" t="s">
        <v>976</v>
      </c>
      <c r="B52" s="252" t="s">
        <v>975</v>
      </c>
      <c r="C52" s="256" t="s">
        <v>3788</v>
      </c>
      <c r="D52" s="254" t="s">
        <v>821</v>
      </c>
      <c r="E52" s="252" t="s">
        <v>986</v>
      </c>
      <c r="F52" s="252" t="s">
        <v>985</v>
      </c>
      <c r="G52" s="252" t="s">
        <v>918</v>
      </c>
      <c r="H52" s="252" t="s">
        <v>889</v>
      </c>
      <c r="I52" s="255">
        <v>240</v>
      </c>
    </row>
    <row r="53" spans="1:9" ht="14.1" customHeight="1">
      <c r="A53" s="251" t="s">
        <v>976</v>
      </c>
      <c r="B53" s="252" t="s">
        <v>975</v>
      </c>
      <c r="C53" s="256" t="s">
        <v>3635</v>
      </c>
      <c r="D53" s="254" t="s">
        <v>821</v>
      </c>
      <c r="E53" s="252" t="s">
        <v>1037</v>
      </c>
      <c r="F53" s="252" t="s">
        <v>987</v>
      </c>
      <c r="G53" s="252" t="s">
        <v>888</v>
      </c>
      <c r="H53" s="252" t="s">
        <v>892</v>
      </c>
      <c r="I53" s="255">
        <v>345</v>
      </c>
    </row>
    <row r="54" spans="1:9" ht="14.1" customHeight="1">
      <c r="A54" s="251" t="s">
        <v>990</v>
      </c>
      <c r="B54" s="252" t="s">
        <v>989</v>
      </c>
      <c r="C54" s="257" t="s">
        <v>3964</v>
      </c>
      <c r="D54" s="254" t="s">
        <v>822</v>
      </c>
      <c r="E54" s="252" t="s">
        <v>917</v>
      </c>
      <c r="F54" s="252" t="s">
        <v>991</v>
      </c>
      <c r="G54" s="252" t="s">
        <v>918</v>
      </c>
      <c r="H54" s="252" t="s">
        <v>913</v>
      </c>
      <c r="I54" s="255">
        <v>2.806</v>
      </c>
    </row>
    <row r="55" spans="1:9" ht="14.1" customHeight="1">
      <c r="A55" s="251" t="s">
        <v>990</v>
      </c>
      <c r="B55" s="252" t="s">
        <v>989</v>
      </c>
      <c r="C55" s="256" t="s">
        <v>3970</v>
      </c>
      <c r="D55" s="254" t="s">
        <v>822</v>
      </c>
      <c r="E55" s="252" t="s">
        <v>1068</v>
      </c>
      <c r="F55" s="252" t="s">
        <v>992</v>
      </c>
      <c r="G55" s="252" t="s">
        <v>904</v>
      </c>
      <c r="H55" s="252" t="s">
        <v>889</v>
      </c>
      <c r="I55" s="255">
        <v>3.1230000000000002</v>
      </c>
    </row>
    <row r="56" spans="1:9" ht="14.1" customHeight="1">
      <c r="A56" s="251" t="s">
        <v>990</v>
      </c>
      <c r="B56" s="252" t="s">
        <v>989</v>
      </c>
      <c r="C56" s="256" t="s">
        <v>3957</v>
      </c>
      <c r="D56" s="254" t="s">
        <v>821</v>
      </c>
      <c r="E56" s="252" t="s">
        <v>968</v>
      </c>
      <c r="F56" s="252" t="s">
        <v>993</v>
      </c>
      <c r="G56" s="252" t="s">
        <v>929</v>
      </c>
      <c r="H56" s="252" t="s">
        <v>892</v>
      </c>
      <c r="I56" s="255">
        <v>5.0579999999999998</v>
      </c>
    </row>
    <row r="57" spans="1:9" ht="14.1" customHeight="1">
      <c r="A57" s="251" t="s">
        <v>990</v>
      </c>
      <c r="B57" s="252" t="s">
        <v>989</v>
      </c>
      <c r="C57" s="253" t="s">
        <v>3966</v>
      </c>
      <c r="D57" s="254" t="s">
        <v>822</v>
      </c>
      <c r="E57" s="252" t="s">
        <v>917</v>
      </c>
      <c r="F57" s="252" t="s">
        <v>994</v>
      </c>
      <c r="G57" s="252" t="s">
        <v>918</v>
      </c>
      <c r="H57" s="252" t="s">
        <v>889</v>
      </c>
      <c r="I57" s="255">
        <v>7</v>
      </c>
    </row>
    <row r="58" spans="1:9" ht="14.1" customHeight="1">
      <c r="A58" s="251" t="s">
        <v>990</v>
      </c>
      <c r="B58" s="252" t="s">
        <v>989</v>
      </c>
      <c r="C58" s="256" t="s">
        <v>3967</v>
      </c>
      <c r="D58" s="254" t="s">
        <v>822</v>
      </c>
      <c r="E58" s="252" t="s">
        <v>894</v>
      </c>
      <c r="F58" s="252" t="s">
        <v>995</v>
      </c>
      <c r="G58" s="252" t="s">
        <v>918</v>
      </c>
      <c r="H58" s="252" t="s">
        <v>889</v>
      </c>
      <c r="I58" s="255">
        <v>10</v>
      </c>
    </row>
    <row r="59" spans="1:9" ht="14.1" customHeight="1">
      <c r="A59" s="251" t="s">
        <v>990</v>
      </c>
      <c r="B59" s="252" t="s">
        <v>989</v>
      </c>
      <c r="C59" s="256" t="s">
        <v>3960</v>
      </c>
      <c r="D59" s="254" t="s">
        <v>822</v>
      </c>
      <c r="E59" s="252" t="s">
        <v>1088</v>
      </c>
      <c r="F59" s="252" t="s">
        <v>996</v>
      </c>
      <c r="G59" s="252" t="s">
        <v>939</v>
      </c>
      <c r="H59" s="252" t="s">
        <v>889</v>
      </c>
      <c r="I59" s="255">
        <v>11.2</v>
      </c>
    </row>
    <row r="60" spans="1:9" ht="14.1" customHeight="1">
      <c r="A60" s="251" t="s">
        <v>990</v>
      </c>
      <c r="B60" s="252" t="s">
        <v>989</v>
      </c>
      <c r="C60" s="256" t="s">
        <v>3963</v>
      </c>
      <c r="D60" s="254" t="s">
        <v>822</v>
      </c>
      <c r="E60" s="252" t="s">
        <v>917</v>
      </c>
      <c r="F60" s="252" t="s">
        <v>930</v>
      </c>
      <c r="G60" s="252" t="s">
        <v>918</v>
      </c>
      <c r="H60" s="252" t="s">
        <v>892</v>
      </c>
      <c r="I60" s="255">
        <v>25</v>
      </c>
    </row>
    <row r="61" spans="1:9" ht="14.1" customHeight="1">
      <c r="A61" s="251" t="s">
        <v>990</v>
      </c>
      <c r="B61" s="252" t="s">
        <v>989</v>
      </c>
      <c r="C61" s="256" t="s">
        <v>3965</v>
      </c>
      <c r="D61" s="254" t="s">
        <v>822</v>
      </c>
      <c r="E61" s="252" t="s">
        <v>917</v>
      </c>
      <c r="F61" s="252" t="s">
        <v>994</v>
      </c>
      <c r="G61" s="252" t="s">
        <v>918</v>
      </c>
      <c r="H61" s="252" t="s">
        <v>889</v>
      </c>
      <c r="I61" s="255">
        <v>42.948999999999998</v>
      </c>
    </row>
    <row r="62" spans="1:9" ht="14.1" customHeight="1">
      <c r="A62" s="251" t="s">
        <v>998</v>
      </c>
      <c r="B62" s="252" t="s">
        <v>997</v>
      </c>
      <c r="C62" s="257" t="s">
        <v>4094</v>
      </c>
      <c r="D62" s="254" t="s">
        <v>821</v>
      </c>
      <c r="E62" s="252" t="s">
        <v>1000</v>
      </c>
      <c r="F62" s="252" t="s">
        <v>999</v>
      </c>
      <c r="G62" s="252" t="s">
        <v>929</v>
      </c>
      <c r="H62" s="252" t="s">
        <v>889</v>
      </c>
      <c r="I62" s="255">
        <v>7</v>
      </c>
    </row>
    <row r="63" spans="1:9" ht="14.1" customHeight="1">
      <c r="A63" s="251" t="s">
        <v>998</v>
      </c>
      <c r="B63" s="252" t="s">
        <v>997</v>
      </c>
      <c r="C63" s="253" t="s">
        <v>4082</v>
      </c>
      <c r="D63" s="254" t="s">
        <v>821</v>
      </c>
      <c r="E63" s="252" t="s">
        <v>968</v>
      </c>
      <c r="F63" s="252" t="s">
        <v>1001</v>
      </c>
      <c r="G63" s="252" t="s">
        <v>888</v>
      </c>
      <c r="H63" s="252" t="s">
        <v>892</v>
      </c>
      <c r="I63" s="255">
        <v>209</v>
      </c>
    </row>
    <row r="64" spans="1:9" ht="14.1" customHeight="1">
      <c r="A64" s="251" t="s">
        <v>998</v>
      </c>
      <c r="B64" s="252" t="s">
        <v>997</v>
      </c>
      <c r="C64" s="253" t="s">
        <v>4090</v>
      </c>
      <c r="D64" s="254" t="s">
        <v>822</v>
      </c>
      <c r="E64" s="252" t="s">
        <v>917</v>
      </c>
      <c r="F64" s="252" t="s">
        <v>1002</v>
      </c>
      <c r="G64" s="252" t="s">
        <v>925</v>
      </c>
      <c r="H64" s="252" t="s">
        <v>889</v>
      </c>
      <c r="I64" s="255">
        <v>960</v>
      </c>
    </row>
    <row r="65" spans="1:9" ht="14.1" customHeight="1">
      <c r="A65" s="251" t="s">
        <v>1004</v>
      </c>
      <c r="B65" s="252" t="s">
        <v>1003</v>
      </c>
      <c r="C65" s="253" t="s">
        <v>4210</v>
      </c>
      <c r="D65" s="254" t="s">
        <v>822</v>
      </c>
      <c r="E65" s="252" t="s">
        <v>894</v>
      </c>
      <c r="F65" s="252" t="s">
        <v>940</v>
      </c>
      <c r="G65" s="252" t="s">
        <v>895</v>
      </c>
      <c r="H65" s="252" t="s">
        <v>889</v>
      </c>
      <c r="I65" s="255">
        <v>0.4</v>
      </c>
    </row>
    <row r="66" spans="1:9" ht="14.1" customHeight="1">
      <c r="A66" s="251" t="s">
        <v>1004</v>
      </c>
      <c r="B66" s="252" t="s">
        <v>1003</v>
      </c>
      <c r="C66" s="256" t="s">
        <v>4211</v>
      </c>
      <c r="D66" s="254" t="s">
        <v>822</v>
      </c>
      <c r="E66" s="252" t="s">
        <v>894</v>
      </c>
      <c r="F66" s="252" t="s">
        <v>940</v>
      </c>
      <c r="G66" s="252" t="s">
        <v>895</v>
      </c>
      <c r="H66" s="252" t="s">
        <v>892</v>
      </c>
      <c r="I66" s="255">
        <v>0.4</v>
      </c>
    </row>
    <row r="67" spans="1:9" ht="14.1" customHeight="1">
      <c r="A67" s="251" t="s">
        <v>1004</v>
      </c>
      <c r="B67" s="252" t="s">
        <v>1003</v>
      </c>
      <c r="C67" s="256" t="s">
        <v>4212</v>
      </c>
      <c r="D67" s="254" t="s">
        <v>821</v>
      </c>
      <c r="E67" s="252" t="s">
        <v>1020</v>
      </c>
      <c r="F67" s="252" t="s">
        <v>1005</v>
      </c>
      <c r="G67" s="252" t="s">
        <v>918</v>
      </c>
      <c r="H67" s="252" t="s">
        <v>892</v>
      </c>
      <c r="I67" s="255">
        <v>2.5</v>
      </c>
    </row>
    <row r="68" spans="1:9" ht="14.1" customHeight="1">
      <c r="A68" s="251" t="s">
        <v>1004</v>
      </c>
      <c r="B68" s="252" t="s">
        <v>1003</v>
      </c>
      <c r="C68" s="256" t="s">
        <v>4202</v>
      </c>
      <c r="D68" s="254" t="s">
        <v>822</v>
      </c>
      <c r="E68" s="252" t="s">
        <v>1088</v>
      </c>
      <c r="F68" s="252" t="s">
        <v>1006</v>
      </c>
      <c r="G68" s="252" t="s">
        <v>888</v>
      </c>
      <c r="H68" s="252" t="s">
        <v>889</v>
      </c>
      <c r="I68" s="255">
        <v>2.7090000000000001</v>
      </c>
    </row>
    <row r="69" spans="1:9" ht="14.1" customHeight="1">
      <c r="A69" s="251" t="s">
        <v>1004</v>
      </c>
      <c r="B69" s="252" t="s">
        <v>1003</v>
      </c>
      <c r="C69" s="256" t="s">
        <v>4209</v>
      </c>
      <c r="D69" s="254" t="s">
        <v>822</v>
      </c>
      <c r="E69" s="252" t="s">
        <v>917</v>
      </c>
      <c r="F69" s="252" t="s">
        <v>1007</v>
      </c>
      <c r="G69" s="252" t="s">
        <v>918</v>
      </c>
      <c r="H69" s="252" t="s">
        <v>889</v>
      </c>
      <c r="I69" s="255">
        <v>3.5339999999999998</v>
      </c>
    </row>
    <row r="70" spans="1:9" ht="14.1" customHeight="1">
      <c r="A70" s="251" t="s">
        <v>1004</v>
      </c>
      <c r="B70" s="252" t="s">
        <v>1003</v>
      </c>
      <c r="C70" s="256" t="s">
        <v>4215</v>
      </c>
      <c r="D70" s="254" t="s">
        <v>822</v>
      </c>
      <c r="E70" s="252" t="s">
        <v>1009</v>
      </c>
      <c r="F70" s="252" t="s">
        <v>1008</v>
      </c>
      <c r="G70" s="252" t="s">
        <v>1010</v>
      </c>
      <c r="H70" s="252" t="s">
        <v>889</v>
      </c>
      <c r="I70" s="255">
        <v>155</v>
      </c>
    </row>
    <row r="71" spans="1:9" ht="14.1" customHeight="1">
      <c r="A71" s="251" t="s">
        <v>1012</v>
      </c>
      <c r="B71" s="252" t="s">
        <v>1011</v>
      </c>
      <c r="C71" s="256" t="s">
        <v>4363</v>
      </c>
      <c r="D71" s="254" t="s">
        <v>822</v>
      </c>
      <c r="E71" s="252" t="s">
        <v>917</v>
      </c>
      <c r="F71" s="252" t="s">
        <v>994</v>
      </c>
      <c r="G71" s="252" t="s">
        <v>918</v>
      </c>
      <c r="H71" s="252" t="s">
        <v>892</v>
      </c>
      <c r="I71" s="255">
        <v>2.0059999999999998</v>
      </c>
    </row>
    <row r="72" spans="1:9" ht="14.1" customHeight="1">
      <c r="A72" s="251" t="s">
        <v>1012</v>
      </c>
      <c r="B72" s="252" t="s">
        <v>1011</v>
      </c>
      <c r="C72" s="257" t="s">
        <v>4361</v>
      </c>
      <c r="D72" s="254" t="s">
        <v>822</v>
      </c>
      <c r="E72" s="252" t="s">
        <v>917</v>
      </c>
      <c r="F72" s="252" t="s">
        <v>1013</v>
      </c>
      <c r="G72" s="252" t="s">
        <v>918</v>
      </c>
      <c r="H72" s="252" t="s">
        <v>892</v>
      </c>
      <c r="I72" s="255">
        <v>2.6</v>
      </c>
    </row>
    <row r="73" spans="1:9" ht="14.1" customHeight="1">
      <c r="A73" s="251" t="s">
        <v>1012</v>
      </c>
      <c r="B73" s="252" t="s">
        <v>1011</v>
      </c>
      <c r="C73" s="253" t="s">
        <v>4362</v>
      </c>
      <c r="D73" s="254" t="s">
        <v>822</v>
      </c>
      <c r="E73" s="252" t="s">
        <v>917</v>
      </c>
      <c r="F73" s="252" t="s">
        <v>1014</v>
      </c>
      <c r="G73" s="252" t="s">
        <v>918</v>
      </c>
      <c r="H73" s="252" t="s">
        <v>889</v>
      </c>
      <c r="I73" s="255">
        <v>21</v>
      </c>
    </row>
    <row r="74" spans="1:9" ht="14.1" customHeight="1">
      <c r="A74" s="251" t="s">
        <v>1012</v>
      </c>
      <c r="B74" s="252" t="s">
        <v>1011</v>
      </c>
      <c r="C74" s="253" t="s">
        <v>4364</v>
      </c>
      <c r="D74" s="254" t="s">
        <v>822</v>
      </c>
      <c r="E74" s="252" t="s">
        <v>894</v>
      </c>
      <c r="F74" s="252" t="s">
        <v>1015</v>
      </c>
      <c r="G74" s="252" t="s">
        <v>918</v>
      </c>
      <c r="H74" s="252" t="s">
        <v>892</v>
      </c>
      <c r="I74" s="255">
        <v>28.363</v>
      </c>
    </row>
    <row r="75" spans="1:9" ht="14.1" customHeight="1">
      <c r="A75" s="251" t="s">
        <v>1012</v>
      </c>
      <c r="B75" s="252" t="s">
        <v>1011</v>
      </c>
      <c r="C75" s="256" t="s">
        <v>4367</v>
      </c>
      <c r="D75" s="254" t="s">
        <v>821</v>
      </c>
      <c r="E75" s="252" t="s">
        <v>1020</v>
      </c>
      <c r="F75" s="252" t="s">
        <v>886</v>
      </c>
      <c r="G75" s="252" t="s">
        <v>888</v>
      </c>
      <c r="H75" s="252" t="s">
        <v>889</v>
      </c>
      <c r="I75" s="255">
        <v>190</v>
      </c>
    </row>
    <row r="76" spans="1:9" ht="14.1" customHeight="1">
      <c r="A76" s="251" t="s">
        <v>1012</v>
      </c>
      <c r="B76" s="252" t="s">
        <v>1011</v>
      </c>
      <c r="C76" s="256" t="s">
        <v>4359</v>
      </c>
      <c r="D76" s="254" t="s">
        <v>821</v>
      </c>
      <c r="E76" s="252" t="s">
        <v>887</v>
      </c>
      <c r="F76" s="252" t="s">
        <v>1006</v>
      </c>
      <c r="G76" s="252" t="s">
        <v>888</v>
      </c>
      <c r="H76" s="252" t="s">
        <v>889</v>
      </c>
      <c r="I76" s="255">
        <v>875.29499999999996</v>
      </c>
    </row>
    <row r="77" spans="1:9" ht="14.1" customHeight="1">
      <c r="A77" s="251" t="s">
        <v>1027</v>
      </c>
      <c r="B77" s="252" t="s">
        <v>898</v>
      </c>
      <c r="C77" s="256" t="s">
        <v>1788</v>
      </c>
      <c r="D77" s="254" t="s">
        <v>822</v>
      </c>
      <c r="E77" s="252" t="s">
        <v>917</v>
      </c>
      <c r="F77" s="252" t="s">
        <v>1028</v>
      </c>
      <c r="G77" s="252" t="s">
        <v>918</v>
      </c>
      <c r="H77" s="252" t="s">
        <v>889</v>
      </c>
      <c r="I77" s="255">
        <v>0.192</v>
      </c>
    </row>
    <row r="78" spans="1:9" ht="14.1" customHeight="1">
      <c r="A78" s="251" t="s">
        <v>1027</v>
      </c>
      <c r="B78" s="252" t="s">
        <v>898</v>
      </c>
      <c r="C78" s="256" t="s">
        <v>1754</v>
      </c>
      <c r="D78" s="254" t="s">
        <v>821</v>
      </c>
      <c r="E78" s="252" t="s">
        <v>1030</v>
      </c>
      <c r="F78" s="252" t="s">
        <v>1029</v>
      </c>
      <c r="G78" s="252" t="s">
        <v>895</v>
      </c>
      <c r="H78" s="252" t="s">
        <v>889</v>
      </c>
      <c r="I78" s="255">
        <v>0.36899999999999999</v>
      </c>
    </row>
    <row r="79" spans="1:9" ht="14.1" customHeight="1">
      <c r="A79" s="251" t="s">
        <v>1027</v>
      </c>
      <c r="B79" s="252" t="s">
        <v>898</v>
      </c>
      <c r="C79" s="253" t="s">
        <v>1754</v>
      </c>
      <c r="D79" s="254" t="s">
        <v>821</v>
      </c>
      <c r="E79" s="252" t="s">
        <v>1030</v>
      </c>
      <c r="F79" s="252" t="s">
        <v>1029</v>
      </c>
      <c r="G79" s="252" t="s">
        <v>895</v>
      </c>
      <c r="H79" s="252" t="s">
        <v>892</v>
      </c>
      <c r="I79" s="255">
        <v>2.93</v>
      </c>
    </row>
    <row r="80" spans="1:9" ht="14.1" customHeight="1">
      <c r="A80" s="251" t="s">
        <v>1027</v>
      </c>
      <c r="B80" s="252" t="s">
        <v>898</v>
      </c>
      <c r="C80" s="256" t="s">
        <v>1758</v>
      </c>
      <c r="D80" s="254" t="s">
        <v>822</v>
      </c>
      <c r="E80" s="252" t="s">
        <v>1032</v>
      </c>
      <c r="F80" s="252" t="s">
        <v>1031</v>
      </c>
      <c r="G80" s="252" t="s">
        <v>1033</v>
      </c>
      <c r="H80" s="252" t="s">
        <v>892</v>
      </c>
      <c r="I80" s="255">
        <v>4.2590000000000003</v>
      </c>
    </row>
    <row r="81" spans="1:9" ht="14.1" customHeight="1">
      <c r="A81" s="251" t="s">
        <v>1027</v>
      </c>
      <c r="B81" s="252" t="s">
        <v>898</v>
      </c>
      <c r="C81" s="257" t="s">
        <v>1770</v>
      </c>
      <c r="D81" s="254" t="s">
        <v>822</v>
      </c>
      <c r="E81" s="252" t="s">
        <v>890</v>
      </c>
      <c r="F81" s="252" t="s">
        <v>1034</v>
      </c>
      <c r="G81" s="252" t="s">
        <v>888</v>
      </c>
      <c r="H81" s="252" t="s">
        <v>889</v>
      </c>
      <c r="I81" s="255">
        <v>7.9960000000000004</v>
      </c>
    </row>
    <row r="82" spans="1:9" ht="14.1" customHeight="1">
      <c r="A82" s="251" t="s">
        <v>1027</v>
      </c>
      <c r="B82" s="252" t="s">
        <v>898</v>
      </c>
      <c r="C82" s="256" t="s">
        <v>1753</v>
      </c>
      <c r="D82" s="254" t="s">
        <v>822</v>
      </c>
      <c r="E82" s="252" t="s">
        <v>1046</v>
      </c>
      <c r="F82" s="252" t="s">
        <v>1035</v>
      </c>
      <c r="G82" s="252" t="s">
        <v>925</v>
      </c>
      <c r="H82" s="252" t="s">
        <v>931</v>
      </c>
      <c r="I82" s="255">
        <v>15.407</v>
      </c>
    </row>
    <row r="83" spans="1:9" ht="14.1" customHeight="1">
      <c r="A83" s="251" t="s">
        <v>1027</v>
      </c>
      <c r="B83" s="252" t="s">
        <v>898</v>
      </c>
      <c r="C83" s="256" t="s">
        <v>1797</v>
      </c>
      <c r="D83" s="254" t="s">
        <v>821</v>
      </c>
      <c r="E83" s="252" t="s">
        <v>1037</v>
      </c>
      <c r="F83" s="252" t="s">
        <v>1036</v>
      </c>
      <c r="G83" s="252" t="s">
        <v>888</v>
      </c>
      <c r="H83" s="252" t="s">
        <v>889</v>
      </c>
      <c r="I83" s="255">
        <v>37.274999999999999</v>
      </c>
    </row>
    <row r="84" spans="1:9" ht="14.1" customHeight="1">
      <c r="A84" s="251" t="s">
        <v>1027</v>
      </c>
      <c r="B84" s="252" t="s">
        <v>898</v>
      </c>
      <c r="C84" s="256" t="s">
        <v>1737</v>
      </c>
      <c r="D84" s="254" t="s">
        <v>821</v>
      </c>
      <c r="E84" s="252" t="s">
        <v>968</v>
      </c>
      <c r="F84" s="252" t="s">
        <v>993</v>
      </c>
      <c r="G84" s="252" t="s">
        <v>929</v>
      </c>
      <c r="H84" s="252" t="s">
        <v>889</v>
      </c>
      <c r="I84" s="255">
        <v>89.96</v>
      </c>
    </row>
    <row r="85" spans="1:9" ht="14.1" customHeight="1">
      <c r="A85" s="251" t="s">
        <v>1027</v>
      </c>
      <c r="B85" s="252" t="s">
        <v>898</v>
      </c>
      <c r="C85" s="256" t="s">
        <v>1764</v>
      </c>
      <c r="D85" s="254" t="s">
        <v>821</v>
      </c>
      <c r="E85" s="252" t="s">
        <v>986</v>
      </c>
      <c r="F85" s="252" t="s">
        <v>1038</v>
      </c>
      <c r="G85" s="252" t="s">
        <v>888</v>
      </c>
      <c r="H85" s="252" t="s">
        <v>889</v>
      </c>
      <c r="I85" s="255">
        <v>197.49199999999999</v>
      </c>
    </row>
    <row r="86" spans="1:9" ht="14.1" customHeight="1">
      <c r="A86" s="251" t="s">
        <v>1027</v>
      </c>
      <c r="B86" s="252" t="s">
        <v>898</v>
      </c>
      <c r="C86" s="256" t="s">
        <v>1765</v>
      </c>
      <c r="D86" s="254" t="s">
        <v>821</v>
      </c>
      <c r="E86" s="252" t="s">
        <v>887</v>
      </c>
      <c r="F86" s="252" t="s">
        <v>1039</v>
      </c>
      <c r="G86" s="252" t="s">
        <v>888</v>
      </c>
      <c r="H86" s="252" t="s">
        <v>889</v>
      </c>
      <c r="I86" s="255">
        <v>536.34400000000005</v>
      </c>
    </row>
    <row r="87" spans="1:9" ht="14.1" customHeight="1">
      <c r="A87" s="251" t="s">
        <v>1040</v>
      </c>
      <c r="B87" s="252" t="s">
        <v>908</v>
      </c>
      <c r="C87" s="256" t="s">
        <v>1984</v>
      </c>
      <c r="D87" s="254" t="s">
        <v>821</v>
      </c>
      <c r="E87" s="252" t="s">
        <v>1164</v>
      </c>
      <c r="F87" s="252" t="s">
        <v>1041</v>
      </c>
      <c r="G87" s="252" t="s">
        <v>888</v>
      </c>
      <c r="H87" s="252" t="s">
        <v>889</v>
      </c>
      <c r="I87" s="255">
        <v>0.1</v>
      </c>
    </row>
    <row r="88" spans="1:9" ht="14.1" customHeight="1">
      <c r="A88" s="251" t="s">
        <v>1040</v>
      </c>
      <c r="B88" s="252" t="s">
        <v>908</v>
      </c>
      <c r="C88" s="253" t="s">
        <v>1967</v>
      </c>
      <c r="D88" s="254" t="s">
        <v>821</v>
      </c>
      <c r="E88" s="252" t="s">
        <v>1055</v>
      </c>
      <c r="F88" s="252" t="s">
        <v>1042</v>
      </c>
      <c r="G88" s="252" t="s">
        <v>945</v>
      </c>
      <c r="H88" s="252" t="s">
        <v>889</v>
      </c>
      <c r="I88" s="255">
        <v>0.46600000000000003</v>
      </c>
    </row>
    <row r="89" spans="1:9" ht="14.1" customHeight="1">
      <c r="A89" s="251" t="s">
        <v>1040</v>
      </c>
      <c r="B89" s="252" t="s">
        <v>908</v>
      </c>
      <c r="C89" s="253" t="s">
        <v>1989</v>
      </c>
      <c r="D89" s="254" t="s">
        <v>821</v>
      </c>
      <c r="E89" s="252" t="s">
        <v>983</v>
      </c>
      <c r="F89" s="252" t="s">
        <v>1043</v>
      </c>
      <c r="G89" s="252" t="s">
        <v>918</v>
      </c>
      <c r="H89" s="252" t="s">
        <v>889</v>
      </c>
      <c r="I89" s="255">
        <v>0.48099999999999998</v>
      </c>
    </row>
    <row r="90" spans="1:9" ht="14.1" customHeight="1">
      <c r="A90" s="251" t="s">
        <v>1040</v>
      </c>
      <c r="B90" s="252" t="s">
        <v>908</v>
      </c>
      <c r="C90" s="257" t="s">
        <v>1957</v>
      </c>
      <c r="D90" s="254" t="s">
        <v>822</v>
      </c>
      <c r="E90" s="252" t="s">
        <v>894</v>
      </c>
      <c r="F90" s="252" t="s">
        <v>1044</v>
      </c>
      <c r="G90" s="252" t="s">
        <v>918</v>
      </c>
      <c r="H90" s="252" t="s">
        <v>889</v>
      </c>
      <c r="I90" s="255">
        <v>4.0620000000000003</v>
      </c>
    </row>
    <row r="91" spans="1:9" ht="14.1" customHeight="1">
      <c r="A91" s="251" t="s">
        <v>1040</v>
      </c>
      <c r="B91" s="252" t="s">
        <v>908</v>
      </c>
      <c r="C91" s="253" t="s">
        <v>1961</v>
      </c>
      <c r="D91" s="254" t="s">
        <v>822</v>
      </c>
      <c r="E91" s="252" t="s">
        <v>1071</v>
      </c>
      <c r="F91" s="252" t="s">
        <v>1045</v>
      </c>
      <c r="G91" s="252" t="s">
        <v>1047</v>
      </c>
      <c r="H91" s="252" t="s">
        <v>892</v>
      </c>
      <c r="I91" s="255">
        <v>5.5</v>
      </c>
    </row>
    <row r="92" spans="1:9" ht="14.1" customHeight="1">
      <c r="A92" s="251" t="s">
        <v>1040</v>
      </c>
      <c r="B92" s="252" t="s">
        <v>908</v>
      </c>
      <c r="C92" s="256" t="s">
        <v>1946</v>
      </c>
      <c r="D92" s="254" t="s">
        <v>822</v>
      </c>
      <c r="E92" s="252" t="s">
        <v>917</v>
      </c>
      <c r="F92" s="252" t="s">
        <v>1048</v>
      </c>
      <c r="G92" s="252" t="s">
        <v>918</v>
      </c>
      <c r="H92" s="252" t="s">
        <v>931</v>
      </c>
      <c r="I92" s="255">
        <v>6.68</v>
      </c>
    </row>
    <row r="93" spans="1:9" ht="14.1" customHeight="1">
      <c r="A93" s="251" t="s">
        <v>1040</v>
      </c>
      <c r="B93" s="252" t="s">
        <v>908</v>
      </c>
      <c r="C93" s="257" t="s">
        <v>1939</v>
      </c>
      <c r="D93" s="254" t="s">
        <v>821</v>
      </c>
      <c r="E93" s="252" t="s">
        <v>887</v>
      </c>
      <c r="F93" s="252" t="s">
        <v>1049</v>
      </c>
      <c r="G93" s="252" t="s">
        <v>1026</v>
      </c>
      <c r="H93" s="252" t="s">
        <v>889</v>
      </c>
      <c r="I93" s="255">
        <v>8.8309999999999995</v>
      </c>
    </row>
    <row r="94" spans="1:9" ht="14.1" customHeight="1">
      <c r="A94" s="251" t="s">
        <v>1040</v>
      </c>
      <c r="B94" s="252" t="s">
        <v>908</v>
      </c>
      <c r="C94" s="257" t="s">
        <v>1919</v>
      </c>
      <c r="D94" s="254" t="s">
        <v>821</v>
      </c>
      <c r="E94" s="252" t="s">
        <v>1051</v>
      </c>
      <c r="F94" s="252" t="s">
        <v>1050</v>
      </c>
      <c r="G94" s="252" t="s">
        <v>1052</v>
      </c>
      <c r="H94" s="252" t="s">
        <v>931</v>
      </c>
      <c r="I94" s="255">
        <v>16.443000000000001</v>
      </c>
    </row>
    <row r="95" spans="1:9" ht="14.1" customHeight="1">
      <c r="A95" s="251" t="s">
        <v>1040</v>
      </c>
      <c r="B95" s="252" t="s">
        <v>908</v>
      </c>
      <c r="C95" s="257" t="s">
        <v>1912</v>
      </c>
      <c r="D95" s="254" t="s">
        <v>821</v>
      </c>
      <c r="E95" s="252" t="s">
        <v>968</v>
      </c>
      <c r="F95" s="252" t="s">
        <v>1053</v>
      </c>
      <c r="G95" s="252" t="s">
        <v>895</v>
      </c>
      <c r="H95" s="252" t="s">
        <v>889</v>
      </c>
      <c r="I95" s="255">
        <v>33.814</v>
      </c>
    </row>
    <row r="96" spans="1:9" ht="14.1" customHeight="1">
      <c r="A96" s="251" t="s">
        <v>1040</v>
      </c>
      <c r="B96" s="252" t="s">
        <v>908</v>
      </c>
      <c r="C96" s="257" t="s">
        <v>1970</v>
      </c>
      <c r="D96" s="254" t="s">
        <v>821</v>
      </c>
      <c r="E96" s="252" t="s">
        <v>1055</v>
      </c>
      <c r="F96" s="252" t="s">
        <v>1054</v>
      </c>
      <c r="G96" s="252" t="s">
        <v>888</v>
      </c>
      <c r="H96" s="252" t="s">
        <v>889</v>
      </c>
      <c r="I96" s="255">
        <v>50</v>
      </c>
    </row>
    <row r="97" spans="1:9" ht="14.1" customHeight="1">
      <c r="A97" s="251" t="s">
        <v>1040</v>
      </c>
      <c r="B97" s="252" t="s">
        <v>908</v>
      </c>
      <c r="C97" s="257" t="s">
        <v>1948</v>
      </c>
      <c r="D97" s="254" t="s">
        <v>822</v>
      </c>
      <c r="E97" s="252" t="s">
        <v>917</v>
      </c>
      <c r="F97" s="252" t="s">
        <v>1056</v>
      </c>
      <c r="G97" s="252" t="s">
        <v>984</v>
      </c>
      <c r="H97" s="252" t="s">
        <v>889</v>
      </c>
      <c r="I97" s="255">
        <v>80</v>
      </c>
    </row>
    <row r="98" spans="1:9" ht="14.1" customHeight="1">
      <c r="A98" s="251" t="s">
        <v>1040</v>
      </c>
      <c r="B98" s="252" t="s">
        <v>908</v>
      </c>
      <c r="C98" s="256" t="s">
        <v>1938</v>
      </c>
      <c r="D98" s="254" t="s">
        <v>821</v>
      </c>
      <c r="E98" s="252" t="s">
        <v>1150</v>
      </c>
      <c r="F98" s="252" t="s">
        <v>1057</v>
      </c>
      <c r="G98" s="252" t="s">
        <v>984</v>
      </c>
      <c r="H98" s="252" t="s">
        <v>931</v>
      </c>
      <c r="I98" s="255">
        <v>94.677000000000007</v>
      </c>
    </row>
    <row r="99" spans="1:9" ht="14.1" customHeight="1">
      <c r="A99" s="251" t="s">
        <v>1040</v>
      </c>
      <c r="B99" s="252" t="s">
        <v>908</v>
      </c>
      <c r="C99" s="253" t="s">
        <v>1971</v>
      </c>
      <c r="D99" s="254" t="s">
        <v>821</v>
      </c>
      <c r="E99" s="252" t="s">
        <v>1972</v>
      </c>
      <c r="F99" s="252" t="s">
        <v>1058</v>
      </c>
      <c r="G99" s="252" t="s">
        <v>945</v>
      </c>
      <c r="H99" s="252" t="s">
        <v>889</v>
      </c>
      <c r="I99" s="255">
        <v>135.41</v>
      </c>
    </row>
    <row r="100" spans="1:9" ht="14.1" customHeight="1">
      <c r="A100" s="251" t="s">
        <v>1040</v>
      </c>
      <c r="B100" s="252" t="s">
        <v>908</v>
      </c>
      <c r="C100" s="256" t="s">
        <v>1937</v>
      </c>
      <c r="D100" s="254" t="s">
        <v>821</v>
      </c>
      <c r="E100" s="252" t="s">
        <v>1833</v>
      </c>
      <c r="F100" s="252" t="s">
        <v>1059</v>
      </c>
      <c r="G100" s="252" t="s">
        <v>918</v>
      </c>
      <c r="H100" s="252" t="s">
        <v>889</v>
      </c>
      <c r="I100" s="255">
        <v>201.76</v>
      </c>
    </row>
    <row r="101" spans="1:9" ht="14.1" customHeight="1">
      <c r="A101" s="251" t="s">
        <v>1040</v>
      </c>
      <c r="B101" s="252" t="s">
        <v>908</v>
      </c>
      <c r="C101" s="256" t="s">
        <v>1918</v>
      </c>
      <c r="D101" s="254" t="s">
        <v>821</v>
      </c>
      <c r="E101" s="252" t="s">
        <v>968</v>
      </c>
      <c r="F101" s="252" t="s">
        <v>1060</v>
      </c>
      <c r="G101" s="252" t="s">
        <v>888</v>
      </c>
      <c r="H101" s="252" t="s">
        <v>889</v>
      </c>
      <c r="I101" s="255">
        <v>300</v>
      </c>
    </row>
    <row r="102" spans="1:9" ht="14.1" customHeight="1">
      <c r="A102" s="251" t="s">
        <v>1040</v>
      </c>
      <c r="B102" s="252" t="s">
        <v>908</v>
      </c>
      <c r="C102" s="257" t="s">
        <v>1956</v>
      </c>
      <c r="D102" s="254" t="s">
        <v>822</v>
      </c>
      <c r="E102" s="252" t="s">
        <v>894</v>
      </c>
      <c r="F102" s="252" t="s">
        <v>886</v>
      </c>
      <c r="G102" s="252" t="s">
        <v>888</v>
      </c>
      <c r="H102" s="252" t="s">
        <v>889</v>
      </c>
      <c r="I102" s="255">
        <v>300</v>
      </c>
    </row>
    <row r="103" spans="1:9" ht="14.1" customHeight="1">
      <c r="A103" s="251" t="s">
        <v>1040</v>
      </c>
      <c r="B103" s="252" t="s">
        <v>908</v>
      </c>
      <c r="C103" s="253" t="s">
        <v>1973</v>
      </c>
      <c r="D103" s="254" t="s">
        <v>821</v>
      </c>
      <c r="E103" s="252" t="s">
        <v>1020</v>
      </c>
      <c r="F103" s="252" t="s">
        <v>1061</v>
      </c>
      <c r="G103" s="252" t="s">
        <v>888</v>
      </c>
      <c r="H103" s="252" t="s">
        <v>889</v>
      </c>
      <c r="I103" s="255">
        <v>413</v>
      </c>
    </row>
    <row r="104" spans="1:9" ht="14.1" customHeight="1">
      <c r="A104" s="251" t="s">
        <v>1040</v>
      </c>
      <c r="B104" s="252" t="s">
        <v>908</v>
      </c>
      <c r="C104" s="256" t="s">
        <v>1962</v>
      </c>
      <c r="D104" s="254" t="s">
        <v>821</v>
      </c>
      <c r="E104" s="252" t="s">
        <v>1246</v>
      </c>
      <c r="F104" s="252" t="s">
        <v>1062</v>
      </c>
      <c r="G104" s="252" t="s">
        <v>918</v>
      </c>
      <c r="H104" s="252" t="s">
        <v>889</v>
      </c>
      <c r="I104" s="255">
        <v>480.94099999999997</v>
      </c>
    </row>
    <row r="105" spans="1:9" ht="14.1" customHeight="1">
      <c r="A105" s="251" t="s">
        <v>1040</v>
      </c>
      <c r="B105" s="252" t="s">
        <v>908</v>
      </c>
      <c r="C105" s="253" t="s">
        <v>1982</v>
      </c>
      <c r="D105" s="254" t="s">
        <v>821</v>
      </c>
      <c r="E105" s="252" t="s">
        <v>1000</v>
      </c>
      <c r="F105" s="252" t="s">
        <v>1063</v>
      </c>
      <c r="G105" s="252" t="s">
        <v>1026</v>
      </c>
      <c r="H105" s="252" t="s">
        <v>889</v>
      </c>
      <c r="I105" s="255">
        <v>485.06400000000002</v>
      </c>
    </row>
    <row r="106" spans="1:9" ht="14.1" customHeight="1">
      <c r="A106" s="251" t="s">
        <v>1040</v>
      </c>
      <c r="B106" s="252" t="s">
        <v>908</v>
      </c>
      <c r="C106" s="253" t="s">
        <v>1955</v>
      </c>
      <c r="D106" s="254" t="s">
        <v>822</v>
      </c>
      <c r="E106" s="252" t="s">
        <v>894</v>
      </c>
      <c r="F106" s="252" t="s">
        <v>1064</v>
      </c>
      <c r="G106" s="252" t="s">
        <v>925</v>
      </c>
      <c r="H106" s="252" t="s">
        <v>931</v>
      </c>
      <c r="I106" s="255">
        <v>1540</v>
      </c>
    </row>
    <row r="107" spans="1:9" ht="14.1" customHeight="1">
      <c r="A107" s="251" t="s">
        <v>1065</v>
      </c>
      <c r="B107" s="252" t="s">
        <v>914</v>
      </c>
      <c r="C107" s="257" t="s">
        <v>2116</v>
      </c>
      <c r="D107" s="254" t="s">
        <v>821</v>
      </c>
      <c r="E107" s="252" t="s">
        <v>983</v>
      </c>
      <c r="F107" s="252" t="s">
        <v>1066</v>
      </c>
      <c r="G107" s="252" t="s">
        <v>888</v>
      </c>
      <c r="H107" s="252" t="s">
        <v>889</v>
      </c>
      <c r="I107" s="255">
        <v>0.13500000000000001</v>
      </c>
    </row>
    <row r="108" spans="1:9" ht="14.1" customHeight="1">
      <c r="A108" s="251" t="s">
        <v>1065</v>
      </c>
      <c r="B108" s="252" t="s">
        <v>914</v>
      </c>
      <c r="C108" s="256" t="s">
        <v>2059</v>
      </c>
      <c r="D108" s="254" t="s">
        <v>821</v>
      </c>
      <c r="E108" s="252" t="s">
        <v>968</v>
      </c>
      <c r="F108" s="252" t="s">
        <v>1066</v>
      </c>
      <c r="G108" s="252" t="s">
        <v>888</v>
      </c>
      <c r="H108" s="252" t="s">
        <v>889</v>
      </c>
      <c r="I108" s="255">
        <v>0.14000000000000001</v>
      </c>
    </row>
    <row r="109" spans="1:9" ht="14.1" customHeight="1">
      <c r="A109" s="251" t="s">
        <v>1065</v>
      </c>
      <c r="B109" s="252" t="s">
        <v>914</v>
      </c>
      <c r="C109" s="256" t="s">
        <v>2087</v>
      </c>
      <c r="D109" s="254" t="s">
        <v>822</v>
      </c>
      <c r="E109" s="252" t="s">
        <v>890</v>
      </c>
      <c r="F109" s="252" t="s">
        <v>1067</v>
      </c>
      <c r="G109" s="252" t="s">
        <v>1010</v>
      </c>
      <c r="H109" s="252" t="s">
        <v>889</v>
      </c>
      <c r="I109" s="255">
        <v>2.0019999999999998</v>
      </c>
    </row>
    <row r="110" spans="1:9" ht="14.1" customHeight="1">
      <c r="A110" s="251" t="s">
        <v>1065</v>
      </c>
      <c r="B110" s="252" t="s">
        <v>914</v>
      </c>
      <c r="C110" s="256" t="s">
        <v>2066</v>
      </c>
      <c r="D110" s="254" t="s">
        <v>821</v>
      </c>
      <c r="E110" s="252" t="s">
        <v>968</v>
      </c>
      <c r="F110" s="252" t="s">
        <v>1069</v>
      </c>
      <c r="G110" s="252" t="s">
        <v>904</v>
      </c>
      <c r="H110" s="252" t="s">
        <v>889</v>
      </c>
      <c r="I110" s="255">
        <v>2.5609999999999999</v>
      </c>
    </row>
    <row r="111" spans="1:9" ht="14.1" customHeight="1">
      <c r="A111" s="251" t="s">
        <v>1065</v>
      </c>
      <c r="B111" s="252" t="s">
        <v>914</v>
      </c>
      <c r="C111" s="257" t="s">
        <v>2097</v>
      </c>
      <c r="D111" s="254" t="s">
        <v>822</v>
      </c>
      <c r="E111" s="252" t="s">
        <v>1071</v>
      </c>
      <c r="F111" s="252" t="s">
        <v>1070</v>
      </c>
      <c r="G111" s="252" t="s">
        <v>939</v>
      </c>
      <c r="H111" s="252" t="s">
        <v>889</v>
      </c>
      <c r="I111" s="255">
        <v>2.964</v>
      </c>
    </row>
    <row r="112" spans="1:9" ht="14.1" customHeight="1">
      <c r="A112" s="251" t="s">
        <v>1065</v>
      </c>
      <c r="B112" s="252" t="s">
        <v>914</v>
      </c>
      <c r="C112" s="253" t="s">
        <v>2106</v>
      </c>
      <c r="D112" s="254" t="s">
        <v>821</v>
      </c>
      <c r="E112" s="252" t="s">
        <v>1020</v>
      </c>
      <c r="F112" s="252" t="s">
        <v>1072</v>
      </c>
      <c r="G112" s="252" t="s">
        <v>939</v>
      </c>
      <c r="H112" s="252" t="s">
        <v>889</v>
      </c>
      <c r="I112" s="255">
        <v>6.6210000000000004</v>
      </c>
    </row>
    <row r="113" spans="1:9" ht="14.1" customHeight="1">
      <c r="A113" s="251" t="s">
        <v>1065</v>
      </c>
      <c r="B113" s="252" t="s">
        <v>914</v>
      </c>
      <c r="C113" s="256" t="s">
        <v>2067</v>
      </c>
      <c r="D113" s="254" t="s">
        <v>821</v>
      </c>
      <c r="E113" s="252" t="s">
        <v>968</v>
      </c>
      <c r="F113" s="252" t="s">
        <v>1073</v>
      </c>
      <c r="G113" s="252" t="s">
        <v>888</v>
      </c>
      <c r="H113" s="252" t="s">
        <v>889</v>
      </c>
      <c r="I113" s="255">
        <v>21.949000000000002</v>
      </c>
    </row>
    <row r="114" spans="1:9" ht="14.1" customHeight="1">
      <c r="A114" s="251" t="s">
        <v>1065</v>
      </c>
      <c r="B114" s="252" t="s">
        <v>914</v>
      </c>
      <c r="C114" s="256" t="s">
        <v>2080</v>
      </c>
      <c r="D114" s="254" t="s">
        <v>822</v>
      </c>
      <c r="E114" s="252" t="s">
        <v>938</v>
      </c>
      <c r="F114" s="252" t="s">
        <v>1074</v>
      </c>
      <c r="G114" s="252" t="s">
        <v>954</v>
      </c>
      <c r="H114" s="252" t="s">
        <v>892</v>
      </c>
      <c r="I114" s="255">
        <v>31.001000000000001</v>
      </c>
    </row>
    <row r="115" spans="1:9" ht="14.1" customHeight="1">
      <c r="A115" s="251" t="s">
        <v>1065</v>
      </c>
      <c r="B115" s="252" t="s">
        <v>914</v>
      </c>
      <c r="C115" s="256" t="s">
        <v>2058</v>
      </c>
      <c r="D115" s="254" t="s">
        <v>821</v>
      </c>
      <c r="E115" s="252" t="s">
        <v>947</v>
      </c>
      <c r="F115" s="252" t="s">
        <v>1075</v>
      </c>
      <c r="G115" s="252" t="s">
        <v>888</v>
      </c>
      <c r="H115" s="252" t="s">
        <v>889</v>
      </c>
      <c r="I115" s="255">
        <v>65.075999999999993</v>
      </c>
    </row>
    <row r="116" spans="1:9" ht="14.1" customHeight="1">
      <c r="A116" s="251" t="s">
        <v>1065</v>
      </c>
      <c r="B116" s="252" t="s">
        <v>914</v>
      </c>
      <c r="C116" s="256" t="s">
        <v>1764</v>
      </c>
      <c r="D116" s="254" t="s">
        <v>821</v>
      </c>
      <c r="E116" s="252" t="s">
        <v>986</v>
      </c>
      <c r="F116" s="252" t="s">
        <v>1076</v>
      </c>
      <c r="G116" s="252" t="s">
        <v>984</v>
      </c>
      <c r="H116" s="252" t="s">
        <v>889</v>
      </c>
      <c r="I116" s="255">
        <v>334</v>
      </c>
    </row>
    <row r="117" spans="1:9" ht="14.1" customHeight="1">
      <c r="A117" s="251" t="s">
        <v>1065</v>
      </c>
      <c r="B117" s="252" t="s">
        <v>914</v>
      </c>
      <c r="C117" s="256" t="s">
        <v>1955</v>
      </c>
      <c r="D117" s="254" t="s">
        <v>822</v>
      </c>
      <c r="E117" s="252" t="s">
        <v>894</v>
      </c>
      <c r="F117" s="252" t="s">
        <v>1077</v>
      </c>
      <c r="G117" s="252" t="s">
        <v>1021</v>
      </c>
      <c r="H117" s="252" t="s">
        <v>889</v>
      </c>
      <c r="I117" s="255">
        <v>529.03</v>
      </c>
    </row>
    <row r="118" spans="1:9" ht="14.1" customHeight="1">
      <c r="A118" s="251" t="s">
        <v>1065</v>
      </c>
      <c r="B118" s="252" t="s">
        <v>914</v>
      </c>
      <c r="C118" s="256" t="s">
        <v>2077</v>
      </c>
      <c r="D118" s="254" t="s">
        <v>821</v>
      </c>
      <c r="E118" s="252" t="s">
        <v>1051</v>
      </c>
      <c r="F118" s="252" t="s">
        <v>1078</v>
      </c>
      <c r="G118" s="252" t="s">
        <v>925</v>
      </c>
      <c r="H118" s="252" t="s">
        <v>889</v>
      </c>
      <c r="I118" s="255">
        <v>723.97400000000005</v>
      </c>
    </row>
    <row r="119" spans="1:9" ht="14.1" customHeight="1">
      <c r="A119" s="251" t="s">
        <v>1065</v>
      </c>
      <c r="B119" s="252" t="s">
        <v>914</v>
      </c>
      <c r="C119" s="256" t="s">
        <v>2084</v>
      </c>
      <c r="D119" s="254" t="s">
        <v>821</v>
      </c>
      <c r="E119" s="252" t="s">
        <v>1756</v>
      </c>
      <c r="F119" s="252" t="s">
        <v>1079</v>
      </c>
      <c r="G119" s="252" t="s">
        <v>895</v>
      </c>
      <c r="H119" s="252" t="s">
        <v>889</v>
      </c>
      <c r="I119" s="255">
        <v>827.59400000000005</v>
      </c>
    </row>
    <row r="120" spans="1:9" ht="14.1" customHeight="1">
      <c r="A120" s="251" t="s">
        <v>1065</v>
      </c>
      <c r="B120" s="252" t="s">
        <v>914</v>
      </c>
      <c r="C120" s="256" t="s">
        <v>2111</v>
      </c>
      <c r="D120" s="254" t="s">
        <v>821</v>
      </c>
      <c r="E120" s="252" t="s">
        <v>1000</v>
      </c>
      <c r="F120" s="252" t="s">
        <v>1081</v>
      </c>
      <c r="G120" s="252" t="s">
        <v>918</v>
      </c>
      <c r="H120" s="252" t="s">
        <v>889</v>
      </c>
      <c r="I120" s="255">
        <v>848.60799999999995</v>
      </c>
    </row>
    <row r="121" spans="1:9" ht="14.1" customHeight="1">
      <c r="A121" s="251" t="s">
        <v>1065</v>
      </c>
      <c r="B121" s="252" t="s">
        <v>914</v>
      </c>
      <c r="C121" s="256" t="s">
        <v>2108</v>
      </c>
      <c r="D121" s="254" t="s">
        <v>821</v>
      </c>
      <c r="E121" s="252" t="s">
        <v>1000</v>
      </c>
      <c r="F121" s="252" t="s">
        <v>886</v>
      </c>
      <c r="G121" s="252" t="s">
        <v>1026</v>
      </c>
      <c r="H121" s="252" t="s">
        <v>889</v>
      </c>
      <c r="I121" s="255">
        <v>2346.83</v>
      </c>
    </row>
    <row r="122" spans="1:9" ht="14.1" customHeight="1">
      <c r="A122" s="251" t="s">
        <v>1082</v>
      </c>
      <c r="B122" s="252" t="s">
        <v>922</v>
      </c>
      <c r="C122" s="257" t="s">
        <v>2249</v>
      </c>
      <c r="D122" s="254" t="s">
        <v>822</v>
      </c>
      <c r="E122" s="252" t="s">
        <v>1202</v>
      </c>
      <c r="F122" s="252" t="s">
        <v>1083</v>
      </c>
      <c r="G122" s="252" t="s">
        <v>918</v>
      </c>
      <c r="H122" s="252" t="s">
        <v>889</v>
      </c>
      <c r="I122" s="255">
        <v>3.444</v>
      </c>
    </row>
    <row r="123" spans="1:9" ht="14.1" customHeight="1">
      <c r="A123" s="251" t="s">
        <v>1082</v>
      </c>
      <c r="B123" s="252" t="s">
        <v>922</v>
      </c>
      <c r="C123" s="256" t="s">
        <v>2229</v>
      </c>
      <c r="D123" s="254" t="s">
        <v>822</v>
      </c>
      <c r="E123" s="252" t="s">
        <v>944</v>
      </c>
      <c r="F123" s="252" t="s">
        <v>1084</v>
      </c>
      <c r="G123" s="252" t="s">
        <v>1085</v>
      </c>
      <c r="H123" s="252" t="s">
        <v>889</v>
      </c>
      <c r="I123" s="255">
        <v>19.972000000000001</v>
      </c>
    </row>
    <row r="124" spans="1:9" ht="14.1" customHeight="1">
      <c r="A124" s="251" t="s">
        <v>1082</v>
      </c>
      <c r="B124" s="252" t="s">
        <v>922</v>
      </c>
      <c r="C124" s="256" t="s">
        <v>2240</v>
      </c>
      <c r="D124" s="254" t="s">
        <v>822</v>
      </c>
      <c r="E124" s="252" t="s">
        <v>906</v>
      </c>
      <c r="F124" s="252" t="s">
        <v>1086</v>
      </c>
      <c r="G124" s="252" t="s">
        <v>895</v>
      </c>
      <c r="H124" s="252" t="s">
        <v>889</v>
      </c>
      <c r="I124" s="255">
        <v>40.286999999999999</v>
      </c>
    </row>
    <row r="125" spans="1:9" ht="14.1" customHeight="1">
      <c r="A125" s="251" t="s">
        <v>1082</v>
      </c>
      <c r="B125" s="252" t="s">
        <v>922</v>
      </c>
      <c r="C125" s="256" t="s">
        <v>2237</v>
      </c>
      <c r="D125" s="254" t="s">
        <v>822</v>
      </c>
      <c r="E125" s="252" t="s">
        <v>1088</v>
      </c>
      <c r="F125" s="252" t="s">
        <v>1087</v>
      </c>
      <c r="G125" s="252" t="s">
        <v>907</v>
      </c>
      <c r="H125" s="252" t="s">
        <v>889</v>
      </c>
      <c r="I125" s="255">
        <v>59.146000000000001</v>
      </c>
    </row>
    <row r="126" spans="1:9" ht="14.1" customHeight="1">
      <c r="A126" s="251" t="s">
        <v>1082</v>
      </c>
      <c r="B126" s="252" t="s">
        <v>922</v>
      </c>
      <c r="C126" s="257" t="s">
        <v>2244</v>
      </c>
      <c r="D126" s="254" t="s">
        <v>822</v>
      </c>
      <c r="E126" s="252" t="s">
        <v>890</v>
      </c>
      <c r="F126" s="252" t="s">
        <v>1089</v>
      </c>
      <c r="G126" s="252" t="s">
        <v>907</v>
      </c>
      <c r="H126" s="252" t="s">
        <v>889</v>
      </c>
      <c r="I126" s="255">
        <v>73.296999999999997</v>
      </c>
    </row>
    <row r="127" spans="1:9" ht="14.1" customHeight="1">
      <c r="A127" s="251" t="s">
        <v>1082</v>
      </c>
      <c r="B127" s="252" t="s">
        <v>922</v>
      </c>
      <c r="C127" s="256" t="s">
        <v>2274</v>
      </c>
      <c r="D127" s="254" t="s">
        <v>821</v>
      </c>
      <c r="E127" s="252" t="s">
        <v>983</v>
      </c>
      <c r="F127" s="252" t="s">
        <v>1090</v>
      </c>
      <c r="G127" s="252" t="s">
        <v>1026</v>
      </c>
      <c r="H127" s="252" t="s">
        <v>889</v>
      </c>
      <c r="I127" s="255">
        <v>80.5</v>
      </c>
    </row>
    <row r="128" spans="1:9" ht="14.1" customHeight="1">
      <c r="A128" s="251" t="s">
        <v>1082</v>
      </c>
      <c r="B128" s="252" t="s">
        <v>922</v>
      </c>
      <c r="C128" s="256" t="s">
        <v>2265</v>
      </c>
      <c r="D128" s="254" t="s">
        <v>821</v>
      </c>
      <c r="E128" s="252" t="s">
        <v>1055</v>
      </c>
      <c r="F128" s="252" t="s">
        <v>886</v>
      </c>
      <c r="G128" s="252" t="s">
        <v>888</v>
      </c>
      <c r="H128" s="252" t="s">
        <v>889</v>
      </c>
      <c r="I128" s="255">
        <v>121.452</v>
      </c>
    </row>
    <row r="129" spans="1:9" ht="14.1" customHeight="1">
      <c r="A129" s="251" t="s">
        <v>1082</v>
      </c>
      <c r="B129" s="252" t="s">
        <v>922</v>
      </c>
      <c r="C129" s="256" t="s">
        <v>2241</v>
      </c>
      <c r="D129" s="254" t="s">
        <v>821</v>
      </c>
      <c r="E129" s="252" t="s">
        <v>887</v>
      </c>
      <c r="F129" s="252" t="s">
        <v>1091</v>
      </c>
      <c r="G129" s="252" t="s">
        <v>984</v>
      </c>
      <c r="H129" s="252" t="s">
        <v>889</v>
      </c>
      <c r="I129" s="255">
        <v>126.43</v>
      </c>
    </row>
    <row r="130" spans="1:9" ht="14.1" customHeight="1">
      <c r="A130" s="251" t="s">
        <v>1082</v>
      </c>
      <c r="B130" s="252" t="s">
        <v>922</v>
      </c>
      <c r="C130" s="253" t="s">
        <v>2264</v>
      </c>
      <c r="D130" s="254" t="s">
        <v>821</v>
      </c>
      <c r="E130" s="252" t="s">
        <v>1246</v>
      </c>
      <c r="F130" s="252" t="s">
        <v>1092</v>
      </c>
      <c r="G130" s="252" t="s">
        <v>959</v>
      </c>
      <c r="H130" s="252" t="s">
        <v>889</v>
      </c>
      <c r="I130" s="255">
        <v>343.6</v>
      </c>
    </row>
    <row r="131" spans="1:9" ht="14.1" customHeight="1">
      <c r="A131" s="251" t="s">
        <v>1082</v>
      </c>
      <c r="B131" s="252" t="s">
        <v>922</v>
      </c>
      <c r="C131" s="257" t="s">
        <v>1955</v>
      </c>
      <c r="D131" s="254" t="s">
        <v>822</v>
      </c>
      <c r="E131" s="252" t="s">
        <v>894</v>
      </c>
      <c r="F131" s="252" t="s">
        <v>1093</v>
      </c>
      <c r="G131" s="252" t="s">
        <v>1094</v>
      </c>
      <c r="H131" s="252" t="s">
        <v>889</v>
      </c>
      <c r="I131" s="255">
        <v>1000</v>
      </c>
    </row>
    <row r="132" spans="1:9" ht="14.1" customHeight="1">
      <c r="A132" s="251" t="s">
        <v>1095</v>
      </c>
      <c r="B132" s="252" t="s">
        <v>926</v>
      </c>
      <c r="C132" s="256" t="s">
        <v>2386</v>
      </c>
      <c r="D132" s="254" t="s">
        <v>822</v>
      </c>
      <c r="E132" s="252" t="s">
        <v>1018</v>
      </c>
      <c r="F132" s="252" t="s">
        <v>1096</v>
      </c>
      <c r="G132" s="252" t="s">
        <v>954</v>
      </c>
      <c r="H132" s="252" t="s">
        <v>889</v>
      </c>
      <c r="I132" s="255">
        <v>0.56200000000000006</v>
      </c>
    </row>
    <row r="133" spans="1:9" ht="14.1" customHeight="1">
      <c r="A133" s="251" t="s">
        <v>1095</v>
      </c>
      <c r="B133" s="252" t="s">
        <v>926</v>
      </c>
      <c r="C133" s="256" t="s">
        <v>2389</v>
      </c>
      <c r="D133" s="254" t="s">
        <v>822</v>
      </c>
      <c r="E133" s="252" t="s">
        <v>917</v>
      </c>
      <c r="F133" s="252" t="s">
        <v>1097</v>
      </c>
      <c r="G133" s="252" t="s">
        <v>929</v>
      </c>
      <c r="H133" s="252" t="s">
        <v>889</v>
      </c>
      <c r="I133" s="255">
        <v>1.0840000000000001</v>
      </c>
    </row>
    <row r="134" spans="1:9" ht="14.1" customHeight="1">
      <c r="A134" s="251" t="s">
        <v>1095</v>
      </c>
      <c r="B134" s="252" t="s">
        <v>926</v>
      </c>
      <c r="C134" s="256" t="s">
        <v>2397</v>
      </c>
      <c r="D134" s="254" t="s">
        <v>822</v>
      </c>
      <c r="E134" s="252" t="s">
        <v>1099</v>
      </c>
      <c r="F134" s="252" t="s">
        <v>1098</v>
      </c>
      <c r="G134" s="252" t="s">
        <v>907</v>
      </c>
      <c r="H134" s="252" t="s">
        <v>889</v>
      </c>
      <c r="I134" s="255">
        <v>7.8019999999999996</v>
      </c>
    </row>
    <row r="135" spans="1:9" ht="14.1" customHeight="1">
      <c r="A135" s="251" t="s">
        <v>1095</v>
      </c>
      <c r="B135" s="252" t="s">
        <v>926</v>
      </c>
      <c r="C135" s="256" t="s">
        <v>2255</v>
      </c>
      <c r="D135" s="254" t="s">
        <v>822</v>
      </c>
      <c r="E135" s="252" t="s">
        <v>894</v>
      </c>
      <c r="F135" s="252" t="s">
        <v>1017</v>
      </c>
      <c r="G135" s="252" t="s">
        <v>888</v>
      </c>
      <c r="H135" s="252" t="s">
        <v>889</v>
      </c>
      <c r="I135" s="255">
        <v>11</v>
      </c>
    </row>
    <row r="136" spans="1:9" ht="14.1" customHeight="1">
      <c r="A136" s="251" t="s">
        <v>1095</v>
      </c>
      <c r="B136" s="252" t="s">
        <v>926</v>
      </c>
      <c r="C136" s="256" t="s">
        <v>2398</v>
      </c>
      <c r="D136" s="254" t="s">
        <v>822</v>
      </c>
      <c r="E136" s="252" t="s">
        <v>903</v>
      </c>
      <c r="F136" s="252" t="s">
        <v>1100</v>
      </c>
      <c r="G136" s="252" t="s">
        <v>1026</v>
      </c>
      <c r="H136" s="252" t="s">
        <v>889</v>
      </c>
      <c r="I136" s="255">
        <v>11.46</v>
      </c>
    </row>
    <row r="137" spans="1:9" ht="14.1" customHeight="1">
      <c r="A137" s="251" t="s">
        <v>1095</v>
      </c>
      <c r="B137" s="252" t="s">
        <v>926</v>
      </c>
      <c r="C137" s="256" t="s">
        <v>2381</v>
      </c>
      <c r="D137" s="254" t="s">
        <v>822</v>
      </c>
      <c r="E137" s="252" t="s">
        <v>890</v>
      </c>
      <c r="F137" s="252" t="s">
        <v>1101</v>
      </c>
      <c r="G137" s="252" t="s">
        <v>1102</v>
      </c>
      <c r="H137" s="252" t="s">
        <v>889</v>
      </c>
      <c r="I137" s="255">
        <v>14.942</v>
      </c>
    </row>
    <row r="138" spans="1:9" ht="14.1" customHeight="1">
      <c r="A138" s="251" t="s">
        <v>1095</v>
      </c>
      <c r="B138" s="252" t="s">
        <v>926</v>
      </c>
      <c r="C138" s="256" t="s">
        <v>2405</v>
      </c>
      <c r="D138" s="254" t="s">
        <v>821</v>
      </c>
      <c r="E138" s="252" t="s">
        <v>983</v>
      </c>
      <c r="F138" s="252" t="s">
        <v>1103</v>
      </c>
      <c r="G138" s="252" t="s">
        <v>959</v>
      </c>
      <c r="H138" s="252" t="s">
        <v>892</v>
      </c>
      <c r="I138" s="255">
        <v>56.249000000000002</v>
      </c>
    </row>
    <row r="139" spans="1:9" ht="14.1" customHeight="1">
      <c r="A139" s="251" t="s">
        <v>1095</v>
      </c>
      <c r="B139" s="252" t="s">
        <v>926</v>
      </c>
      <c r="C139" s="256" t="s">
        <v>2360</v>
      </c>
      <c r="D139" s="254" t="s">
        <v>822</v>
      </c>
      <c r="E139" s="252" t="s">
        <v>944</v>
      </c>
      <c r="F139" s="252" t="s">
        <v>1104</v>
      </c>
      <c r="G139" s="252" t="s">
        <v>904</v>
      </c>
      <c r="H139" s="252" t="s">
        <v>889</v>
      </c>
      <c r="I139" s="255">
        <v>58.5</v>
      </c>
    </row>
    <row r="140" spans="1:9" ht="14.1" customHeight="1">
      <c r="A140" s="251" t="s">
        <v>1095</v>
      </c>
      <c r="B140" s="252" t="s">
        <v>926</v>
      </c>
      <c r="C140" s="256" t="s">
        <v>2364</v>
      </c>
      <c r="D140" s="254" t="s">
        <v>822</v>
      </c>
      <c r="E140" s="252" t="s">
        <v>944</v>
      </c>
      <c r="F140" s="252" t="s">
        <v>1105</v>
      </c>
      <c r="G140" s="252" t="s">
        <v>1106</v>
      </c>
      <c r="H140" s="252" t="s">
        <v>889</v>
      </c>
      <c r="I140" s="255">
        <v>65.132999999999996</v>
      </c>
    </row>
    <row r="141" spans="1:9" ht="14.1" customHeight="1">
      <c r="A141" s="251" t="s">
        <v>1095</v>
      </c>
      <c r="B141" s="252" t="s">
        <v>926</v>
      </c>
      <c r="C141" s="253" t="s">
        <v>2399</v>
      </c>
      <c r="D141" s="254" t="s">
        <v>821</v>
      </c>
      <c r="E141" s="252" t="s">
        <v>1000</v>
      </c>
      <c r="F141" s="252" t="s">
        <v>886</v>
      </c>
      <c r="G141" s="252" t="s">
        <v>888</v>
      </c>
      <c r="H141" s="252" t="s">
        <v>889</v>
      </c>
      <c r="I141" s="255">
        <v>89.186000000000007</v>
      </c>
    </row>
    <row r="142" spans="1:9" ht="14.1" customHeight="1">
      <c r="A142" s="251" t="s">
        <v>1095</v>
      </c>
      <c r="B142" s="252" t="s">
        <v>926</v>
      </c>
      <c r="C142" s="257" t="s">
        <v>2400</v>
      </c>
      <c r="D142" s="254" t="s">
        <v>822</v>
      </c>
      <c r="E142" s="252" t="s">
        <v>1068</v>
      </c>
      <c r="F142" s="252" t="s">
        <v>1107</v>
      </c>
      <c r="G142" s="252" t="s">
        <v>939</v>
      </c>
      <c r="H142" s="252" t="s">
        <v>889</v>
      </c>
      <c r="I142" s="255">
        <v>273.709</v>
      </c>
    </row>
    <row r="143" spans="1:9" ht="14.1" customHeight="1">
      <c r="A143" s="251" t="s">
        <v>1095</v>
      </c>
      <c r="B143" s="252" t="s">
        <v>926</v>
      </c>
      <c r="C143" s="257" t="s">
        <v>2361</v>
      </c>
      <c r="D143" s="254" t="s">
        <v>822</v>
      </c>
      <c r="E143" s="252" t="s">
        <v>944</v>
      </c>
      <c r="F143" s="252" t="s">
        <v>1108</v>
      </c>
      <c r="G143" s="252" t="s">
        <v>888</v>
      </c>
      <c r="H143" s="252" t="s">
        <v>889</v>
      </c>
      <c r="I143" s="255">
        <v>350</v>
      </c>
    </row>
    <row r="144" spans="1:9" ht="14.1" customHeight="1">
      <c r="A144" s="251" t="s">
        <v>1095</v>
      </c>
      <c r="B144" s="252" t="s">
        <v>926</v>
      </c>
      <c r="C144" s="256" t="s">
        <v>2380</v>
      </c>
      <c r="D144" s="254" t="s">
        <v>821</v>
      </c>
      <c r="E144" s="252" t="s">
        <v>887</v>
      </c>
      <c r="F144" s="252" t="s">
        <v>886</v>
      </c>
      <c r="G144" s="252" t="s">
        <v>888</v>
      </c>
      <c r="H144" s="252" t="s">
        <v>889</v>
      </c>
      <c r="I144" s="255">
        <v>386.589</v>
      </c>
    </row>
    <row r="145" spans="1:9" ht="14.1" customHeight="1">
      <c r="A145" s="251" t="s">
        <v>1095</v>
      </c>
      <c r="B145" s="252" t="s">
        <v>926</v>
      </c>
      <c r="C145" s="256" t="s">
        <v>2395</v>
      </c>
      <c r="D145" s="254" t="s">
        <v>822</v>
      </c>
      <c r="E145" s="252" t="s">
        <v>1071</v>
      </c>
      <c r="F145" s="252" t="s">
        <v>1109</v>
      </c>
      <c r="G145" s="252" t="s">
        <v>984</v>
      </c>
      <c r="H145" s="252" t="s">
        <v>889</v>
      </c>
      <c r="I145" s="255">
        <v>718.13300000000004</v>
      </c>
    </row>
    <row r="146" spans="1:9" ht="14.1" customHeight="1">
      <c r="A146" s="251" t="s">
        <v>1095</v>
      </c>
      <c r="B146" s="252" t="s">
        <v>926</v>
      </c>
      <c r="C146" s="256" t="s">
        <v>2365</v>
      </c>
      <c r="D146" s="254" t="s">
        <v>821</v>
      </c>
      <c r="E146" s="252" t="s">
        <v>1051</v>
      </c>
      <c r="F146" s="252" t="s">
        <v>1111</v>
      </c>
      <c r="G146" s="252" t="s">
        <v>939</v>
      </c>
      <c r="H146" s="252" t="s">
        <v>889</v>
      </c>
      <c r="I146" s="255">
        <v>3258.8270000000002</v>
      </c>
    </row>
    <row r="147" spans="1:9" ht="14.1" customHeight="1">
      <c r="A147" s="251" t="s">
        <v>1112</v>
      </c>
      <c r="B147" s="252" t="s">
        <v>935</v>
      </c>
      <c r="C147" s="253" t="s">
        <v>2518</v>
      </c>
      <c r="D147" s="254" t="s">
        <v>821</v>
      </c>
      <c r="E147" s="252" t="s">
        <v>887</v>
      </c>
      <c r="F147" s="252" t="s">
        <v>1113</v>
      </c>
      <c r="G147" s="252" t="s">
        <v>1026</v>
      </c>
      <c r="H147" s="252" t="s">
        <v>892</v>
      </c>
      <c r="I147" s="255">
        <v>0.66100000000000003</v>
      </c>
    </row>
    <row r="148" spans="1:9" ht="14.1" customHeight="1">
      <c r="A148" s="251" t="s">
        <v>1112</v>
      </c>
      <c r="B148" s="252" t="s">
        <v>935</v>
      </c>
      <c r="C148" s="256" t="s">
        <v>2525</v>
      </c>
      <c r="D148" s="254" t="s">
        <v>822</v>
      </c>
      <c r="E148" s="252" t="s">
        <v>917</v>
      </c>
      <c r="F148" s="252" t="s">
        <v>1114</v>
      </c>
      <c r="G148" s="252" t="s">
        <v>918</v>
      </c>
      <c r="H148" s="252" t="s">
        <v>889</v>
      </c>
      <c r="I148" s="255">
        <v>3.63</v>
      </c>
    </row>
    <row r="149" spans="1:9" ht="14.1" customHeight="1">
      <c r="A149" s="251" t="s">
        <v>1112</v>
      </c>
      <c r="B149" s="252" t="s">
        <v>935</v>
      </c>
      <c r="C149" s="253" t="s">
        <v>2524</v>
      </c>
      <c r="D149" s="254" t="s">
        <v>822</v>
      </c>
      <c r="E149" s="252" t="s">
        <v>917</v>
      </c>
      <c r="F149" s="252" t="s">
        <v>1115</v>
      </c>
      <c r="G149" s="252" t="s">
        <v>918</v>
      </c>
      <c r="H149" s="252" t="s">
        <v>889</v>
      </c>
      <c r="I149" s="255">
        <v>5</v>
      </c>
    </row>
    <row r="150" spans="1:9" ht="14.1" customHeight="1">
      <c r="A150" s="251" t="s">
        <v>1112</v>
      </c>
      <c r="B150" s="252" t="s">
        <v>935</v>
      </c>
      <c r="C150" s="256" t="s">
        <v>2504</v>
      </c>
      <c r="D150" s="254" t="s">
        <v>821</v>
      </c>
      <c r="E150" s="252" t="s">
        <v>968</v>
      </c>
      <c r="F150" s="252" t="s">
        <v>886</v>
      </c>
      <c r="G150" s="252" t="s">
        <v>888</v>
      </c>
      <c r="H150" s="252" t="s">
        <v>889</v>
      </c>
      <c r="I150" s="255">
        <v>5.6890000000000001</v>
      </c>
    </row>
    <row r="151" spans="1:9" ht="14.1" customHeight="1">
      <c r="A151" s="251" t="s">
        <v>1112</v>
      </c>
      <c r="B151" s="252" t="s">
        <v>935</v>
      </c>
      <c r="C151" s="256" t="s">
        <v>2529</v>
      </c>
      <c r="D151" s="254" t="s">
        <v>822</v>
      </c>
      <c r="E151" s="252" t="s">
        <v>1071</v>
      </c>
      <c r="F151" s="252" t="s">
        <v>1116</v>
      </c>
      <c r="G151" s="252" t="s">
        <v>888</v>
      </c>
      <c r="H151" s="252" t="s">
        <v>889</v>
      </c>
      <c r="I151" s="255">
        <v>18.75</v>
      </c>
    </row>
    <row r="152" spans="1:9" ht="14.1" customHeight="1">
      <c r="A152" s="251" t="s">
        <v>1112</v>
      </c>
      <c r="B152" s="252" t="s">
        <v>935</v>
      </c>
      <c r="C152" s="256" t="s">
        <v>2536</v>
      </c>
      <c r="D152" s="254" t="s">
        <v>821</v>
      </c>
      <c r="E152" s="252" t="s">
        <v>1037</v>
      </c>
      <c r="F152" s="252" t="s">
        <v>1038</v>
      </c>
      <c r="G152" s="252" t="s">
        <v>888</v>
      </c>
      <c r="H152" s="252" t="s">
        <v>889</v>
      </c>
      <c r="I152" s="255">
        <v>27.5</v>
      </c>
    </row>
    <row r="153" spans="1:9" ht="14.1" customHeight="1">
      <c r="A153" s="251" t="s">
        <v>1112</v>
      </c>
      <c r="B153" s="252" t="s">
        <v>935</v>
      </c>
      <c r="C153" s="258" t="s">
        <v>2517</v>
      </c>
      <c r="D153" s="254" t="s">
        <v>821</v>
      </c>
      <c r="E153" s="252" t="s">
        <v>986</v>
      </c>
      <c r="F153" s="252" t="s">
        <v>1038</v>
      </c>
      <c r="G153" s="252" t="s">
        <v>888</v>
      </c>
      <c r="H153" s="252" t="s">
        <v>889</v>
      </c>
      <c r="I153" s="255">
        <v>35.003</v>
      </c>
    </row>
    <row r="154" spans="1:9" ht="14.1" customHeight="1">
      <c r="A154" s="251" t="s">
        <v>1112</v>
      </c>
      <c r="B154" s="252" t="s">
        <v>935</v>
      </c>
      <c r="C154" s="253" t="s">
        <v>2519</v>
      </c>
      <c r="D154" s="254" t="s">
        <v>822</v>
      </c>
      <c r="E154" s="252" t="s">
        <v>1018</v>
      </c>
      <c r="F154" s="252" t="s">
        <v>1117</v>
      </c>
      <c r="G154" s="252" t="s">
        <v>895</v>
      </c>
      <c r="H154" s="252" t="s">
        <v>889</v>
      </c>
      <c r="I154" s="255">
        <v>38.094999999999999</v>
      </c>
    </row>
    <row r="155" spans="1:9" ht="14.1" customHeight="1">
      <c r="A155" s="251" t="s">
        <v>1112</v>
      </c>
      <c r="B155" s="252" t="s">
        <v>935</v>
      </c>
      <c r="C155" s="257" t="s">
        <v>2537</v>
      </c>
      <c r="D155" s="254" t="s">
        <v>821</v>
      </c>
      <c r="E155" s="252" t="s">
        <v>1246</v>
      </c>
      <c r="F155" s="252" t="s">
        <v>886</v>
      </c>
      <c r="G155" s="252" t="s">
        <v>945</v>
      </c>
      <c r="H155" s="252" t="s">
        <v>889</v>
      </c>
      <c r="I155" s="255">
        <v>89.524000000000001</v>
      </c>
    </row>
    <row r="156" spans="1:9" ht="14.1" customHeight="1">
      <c r="A156" s="251" t="s">
        <v>1112</v>
      </c>
      <c r="B156" s="252" t="s">
        <v>935</v>
      </c>
      <c r="C156" s="256" t="s">
        <v>2508</v>
      </c>
      <c r="D156" s="254" t="s">
        <v>822</v>
      </c>
      <c r="E156" s="252" t="s">
        <v>1088</v>
      </c>
      <c r="F156" s="252" t="s">
        <v>1025</v>
      </c>
      <c r="G156" s="252" t="s">
        <v>1026</v>
      </c>
      <c r="H156" s="252" t="s">
        <v>889</v>
      </c>
      <c r="I156" s="255">
        <v>180.99600000000001</v>
      </c>
    </row>
    <row r="157" spans="1:9" ht="14.1" customHeight="1">
      <c r="A157" s="251" t="s">
        <v>1112</v>
      </c>
      <c r="B157" s="252" t="s">
        <v>935</v>
      </c>
      <c r="C157" s="256" t="s">
        <v>2505</v>
      </c>
      <c r="D157" s="254" t="s">
        <v>822</v>
      </c>
      <c r="E157" s="252" t="s">
        <v>944</v>
      </c>
      <c r="F157" s="252" t="s">
        <v>1118</v>
      </c>
      <c r="G157" s="252" t="s">
        <v>1119</v>
      </c>
      <c r="H157" s="252" t="s">
        <v>889</v>
      </c>
      <c r="I157" s="255">
        <v>314.83600000000001</v>
      </c>
    </row>
    <row r="158" spans="1:9" ht="14.1" customHeight="1">
      <c r="A158" s="251" t="s">
        <v>1120</v>
      </c>
      <c r="B158" s="252" t="s">
        <v>941</v>
      </c>
      <c r="C158" s="253" t="s">
        <v>2710</v>
      </c>
      <c r="D158" s="254" t="s">
        <v>821</v>
      </c>
      <c r="E158" s="252" t="s">
        <v>983</v>
      </c>
      <c r="F158" s="252" t="s">
        <v>1121</v>
      </c>
      <c r="G158" s="252" t="s">
        <v>925</v>
      </c>
      <c r="H158" s="252" t="s">
        <v>892</v>
      </c>
      <c r="I158" s="255">
        <v>2.9000000000000001E-2</v>
      </c>
    </row>
    <row r="159" spans="1:9" ht="14.1" customHeight="1">
      <c r="A159" s="251" t="s">
        <v>1120</v>
      </c>
      <c r="B159" s="252" t="s">
        <v>941</v>
      </c>
      <c r="C159" s="257" t="s">
        <v>2684</v>
      </c>
      <c r="D159" s="254" t="s">
        <v>821</v>
      </c>
      <c r="E159" s="252" t="s">
        <v>887</v>
      </c>
      <c r="F159" s="252" t="s">
        <v>1122</v>
      </c>
      <c r="G159" s="252" t="s">
        <v>888</v>
      </c>
      <c r="H159" s="252" t="s">
        <v>889</v>
      </c>
      <c r="I159" s="255">
        <v>0.05</v>
      </c>
    </row>
    <row r="160" spans="1:9" ht="14.1" customHeight="1">
      <c r="A160" s="251" t="s">
        <v>1120</v>
      </c>
      <c r="B160" s="252" t="s">
        <v>941</v>
      </c>
      <c r="C160" s="256" t="s">
        <v>2658</v>
      </c>
      <c r="D160" s="254" t="s">
        <v>822</v>
      </c>
      <c r="E160" s="252" t="s">
        <v>944</v>
      </c>
      <c r="F160" s="252" t="s">
        <v>1123</v>
      </c>
      <c r="G160" s="252" t="s">
        <v>918</v>
      </c>
      <c r="H160" s="252" t="s">
        <v>889</v>
      </c>
      <c r="I160" s="255">
        <v>0.14599999999999999</v>
      </c>
    </row>
    <row r="161" spans="1:9" ht="14.1" customHeight="1">
      <c r="A161" s="251" t="s">
        <v>1120</v>
      </c>
      <c r="B161" s="252" t="s">
        <v>941</v>
      </c>
      <c r="C161" s="256" t="s">
        <v>2711</v>
      </c>
      <c r="D161" s="254" t="s">
        <v>822</v>
      </c>
      <c r="E161" s="252" t="s">
        <v>1009</v>
      </c>
      <c r="F161" s="252" t="s">
        <v>1124</v>
      </c>
      <c r="G161" s="252" t="s">
        <v>918</v>
      </c>
      <c r="H161" s="252" t="s">
        <v>892</v>
      </c>
      <c r="I161" s="255">
        <v>1.595</v>
      </c>
    </row>
    <row r="162" spans="1:9" ht="14.1" customHeight="1">
      <c r="A162" s="251" t="s">
        <v>1120</v>
      </c>
      <c r="B162" s="252" t="s">
        <v>941</v>
      </c>
      <c r="C162" s="257" t="s">
        <v>2692</v>
      </c>
      <c r="D162" s="254" t="s">
        <v>822</v>
      </c>
      <c r="E162" s="252" t="s">
        <v>1126</v>
      </c>
      <c r="F162" s="252" t="s">
        <v>1125</v>
      </c>
      <c r="G162" s="252" t="s">
        <v>959</v>
      </c>
      <c r="H162" s="252" t="s">
        <v>889</v>
      </c>
      <c r="I162" s="255">
        <v>4.0629999999999997</v>
      </c>
    </row>
    <row r="163" spans="1:9" ht="14.1" customHeight="1">
      <c r="A163" s="251" t="s">
        <v>1120</v>
      </c>
      <c r="B163" s="252" t="s">
        <v>941</v>
      </c>
      <c r="C163" s="256" t="s">
        <v>2635</v>
      </c>
      <c r="D163" s="254" t="s">
        <v>821</v>
      </c>
      <c r="E163" s="252" t="s">
        <v>968</v>
      </c>
      <c r="F163" s="252" t="s">
        <v>1127</v>
      </c>
      <c r="G163" s="252" t="s">
        <v>939</v>
      </c>
      <c r="H163" s="252" t="s">
        <v>889</v>
      </c>
      <c r="I163" s="255">
        <v>7.016</v>
      </c>
    </row>
    <row r="164" spans="1:9" ht="14.1" customHeight="1">
      <c r="A164" s="251" t="s">
        <v>1120</v>
      </c>
      <c r="B164" s="252" t="s">
        <v>941</v>
      </c>
      <c r="C164" s="253" t="s">
        <v>2693</v>
      </c>
      <c r="D164" s="254" t="s">
        <v>822</v>
      </c>
      <c r="E164" s="252" t="s">
        <v>894</v>
      </c>
      <c r="F164" s="252" t="s">
        <v>1128</v>
      </c>
      <c r="G164" s="252" t="s">
        <v>888</v>
      </c>
      <c r="H164" s="252" t="s">
        <v>889</v>
      </c>
      <c r="I164" s="255">
        <v>7.4</v>
      </c>
    </row>
    <row r="165" spans="1:9" ht="14.1" customHeight="1">
      <c r="A165" s="251" t="s">
        <v>1120</v>
      </c>
      <c r="B165" s="252" t="s">
        <v>941</v>
      </c>
      <c r="C165" s="253" t="s">
        <v>2697</v>
      </c>
      <c r="D165" s="254" t="s">
        <v>821</v>
      </c>
      <c r="E165" s="252" t="s">
        <v>1246</v>
      </c>
      <c r="F165" s="252" t="s">
        <v>1129</v>
      </c>
      <c r="G165" s="252" t="s">
        <v>888</v>
      </c>
      <c r="H165" s="252" t="s">
        <v>889</v>
      </c>
      <c r="I165" s="255">
        <v>11.86</v>
      </c>
    </row>
    <row r="166" spans="1:9" ht="14.1" customHeight="1">
      <c r="A166" s="251" t="s">
        <v>1120</v>
      </c>
      <c r="B166" s="252" t="s">
        <v>941</v>
      </c>
      <c r="C166" s="253" t="s">
        <v>2653</v>
      </c>
      <c r="D166" s="254" t="s">
        <v>822</v>
      </c>
      <c r="E166" s="252" t="s">
        <v>944</v>
      </c>
      <c r="F166" s="252" t="s">
        <v>1130</v>
      </c>
      <c r="G166" s="252" t="s">
        <v>918</v>
      </c>
      <c r="H166" s="252" t="s">
        <v>931</v>
      </c>
      <c r="I166" s="255">
        <v>11.999000000000001</v>
      </c>
    </row>
    <row r="167" spans="1:9" ht="14.1" customHeight="1">
      <c r="A167" s="251" t="s">
        <v>1120</v>
      </c>
      <c r="B167" s="252" t="s">
        <v>941</v>
      </c>
      <c r="C167" s="256" t="s">
        <v>2638</v>
      </c>
      <c r="D167" s="254" t="s">
        <v>821</v>
      </c>
      <c r="E167" s="252" t="s">
        <v>968</v>
      </c>
      <c r="F167" s="252" t="s">
        <v>886</v>
      </c>
      <c r="G167" s="252" t="s">
        <v>1022</v>
      </c>
      <c r="H167" s="252" t="s">
        <v>889</v>
      </c>
      <c r="I167" s="255">
        <v>14.821</v>
      </c>
    </row>
    <row r="168" spans="1:9" ht="14.1" customHeight="1">
      <c r="A168" s="251" t="s">
        <v>1120</v>
      </c>
      <c r="B168" s="252" t="s">
        <v>941</v>
      </c>
      <c r="C168" s="256" t="s">
        <v>2696</v>
      </c>
      <c r="D168" s="254" t="s">
        <v>821</v>
      </c>
      <c r="E168" s="252" t="s">
        <v>1080</v>
      </c>
      <c r="F168" s="252" t="s">
        <v>1131</v>
      </c>
      <c r="G168" s="252" t="s">
        <v>954</v>
      </c>
      <c r="H168" s="252" t="s">
        <v>889</v>
      </c>
      <c r="I168" s="255">
        <v>25</v>
      </c>
    </row>
    <row r="169" spans="1:9" ht="14.1" customHeight="1">
      <c r="A169" s="251" t="s">
        <v>1120</v>
      </c>
      <c r="B169" s="252" t="s">
        <v>941</v>
      </c>
      <c r="C169" s="256" t="s">
        <v>2667</v>
      </c>
      <c r="D169" s="254" t="s">
        <v>821</v>
      </c>
      <c r="E169" s="252" t="s">
        <v>1756</v>
      </c>
      <c r="F169" s="252" t="s">
        <v>1132</v>
      </c>
      <c r="G169" s="252" t="s">
        <v>888</v>
      </c>
      <c r="H169" s="252" t="s">
        <v>889</v>
      </c>
      <c r="I169" s="255">
        <v>28.503</v>
      </c>
    </row>
    <row r="170" spans="1:9" ht="14.1" customHeight="1">
      <c r="A170" s="251" t="s">
        <v>1120</v>
      </c>
      <c r="B170" s="252" t="s">
        <v>941</v>
      </c>
      <c r="C170" s="256" t="s">
        <v>2656</v>
      </c>
      <c r="D170" s="254" t="s">
        <v>822</v>
      </c>
      <c r="E170" s="252" t="s">
        <v>944</v>
      </c>
      <c r="F170" s="252" t="s">
        <v>1038</v>
      </c>
      <c r="G170" s="252" t="s">
        <v>888</v>
      </c>
      <c r="H170" s="252" t="s">
        <v>892</v>
      </c>
      <c r="I170" s="255">
        <v>47.154000000000003</v>
      </c>
    </row>
    <row r="171" spans="1:9" ht="14.1" customHeight="1">
      <c r="A171" s="251" t="s">
        <v>1120</v>
      </c>
      <c r="B171" s="252" t="s">
        <v>941</v>
      </c>
      <c r="C171" s="257" t="s">
        <v>2672</v>
      </c>
      <c r="D171" s="254" t="s">
        <v>822</v>
      </c>
      <c r="E171" s="252" t="s">
        <v>1088</v>
      </c>
      <c r="F171" s="252" t="s">
        <v>1133</v>
      </c>
      <c r="G171" s="252" t="s">
        <v>939</v>
      </c>
      <c r="H171" s="252" t="s">
        <v>889</v>
      </c>
      <c r="I171" s="255">
        <v>49.594000000000001</v>
      </c>
    </row>
    <row r="172" spans="1:9" ht="14.1" customHeight="1">
      <c r="A172" s="251" t="s">
        <v>1120</v>
      </c>
      <c r="B172" s="252" t="s">
        <v>941</v>
      </c>
      <c r="C172" s="256" t="s">
        <v>2675</v>
      </c>
      <c r="D172" s="254" t="s">
        <v>822</v>
      </c>
      <c r="E172" s="252" t="s">
        <v>906</v>
      </c>
      <c r="F172" s="252" t="s">
        <v>1134</v>
      </c>
      <c r="G172" s="252" t="s">
        <v>1136</v>
      </c>
      <c r="H172" s="252" t="s">
        <v>889</v>
      </c>
      <c r="I172" s="255">
        <v>50.295999999999999</v>
      </c>
    </row>
    <row r="173" spans="1:9" ht="14.1" customHeight="1">
      <c r="A173" s="251" t="s">
        <v>1120</v>
      </c>
      <c r="B173" s="252" t="s">
        <v>941</v>
      </c>
      <c r="C173" s="253" t="s">
        <v>2698</v>
      </c>
      <c r="D173" s="254" t="s">
        <v>821</v>
      </c>
      <c r="E173" s="252" t="s">
        <v>1345</v>
      </c>
      <c r="F173" s="252" t="s">
        <v>1137</v>
      </c>
      <c r="G173" s="252" t="s">
        <v>945</v>
      </c>
      <c r="H173" s="252" t="s">
        <v>889</v>
      </c>
      <c r="I173" s="255">
        <v>100</v>
      </c>
    </row>
    <row r="174" spans="1:9" ht="14.1" customHeight="1">
      <c r="A174" s="251" t="s">
        <v>1138</v>
      </c>
      <c r="B174" s="252" t="s">
        <v>948</v>
      </c>
      <c r="C174" s="256" t="s">
        <v>2850</v>
      </c>
      <c r="D174" s="254" t="s">
        <v>822</v>
      </c>
      <c r="E174" s="252" t="s">
        <v>917</v>
      </c>
      <c r="F174" s="252" t="s">
        <v>1139</v>
      </c>
      <c r="G174" s="252" t="s">
        <v>888</v>
      </c>
      <c r="H174" s="252" t="s">
        <v>889</v>
      </c>
      <c r="I174" s="255">
        <v>0.125</v>
      </c>
    </row>
    <row r="175" spans="1:9" ht="14.1" customHeight="1">
      <c r="A175" s="251" t="s">
        <v>1138</v>
      </c>
      <c r="B175" s="252" t="s">
        <v>948</v>
      </c>
      <c r="C175" s="256" t="s">
        <v>2857</v>
      </c>
      <c r="D175" s="254" t="s">
        <v>822</v>
      </c>
      <c r="E175" s="252" t="s">
        <v>1071</v>
      </c>
      <c r="F175" s="252" t="s">
        <v>1140</v>
      </c>
      <c r="G175" s="252" t="s">
        <v>891</v>
      </c>
      <c r="H175" s="252" t="s">
        <v>889</v>
      </c>
      <c r="I175" s="255">
        <v>0.35499999999999998</v>
      </c>
    </row>
    <row r="176" spans="1:9" ht="14.1" customHeight="1">
      <c r="A176" s="251" t="s">
        <v>1138</v>
      </c>
      <c r="B176" s="252" t="s">
        <v>948</v>
      </c>
      <c r="C176" s="257" t="s">
        <v>2861</v>
      </c>
      <c r="D176" s="254" t="s">
        <v>821</v>
      </c>
      <c r="E176" s="252" t="s">
        <v>1080</v>
      </c>
      <c r="F176" s="252" t="s">
        <v>1141</v>
      </c>
      <c r="G176" s="252" t="s">
        <v>1142</v>
      </c>
      <c r="H176" s="252" t="s">
        <v>889</v>
      </c>
      <c r="I176" s="255">
        <v>0.59</v>
      </c>
    </row>
    <row r="177" spans="1:9" ht="14.1" customHeight="1">
      <c r="A177" s="251" t="s">
        <v>1138</v>
      </c>
      <c r="B177" s="252" t="s">
        <v>948</v>
      </c>
      <c r="C177" s="256" t="s">
        <v>2799</v>
      </c>
      <c r="D177" s="254" t="s">
        <v>821</v>
      </c>
      <c r="E177" s="252" t="s">
        <v>968</v>
      </c>
      <c r="F177" s="252" t="s">
        <v>1143</v>
      </c>
      <c r="G177" s="252" t="s">
        <v>888</v>
      </c>
      <c r="H177" s="252" t="s">
        <v>889</v>
      </c>
      <c r="I177" s="255">
        <v>1.8640000000000001</v>
      </c>
    </row>
    <row r="178" spans="1:9" ht="14.1" customHeight="1">
      <c r="A178" s="251" t="s">
        <v>1138</v>
      </c>
      <c r="B178" s="252" t="s">
        <v>948</v>
      </c>
      <c r="C178" s="253" t="s">
        <v>2834</v>
      </c>
      <c r="D178" s="254" t="s">
        <v>821</v>
      </c>
      <c r="E178" s="252" t="s">
        <v>1833</v>
      </c>
      <c r="F178" s="252" t="s">
        <v>1144</v>
      </c>
      <c r="G178" s="252" t="s">
        <v>888</v>
      </c>
      <c r="H178" s="252" t="s">
        <v>889</v>
      </c>
      <c r="I178" s="255">
        <v>6.3879999999999999</v>
      </c>
    </row>
    <row r="179" spans="1:9" ht="14.1" customHeight="1">
      <c r="A179" s="251" t="s">
        <v>1138</v>
      </c>
      <c r="B179" s="252" t="s">
        <v>948</v>
      </c>
      <c r="C179" s="256" t="s">
        <v>2797</v>
      </c>
      <c r="D179" s="254" t="s">
        <v>823</v>
      </c>
      <c r="E179" s="252" t="s">
        <v>1146</v>
      </c>
      <c r="F179" s="252" t="s">
        <v>1145</v>
      </c>
      <c r="G179" s="252" t="s">
        <v>888</v>
      </c>
      <c r="H179" s="252" t="s">
        <v>889</v>
      </c>
      <c r="I179" s="255">
        <v>7.069</v>
      </c>
    </row>
    <row r="180" spans="1:9" ht="14.1" customHeight="1">
      <c r="A180" s="251" t="s">
        <v>1138</v>
      </c>
      <c r="B180" s="252" t="s">
        <v>948</v>
      </c>
      <c r="C180" s="256" t="s">
        <v>2797</v>
      </c>
      <c r="D180" s="254" t="s">
        <v>823</v>
      </c>
      <c r="E180" s="252" t="s">
        <v>1146</v>
      </c>
      <c r="F180" s="252" t="s">
        <v>1145</v>
      </c>
      <c r="G180" s="252" t="s">
        <v>888</v>
      </c>
      <c r="H180" s="252" t="s">
        <v>889</v>
      </c>
      <c r="I180" s="255">
        <v>14.43</v>
      </c>
    </row>
    <row r="181" spans="1:9" ht="14.1" customHeight="1">
      <c r="A181" s="251" t="s">
        <v>1138</v>
      </c>
      <c r="B181" s="252" t="s">
        <v>948</v>
      </c>
      <c r="C181" s="253" t="s">
        <v>2862</v>
      </c>
      <c r="D181" s="254" t="s">
        <v>821</v>
      </c>
      <c r="E181" s="252" t="s">
        <v>1345</v>
      </c>
      <c r="F181" s="252" t="s">
        <v>1147</v>
      </c>
      <c r="G181" s="252" t="s">
        <v>888</v>
      </c>
      <c r="H181" s="252" t="s">
        <v>892</v>
      </c>
      <c r="I181" s="255">
        <v>36.726999999999997</v>
      </c>
    </row>
    <row r="182" spans="1:9" ht="14.1" customHeight="1">
      <c r="A182" s="251" t="s">
        <v>1138</v>
      </c>
      <c r="B182" s="252" t="s">
        <v>948</v>
      </c>
      <c r="C182" s="253" t="s">
        <v>2852</v>
      </c>
      <c r="D182" s="254" t="s">
        <v>821</v>
      </c>
      <c r="E182" s="252" t="s">
        <v>1023</v>
      </c>
      <c r="F182" s="252" t="s">
        <v>886</v>
      </c>
      <c r="G182" s="252" t="s">
        <v>888</v>
      </c>
      <c r="H182" s="252" t="s">
        <v>889</v>
      </c>
      <c r="I182" s="255">
        <v>45</v>
      </c>
    </row>
    <row r="183" spans="1:9" ht="14.1" customHeight="1">
      <c r="A183" s="251" t="s">
        <v>1138</v>
      </c>
      <c r="B183" s="252" t="s">
        <v>948</v>
      </c>
      <c r="C183" s="257" t="s">
        <v>2364</v>
      </c>
      <c r="D183" s="254" t="s">
        <v>822</v>
      </c>
      <c r="E183" s="252" t="s">
        <v>944</v>
      </c>
      <c r="F183" s="252" t="s">
        <v>1148</v>
      </c>
      <c r="G183" s="252" t="s">
        <v>918</v>
      </c>
      <c r="H183" s="252" t="s">
        <v>889</v>
      </c>
      <c r="I183" s="255">
        <v>55.7</v>
      </c>
    </row>
    <row r="184" spans="1:9" ht="14.1" customHeight="1">
      <c r="A184" s="251" t="s">
        <v>1138</v>
      </c>
      <c r="B184" s="252" t="s">
        <v>948</v>
      </c>
      <c r="C184" s="257" t="s">
        <v>2835</v>
      </c>
      <c r="D184" s="254" t="s">
        <v>821</v>
      </c>
      <c r="E184" s="252" t="s">
        <v>1150</v>
      </c>
      <c r="F184" s="252" t="s">
        <v>1149</v>
      </c>
      <c r="G184" s="252" t="s">
        <v>1026</v>
      </c>
      <c r="H184" s="252" t="s">
        <v>889</v>
      </c>
      <c r="I184" s="255">
        <v>57.451999999999998</v>
      </c>
    </row>
    <row r="185" spans="1:9" ht="14.1" customHeight="1">
      <c r="A185" s="251" t="s">
        <v>1138</v>
      </c>
      <c r="B185" s="252" t="s">
        <v>948</v>
      </c>
      <c r="C185" s="253" t="s">
        <v>2851</v>
      </c>
      <c r="D185" s="254" t="s">
        <v>821</v>
      </c>
      <c r="E185" s="252" t="s">
        <v>1023</v>
      </c>
      <c r="F185" s="252" t="s">
        <v>1151</v>
      </c>
      <c r="G185" s="252" t="s">
        <v>984</v>
      </c>
      <c r="H185" s="252" t="s">
        <v>889</v>
      </c>
      <c r="I185" s="255">
        <v>163.554</v>
      </c>
    </row>
    <row r="186" spans="1:9" ht="14.1" customHeight="1">
      <c r="A186" s="251" t="s">
        <v>1138</v>
      </c>
      <c r="B186" s="252" t="s">
        <v>948</v>
      </c>
      <c r="C186" s="256" t="s">
        <v>2870</v>
      </c>
      <c r="D186" s="254" t="s">
        <v>821</v>
      </c>
      <c r="E186" s="252" t="s">
        <v>1000</v>
      </c>
      <c r="F186" s="252" t="s">
        <v>1152</v>
      </c>
      <c r="G186" s="252" t="s">
        <v>888</v>
      </c>
      <c r="H186" s="252" t="s">
        <v>889</v>
      </c>
      <c r="I186" s="255">
        <v>270</v>
      </c>
    </row>
    <row r="187" spans="1:9" ht="14.1" customHeight="1">
      <c r="A187" s="251" t="s">
        <v>1153</v>
      </c>
      <c r="B187" s="252" t="s">
        <v>951</v>
      </c>
      <c r="C187" s="256" t="s">
        <v>2994</v>
      </c>
      <c r="D187" s="254" t="s">
        <v>822</v>
      </c>
      <c r="E187" s="252" t="s">
        <v>917</v>
      </c>
      <c r="F187" s="252" t="s">
        <v>1154</v>
      </c>
      <c r="G187" s="252" t="s">
        <v>918</v>
      </c>
      <c r="H187" s="252" t="s">
        <v>931</v>
      </c>
      <c r="I187" s="255">
        <v>0.34599999999999997</v>
      </c>
    </row>
    <row r="188" spans="1:9" ht="14.1" customHeight="1">
      <c r="A188" s="251" t="s">
        <v>1153</v>
      </c>
      <c r="B188" s="252" t="s">
        <v>951</v>
      </c>
      <c r="C188" s="256" t="s">
        <v>2969</v>
      </c>
      <c r="D188" s="254" t="s">
        <v>822</v>
      </c>
      <c r="E188" s="252" t="s">
        <v>938</v>
      </c>
      <c r="F188" s="252" t="s">
        <v>1155</v>
      </c>
      <c r="G188" s="252" t="s">
        <v>895</v>
      </c>
      <c r="H188" s="252" t="s">
        <v>889</v>
      </c>
      <c r="I188" s="255">
        <v>0.42299999999999999</v>
      </c>
    </row>
    <row r="189" spans="1:9" ht="14.1" customHeight="1">
      <c r="A189" s="251" t="s">
        <v>1153</v>
      </c>
      <c r="B189" s="252" t="s">
        <v>951</v>
      </c>
      <c r="C189" s="253" t="s">
        <v>2996</v>
      </c>
      <c r="D189" s="254" t="s">
        <v>822</v>
      </c>
      <c r="E189" s="252" t="s">
        <v>894</v>
      </c>
      <c r="F189" s="252" t="s">
        <v>1156</v>
      </c>
      <c r="G189" s="252" t="s">
        <v>1157</v>
      </c>
      <c r="H189" s="252" t="s">
        <v>889</v>
      </c>
      <c r="I189" s="255">
        <v>1.7450000000000001</v>
      </c>
    </row>
    <row r="190" spans="1:9" ht="14.1" customHeight="1">
      <c r="A190" s="251" t="s">
        <v>1153</v>
      </c>
      <c r="B190" s="252" t="s">
        <v>951</v>
      </c>
      <c r="C190" s="253" t="s">
        <v>3001</v>
      </c>
      <c r="D190" s="254" t="s">
        <v>822</v>
      </c>
      <c r="E190" s="252" t="s">
        <v>1071</v>
      </c>
      <c r="F190" s="252" t="s">
        <v>1158</v>
      </c>
      <c r="G190" s="252" t="s">
        <v>918</v>
      </c>
      <c r="H190" s="252" t="s">
        <v>889</v>
      </c>
      <c r="I190" s="255">
        <v>4.6059999999999999</v>
      </c>
    </row>
    <row r="191" spans="1:9" ht="14.1" customHeight="1">
      <c r="A191" s="251" t="s">
        <v>1153</v>
      </c>
      <c r="B191" s="252" t="s">
        <v>951</v>
      </c>
      <c r="C191" s="257" t="s">
        <v>2106</v>
      </c>
      <c r="D191" s="254" t="s">
        <v>821</v>
      </c>
      <c r="E191" s="252" t="s">
        <v>1020</v>
      </c>
      <c r="F191" s="252" t="s">
        <v>1072</v>
      </c>
      <c r="G191" s="252" t="s">
        <v>939</v>
      </c>
      <c r="H191" s="252" t="s">
        <v>889</v>
      </c>
      <c r="I191" s="255">
        <v>4.758</v>
      </c>
    </row>
    <row r="192" spans="1:9" ht="14.1" customHeight="1">
      <c r="A192" s="251" t="s">
        <v>1153</v>
      </c>
      <c r="B192" s="252" t="s">
        <v>951</v>
      </c>
      <c r="C192" s="256" t="s">
        <v>3011</v>
      </c>
      <c r="D192" s="254" t="s">
        <v>822</v>
      </c>
      <c r="E192" s="252" t="s">
        <v>1068</v>
      </c>
      <c r="F192" s="252" t="s">
        <v>1159</v>
      </c>
      <c r="G192" s="252" t="s">
        <v>904</v>
      </c>
      <c r="H192" s="252" t="s">
        <v>889</v>
      </c>
      <c r="I192" s="255">
        <v>6.1040000000000001</v>
      </c>
    </row>
    <row r="193" spans="1:9" ht="14.1" customHeight="1">
      <c r="A193" s="251" t="s">
        <v>1153</v>
      </c>
      <c r="B193" s="252" t="s">
        <v>951</v>
      </c>
      <c r="C193" s="256" t="s">
        <v>1754</v>
      </c>
      <c r="D193" s="254" t="s">
        <v>821</v>
      </c>
      <c r="E193" s="252" t="s">
        <v>1030</v>
      </c>
      <c r="F193" s="252" t="s">
        <v>1029</v>
      </c>
      <c r="G193" s="252" t="s">
        <v>895</v>
      </c>
      <c r="H193" s="252" t="s">
        <v>892</v>
      </c>
      <c r="I193" s="255">
        <v>7.6710000000000003</v>
      </c>
    </row>
    <row r="194" spans="1:9" ht="14.1" customHeight="1">
      <c r="A194" s="251" t="s">
        <v>1153</v>
      </c>
      <c r="B194" s="252" t="s">
        <v>951</v>
      </c>
      <c r="C194" s="256" t="s">
        <v>2638</v>
      </c>
      <c r="D194" s="254" t="s">
        <v>821</v>
      </c>
      <c r="E194" s="252" t="s">
        <v>968</v>
      </c>
      <c r="F194" s="252" t="s">
        <v>886</v>
      </c>
      <c r="G194" s="252" t="s">
        <v>888</v>
      </c>
      <c r="H194" s="252" t="s">
        <v>889</v>
      </c>
      <c r="I194" s="255">
        <v>30</v>
      </c>
    </row>
    <row r="195" spans="1:9" ht="14.1" customHeight="1">
      <c r="A195" s="251" t="s">
        <v>1153</v>
      </c>
      <c r="B195" s="252" t="s">
        <v>951</v>
      </c>
      <c r="C195" s="256" t="s">
        <v>2997</v>
      </c>
      <c r="D195" s="254" t="s">
        <v>822</v>
      </c>
      <c r="E195" s="252" t="s">
        <v>1135</v>
      </c>
      <c r="F195" s="252" t="s">
        <v>1160</v>
      </c>
      <c r="G195" s="252" t="s">
        <v>929</v>
      </c>
      <c r="H195" s="252" t="s">
        <v>889</v>
      </c>
      <c r="I195" s="255">
        <v>31.387</v>
      </c>
    </row>
    <row r="196" spans="1:9" ht="14.1" customHeight="1">
      <c r="A196" s="251" t="s">
        <v>1153</v>
      </c>
      <c r="B196" s="252" t="s">
        <v>951</v>
      </c>
      <c r="C196" s="253" t="s">
        <v>1970</v>
      </c>
      <c r="D196" s="254" t="s">
        <v>821</v>
      </c>
      <c r="E196" s="252" t="s">
        <v>1055</v>
      </c>
      <c r="F196" s="252" t="s">
        <v>1054</v>
      </c>
      <c r="G196" s="252" t="s">
        <v>888</v>
      </c>
      <c r="H196" s="252" t="s">
        <v>889</v>
      </c>
      <c r="I196" s="255">
        <v>40</v>
      </c>
    </row>
    <row r="197" spans="1:9" ht="14.1" customHeight="1">
      <c r="A197" s="251" t="s">
        <v>1153</v>
      </c>
      <c r="B197" s="252" t="s">
        <v>951</v>
      </c>
      <c r="C197" s="256" t="s">
        <v>1948</v>
      </c>
      <c r="D197" s="254" t="s">
        <v>822</v>
      </c>
      <c r="E197" s="252" t="s">
        <v>917</v>
      </c>
      <c r="F197" s="252" t="s">
        <v>1161</v>
      </c>
      <c r="G197" s="252" t="s">
        <v>888</v>
      </c>
      <c r="H197" s="252" t="s">
        <v>889</v>
      </c>
      <c r="I197" s="255">
        <v>41.8</v>
      </c>
    </row>
    <row r="198" spans="1:9" ht="14.1" customHeight="1">
      <c r="A198" s="251" t="s">
        <v>1153</v>
      </c>
      <c r="B198" s="252" t="s">
        <v>951</v>
      </c>
      <c r="C198" s="256" t="s">
        <v>2860</v>
      </c>
      <c r="D198" s="254" t="s">
        <v>822</v>
      </c>
      <c r="E198" s="252" t="s">
        <v>1071</v>
      </c>
      <c r="F198" s="252" t="s">
        <v>886</v>
      </c>
      <c r="G198" s="252" t="s">
        <v>888</v>
      </c>
      <c r="H198" s="252" t="s">
        <v>889</v>
      </c>
      <c r="I198" s="255">
        <v>42.646999999999998</v>
      </c>
    </row>
    <row r="199" spans="1:9" ht="14.1" customHeight="1">
      <c r="A199" s="251" t="s">
        <v>1153</v>
      </c>
      <c r="B199" s="252" t="s">
        <v>951</v>
      </c>
      <c r="C199" s="256" t="s">
        <v>2973</v>
      </c>
      <c r="D199" s="254" t="s">
        <v>822</v>
      </c>
      <c r="E199" s="252" t="s">
        <v>1088</v>
      </c>
      <c r="F199" s="252" t="s">
        <v>1162</v>
      </c>
      <c r="G199" s="252" t="s">
        <v>888</v>
      </c>
      <c r="H199" s="252" t="s">
        <v>931</v>
      </c>
      <c r="I199" s="255">
        <v>44.841999999999999</v>
      </c>
    </row>
    <row r="200" spans="1:9" ht="14.1" customHeight="1">
      <c r="A200" s="251" t="s">
        <v>1153</v>
      </c>
      <c r="B200" s="252" t="s">
        <v>951</v>
      </c>
      <c r="C200" s="253" t="s">
        <v>2995</v>
      </c>
      <c r="D200" s="254" t="s">
        <v>821</v>
      </c>
      <c r="E200" s="252" t="s">
        <v>1023</v>
      </c>
      <c r="F200" s="252" t="s">
        <v>1163</v>
      </c>
      <c r="G200" s="252" t="s">
        <v>907</v>
      </c>
      <c r="H200" s="252" t="s">
        <v>889</v>
      </c>
      <c r="I200" s="255">
        <v>51</v>
      </c>
    </row>
    <row r="201" spans="1:9" ht="14.1" customHeight="1">
      <c r="A201" s="251" t="s">
        <v>1153</v>
      </c>
      <c r="B201" s="252" t="s">
        <v>951</v>
      </c>
      <c r="C201" s="256" t="s">
        <v>2985</v>
      </c>
      <c r="D201" s="254" t="s">
        <v>821</v>
      </c>
      <c r="E201" s="252" t="s">
        <v>887</v>
      </c>
      <c r="F201" s="252" t="s">
        <v>1165</v>
      </c>
      <c r="G201" s="252" t="s">
        <v>1022</v>
      </c>
      <c r="H201" s="252" t="s">
        <v>889</v>
      </c>
      <c r="I201" s="255">
        <v>61.156999999999996</v>
      </c>
    </row>
    <row r="202" spans="1:9" ht="14.1" customHeight="1">
      <c r="A202" s="251" t="s">
        <v>1153</v>
      </c>
      <c r="B202" s="252" t="s">
        <v>951</v>
      </c>
      <c r="C202" s="257" t="s">
        <v>3005</v>
      </c>
      <c r="D202" s="254" t="s">
        <v>821</v>
      </c>
      <c r="E202" s="252" t="s">
        <v>1020</v>
      </c>
      <c r="F202" s="252" t="s">
        <v>1019</v>
      </c>
      <c r="G202" s="252" t="s">
        <v>939</v>
      </c>
      <c r="H202" s="252" t="s">
        <v>931</v>
      </c>
      <c r="I202" s="255">
        <v>62.521000000000001</v>
      </c>
    </row>
    <row r="203" spans="1:9" ht="14.1" customHeight="1">
      <c r="A203" s="251" t="s">
        <v>1153</v>
      </c>
      <c r="B203" s="252" t="s">
        <v>951</v>
      </c>
      <c r="C203" s="257" t="s">
        <v>2998</v>
      </c>
      <c r="D203" s="254" t="s">
        <v>822</v>
      </c>
      <c r="E203" s="252" t="s">
        <v>1135</v>
      </c>
      <c r="F203" s="252" t="s">
        <v>1166</v>
      </c>
      <c r="G203" s="252" t="s">
        <v>904</v>
      </c>
      <c r="H203" s="252" t="s">
        <v>889</v>
      </c>
      <c r="I203" s="255">
        <v>94.539000000000001</v>
      </c>
    </row>
    <row r="204" spans="1:9" ht="14.1" customHeight="1">
      <c r="A204" s="251" t="s">
        <v>1153</v>
      </c>
      <c r="B204" s="252" t="s">
        <v>951</v>
      </c>
      <c r="C204" s="256" t="s">
        <v>2057</v>
      </c>
      <c r="D204" s="254" t="s">
        <v>821</v>
      </c>
      <c r="E204" s="252" t="s">
        <v>1168</v>
      </c>
      <c r="F204" s="252" t="s">
        <v>1167</v>
      </c>
      <c r="G204" s="252" t="s">
        <v>888</v>
      </c>
      <c r="H204" s="252" t="s">
        <v>889</v>
      </c>
      <c r="I204" s="255">
        <v>99.995999999999995</v>
      </c>
    </row>
    <row r="205" spans="1:9" ht="14.1" customHeight="1">
      <c r="A205" s="251" t="s">
        <v>1153</v>
      </c>
      <c r="B205" s="252" t="s">
        <v>951</v>
      </c>
      <c r="C205" s="256" t="s">
        <v>2966</v>
      </c>
      <c r="D205" s="254" t="s">
        <v>821</v>
      </c>
      <c r="E205" s="252" t="s">
        <v>1051</v>
      </c>
      <c r="F205" s="252" t="s">
        <v>1169</v>
      </c>
      <c r="G205" s="252" t="s">
        <v>925</v>
      </c>
      <c r="H205" s="252" t="s">
        <v>889</v>
      </c>
      <c r="I205" s="255">
        <v>173.113</v>
      </c>
    </row>
    <row r="206" spans="1:9" ht="14.1" customHeight="1">
      <c r="A206" s="251" t="s">
        <v>1153</v>
      </c>
      <c r="B206" s="252" t="s">
        <v>951</v>
      </c>
      <c r="C206" s="257" t="s">
        <v>3006</v>
      </c>
      <c r="D206" s="254" t="s">
        <v>821</v>
      </c>
      <c r="E206" s="252" t="s">
        <v>1000</v>
      </c>
      <c r="F206" s="252" t="s">
        <v>1170</v>
      </c>
      <c r="G206" s="252" t="s">
        <v>939</v>
      </c>
      <c r="H206" s="252" t="s">
        <v>889</v>
      </c>
      <c r="I206" s="255">
        <v>174.88399999999999</v>
      </c>
    </row>
    <row r="207" spans="1:9" ht="14.1" customHeight="1">
      <c r="A207" s="251" t="s">
        <v>1153</v>
      </c>
      <c r="B207" s="252" t="s">
        <v>951</v>
      </c>
      <c r="C207" s="258" t="s">
        <v>2989</v>
      </c>
      <c r="D207" s="254" t="s">
        <v>822</v>
      </c>
      <c r="E207" s="252" t="s">
        <v>1018</v>
      </c>
      <c r="F207" s="252" t="s">
        <v>1171</v>
      </c>
      <c r="G207" s="252" t="s">
        <v>984</v>
      </c>
      <c r="H207" s="252" t="s">
        <v>889</v>
      </c>
      <c r="I207" s="255">
        <v>217.42599999999999</v>
      </c>
    </row>
    <row r="208" spans="1:9" ht="14.1" customHeight="1">
      <c r="A208" s="251" t="s">
        <v>1153</v>
      </c>
      <c r="B208" s="252" t="s">
        <v>951</v>
      </c>
      <c r="C208" s="257" t="s">
        <v>2975</v>
      </c>
      <c r="D208" s="254" t="s">
        <v>822</v>
      </c>
      <c r="E208" s="252" t="s">
        <v>1088</v>
      </c>
      <c r="F208" s="252" t="s">
        <v>1162</v>
      </c>
      <c r="G208" s="252" t="s">
        <v>888</v>
      </c>
      <c r="H208" s="252" t="s">
        <v>889</v>
      </c>
      <c r="I208" s="255">
        <v>488.24900000000002</v>
      </c>
    </row>
    <row r="209" spans="1:9" ht="14.1" customHeight="1">
      <c r="A209" s="251" t="s">
        <v>1153</v>
      </c>
      <c r="B209" s="252" t="s">
        <v>951</v>
      </c>
      <c r="C209" s="256" t="s">
        <v>2980</v>
      </c>
      <c r="D209" s="254" t="s">
        <v>821</v>
      </c>
      <c r="E209" s="252" t="s">
        <v>1833</v>
      </c>
      <c r="F209" s="252" t="s">
        <v>1058</v>
      </c>
      <c r="G209" s="252" t="s">
        <v>945</v>
      </c>
      <c r="H209" s="252" t="s">
        <v>889</v>
      </c>
      <c r="I209" s="255">
        <v>509.57</v>
      </c>
    </row>
    <row r="210" spans="1:9" ht="14.1" customHeight="1">
      <c r="A210" s="251" t="s">
        <v>1153</v>
      </c>
      <c r="B210" s="252" t="s">
        <v>951</v>
      </c>
      <c r="C210" s="256" t="s">
        <v>2974</v>
      </c>
      <c r="D210" s="254" t="s">
        <v>822</v>
      </c>
      <c r="E210" s="252" t="s">
        <v>1088</v>
      </c>
      <c r="F210" s="252" t="s">
        <v>1162</v>
      </c>
      <c r="G210" s="252" t="s">
        <v>888</v>
      </c>
      <c r="H210" s="252" t="s">
        <v>931</v>
      </c>
      <c r="I210" s="255">
        <v>4273.3670000000002</v>
      </c>
    </row>
    <row r="211" spans="1:9" ht="14.1" customHeight="1">
      <c r="A211" s="251" t="s">
        <v>1173</v>
      </c>
      <c r="B211" s="252" t="s">
        <v>1172</v>
      </c>
      <c r="C211" s="256" t="s">
        <v>3134</v>
      </c>
      <c r="D211" s="254" t="s">
        <v>822</v>
      </c>
      <c r="E211" s="252" t="s">
        <v>917</v>
      </c>
      <c r="F211" s="252" t="s">
        <v>1174</v>
      </c>
      <c r="G211" s="252" t="s">
        <v>918</v>
      </c>
      <c r="H211" s="252" t="s">
        <v>892</v>
      </c>
      <c r="I211" s="255">
        <v>4.5</v>
      </c>
    </row>
    <row r="212" spans="1:9" ht="14.1" customHeight="1">
      <c r="A212" s="251" t="s">
        <v>1173</v>
      </c>
      <c r="B212" s="252" t="s">
        <v>1172</v>
      </c>
      <c r="C212" s="257" t="s">
        <v>3105</v>
      </c>
      <c r="D212" s="254" t="s">
        <v>821</v>
      </c>
      <c r="E212" s="252" t="s">
        <v>968</v>
      </c>
      <c r="F212" s="252" t="s">
        <v>1175</v>
      </c>
      <c r="G212" s="252" t="s">
        <v>907</v>
      </c>
      <c r="H212" s="252" t="s">
        <v>889</v>
      </c>
      <c r="I212" s="255">
        <v>14.141999999999999</v>
      </c>
    </row>
    <row r="213" spans="1:9" ht="14.1" customHeight="1">
      <c r="A213" s="251" t="s">
        <v>1173</v>
      </c>
      <c r="B213" s="252" t="s">
        <v>1172</v>
      </c>
      <c r="C213" s="257" t="s">
        <v>3148</v>
      </c>
      <c r="D213" s="254" t="s">
        <v>821</v>
      </c>
      <c r="E213" s="252" t="s">
        <v>1246</v>
      </c>
      <c r="F213" s="252" t="s">
        <v>1081</v>
      </c>
      <c r="G213" s="252" t="s">
        <v>918</v>
      </c>
      <c r="H213" s="252" t="s">
        <v>889</v>
      </c>
      <c r="I213" s="255">
        <v>37.078000000000003</v>
      </c>
    </row>
    <row r="214" spans="1:9" ht="14.1" customHeight="1">
      <c r="A214" s="251" t="s">
        <v>1173</v>
      </c>
      <c r="B214" s="252" t="s">
        <v>1172</v>
      </c>
      <c r="C214" s="253" t="s">
        <v>3143</v>
      </c>
      <c r="D214" s="254" t="s">
        <v>822</v>
      </c>
      <c r="E214" s="252" t="s">
        <v>1071</v>
      </c>
      <c r="F214" s="252" t="s">
        <v>1176</v>
      </c>
      <c r="G214" s="252" t="s">
        <v>1119</v>
      </c>
      <c r="H214" s="252" t="s">
        <v>889</v>
      </c>
      <c r="I214" s="255">
        <v>39.493000000000002</v>
      </c>
    </row>
    <row r="215" spans="1:9" ht="14.1" customHeight="1">
      <c r="A215" s="251" t="s">
        <v>1173</v>
      </c>
      <c r="B215" s="252" t="s">
        <v>1172</v>
      </c>
      <c r="C215" s="253" t="s">
        <v>3146</v>
      </c>
      <c r="D215" s="254" t="s">
        <v>821</v>
      </c>
      <c r="E215" s="252" t="s">
        <v>1246</v>
      </c>
      <c r="F215" s="252" t="s">
        <v>1058</v>
      </c>
      <c r="G215" s="252" t="s">
        <v>945</v>
      </c>
      <c r="H215" s="252" t="s">
        <v>889</v>
      </c>
      <c r="I215" s="255">
        <v>42.271999999999998</v>
      </c>
    </row>
    <row r="216" spans="1:9" ht="14.1" customHeight="1">
      <c r="A216" s="251" t="s">
        <v>1173</v>
      </c>
      <c r="B216" s="252" t="s">
        <v>1172</v>
      </c>
      <c r="C216" s="256" t="s">
        <v>2073</v>
      </c>
      <c r="D216" s="254" t="s">
        <v>821</v>
      </c>
      <c r="E216" s="252" t="s">
        <v>968</v>
      </c>
      <c r="F216" s="252" t="s">
        <v>1177</v>
      </c>
      <c r="G216" s="252" t="s">
        <v>888</v>
      </c>
      <c r="H216" s="252" t="s">
        <v>889</v>
      </c>
      <c r="I216" s="255">
        <v>60</v>
      </c>
    </row>
    <row r="217" spans="1:9" ht="14.1" customHeight="1">
      <c r="A217" s="251" t="s">
        <v>1173</v>
      </c>
      <c r="B217" s="252" t="s">
        <v>1172</v>
      </c>
      <c r="C217" s="256" t="s">
        <v>3097</v>
      </c>
      <c r="D217" s="254" t="s">
        <v>821</v>
      </c>
      <c r="E217" s="252" t="s">
        <v>947</v>
      </c>
      <c r="F217" s="252" t="s">
        <v>1178</v>
      </c>
      <c r="G217" s="252" t="s">
        <v>888</v>
      </c>
      <c r="H217" s="252" t="s">
        <v>889</v>
      </c>
      <c r="I217" s="255">
        <v>67.073999999999998</v>
      </c>
    </row>
    <row r="218" spans="1:9" ht="14.1" customHeight="1">
      <c r="A218" s="251" t="s">
        <v>1173</v>
      </c>
      <c r="B218" s="252" t="s">
        <v>1172</v>
      </c>
      <c r="C218" s="257" t="s">
        <v>3117</v>
      </c>
      <c r="D218" s="254" t="s">
        <v>822</v>
      </c>
      <c r="E218" s="252" t="s">
        <v>906</v>
      </c>
      <c r="F218" s="252" t="s">
        <v>1179</v>
      </c>
      <c r="G218" s="252" t="s">
        <v>895</v>
      </c>
      <c r="H218" s="252" t="s">
        <v>889</v>
      </c>
      <c r="I218" s="255">
        <v>176.52600000000001</v>
      </c>
    </row>
    <row r="219" spans="1:9" ht="14.1" customHeight="1">
      <c r="A219" s="251" t="s">
        <v>1173</v>
      </c>
      <c r="B219" s="252" t="s">
        <v>1172</v>
      </c>
      <c r="C219" s="253" t="s">
        <v>3116</v>
      </c>
      <c r="D219" s="254" t="s">
        <v>822</v>
      </c>
      <c r="E219" s="252" t="s">
        <v>1088</v>
      </c>
      <c r="F219" s="252" t="s">
        <v>1180</v>
      </c>
      <c r="G219" s="252" t="s">
        <v>888</v>
      </c>
      <c r="H219" s="252" t="s">
        <v>931</v>
      </c>
      <c r="I219" s="255">
        <v>250</v>
      </c>
    </row>
    <row r="220" spans="1:9" ht="14.1" customHeight="1">
      <c r="A220" s="251" t="s">
        <v>1173</v>
      </c>
      <c r="B220" s="252" t="s">
        <v>1172</v>
      </c>
      <c r="C220" s="257" t="s">
        <v>3147</v>
      </c>
      <c r="D220" s="254" t="s">
        <v>821</v>
      </c>
      <c r="E220" s="252" t="s">
        <v>1246</v>
      </c>
      <c r="F220" s="252" t="s">
        <v>1081</v>
      </c>
      <c r="G220" s="252" t="s">
        <v>918</v>
      </c>
      <c r="H220" s="252" t="s">
        <v>889</v>
      </c>
      <c r="I220" s="255">
        <v>555.88800000000003</v>
      </c>
    </row>
    <row r="221" spans="1:9" ht="14.1" customHeight="1">
      <c r="A221" s="251" t="s">
        <v>1173</v>
      </c>
      <c r="B221" s="252" t="s">
        <v>1172</v>
      </c>
      <c r="C221" s="256" t="s">
        <v>3151</v>
      </c>
      <c r="D221" s="254" t="s">
        <v>821</v>
      </c>
      <c r="E221" s="252" t="s">
        <v>1020</v>
      </c>
      <c r="F221" s="252" t="s">
        <v>1181</v>
      </c>
      <c r="G221" s="252" t="s">
        <v>939</v>
      </c>
      <c r="H221" s="252" t="s">
        <v>889</v>
      </c>
      <c r="I221" s="255">
        <v>699.10500000000002</v>
      </c>
    </row>
    <row r="222" spans="1:9" ht="14.1" customHeight="1">
      <c r="A222" s="251" t="s">
        <v>1182</v>
      </c>
      <c r="B222" s="252" t="s">
        <v>955</v>
      </c>
      <c r="C222" s="256" t="s">
        <v>3290</v>
      </c>
      <c r="D222" s="254" t="s">
        <v>822</v>
      </c>
      <c r="E222" s="252" t="s">
        <v>917</v>
      </c>
      <c r="F222" s="252" t="s">
        <v>1183</v>
      </c>
      <c r="G222" s="252" t="s">
        <v>929</v>
      </c>
      <c r="H222" s="252" t="s">
        <v>889</v>
      </c>
      <c r="I222" s="255">
        <v>0.108</v>
      </c>
    </row>
    <row r="223" spans="1:9" ht="14.1" customHeight="1">
      <c r="A223" s="251" t="s">
        <v>1182</v>
      </c>
      <c r="B223" s="252" t="s">
        <v>955</v>
      </c>
      <c r="C223" s="253" t="s">
        <v>2070</v>
      </c>
      <c r="D223" s="254" t="s">
        <v>821</v>
      </c>
      <c r="E223" s="252" t="s">
        <v>968</v>
      </c>
      <c r="F223" s="252" t="s">
        <v>1184</v>
      </c>
      <c r="G223" s="252" t="s">
        <v>939</v>
      </c>
      <c r="H223" s="252" t="s">
        <v>889</v>
      </c>
      <c r="I223" s="255">
        <v>0.63700000000000001</v>
      </c>
    </row>
    <row r="224" spans="1:9" ht="14.1" customHeight="1">
      <c r="A224" s="251" t="s">
        <v>1182</v>
      </c>
      <c r="B224" s="252" t="s">
        <v>955</v>
      </c>
      <c r="C224" s="256" t="s">
        <v>3318</v>
      </c>
      <c r="D224" s="254" t="s">
        <v>822</v>
      </c>
      <c r="E224" s="252" t="s">
        <v>903</v>
      </c>
      <c r="F224" s="252" t="s">
        <v>1185</v>
      </c>
      <c r="G224" s="252" t="s">
        <v>907</v>
      </c>
      <c r="H224" s="252" t="s">
        <v>889</v>
      </c>
      <c r="I224" s="255">
        <v>0.86799999999999999</v>
      </c>
    </row>
    <row r="225" spans="1:9" ht="14.1" customHeight="1">
      <c r="A225" s="251" t="s">
        <v>1182</v>
      </c>
      <c r="B225" s="252" t="s">
        <v>955</v>
      </c>
      <c r="C225" s="256" t="s">
        <v>1967</v>
      </c>
      <c r="D225" s="254" t="s">
        <v>821</v>
      </c>
      <c r="E225" s="252" t="s">
        <v>1055</v>
      </c>
      <c r="F225" s="252" t="s">
        <v>1042</v>
      </c>
      <c r="G225" s="252" t="s">
        <v>945</v>
      </c>
      <c r="H225" s="252" t="s">
        <v>889</v>
      </c>
      <c r="I225" s="255">
        <v>1.4910000000000001</v>
      </c>
    </row>
    <row r="226" spans="1:9" ht="14.1" customHeight="1">
      <c r="A226" s="251" t="s">
        <v>1182</v>
      </c>
      <c r="B226" s="252" t="s">
        <v>955</v>
      </c>
      <c r="C226" s="256" t="s">
        <v>3312</v>
      </c>
      <c r="D226" s="254" t="s">
        <v>822</v>
      </c>
      <c r="E226" s="252" t="s">
        <v>1110</v>
      </c>
      <c r="F226" s="252" t="s">
        <v>1186</v>
      </c>
      <c r="G226" s="252" t="s">
        <v>925</v>
      </c>
      <c r="H226" s="252" t="s">
        <v>892</v>
      </c>
      <c r="I226" s="255">
        <v>2</v>
      </c>
    </row>
    <row r="227" spans="1:9" ht="14.1" customHeight="1">
      <c r="A227" s="251" t="s">
        <v>1182</v>
      </c>
      <c r="B227" s="252" t="s">
        <v>955</v>
      </c>
      <c r="C227" s="257" t="s">
        <v>3250</v>
      </c>
      <c r="D227" s="254" t="s">
        <v>821</v>
      </c>
      <c r="E227" s="252" t="s">
        <v>968</v>
      </c>
      <c r="F227" s="252" t="s">
        <v>1187</v>
      </c>
      <c r="G227" s="252" t="s">
        <v>907</v>
      </c>
      <c r="H227" s="252" t="s">
        <v>889</v>
      </c>
      <c r="I227" s="255">
        <v>19.509</v>
      </c>
    </row>
    <row r="228" spans="1:9" ht="14.1" customHeight="1">
      <c r="A228" s="251" t="s">
        <v>1182</v>
      </c>
      <c r="B228" s="252" t="s">
        <v>955</v>
      </c>
      <c r="C228" s="253" t="s">
        <v>3305</v>
      </c>
      <c r="D228" s="254" t="s">
        <v>821</v>
      </c>
      <c r="E228" s="252" t="s">
        <v>1246</v>
      </c>
      <c r="F228" s="252" t="s">
        <v>1188</v>
      </c>
      <c r="G228" s="252" t="s">
        <v>888</v>
      </c>
      <c r="H228" s="252" t="s">
        <v>889</v>
      </c>
      <c r="I228" s="255">
        <v>78.905000000000001</v>
      </c>
    </row>
    <row r="229" spans="1:9" ht="14.1" customHeight="1">
      <c r="A229" s="251" t="s">
        <v>1182</v>
      </c>
      <c r="B229" s="252" t="s">
        <v>955</v>
      </c>
      <c r="C229" s="256" t="s">
        <v>3269</v>
      </c>
      <c r="D229" s="254" t="s">
        <v>822</v>
      </c>
      <c r="E229" s="252" t="s">
        <v>906</v>
      </c>
      <c r="F229" s="252" t="s">
        <v>1189</v>
      </c>
      <c r="G229" s="252" t="s">
        <v>907</v>
      </c>
      <c r="H229" s="252" t="s">
        <v>889</v>
      </c>
      <c r="I229" s="255">
        <v>85.361000000000004</v>
      </c>
    </row>
    <row r="230" spans="1:9" ht="14.1" customHeight="1">
      <c r="A230" s="251" t="s">
        <v>1182</v>
      </c>
      <c r="B230" s="252" t="s">
        <v>955</v>
      </c>
      <c r="C230" s="256" t="s">
        <v>3321</v>
      </c>
      <c r="D230" s="254" t="s">
        <v>822</v>
      </c>
      <c r="E230" s="252" t="s">
        <v>1068</v>
      </c>
      <c r="F230" s="252" t="s">
        <v>1190</v>
      </c>
      <c r="G230" s="252" t="s">
        <v>888</v>
      </c>
      <c r="H230" s="252" t="s">
        <v>892</v>
      </c>
      <c r="I230" s="255">
        <v>138.928</v>
      </c>
    </row>
    <row r="231" spans="1:9" ht="14.1" customHeight="1">
      <c r="A231" s="251" t="s">
        <v>1182</v>
      </c>
      <c r="B231" s="252" t="s">
        <v>955</v>
      </c>
      <c r="C231" s="256" t="s">
        <v>3295</v>
      </c>
      <c r="D231" s="254" t="s">
        <v>821</v>
      </c>
      <c r="E231" s="252" t="s">
        <v>1023</v>
      </c>
      <c r="F231" s="252" t="s">
        <v>1191</v>
      </c>
      <c r="G231" s="252" t="s">
        <v>888</v>
      </c>
      <c r="H231" s="252" t="s">
        <v>889</v>
      </c>
      <c r="I231" s="255">
        <v>150.744</v>
      </c>
    </row>
    <row r="232" spans="1:9" ht="14.1" customHeight="1">
      <c r="A232" s="251" t="s">
        <v>1182</v>
      </c>
      <c r="B232" s="252" t="s">
        <v>955</v>
      </c>
      <c r="C232" s="257" t="s">
        <v>3276</v>
      </c>
      <c r="D232" s="254" t="s">
        <v>822</v>
      </c>
      <c r="E232" s="252" t="s">
        <v>906</v>
      </c>
      <c r="F232" s="252" t="s">
        <v>1192</v>
      </c>
      <c r="G232" s="252" t="s">
        <v>895</v>
      </c>
      <c r="H232" s="252" t="s">
        <v>889</v>
      </c>
      <c r="I232" s="255">
        <v>187.203</v>
      </c>
    </row>
    <row r="233" spans="1:9" ht="14.1" customHeight="1">
      <c r="A233" s="251" t="s">
        <v>1182</v>
      </c>
      <c r="B233" s="252" t="s">
        <v>955</v>
      </c>
      <c r="C233" s="257" t="s">
        <v>3263</v>
      </c>
      <c r="D233" s="254" t="s">
        <v>822</v>
      </c>
      <c r="E233" s="252" t="s">
        <v>944</v>
      </c>
      <c r="F233" s="252" t="s">
        <v>1193</v>
      </c>
      <c r="G233" s="252" t="s">
        <v>888</v>
      </c>
      <c r="H233" s="252" t="s">
        <v>892</v>
      </c>
      <c r="I233" s="255">
        <v>200</v>
      </c>
    </row>
    <row r="234" spans="1:9" ht="14.1" customHeight="1">
      <c r="A234" s="251" t="s">
        <v>1182</v>
      </c>
      <c r="B234" s="252" t="s">
        <v>955</v>
      </c>
      <c r="C234" s="256" t="s">
        <v>2542</v>
      </c>
      <c r="D234" s="254" t="s">
        <v>821</v>
      </c>
      <c r="E234" s="252" t="s">
        <v>1000</v>
      </c>
      <c r="F234" s="252" t="s">
        <v>1063</v>
      </c>
      <c r="G234" s="252" t="s">
        <v>1026</v>
      </c>
      <c r="H234" s="252" t="s">
        <v>931</v>
      </c>
      <c r="I234" s="255">
        <v>219.13</v>
      </c>
    </row>
    <row r="235" spans="1:9" ht="14.1" customHeight="1">
      <c r="A235" s="251" t="s">
        <v>1182</v>
      </c>
      <c r="B235" s="252" t="s">
        <v>955</v>
      </c>
      <c r="C235" s="256" t="s">
        <v>3285</v>
      </c>
      <c r="D235" s="254" t="s">
        <v>822</v>
      </c>
      <c r="E235" s="252" t="s">
        <v>1202</v>
      </c>
      <c r="F235" s="252" t="s">
        <v>1194</v>
      </c>
      <c r="G235" s="252" t="s">
        <v>954</v>
      </c>
      <c r="H235" s="252" t="s">
        <v>889</v>
      </c>
      <c r="I235" s="255">
        <v>425.24099999999999</v>
      </c>
    </row>
    <row r="236" spans="1:9" ht="14.1" customHeight="1">
      <c r="A236" s="251" t="s">
        <v>1182</v>
      </c>
      <c r="B236" s="252" t="s">
        <v>955</v>
      </c>
      <c r="C236" s="256" t="s">
        <v>2057</v>
      </c>
      <c r="D236" s="254" t="s">
        <v>821</v>
      </c>
      <c r="E236" s="252" t="s">
        <v>1168</v>
      </c>
      <c r="F236" s="252" t="s">
        <v>1195</v>
      </c>
      <c r="G236" s="252" t="s">
        <v>925</v>
      </c>
      <c r="H236" s="252" t="s">
        <v>889</v>
      </c>
      <c r="I236" s="255">
        <v>450</v>
      </c>
    </row>
    <row r="237" spans="1:9" ht="14.1" customHeight="1">
      <c r="A237" s="251" t="s">
        <v>1182</v>
      </c>
      <c r="B237" s="252" t="s">
        <v>955</v>
      </c>
      <c r="C237" s="256" t="s">
        <v>3268</v>
      </c>
      <c r="D237" s="254" t="s">
        <v>822</v>
      </c>
      <c r="E237" s="252" t="s">
        <v>1088</v>
      </c>
      <c r="F237" s="252" t="s">
        <v>1196</v>
      </c>
      <c r="G237" s="252" t="s">
        <v>895</v>
      </c>
      <c r="H237" s="252" t="s">
        <v>889</v>
      </c>
      <c r="I237" s="255">
        <v>505.14</v>
      </c>
    </row>
    <row r="238" spans="1:9" ht="14.1" customHeight="1">
      <c r="A238" s="251" t="s">
        <v>1182</v>
      </c>
      <c r="B238" s="252" t="s">
        <v>955</v>
      </c>
      <c r="C238" s="256" t="s">
        <v>3305</v>
      </c>
      <c r="D238" s="254" t="s">
        <v>821</v>
      </c>
      <c r="E238" s="252" t="s">
        <v>1246</v>
      </c>
      <c r="F238" s="252" t="s">
        <v>1188</v>
      </c>
      <c r="G238" s="252" t="s">
        <v>888</v>
      </c>
      <c r="H238" s="252" t="s">
        <v>889</v>
      </c>
      <c r="I238" s="255">
        <v>533.36400000000003</v>
      </c>
    </row>
    <row r="239" spans="1:9" ht="14.1" customHeight="1">
      <c r="A239" s="251" t="s">
        <v>1182</v>
      </c>
      <c r="B239" s="252" t="s">
        <v>955</v>
      </c>
      <c r="C239" s="256" t="s">
        <v>3320</v>
      </c>
      <c r="D239" s="254" t="s">
        <v>821</v>
      </c>
      <c r="E239" s="252" t="s">
        <v>1000</v>
      </c>
      <c r="F239" s="252" t="s">
        <v>1197</v>
      </c>
      <c r="G239" s="252" t="s">
        <v>904</v>
      </c>
      <c r="H239" s="252" t="s">
        <v>889</v>
      </c>
      <c r="I239" s="255">
        <v>542.71600000000001</v>
      </c>
    </row>
    <row r="240" spans="1:9" ht="14.1" customHeight="1">
      <c r="A240" s="251" t="s">
        <v>1182</v>
      </c>
      <c r="B240" s="252" t="s">
        <v>955</v>
      </c>
      <c r="C240" s="257" t="s">
        <v>2980</v>
      </c>
      <c r="D240" s="254" t="s">
        <v>821</v>
      </c>
      <c r="E240" s="252" t="s">
        <v>1833</v>
      </c>
      <c r="F240" s="252" t="s">
        <v>1058</v>
      </c>
      <c r="G240" s="252" t="s">
        <v>945</v>
      </c>
      <c r="H240" s="252" t="s">
        <v>889</v>
      </c>
      <c r="I240" s="255">
        <v>617.31500000000005</v>
      </c>
    </row>
    <row r="241" spans="1:9" ht="14.1" customHeight="1">
      <c r="A241" s="251" t="s">
        <v>1182</v>
      </c>
      <c r="B241" s="252" t="s">
        <v>955</v>
      </c>
      <c r="C241" s="256" t="s">
        <v>3313</v>
      </c>
      <c r="D241" s="254" t="s">
        <v>822</v>
      </c>
      <c r="E241" s="252" t="s">
        <v>1099</v>
      </c>
      <c r="F241" s="252" t="s">
        <v>1198</v>
      </c>
      <c r="G241" s="252" t="s">
        <v>888</v>
      </c>
      <c r="H241" s="252" t="s">
        <v>889</v>
      </c>
      <c r="I241" s="255">
        <v>985.96299999999997</v>
      </c>
    </row>
    <row r="242" spans="1:9" ht="14.1" customHeight="1">
      <c r="A242" s="251" t="s">
        <v>1182</v>
      </c>
      <c r="B242" s="252" t="s">
        <v>955</v>
      </c>
      <c r="C242" s="257" t="s">
        <v>3316</v>
      </c>
      <c r="D242" s="254" t="s">
        <v>821</v>
      </c>
      <c r="E242" s="252" t="s">
        <v>1020</v>
      </c>
      <c r="F242" s="252" t="s">
        <v>1199</v>
      </c>
      <c r="G242" s="252" t="s">
        <v>895</v>
      </c>
      <c r="H242" s="252" t="s">
        <v>931</v>
      </c>
      <c r="I242" s="255">
        <v>4000</v>
      </c>
    </row>
    <row r="243" spans="1:9" ht="14.1" customHeight="1">
      <c r="A243" s="251" t="s">
        <v>1200</v>
      </c>
      <c r="B243" s="252" t="s">
        <v>960</v>
      </c>
      <c r="C243" s="256" t="s">
        <v>3430</v>
      </c>
      <c r="D243" s="254" t="s">
        <v>822</v>
      </c>
      <c r="E243" s="252" t="s">
        <v>1068</v>
      </c>
      <c r="F243" s="252" t="s">
        <v>1201</v>
      </c>
      <c r="G243" s="252" t="s">
        <v>1119</v>
      </c>
      <c r="H243" s="252" t="s">
        <v>889</v>
      </c>
      <c r="I243" s="255">
        <v>1</v>
      </c>
    </row>
    <row r="244" spans="1:9" ht="14.1" customHeight="1">
      <c r="A244" s="251" t="s">
        <v>1200</v>
      </c>
      <c r="B244" s="252" t="s">
        <v>960</v>
      </c>
      <c r="C244" s="256" t="s">
        <v>3400</v>
      </c>
      <c r="D244" s="254" t="s">
        <v>821</v>
      </c>
      <c r="E244" s="252" t="s">
        <v>968</v>
      </c>
      <c r="F244" s="252" t="s">
        <v>886</v>
      </c>
      <c r="G244" s="252" t="s">
        <v>1157</v>
      </c>
      <c r="H244" s="252" t="s">
        <v>889</v>
      </c>
      <c r="I244" s="255">
        <v>1.2</v>
      </c>
    </row>
    <row r="245" spans="1:9" ht="14.1" customHeight="1">
      <c r="A245" s="251" t="s">
        <v>1200</v>
      </c>
      <c r="B245" s="252" t="s">
        <v>960</v>
      </c>
      <c r="C245" s="257" t="s">
        <v>3389</v>
      </c>
      <c r="D245" s="254" t="s">
        <v>821</v>
      </c>
      <c r="E245" s="252" t="s">
        <v>968</v>
      </c>
      <c r="F245" s="252" t="s">
        <v>1203</v>
      </c>
      <c r="G245" s="252" t="s">
        <v>888</v>
      </c>
      <c r="H245" s="252" t="s">
        <v>889</v>
      </c>
      <c r="I245" s="255">
        <v>4.9720000000000004</v>
      </c>
    </row>
    <row r="246" spans="1:9" ht="14.1" customHeight="1">
      <c r="A246" s="251" t="s">
        <v>1200</v>
      </c>
      <c r="B246" s="252" t="s">
        <v>960</v>
      </c>
      <c r="C246" s="256" t="s">
        <v>3397</v>
      </c>
      <c r="D246" s="254" t="s">
        <v>821</v>
      </c>
      <c r="E246" s="252" t="s">
        <v>968</v>
      </c>
      <c r="F246" s="252" t="s">
        <v>886</v>
      </c>
      <c r="G246" s="252" t="s">
        <v>888</v>
      </c>
      <c r="H246" s="252" t="s">
        <v>889</v>
      </c>
      <c r="I246" s="255">
        <v>9.83</v>
      </c>
    </row>
    <row r="247" spans="1:9" ht="14.1" customHeight="1">
      <c r="A247" s="251" t="s">
        <v>1200</v>
      </c>
      <c r="B247" s="252" t="s">
        <v>960</v>
      </c>
      <c r="C247" s="253" t="s">
        <v>3424</v>
      </c>
      <c r="D247" s="254" t="s">
        <v>822</v>
      </c>
      <c r="E247" s="252" t="s">
        <v>1135</v>
      </c>
      <c r="F247" s="252" t="s">
        <v>1204</v>
      </c>
      <c r="G247" s="252" t="s">
        <v>918</v>
      </c>
      <c r="H247" s="252" t="s">
        <v>889</v>
      </c>
      <c r="I247" s="255">
        <v>10.25</v>
      </c>
    </row>
    <row r="248" spans="1:9" ht="14.1" customHeight="1">
      <c r="A248" s="251" t="s">
        <v>1200</v>
      </c>
      <c r="B248" s="252" t="s">
        <v>960</v>
      </c>
      <c r="C248" s="257" t="s">
        <v>1758</v>
      </c>
      <c r="D248" s="254" t="s">
        <v>822</v>
      </c>
      <c r="E248" s="252" t="s">
        <v>1032</v>
      </c>
      <c r="F248" s="252" t="s">
        <v>1031</v>
      </c>
      <c r="G248" s="252" t="s">
        <v>1033</v>
      </c>
      <c r="H248" s="252" t="s">
        <v>892</v>
      </c>
      <c r="I248" s="255">
        <v>11.395</v>
      </c>
    </row>
    <row r="249" spans="1:9" ht="14.1" customHeight="1">
      <c r="A249" s="251" t="s">
        <v>1200</v>
      </c>
      <c r="B249" s="252" t="s">
        <v>960</v>
      </c>
      <c r="C249" s="256" t="s">
        <v>3411</v>
      </c>
      <c r="D249" s="254" t="s">
        <v>822</v>
      </c>
      <c r="E249" s="252" t="s">
        <v>890</v>
      </c>
      <c r="F249" s="252" t="s">
        <v>1205</v>
      </c>
      <c r="G249" s="252" t="s">
        <v>918</v>
      </c>
      <c r="H249" s="252" t="s">
        <v>889</v>
      </c>
      <c r="I249" s="255">
        <v>11.987</v>
      </c>
    </row>
    <row r="250" spans="1:9" ht="14.1" customHeight="1">
      <c r="A250" s="251" t="s">
        <v>1200</v>
      </c>
      <c r="B250" s="252" t="s">
        <v>960</v>
      </c>
      <c r="C250" s="256" t="s">
        <v>3410</v>
      </c>
      <c r="D250" s="254" t="s">
        <v>821</v>
      </c>
      <c r="E250" s="252" t="s">
        <v>887</v>
      </c>
      <c r="F250" s="252" t="s">
        <v>1206</v>
      </c>
      <c r="G250" s="252" t="s">
        <v>959</v>
      </c>
      <c r="H250" s="252" t="s">
        <v>889</v>
      </c>
      <c r="I250" s="255">
        <v>41.143000000000001</v>
      </c>
    </row>
    <row r="251" spans="1:9" ht="14.1" customHeight="1">
      <c r="A251" s="251" t="s">
        <v>1200</v>
      </c>
      <c r="B251" s="252" t="s">
        <v>960</v>
      </c>
      <c r="C251" s="256" t="s">
        <v>3423</v>
      </c>
      <c r="D251" s="254" t="s">
        <v>822</v>
      </c>
      <c r="E251" s="252" t="s">
        <v>1135</v>
      </c>
      <c r="F251" s="252" t="s">
        <v>1207</v>
      </c>
      <c r="G251" s="252" t="s">
        <v>891</v>
      </c>
      <c r="H251" s="252" t="s">
        <v>889</v>
      </c>
      <c r="I251" s="255">
        <v>203.31899999999999</v>
      </c>
    </row>
    <row r="252" spans="1:9" ht="14.1" customHeight="1">
      <c r="A252" s="251" t="s">
        <v>1208</v>
      </c>
      <c r="B252" s="252" t="s">
        <v>964</v>
      </c>
      <c r="C252" s="253" t="s">
        <v>3517</v>
      </c>
      <c r="D252" s="254" t="s">
        <v>822</v>
      </c>
      <c r="E252" s="252" t="s">
        <v>938</v>
      </c>
      <c r="F252" s="252" t="s">
        <v>1209</v>
      </c>
      <c r="G252" s="252" t="s">
        <v>1021</v>
      </c>
      <c r="H252" s="252" t="s">
        <v>889</v>
      </c>
      <c r="I252" s="255">
        <v>3.6</v>
      </c>
    </row>
    <row r="253" spans="1:9" ht="14.1" customHeight="1">
      <c r="A253" s="251" t="s">
        <v>1208</v>
      </c>
      <c r="B253" s="252" t="s">
        <v>964</v>
      </c>
      <c r="C253" s="256" t="s">
        <v>3535</v>
      </c>
      <c r="D253" s="254" t="s">
        <v>822</v>
      </c>
      <c r="E253" s="252" t="s">
        <v>1202</v>
      </c>
      <c r="F253" s="252" t="s">
        <v>886</v>
      </c>
      <c r="G253" s="252" t="s">
        <v>1210</v>
      </c>
      <c r="H253" s="252" t="s">
        <v>889</v>
      </c>
      <c r="I253" s="255">
        <v>5.58</v>
      </c>
    </row>
    <row r="254" spans="1:9" ht="14.1" customHeight="1">
      <c r="A254" s="251" t="s">
        <v>1208</v>
      </c>
      <c r="B254" s="252" t="s">
        <v>964</v>
      </c>
      <c r="C254" s="256" t="s">
        <v>3551</v>
      </c>
      <c r="D254" s="254" t="s">
        <v>821</v>
      </c>
      <c r="E254" s="252" t="s">
        <v>1164</v>
      </c>
      <c r="F254" s="252" t="s">
        <v>886</v>
      </c>
      <c r="G254" s="252" t="s">
        <v>984</v>
      </c>
      <c r="H254" s="252" t="s">
        <v>889</v>
      </c>
      <c r="I254" s="255">
        <v>5.718</v>
      </c>
    </row>
    <row r="255" spans="1:9" ht="14.1" customHeight="1">
      <c r="A255" s="251" t="s">
        <v>1208</v>
      </c>
      <c r="B255" s="252" t="s">
        <v>964</v>
      </c>
      <c r="C255" s="256" t="s">
        <v>3513</v>
      </c>
      <c r="D255" s="254" t="s">
        <v>822</v>
      </c>
      <c r="E255" s="252" t="s">
        <v>944</v>
      </c>
      <c r="F255" s="252" t="s">
        <v>1211</v>
      </c>
      <c r="G255" s="252" t="s">
        <v>984</v>
      </c>
      <c r="H255" s="252" t="s">
        <v>889</v>
      </c>
      <c r="I255" s="255">
        <v>11.37</v>
      </c>
    </row>
    <row r="256" spans="1:9" ht="14.1" customHeight="1">
      <c r="A256" s="251" t="s">
        <v>1208</v>
      </c>
      <c r="B256" s="252" t="s">
        <v>964</v>
      </c>
      <c r="C256" s="257" t="s">
        <v>3527</v>
      </c>
      <c r="D256" s="254" t="s">
        <v>821</v>
      </c>
      <c r="E256" s="252" t="s">
        <v>887</v>
      </c>
      <c r="F256" s="252" t="s">
        <v>1191</v>
      </c>
      <c r="G256" s="252" t="s">
        <v>888</v>
      </c>
      <c r="H256" s="252" t="s">
        <v>892</v>
      </c>
      <c r="I256" s="255">
        <v>42.887999999999998</v>
      </c>
    </row>
    <row r="257" spans="1:9" ht="14.1" customHeight="1">
      <c r="A257" s="251" t="s">
        <v>1208</v>
      </c>
      <c r="B257" s="252" t="s">
        <v>964</v>
      </c>
      <c r="C257" s="256" t="s">
        <v>3512</v>
      </c>
      <c r="D257" s="254" t="s">
        <v>821</v>
      </c>
      <c r="E257" s="252" t="s">
        <v>968</v>
      </c>
      <c r="F257" s="252" t="s">
        <v>1212</v>
      </c>
      <c r="G257" s="252" t="s">
        <v>929</v>
      </c>
      <c r="H257" s="252" t="s">
        <v>889</v>
      </c>
      <c r="I257" s="255">
        <v>78.177000000000007</v>
      </c>
    </row>
    <row r="258" spans="1:9" ht="14.1" customHeight="1">
      <c r="A258" s="251" t="s">
        <v>1208</v>
      </c>
      <c r="B258" s="252" t="s">
        <v>964</v>
      </c>
      <c r="C258" s="256" t="s">
        <v>3527</v>
      </c>
      <c r="D258" s="254" t="s">
        <v>821</v>
      </c>
      <c r="E258" s="252" t="s">
        <v>887</v>
      </c>
      <c r="F258" s="252" t="s">
        <v>1191</v>
      </c>
      <c r="G258" s="252" t="s">
        <v>888</v>
      </c>
      <c r="H258" s="252" t="s">
        <v>889</v>
      </c>
      <c r="I258" s="255">
        <v>85.775999999999996</v>
      </c>
    </row>
    <row r="259" spans="1:9" ht="14.1" customHeight="1">
      <c r="A259" s="251" t="s">
        <v>1208</v>
      </c>
      <c r="B259" s="252" t="s">
        <v>964</v>
      </c>
      <c r="C259" s="256" t="s">
        <v>3525</v>
      </c>
      <c r="D259" s="254" t="s">
        <v>821</v>
      </c>
      <c r="E259" s="252" t="s">
        <v>986</v>
      </c>
      <c r="F259" s="252" t="s">
        <v>1213</v>
      </c>
      <c r="G259" s="252" t="s">
        <v>907</v>
      </c>
      <c r="H259" s="252" t="s">
        <v>931</v>
      </c>
      <c r="I259" s="255">
        <v>198.351</v>
      </c>
    </row>
    <row r="260" spans="1:9" ht="14.1" customHeight="1">
      <c r="A260" s="251" t="s">
        <v>1208</v>
      </c>
      <c r="B260" s="252" t="s">
        <v>964</v>
      </c>
      <c r="C260" s="256" t="s">
        <v>3536</v>
      </c>
      <c r="D260" s="254" t="s">
        <v>822</v>
      </c>
      <c r="E260" s="252" t="s">
        <v>917</v>
      </c>
      <c r="F260" s="252" t="s">
        <v>1214</v>
      </c>
      <c r="G260" s="252" t="s">
        <v>1022</v>
      </c>
      <c r="H260" s="252" t="s">
        <v>889</v>
      </c>
      <c r="I260" s="255">
        <v>1687</v>
      </c>
    </row>
    <row r="261" spans="1:9" ht="14.1" customHeight="1">
      <c r="A261" s="251" t="s">
        <v>1215</v>
      </c>
      <c r="B261" s="252" t="s">
        <v>970</v>
      </c>
      <c r="C261" s="257" t="s">
        <v>3677</v>
      </c>
      <c r="D261" s="254" t="s">
        <v>822</v>
      </c>
      <c r="E261" s="252" t="s">
        <v>1018</v>
      </c>
      <c r="F261" s="252" t="s">
        <v>1216</v>
      </c>
      <c r="G261" s="252" t="s">
        <v>907</v>
      </c>
      <c r="H261" s="252" t="s">
        <v>889</v>
      </c>
      <c r="I261" s="255">
        <v>4.6120000000000001</v>
      </c>
    </row>
    <row r="262" spans="1:9" ht="14.1" customHeight="1">
      <c r="A262" s="251" t="s">
        <v>1215</v>
      </c>
      <c r="B262" s="252" t="s">
        <v>970</v>
      </c>
      <c r="C262" s="256" t="s">
        <v>3643</v>
      </c>
      <c r="D262" s="254" t="s">
        <v>821</v>
      </c>
      <c r="E262" s="252" t="s">
        <v>968</v>
      </c>
      <c r="F262" s="252" t="s">
        <v>1045</v>
      </c>
      <c r="G262" s="252" t="s">
        <v>1047</v>
      </c>
      <c r="H262" s="252" t="s">
        <v>892</v>
      </c>
      <c r="I262" s="255">
        <v>6.4320000000000004</v>
      </c>
    </row>
    <row r="263" spans="1:9" ht="14.1" customHeight="1">
      <c r="A263" s="251" t="s">
        <v>1215</v>
      </c>
      <c r="B263" s="252" t="s">
        <v>970</v>
      </c>
      <c r="C263" s="258" t="s">
        <v>3659</v>
      </c>
      <c r="D263" s="254" t="s">
        <v>822</v>
      </c>
      <c r="E263" s="252" t="s">
        <v>906</v>
      </c>
      <c r="F263" s="252" t="s">
        <v>1038</v>
      </c>
      <c r="G263" s="252" t="s">
        <v>888</v>
      </c>
      <c r="H263" s="252" t="s">
        <v>889</v>
      </c>
      <c r="I263" s="255">
        <v>7.7679999999999998</v>
      </c>
    </row>
    <row r="264" spans="1:9" ht="14.1" customHeight="1">
      <c r="A264" s="251" t="s">
        <v>1215</v>
      </c>
      <c r="B264" s="252" t="s">
        <v>970</v>
      </c>
      <c r="C264" s="256" t="s">
        <v>3671</v>
      </c>
      <c r="D264" s="254" t="s">
        <v>821</v>
      </c>
      <c r="E264" s="252" t="s">
        <v>887</v>
      </c>
      <c r="F264" s="252" t="s">
        <v>1217</v>
      </c>
      <c r="G264" s="252" t="s">
        <v>925</v>
      </c>
      <c r="H264" s="252" t="s">
        <v>889</v>
      </c>
      <c r="I264" s="255">
        <v>14.378</v>
      </c>
    </row>
    <row r="265" spans="1:9" ht="14.1" customHeight="1">
      <c r="A265" s="251" t="s">
        <v>1215</v>
      </c>
      <c r="B265" s="252" t="s">
        <v>970</v>
      </c>
      <c r="C265" s="256" t="s">
        <v>3678</v>
      </c>
      <c r="D265" s="254" t="s">
        <v>822</v>
      </c>
      <c r="E265" s="252" t="s">
        <v>1202</v>
      </c>
      <c r="F265" s="252" t="s">
        <v>1218</v>
      </c>
      <c r="G265" s="252" t="s">
        <v>1047</v>
      </c>
      <c r="H265" s="252" t="s">
        <v>889</v>
      </c>
      <c r="I265" s="255">
        <v>14.420999999999999</v>
      </c>
    </row>
    <row r="266" spans="1:9" ht="14.1" customHeight="1">
      <c r="A266" s="251" t="s">
        <v>1215</v>
      </c>
      <c r="B266" s="252" t="s">
        <v>970</v>
      </c>
      <c r="C266" s="257" t="s">
        <v>3684</v>
      </c>
      <c r="D266" s="254" t="s">
        <v>822</v>
      </c>
      <c r="E266" s="252" t="s">
        <v>894</v>
      </c>
      <c r="F266" s="252" t="s">
        <v>1219</v>
      </c>
      <c r="G266" s="252" t="s">
        <v>929</v>
      </c>
      <c r="H266" s="252" t="s">
        <v>892</v>
      </c>
      <c r="I266" s="255">
        <v>20.5</v>
      </c>
    </row>
    <row r="267" spans="1:9" ht="14.1" customHeight="1">
      <c r="A267" s="251" t="s">
        <v>1215</v>
      </c>
      <c r="B267" s="252" t="s">
        <v>970</v>
      </c>
      <c r="C267" s="256" t="s">
        <v>3660</v>
      </c>
      <c r="D267" s="254" t="s">
        <v>821</v>
      </c>
      <c r="E267" s="252" t="s">
        <v>1833</v>
      </c>
      <c r="F267" s="252" t="s">
        <v>1220</v>
      </c>
      <c r="G267" s="252" t="s">
        <v>918</v>
      </c>
      <c r="H267" s="252" t="s">
        <v>889</v>
      </c>
      <c r="I267" s="255">
        <v>25.7</v>
      </c>
    </row>
    <row r="268" spans="1:9" ht="14.1" customHeight="1">
      <c r="A268" s="251" t="s">
        <v>1215</v>
      </c>
      <c r="B268" s="252" t="s">
        <v>970</v>
      </c>
      <c r="C268" s="256" t="s">
        <v>1971</v>
      </c>
      <c r="D268" s="254" t="s">
        <v>821</v>
      </c>
      <c r="E268" s="252" t="s">
        <v>1972</v>
      </c>
      <c r="F268" s="252" t="s">
        <v>886</v>
      </c>
      <c r="G268" s="252" t="s">
        <v>888</v>
      </c>
      <c r="H268" s="252" t="s">
        <v>889</v>
      </c>
      <c r="I268" s="255">
        <v>39.962000000000003</v>
      </c>
    </row>
    <row r="269" spans="1:9" ht="14.1" customHeight="1">
      <c r="A269" s="251" t="s">
        <v>1215</v>
      </c>
      <c r="B269" s="252" t="s">
        <v>970</v>
      </c>
      <c r="C269" s="257" t="s">
        <v>1962</v>
      </c>
      <c r="D269" s="254" t="s">
        <v>821</v>
      </c>
      <c r="E269" s="252" t="s">
        <v>1246</v>
      </c>
      <c r="F269" s="252" t="s">
        <v>1221</v>
      </c>
      <c r="G269" s="252" t="s">
        <v>888</v>
      </c>
      <c r="H269" s="252" t="s">
        <v>889</v>
      </c>
      <c r="I269" s="255">
        <v>51.716999999999999</v>
      </c>
    </row>
    <row r="270" spans="1:9" ht="14.1" customHeight="1">
      <c r="A270" s="251" t="s">
        <v>1215</v>
      </c>
      <c r="B270" s="252" t="s">
        <v>970</v>
      </c>
      <c r="C270" s="256" t="s">
        <v>3679</v>
      </c>
      <c r="D270" s="254" t="s">
        <v>822</v>
      </c>
      <c r="E270" s="252" t="s">
        <v>917</v>
      </c>
      <c r="F270" s="252" t="s">
        <v>1222</v>
      </c>
      <c r="G270" s="252" t="s">
        <v>904</v>
      </c>
      <c r="H270" s="252" t="s">
        <v>889</v>
      </c>
      <c r="I270" s="255">
        <v>55</v>
      </c>
    </row>
    <row r="271" spans="1:9" ht="14.1" customHeight="1">
      <c r="A271" s="251" t="s">
        <v>1215</v>
      </c>
      <c r="B271" s="252" t="s">
        <v>970</v>
      </c>
      <c r="C271" s="253" t="s">
        <v>3689</v>
      </c>
      <c r="D271" s="254" t="s">
        <v>821</v>
      </c>
      <c r="E271" s="252" t="s">
        <v>3690</v>
      </c>
      <c r="F271" s="252" t="s">
        <v>1223</v>
      </c>
      <c r="G271" s="252" t="s">
        <v>888</v>
      </c>
      <c r="H271" s="252" t="s">
        <v>889</v>
      </c>
      <c r="I271" s="255">
        <v>70.218999999999994</v>
      </c>
    </row>
    <row r="272" spans="1:9" ht="14.1" customHeight="1">
      <c r="A272" s="251" t="s">
        <v>1215</v>
      </c>
      <c r="B272" s="252" t="s">
        <v>970</v>
      </c>
      <c r="C272" s="256" t="s">
        <v>3699</v>
      </c>
      <c r="D272" s="254" t="s">
        <v>822</v>
      </c>
      <c r="E272" s="252" t="s">
        <v>911</v>
      </c>
      <c r="F272" s="252" t="s">
        <v>1224</v>
      </c>
      <c r="G272" s="252" t="s">
        <v>1225</v>
      </c>
      <c r="H272" s="252" t="s">
        <v>892</v>
      </c>
      <c r="I272" s="255">
        <v>100</v>
      </c>
    </row>
    <row r="273" spans="1:9" ht="14.1" customHeight="1">
      <c r="A273" s="251" t="s">
        <v>1215</v>
      </c>
      <c r="B273" s="252" t="s">
        <v>970</v>
      </c>
      <c r="C273" s="256" t="s">
        <v>3661</v>
      </c>
      <c r="D273" s="254" t="s">
        <v>821</v>
      </c>
      <c r="E273" s="252" t="s">
        <v>1833</v>
      </c>
      <c r="F273" s="252" t="s">
        <v>1220</v>
      </c>
      <c r="G273" s="252" t="s">
        <v>918</v>
      </c>
      <c r="H273" s="252" t="s">
        <v>892</v>
      </c>
      <c r="I273" s="255">
        <v>117</v>
      </c>
    </row>
    <row r="274" spans="1:9" ht="14.1" customHeight="1">
      <c r="A274" s="251" t="s">
        <v>1215</v>
      </c>
      <c r="B274" s="252" t="s">
        <v>970</v>
      </c>
      <c r="C274" s="253" t="s">
        <v>3688</v>
      </c>
      <c r="D274" s="254" t="s">
        <v>821</v>
      </c>
      <c r="E274" s="252" t="s">
        <v>1055</v>
      </c>
      <c r="F274" s="252" t="s">
        <v>1226</v>
      </c>
      <c r="G274" s="252" t="s">
        <v>888</v>
      </c>
      <c r="H274" s="252" t="s">
        <v>889</v>
      </c>
      <c r="I274" s="255">
        <v>126.36199999999999</v>
      </c>
    </row>
    <row r="275" spans="1:9" ht="14.1" customHeight="1">
      <c r="A275" s="251" t="s">
        <v>1215</v>
      </c>
      <c r="B275" s="252" t="s">
        <v>970</v>
      </c>
      <c r="C275" s="256" t="s">
        <v>2698</v>
      </c>
      <c r="D275" s="254" t="s">
        <v>821</v>
      </c>
      <c r="E275" s="252" t="s">
        <v>1345</v>
      </c>
      <c r="F275" s="252" t="s">
        <v>1006</v>
      </c>
      <c r="G275" s="252" t="s">
        <v>888</v>
      </c>
      <c r="H275" s="252" t="s">
        <v>889</v>
      </c>
      <c r="I275" s="255">
        <v>144.119</v>
      </c>
    </row>
    <row r="276" spans="1:9" ht="14.1" customHeight="1">
      <c r="A276" s="251" t="s">
        <v>1215</v>
      </c>
      <c r="B276" s="252" t="s">
        <v>970</v>
      </c>
      <c r="C276" s="253" t="s">
        <v>3656</v>
      </c>
      <c r="D276" s="254" t="s">
        <v>822</v>
      </c>
      <c r="E276" s="252" t="s">
        <v>938</v>
      </c>
      <c r="F276" s="252" t="s">
        <v>1227</v>
      </c>
      <c r="G276" s="252" t="s">
        <v>888</v>
      </c>
      <c r="H276" s="252" t="s">
        <v>889</v>
      </c>
      <c r="I276" s="255">
        <v>400</v>
      </c>
    </row>
    <row r="277" spans="1:9" ht="14.1" customHeight="1">
      <c r="A277" s="251" t="s">
        <v>1228</v>
      </c>
      <c r="B277" s="252" t="s">
        <v>975</v>
      </c>
      <c r="C277" s="253" t="s">
        <v>3852</v>
      </c>
      <c r="D277" s="254" t="s">
        <v>822</v>
      </c>
      <c r="E277" s="252" t="s">
        <v>1071</v>
      </c>
      <c r="F277" s="252" t="s">
        <v>1229</v>
      </c>
      <c r="G277" s="252" t="s">
        <v>888</v>
      </c>
      <c r="H277" s="252" t="s">
        <v>889</v>
      </c>
      <c r="I277" s="255">
        <v>0.14599999999999999</v>
      </c>
    </row>
    <row r="278" spans="1:9" ht="14.1" customHeight="1">
      <c r="A278" s="251" t="s">
        <v>1228</v>
      </c>
      <c r="B278" s="252" t="s">
        <v>975</v>
      </c>
      <c r="C278" s="257" t="s">
        <v>3858</v>
      </c>
      <c r="D278" s="254" t="s">
        <v>821</v>
      </c>
      <c r="E278" s="252" t="s">
        <v>1246</v>
      </c>
      <c r="F278" s="252" t="s">
        <v>1230</v>
      </c>
      <c r="G278" s="252" t="s">
        <v>954</v>
      </c>
      <c r="H278" s="252" t="s">
        <v>889</v>
      </c>
      <c r="I278" s="255">
        <v>1.3959999999999999</v>
      </c>
    </row>
    <row r="279" spans="1:9" ht="14.1" customHeight="1">
      <c r="A279" s="251" t="s">
        <v>1228</v>
      </c>
      <c r="B279" s="252" t="s">
        <v>975</v>
      </c>
      <c r="C279" s="257" t="s">
        <v>3815</v>
      </c>
      <c r="D279" s="254" t="s">
        <v>822</v>
      </c>
      <c r="E279" s="252" t="s">
        <v>944</v>
      </c>
      <c r="F279" s="252" t="s">
        <v>1231</v>
      </c>
      <c r="G279" s="252" t="s">
        <v>1047</v>
      </c>
      <c r="H279" s="252" t="s">
        <v>892</v>
      </c>
      <c r="I279" s="255">
        <v>1.593</v>
      </c>
    </row>
    <row r="280" spans="1:9" ht="14.1" customHeight="1">
      <c r="A280" s="251" t="s">
        <v>1228</v>
      </c>
      <c r="B280" s="252" t="s">
        <v>975</v>
      </c>
      <c r="C280" s="257" t="s">
        <v>3841</v>
      </c>
      <c r="D280" s="254" t="s">
        <v>821</v>
      </c>
      <c r="E280" s="252" t="s">
        <v>887</v>
      </c>
      <c r="F280" s="252" t="s">
        <v>1016</v>
      </c>
      <c r="G280" s="252" t="s">
        <v>895</v>
      </c>
      <c r="H280" s="252" t="s">
        <v>889</v>
      </c>
      <c r="I280" s="255">
        <v>3.1</v>
      </c>
    </row>
    <row r="281" spans="1:9" ht="14.1" customHeight="1">
      <c r="A281" s="251" t="s">
        <v>1228</v>
      </c>
      <c r="B281" s="252" t="s">
        <v>975</v>
      </c>
      <c r="C281" s="256" t="s">
        <v>3850</v>
      </c>
      <c r="D281" s="254" t="s">
        <v>822</v>
      </c>
      <c r="E281" s="252" t="s">
        <v>1135</v>
      </c>
      <c r="F281" s="252" t="s">
        <v>1232</v>
      </c>
      <c r="G281" s="252" t="s">
        <v>1021</v>
      </c>
      <c r="H281" s="252" t="s">
        <v>889</v>
      </c>
      <c r="I281" s="255">
        <v>4.3860000000000001</v>
      </c>
    </row>
    <row r="282" spans="1:9" ht="14.1" customHeight="1">
      <c r="A282" s="251" t="s">
        <v>1228</v>
      </c>
      <c r="B282" s="252" t="s">
        <v>975</v>
      </c>
      <c r="C282" s="257" t="s">
        <v>3847</v>
      </c>
      <c r="D282" s="254" t="s">
        <v>822</v>
      </c>
      <c r="E282" s="252" t="s">
        <v>917</v>
      </c>
      <c r="F282" s="252" t="s">
        <v>992</v>
      </c>
      <c r="G282" s="252" t="s">
        <v>904</v>
      </c>
      <c r="H282" s="252" t="s">
        <v>889</v>
      </c>
      <c r="I282" s="255">
        <v>7.9829999999999997</v>
      </c>
    </row>
    <row r="283" spans="1:9" ht="14.1" customHeight="1">
      <c r="A283" s="251" t="s">
        <v>1228</v>
      </c>
      <c r="B283" s="252" t="s">
        <v>975</v>
      </c>
      <c r="C283" s="256" t="s">
        <v>3845</v>
      </c>
      <c r="D283" s="254" t="s">
        <v>822</v>
      </c>
      <c r="E283" s="252" t="s">
        <v>917</v>
      </c>
      <c r="F283" s="252" t="s">
        <v>1233</v>
      </c>
      <c r="G283" s="252" t="s">
        <v>929</v>
      </c>
      <c r="H283" s="252" t="s">
        <v>889</v>
      </c>
      <c r="I283" s="255">
        <v>9</v>
      </c>
    </row>
    <row r="284" spans="1:9" ht="14.1" customHeight="1">
      <c r="A284" s="251" t="s">
        <v>1228</v>
      </c>
      <c r="B284" s="252" t="s">
        <v>975</v>
      </c>
      <c r="C284" s="256" t="s">
        <v>3819</v>
      </c>
      <c r="D284" s="254" t="s">
        <v>822</v>
      </c>
      <c r="E284" s="252" t="s">
        <v>944</v>
      </c>
      <c r="F284" s="252" t="s">
        <v>1117</v>
      </c>
      <c r="G284" s="252" t="s">
        <v>895</v>
      </c>
      <c r="H284" s="252" t="s">
        <v>889</v>
      </c>
      <c r="I284" s="255">
        <v>11.367000000000001</v>
      </c>
    </row>
    <row r="285" spans="1:9" ht="14.1" customHeight="1">
      <c r="A285" s="251" t="s">
        <v>1228</v>
      </c>
      <c r="B285" s="252" t="s">
        <v>975</v>
      </c>
      <c r="C285" s="253" t="s">
        <v>3866</v>
      </c>
      <c r="D285" s="254" t="s">
        <v>822</v>
      </c>
      <c r="E285" s="252" t="s">
        <v>1099</v>
      </c>
      <c r="F285" s="252" t="s">
        <v>1234</v>
      </c>
      <c r="G285" s="252" t="s">
        <v>888</v>
      </c>
      <c r="H285" s="252" t="s">
        <v>889</v>
      </c>
      <c r="I285" s="255">
        <v>14.272</v>
      </c>
    </row>
    <row r="286" spans="1:9" ht="14.1" customHeight="1">
      <c r="A286" s="251" t="s">
        <v>1228</v>
      </c>
      <c r="B286" s="252" t="s">
        <v>975</v>
      </c>
      <c r="C286" s="256" t="s">
        <v>3851</v>
      </c>
      <c r="D286" s="254" t="s">
        <v>822</v>
      </c>
      <c r="E286" s="252" t="s">
        <v>1071</v>
      </c>
      <c r="F286" s="252" t="s">
        <v>886</v>
      </c>
      <c r="G286" s="252" t="s">
        <v>888</v>
      </c>
      <c r="H286" s="252" t="s">
        <v>889</v>
      </c>
      <c r="I286" s="255">
        <v>19.2</v>
      </c>
    </row>
    <row r="287" spans="1:9" ht="14.1" customHeight="1">
      <c r="A287" s="251" t="s">
        <v>1228</v>
      </c>
      <c r="B287" s="252" t="s">
        <v>975</v>
      </c>
      <c r="C287" s="253" t="s">
        <v>3824</v>
      </c>
      <c r="D287" s="254" t="s">
        <v>822</v>
      </c>
      <c r="E287" s="252" t="s">
        <v>1088</v>
      </c>
      <c r="F287" s="252" t="s">
        <v>1235</v>
      </c>
      <c r="G287" s="252" t="s">
        <v>1026</v>
      </c>
      <c r="H287" s="252" t="s">
        <v>892</v>
      </c>
      <c r="I287" s="255">
        <v>39.46</v>
      </c>
    </row>
    <row r="288" spans="1:9" ht="14.1" customHeight="1">
      <c r="A288" s="251" t="s">
        <v>1228</v>
      </c>
      <c r="B288" s="252" t="s">
        <v>975</v>
      </c>
      <c r="C288" s="256" t="s">
        <v>3859</v>
      </c>
      <c r="D288" s="254" t="s">
        <v>821</v>
      </c>
      <c r="E288" s="252" t="s">
        <v>1246</v>
      </c>
      <c r="F288" s="252" t="s">
        <v>1236</v>
      </c>
      <c r="G288" s="252" t="s">
        <v>888</v>
      </c>
      <c r="H288" s="252" t="s">
        <v>892</v>
      </c>
      <c r="I288" s="255">
        <v>69.486999999999995</v>
      </c>
    </row>
    <row r="289" spans="1:9" ht="14.1" customHeight="1">
      <c r="A289" s="251" t="s">
        <v>1228</v>
      </c>
      <c r="B289" s="252" t="s">
        <v>975</v>
      </c>
      <c r="C289" s="256" t="s">
        <v>3804</v>
      </c>
      <c r="D289" s="254" t="s">
        <v>821</v>
      </c>
      <c r="E289" s="252" t="s">
        <v>968</v>
      </c>
      <c r="F289" s="252" t="s">
        <v>1237</v>
      </c>
      <c r="G289" s="252" t="s">
        <v>925</v>
      </c>
      <c r="H289" s="252" t="s">
        <v>889</v>
      </c>
      <c r="I289" s="255">
        <v>103.23</v>
      </c>
    </row>
    <row r="290" spans="1:9" ht="14.1" customHeight="1">
      <c r="A290" s="251" t="s">
        <v>1228</v>
      </c>
      <c r="B290" s="252" t="s">
        <v>975</v>
      </c>
      <c r="C290" s="256" t="s">
        <v>3881</v>
      </c>
      <c r="D290" s="254" t="s">
        <v>822</v>
      </c>
      <c r="E290" s="252" t="s">
        <v>1068</v>
      </c>
      <c r="F290" s="252" t="s">
        <v>1238</v>
      </c>
      <c r="G290" s="252" t="s">
        <v>888</v>
      </c>
      <c r="H290" s="252" t="s">
        <v>892</v>
      </c>
      <c r="I290" s="255">
        <v>126.94499999999999</v>
      </c>
    </row>
    <row r="291" spans="1:9" ht="14.1" customHeight="1">
      <c r="A291" s="251" t="s">
        <v>1228</v>
      </c>
      <c r="B291" s="252" t="s">
        <v>975</v>
      </c>
      <c r="C291" s="253" t="s">
        <v>2542</v>
      </c>
      <c r="D291" s="254" t="s">
        <v>821</v>
      </c>
      <c r="E291" s="252" t="s">
        <v>1000</v>
      </c>
      <c r="F291" s="252" t="s">
        <v>1063</v>
      </c>
      <c r="G291" s="252" t="s">
        <v>1026</v>
      </c>
      <c r="H291" s="252" t="s">
        <v>892</v>
      </c>
      <c r="I291" s="255">
        <v>156.79499999999999</v>
      </c>
    </row>
    <row r="292" spans="1:9" ht="14.1" customHeight="1">
      <c r="A292" s="251" t="s">
        <v>1228</v>
      </c>
      <c r="B292" s="252" t="s">
        <v>975</v>
      </c>
      <c r="C292" s="257" t="s">
        <v>3835</v>
      </c>
      <c r="D292" s="254" t="s">
        <v>822</v>
      </c>
      <c r="E292" s="252" t="s">
        <v>906</v>
      </c>
      <c r="F292" s="252" t="s">
        <v>1239</v>
      </c>
      <c r="G292" s="252" t="s">
        <v>907</v>
      </c>
      <c r="H292" s="252" t="s">
        <v>889</v>
      </c>
      <c r="I292" s="255">
        <v>202.75</v>
      </c>
    </row>
    <row r="293" spans="1:9" ht="14.1" customHeight="1">
      <c r="A293" s="251" t="s">
        <v>1228</v>
      </c>
      <c r="B293" s="252" t="s">
        <v>975</v>
      </c>
      <c r="C293" s="256" t="s">
        <v>3836</v>
      </c>
      <c r="D293" s="254" t="s">
        <v>821</v>
      </c>
      <c r="E293" s="252" t="s">
        <v>986</v>
      </c>
      <c r="F293" s="252" t="s">
        <v>1240</v>
      </c>
      <c r="G293" s="252" t="s">
        <v>984</v>
      </c>
      <c r="H293" s="252" t="s">
        <v>889</v>
      </c>
      <c r="I293" s="255">
        <v>218.709</v>
      </c>
    </row>
    <row r="294" spans="1:9" ht="14.1" customHeight="1">
      <c r="A294" s="251" t="s">
        <v>1228</v>
      </c>
      <c r="B294" s="252" t="s">
        <v>975</v>
      </c>
      <c r="C294" s="257" t="s">
        <v>3871</v>
      </c>
      <c r="D294" s="254" t="s">
        <v>822</v>
      </c>
      <c r="E294" s="252" t="s">
        <v>911</v>
      </c>
      <c r="F294" s="252" t="s">
        <v>1241</v>
      </c>
      <c r="G294" s="252" t="s">
        <v>1010</v>
      </c>
      <c r="H294" s="252" t="s">
        <v>913</v>
      </c>
      <c r="I294" s="255">
        <v>241.56800000000001</v>
      </c>
    </row>
    <row r="295" spans="1:9" ht="14.1" customHeight="1">
      <c r="A295" s="251" t="s">
        <v>1228</v>
      </c>
      <c r="B295" s="252" t="s">
        <v>975</v>
      </c>
      <c r="C295" s="253" t="s">
        <v>3871</v>
      </c>
      <c r="D295" s="254" t="s">
        <v>822</v>
      </c>
      <c r="E295" s="252" t="s">
        <v>911</v>
      </c>
      <c r="F295" s="252" t="s">
        <v>1241</v>
      </c>
      <c r="G295" s="252" t="s">
        <v>1010</v>
      </c>
      <c r="H295" s="252" t="s">
        <v>889</v>
      </c>
      <c r="I295" s="255">
        <v>264.505</v>
      </c>
    </row>
    <row r="296" spans="1:9" ht="14.1" customHeight="1">
      <c r="A296" s="251" t="s">
        <v>1228</v>
      </c>
      <c r="B296" s="252" t="s">
        <v>975</v>
      </c>
      <c r="C296" s="257" t="s">
        <v>3849</v>
      </c>
      <c r="D296" s="254" t="s">
        <v>822</v>
      </c>
      <c r="E296" s="252" t="s">
        <v>1135</v>
      </c>
      <c r="F296" s="252" t="s">
        <v>1242</v>
      </c>
      <c r="G296" s="252" t="s">
        <v>912</v>
      </c>
      <c r="H296" s="252" t="s">
        <v>889</v>
      </c>
      <c r="I296" s="255">
        <v>300.61599999999999</v>
      </c>
    </row>
    <row r="297" spans="1:9" ht="14.1" customHeight="1">
      <c r="A297" s="251" t="s">
        <v>1228</v>
      </c>
      <c r="B297" s="252" t="s">
        <v>975</v>
      </c>
      <c r="C297" s="257" t="s">
        <v>3825</v>
      </c>
      <c r="D297" s="254" t="s">
        <v>822</v>
      </c>
      <c r="E297" s="252" t="s">
        <v>1088</v>
      </c>
      <c r="F297" s="252" t="s">
        <v>886</v>
      </c>
      <c r="G297" s="252" t="s">
        <v>918</v>
      </c>
      <c r="H297" s="252" t="s">
        <v>889</v>
      </c>
      <c r="I297" s="255">
        <v>1019.539</v>
      </c>
    </row>
    <row r="298" spans="1:9" ht="14.1" customHeight="1">
      <c r="A298" s="251" t="s">
        <v>1228</v>
      </c>
      <c r="B298" s="252" t="s">
        <v>975</v>
      </c>
      <c r="C298" s="256" t="s">
        <v>3823</v>
      </c>
      <c r="D298" s="254" t="s">
        <v>822</v>
      </c>
      <c r="E298" s="252" t="s">
        <v>1088</v>
      </c>
      <c r="F298" s="252" t="s">
        <v>1235</v>
      </c>
      <c r="G298" s="252" t="s">
        <v>1026</v>
      </c>
      <c r="H298" s="252" t="s">
        <v>889</v>
      </c>
      <c r="I298" s="255">
        <v>1200</v>
      </c>
    </row>
    <row r="299" spans="1:9" ht="14.1" customHeight="1">
      <c r="A299" s="251" t="s">
        <v>1228</v>
      </c>
      <c r="B299" s="252" t="s">
        <v>975</v>
      </c>
      <c r="C299" s="253" t="s">
        <v>3818</v>
      </c>
      <c r="D299" s="254" t="s">
        <v>822</v>
      </c>
      <c r="E299" s="252" t="s">
        <v>944</v>
      </c>
      <c r="F299" s="252" t="s">
        <v>1108</v>
      </c>
      <c r="G299" s="252" t="s">
        <v>888</v>
      </c>
      <c r="H299" s="252" t="s">
        <v>889</v>
      </c>
      <c r="I299" s="255">
        <v>2160.962</v>
      </c>
    </row>
    <row r="300" spans="1:9" ht="14.1" customHeight="1">
      <c r="A300" s="251" t="s">
        <v>1228</v>
      </c>
      <c r="B300" s="252" t="s">
        <v>975</v>
      </c>
      <c r="C300" s="256" t="s">
        <v>3848</v>
      </c>
      <c r="D300" s="254" t="s">
        <v>822</v>
      </c>
      <c r="E300" s="252" t="s">
        <v>894</v>
      </c>
      <c r="F300" s="252" t="s">
        <v>1243</v>
      </c>
      <c r="G300" s="252" t="s">
        <v>907</v>
      </c>
      <c r="H300" s="252" t="s">
        <v>889</v>
      </c>
      <c r="I300" s="255">
        <v>2500</v>
      </c>
    </row>
    <row r="301" spans="1:9" ht="14.1" customHeight="1">
      <c r="A301" s="251" t="s">
        <v>1244</v>
      </c>
      <c r="B301" s="252" t="s">
        <v>989</v>
      </c>
      <c r="C301" s="256" t="s">
        <v>4013</v>
      </c>
      <c r="D301" s="254" t="s">
        <v>821</v>
      </c>
      <c r="E301" s="252" t="s">
        <v>1246</v>
      </c>
      <c r="F301" s="252" t="s">
        <v>1245</v>
      </c>
      <c r="G301" s="252" t="s">
        <v>925</v>
      </c>
      <c r="H301" s="252" t="s">
        <v>889</v>
      </c>
      <c r="I301" s="255">
        <v>1.4999999999999999E-2</v>
      </c>
    </row>
    <row r="302" spans="1:9" ht="14.1" customHeight="1">
      <c r="A302" s="251" t="s">
        <v>1244</v>
      </c>
      <c r="B302" s="252" t="s">
        <v>989</v>
      </c>
      <c r="C302" s="253" t="s">
        <v>4008</v>
      </c>
      <c r="D302" s="254" t="s">
        <v>822</v>
      </c>
      <c r="E302" s="252" t="s">
        <v>917</v>
      </c>
      <c r="F302" s="252" t="s">
        <v>1247</v>
      </c>
      <c r="G302" s="252" t="s">
        <v>918</v>
      </c>
      <c r="H302" s="252" t="s">
        <v>892</v>
      </c>
      <c r="I302" s="255">
        <v>0.98</v>
      </c>
    </row>
    <row r="303" spans="1:9" ht="14.1" customHeight="1">
      <c r="A303" s="251" t="s">
        <v>1244</v>
      </c>
      <c r="B303" s="252" t="s">
        <v>989</v>
      </c>
      <c r="C303" s="256" t="s">
        <v>3994</v>
      </c>
      <c r="D303" s="254" t="s">
        <v>822</v>
      </c>
      <c r="E303" s="252" t="s">
        <v>1032</v>
      </c>
      <c r="F303" s="252" t="s">
        <v>1248</v>
      </c>
      <c r="G303" s="252" t="s">
        <v>904</v>
      </c>
      <c r="H303" s="252" t="s">
        <v>889</v>
      </c>
      <c r="I303" s="255">
        <v>3.6560000000000001</v>
      </c>
    </row>
    <row r="304" spans="1:9" ht="14.1" customHeight="1">
      <c r="A304" s="251" t="s">
        <v>1244</v>
      </c>
      <c r="B304" s="252" t="s">
        <v>989</v>
      </c>
      <c r="C304" s="256" t="s">
        <v>4010</v>
      </c>
      <c r="D304" s="254" t="s">
        <v>822</v>
      </c>
      <c r="E304" s="252" t="s">
        <v>1071</v>
      </c>
      <c r="F304" s="252" t="s">
        <v>1249</v>
      </c>
      <c r="G304" s="252" t="s">
        <v>1021</v>
      </c>
      <c r="H304" s="252" t="s">
        <v>889</v>
      </c>
      <c r="I304" s="255">
        <v>8.7070000000000007</v>
      </c>
    </row>
    <row r="305" spans="1:9" ht="14.1" customHeight="1">
      <c r="A305" s="251" t="s">
        <v>1244</v>
      </c>
      <c r="B305" s="252" t="s">
        <v>989</v>
      </c>
      <c r="C305" s="256" t="s">
        <v>3988</v>
      </c>
      <c r="D305" s="254" t="s">
        <v>821</v>
      </c>
      <c r="E305" s="252" t="s">
        <v>1051</v>
      </c>
      <c r="F305" s="252" t="s">
        <v>886</v>
      </c>
      <c r="G305" s="252" t="s">
        <v>888</v>
      </c>
      <c r="H305" s="252" t="s">
        <v>889</v>
      </c>
      <c r="I305" s="255">
        <v>19.332999999999998</v>
      </c>
    </row>
    <row r="306" spans="1:9" ht="14.1" customHeight="1">
      <c r="A306" s="251" t="s">
        <v>1244</v>
      </c>
      <c r="B306" s="252" t="s">
        <v>989</v>
      </c>
      <c r="C306" s="256" t="s">
        <v>3991</v>
      </c>
      <c r="D306" s="254" t="s">
        <v>822</v>
      </c>
      <c r="E306" s="252" t="s">
        <v>1088</v>
      </c>
      <c r="F306" s="252" t="s">
        <v>1250</v>
      </c>
      <c r="G306" s="252" t="s">
        <v>984</v>
      </c>
      <c r="H306" s="252" t="s">
        <v>889</v>
      </c>
      <c r="I306" s="255">
        <v>22.207999999999998</v>
      </c>
    </row>
    <row r="307" spans="1:9" ht="14.1" customHeight="1">
      <c r="A307" s="251" t="s">
        <v>1244</v>
      </c>
      <c r="B307" s="252" t="s">
        <v>989</v>
      </c>
      <c r="C307" s="257" t="s">
        <v>4003</v>
      </c>
      <c r="D307" s="254" t="s">
        <v>821</v>
      </c>
      <c r="E307" s="252" t="s">
        <v>887</v>
      </c>
      <c r="F307" s="252" t="s">
        <v>1251</v>
      </c>
      <c r="G307" s="252" t="s">
        <v>1022</v>
      </c>
      <c r="H307" s="252" t="s">
        <v>931</v>
      </c>
      <c r="I307" s="255">
        <v>46.482999999999997</v>
      </c>
    </row>
    <row r="308" spans="1:9" ht="14.1" customHeight="1">
      <c r="A308" s="251" t="s">
        <v>1244</v>
      </c>
      <c r="B308" s="252" t="s">
        <v>989</v>
      </c>
      <c r="C308" s="256" t="s">
        <v>4004</v>
      </c>
      <c r="D308" s="254" t="s">
        <v>822</v>
      </c>
      <c r="E308" s="252" t="s">
        <v>890</v>
      </c>
      <c r="F308" s="252" t="s">
        <v>1252</v>
      </c>
      <c r="G308" s="252" t="s">
        <v>888</v>
      </c>
      <c r="H308" s="252" t="s">
        <v>931</v>
      </c>
      <c r="I308" s="255">
        <v>64.873000000000005</v>
      </c>
    </row>
    <row r="309" spans="1:9" ht="14.1" customHeight="1">
      <c r="A309" s="251" t="s">
        <v>1244</v>
      </c>
      <c r="B309" s="252" t="s">
        <v>989</v>
      </c>
      <c r="C309" s="253" t="s">
        <v>3995</v>
      </c>
      <c r="D309" s="254" t="s">
        <v>822</v>
      </c>
      <c r="E309" s="252" t="s">
        <v>906</v>
      </c>
      <c r="F309" s="252" t="s">
        <v>1179</v>
      </c>
      <c r="G309" s="252" t="s">
        <v>895</v>
      </c>
      <c r="H309" s="252" t="s">
        <v>889</v>
      </c>
      <c r="I309" s="255">
        <v>66.36</v>
      </c>
    </row>
    <row r="310" spans="1:9" ht="14.1" customHeight="1">
      <c r="A310" s="251" t="s">
        <v>1244</v>
      </c>
      <c r="B310" s="252" t="s">
        <v>989</v>
      </c>
      <c r="C310" s="256" t="s">
        <v>3978</v>
      </c>
      <c r="D310" s="254" t="s">
        <v>821</v>
      </c>
      <c r="E310" s="252" t="s">
        <v>1168</v>
      </c>
      <c r="F310" s="252" t="s">
        <v>1253</v>
      </c>
      <c r="G310" s="252" t="s">
        <v>984</v>
      </c>
      <c r="H310" s="252" t="s">
        <v>892</v>
      </c>
      <c r="I310" s="255">
        <v>77.667000000000002</v>
      </c>
    </row>
    <row r="311" spans="1:9" ht="14.1" customHeight="1">
      <c r="A311" s="251" t="s">
        <v>1244</v>
      </c>
      <c r="B311" s="252" t="s">
        <v>989</v>
      </c>
      <c r="C311" s="256" t="s">
        <v>4007</v>
      </c>
      <c r="D311" s="254" t="s">
        <v>822</v>
      </c>
      <c r="E311" s="252" t="s">
        <v>1018</v>
      </c>
      <c r="F311" s="252" t="s">
        <v>1254</v>
      </c>
      <c r="G311" s="252" t="s">
        <v>904</v>
      </c>
      <c r="H311" s="252" t="s">
        <v>889</v>
      </c>
      <c r="I311" s="255">
        <v>117.861</v>
      </c>
    </row>
    <row r="312" spans="1:9" ht="14.1" customHeight="1">
      <c r="A312" s="251" t="s">
        <v>1244</v>
      </c>
      <c r="B312" s="252" t="s">
        <v>989</v>
      </c>
      <c r="C312" s="253" t="s">
        <v>4004</v>
      </c>
      <c r="D312" s="254" t="s">
        <v>822</v>
      </c>
      <c r="E312" s="252" t="s">
        <v>890</v>
      </c>
      <c r="F312" s="252" t="s">
        <v>1252</v>
      </c>
      <c r="G312" s="252" t="s">
        <v>888</v>
      </c>
      <c r="H312" s="252" t="s">
        <v>931</v>
      </c>
      <c r="I312" s="255">
        <v>120.839</v>
      </c>
    </row>
    <row r="313" spans="1:9" ht="14.1" customHeight="1">
      <c r="A313" s="251" t="s">
        <v>1244</v>
      </c>
      <c r="B313" s="252" t="s">
        <v>989</v>
      </c>
      <c r="C313" s="253" t="s">
        <v>3977</v>
      </c>
      <c r="D313" s="254" t="s">
        <v>821</v>
      </c>
      <c r="E313" s="252" t="s">
        <v>1168</v>
      </c>
      <c r="F313" s="252" t="s">
        <v>1255</v>
      </c>
      <c r="G313" s="252" t="s">
        <v>959</v>
      </c>
      <c r="H313" s="252" t="s">
        <v>892</v>
      </c>
      <c r="I313" s="255">
        <v>123.11</v>
      </c>
    </row>
    <row r="314" spans="1:9" ht="14.1" customHeight="1">
      <c r="A314" s="251" t="s">
        <v>1244</v>
      </c>
      <c r="B314" s="252" t="s">
        <v>989</v>
      </c>
      <c r="C314" s="257" t="s">
        <v>3974</v>
      </c>
      <c r="D314" s="254" t="s">
        <v>823</v>
      </c>
      <c r="E314" s="252" t="s">
        <v>1146</v>
      </c>
      <c r="F314" s="252" t="s">
        <v>1245</v>
      </c>
      <c r="G314" s="252" t="s">
        <v>925</v>
      </c>
      <c r="H314" s="252" t="s">
        <v>889</v>
      </c>
      <c r="I314" s="255">
        <v>252.88499999999999</v>
      </c>
    </row>
    <row r="315" spans="1:9" ht="14.1" customHeight="1">
      <c r="A315" s="251" t="s">
        <v>1244</v>
      </c>
      <c r="B315" s="252" t="s">
        <v>989</v>
      </c>
      <c r="C315" s="257" t="s">
        <v>4012</v>
      </c>
      <c r="D315" s="254" t="s">
        <v>821</v>
      </c>
      <c r="E315" s="252" t="s">
        <v>1246</v>
      </c>
      <c r="F315" s="252" t="s">
        <v>1256</v>
      </c>
      <c r="G315" s="252" t="s">
        <v>888</v>
      </c>
      <c r="H315" s="252" t="s">
        <v>889</v>
      </c>
      <c r="I315" s="255">
        <v>363.47199999999998</v>
      </c>
    </row>
    <row r="316" spans="1:9" ht="14.1" customHeight="1">
      <c r="A316" s="251" t="s">
        <v>1244</v>
      </c>
      <c r="B316" s="252" t="s">
        <v>989</v>
      </c>
      <c r="C316" s="253" t="s">
        <v>3823</v>
      </c>
      <c r="D316" s="254" t="s">
        <v>822</v>
      </c>
      <c r="E316" s="252" t="s">
        <v>1088</v>
      </c>
      <c r="F316" s="252" t="s">
        <v>1257</v>
      </c>
      <c r="G316" s="252" t="s">
        <v>1026</v>
      </c>
      <c r="H316" s="252" t="s">
        <v>889</v>
      </c>
      <c r="I316" s="255">
        <v>400</v>
      </c>
    </row>
    <row r="317" spans="1:9" ht="14.1" customHeight="1">
      <c r="A317" s="251" t="s">
        <v>1244</v>
      </c>
      <c r="B317" s="252" t="s">
        <v>989</v>
      </c>
      <c r="C317" s="256" t="s">
        <v>3976</v>
      </c>
      <c r="D317" s="254" t="s">
        <v>821</v>
      </c>
      <c r="E317" s="252" t="s">
        <v>1168</v>
      </c>
      <c r="F317" s="252" t="s">
        <v>1255</v>
      </c>
      <c r="G317" s="252" t="s">
        <v>959</v>
      </c>
      <c r="H317" s="252" t="s">
        <v>892</v>
      </c>
      <c r="I317" s="255">
        <v>485.25700000000001</v>
      </c>
    </row>
    <row r="318" spans="1:9" ht="14.1" customHeight="1">
      <c r="A318" s="251" t="s">
        <v>1244</v>
      </c>
      <c r="B318" s="252" t="s">
        <v>989</v>
      </c>
      <c r="C318" s="257" t="s">
        <v>3975</v>
      </c>
      <c r="D318" s="254" t="s">
        <v>821</v>
      </c>
      <c r="E318" s="252" t="s">
        <v>1168</v>
      </c>
      <c r="F318" s="252" t="s">
        <v>1258</v>
      </c>
      <c r="G318" s="252" t="s">
        <v>907</v>
      </c>
      <c r="H318" s="252" t="s">
        <v>892</v>
      </c>
      <c r="I318" s="255">
        <v>512.40800000000002</v>
      </c>
    </row>
    <row r="319" spans="1:9" ht="14.1" customHeight="1">
      <c r="A319" s="251" t="s">
        <v>1259</v>
      </c>
      <c r="B319" s="252" t="s">
        <v>997</v>
      </c>
      <c r="C319" s="257" t="s">
        <v>1967</v>
      </c>
      <c r="D319" s="254" t="s">
        <v>821</v>
      </c>
      <c r="E319" s="252" t="s">
        <v>1055</v>
      </c>
      <c r="F319" s="252" t="s">
        <v>1042</v>
      </c>
      <c r="G319" s="252" t="s">
        <v>945</v>
      </c>
      <c r="H319" s="252" t="s">
        <v>889</v>
      </c>
      <c r="I319" s="255">
        <v>0.224</v>
      </c>
    </row>
    <row r="320" spans="1:9" ht="14.1" customHeight="1">
      <c r="A320" s="251" t="s">
        <v>1259</v>
      </c>
      <c r="B320" s="252" t="s">
        <v>997</v>
      </c>
      <c r="C320" s="256" t="s">
        <v>4127</v>
      </c>
      <c r="D320" s="254" t="s">
        <v>822</v>
      </c>
      <c r="E320" s="252" t="s">
        <v>917</v>
      </c>
      <c r="F320" s="252" t="s">
        <v>1260</v>
      </c>
      <c r="G320" s="252" t="s">
        <v>929</v>
      </c>
      <c r="H320" s="252" t="s">
        <v>892</v>
      </c>
      <c r="I320" s="255">
        <v>0.6</v>
      </c>
    </row>
    <row r="321" spans="1:9" ht="14.1" customHeight="1">
      <c r="A321" s="251" t="s">
        <v>1259</v>
      </c>
      <c r="B321" s="252" t="s">
        <v>997</v>
      </c>
      <c r="C321" s="253" t="s">
        <v>4109</v>
      </c>
      <c r="D321" s="254" t="s">
        <v>822</v>
      </c>
      <c r="E321" s="252" t="s">
        <v>1088</v>
      </c>
      <c r="F321" s="252" t="s">
        <v>1261</v>
      </c>
      <c r="G321" s="252" t="s">
        <v>888</v>
      </c>
      <c r="H321" s="252" t="s">
        <v>889</v>
      </c>
      <c r="I321" s="255">
        <v>7.5</v>
      </c>
    </row>
    <row r="322" spans="1:9" ht="14.1" customHeight="1">
      <c r="A322" s="251" t="s">
        <v>1259</v>
      </c>
      <c r="B322" s="252" t="s">
        <v>997</v>
      </c>
      <c r="C322" s="253" t="s">
        <v>4119</v>
      </c>
      <c r="D322" s="254" t="s">
        <v>821</v>
      </c>
      <c r="E322" s="252" t="s">
        <v>887</v>
      </c>
      <c r="F322" s="252" t="s">
        <v>1262</v>
      </c>
      <c r="G322" s="252" t="s">
        <v>959</v>
      </c>
      <c r="H322" s="252" t="s">
        <v>892</v>
      </c>
      <c r="I322" s="255">
        <v>21</v>
      </c>
    </row>
    <row r="323" spans="1:9" ht="14.1" customHeight="1">
      <c r="A323" s="251" t="s">
        <v>1259</v>
      </c>
      <c r="B323" s="252" t="s">
        <v>997</v>
      </c>
      <c r="C323" s="256" t="s">
        <v>4134</v>
      </c>
      <c r="D323" s="254" t="s">
        <v>821</v>
      </c>
      <c r="E323" s="252" t="s">
        <v>1000</v>
      </c>
      <c r="F323" s="252" t="s">
        <v>1263</v>
      </c>
      <c r="G323" s="252" t="s">
        <v>895</v>
      </c>
      <c r="H323" s="252" t="s">
        <v>889</v>
      </c>
      <c r="I323" s="255">
        <v>28.1</v>
      </c>
    </row>
    <row r="324" spans="1:9" ht="14.1" customHeight="1">
      <c r="A324" s="251" t="s">
        <v>1259</v>
      </c>
      <c r="B324" s="252" t="s">
        <v>997</v>
      </c>
      <c r="C324" s="256" t="s">
        <v>4133</v>
      </c>
      <c r="D324" s="254" t="s">
        <v>821</v>
      </c>
      <c r="E324" s="252" t="s">
        <v>1020</v>
      </c>
      <c r="F324" s="252" t="s">
        <v>1264</v>
      </c>
      <c r="G324" s="252" t="s">
        <v>954</v>
      </c>
      <c r="H324" s="252" t="s">
        <v>889</v>
      </c>
      <c r="I324" s="255">
        <v>50</v>
      </c>
    </row>
    <row r="325" spans="1:9" ht="14.1" customHeight="1">
      <c r="A325" s="251" t="s">
        <v>1259</v>
      </c>
      <c r="B325" s="252" t="s">
        <v>997</v>
      </c>
      <c r="C325" s="256" t="s">
        <v>4101</v>
      </c>
      <c r="D325" s="254" t="s">
        <v>821</v>
      </c>
      <c r="E325" s="252" t="s">
        <v>968</v>
      </c>
      <c r="F325" s="252" t="s">
        <v>1265</v>
      </c>
      <c r="G325" s="252" t="s">
        <v>888</v>
      </c>
      <c r="H325" s="252" t="s">
        <v>889</v>
      </c>
      <c r="I325" s="255">
        <v>150</v>
      </c>
    </row>
    <row r="326" spans="1:9" ht="14.1" customHeight="1">
      <c r="A326" s="251" t="s">
        <v>1259</v>
      </c>
      <c r="B326" s="252" t="s">
        <v>997</v>
      </c>
      <c r="C326" s="256" t="s">
        <v>4095</v>
      </c>
      <c r="D326" s="254" t="s">
        <v>823</v>
      </c>
      <c r="E326" s="252" t="s">
        <v>1146</v>
      </c>
      <c r="F326" s="252" t="s">
        <v>1266</v>
      </c>
      <c r="G326" s="252" t="s">
        <v>1033</v>
      </c>
      <c r="H326" s="252" t="s">
        <v>889</v>
      </c>
      <c r="I326" s="255">
        <v>318.60000000000002</v>
      </c>
    </row>
    <row r="327" spans="1:9" ht="14.1" customHeight="1">
      <c r="A327" s="251" t="s">
        <v>1259</v>
      </c>
      <c r="B327" s="252" t="s">
        <v>997</v>
      </c>
      <c r="C327" s="256" t="s">
        <v>4137</v>
      </c>
      <c r="D327" s="254" t="s">
        <v>821</v>
      </c>
      <c r="E327" s="252" t="s">
        <v>1000</v>
      </c>
      <c r="F327" s="252" t="s">
        <v>1267</v>
      </c>
      <c r="G327" s="252" t="s">
        <v>1268</v>
      </c>
      <c r="H327" s="252" t="s">
        <v>889</v>
      </c>
      <c r="I327" s="255">
        <v>394.95800000000003</v>
      </c>
    </row>
    <row r="328" spans="1:9" ht="14.1" customHeight="1">
      <c r="A328" s="251" t="s">
        <v>1259</v>
      </c>
      <c r="B328" s="252" t="s">
        <v>997</v>
      </c>
      <c r="C328" s="256" t="s">
        <v>4133</v>
      </c>
      <c r="D328" s="254" t="s">
        <v>821</v>
      </c>
      <c r="E328" s="252" t="s">
        <v>1020</v>
      </c>
      <c r="F328" s="252" t="s">
        <v>1264</v>
      </c>
      <c r="G328" s="252" t="s">
        <v>954</v>
      </c>
      <c r="H328" s="252" t="s">
        <v>913</v>
      </c>
      <c r="I328" s="255">
        <v>875.09100000000001</v>
      </c>
    </row>
    <row r="329" spans="1:9" ht="14.1" customHeight="1">
      <c r="A329" s="251" t="s">
        <v>1269</v>
      </c>
      <c r="B329" s="252" t="s">
        <v>1003</v>
      </c>
      <c r="C329" s="256" t="s">
        <v>4246</v>
      </c>
      <c r="D329" s="254" t="s">
        <v>821</v>
      </c>
      <c r="E329" s="252" t="s">
        <v>887</v>
      </c>
      <c r="F329" s="252" t="s">
        <v>1270</v>
      </c>
      <c r="G329" s="252" t="s">
        <v>888</v>
      </c>
      <c r="H329" s="252" t="s">
        <v>889</v>
      </c>
      <c r="I329" s="255">
        <v>2.5409999999999999</v>
      </c>
    </row>
    <row r="330" spans="1:9" ht="14.1" customHeight="1">
      <c r="A330" s="251" t="s">
        <v>1269</v>
      </c>
      <c r="B330" s="252" t="s">
        <v>1003</v>
      </c>
      <c r="C330" s="256" t="s">
        <v>4220</v>
      </c>
      <c r="D330" s="254" t="s">
        <v>823</v>
      </c>
      <c r="E330" s="252" t="s">
        <v>1146</v>
      </c>
      <c r="F330" s="252" t="s">
        <v>1271</v>
      </c>
      <c r="G330" s="252" t="s">
        <v>1026</v>
      </c>
      <c r="H330" s="252" t="s">
        <v>889</v>
      </c>
      <c r="I330" s="255">
        <v>5</v>
      </c>
    </row>
    <row r="331" spans="1:9" ht="14.1" customHeight="1">
      <c r="A331" s="251" t="s">
        <v>1269</v>
      </c>
      <c r="B331" s="252" t="s">
        <v>1003</v>
      </c>
      <c r="C331" s="257" t="s">
        <v>4255</v>
      </c>
      <c r="D331" s="254" t="s">
        <v>822</v>
      </c>
      <c r="E331" s="252" t="s">
        <v>1018</v>
      </c>
      <c r="F331" s="252" t="s">
        <v>1272</v>
      </c>
      <c r="G331" s="252" t="s">
        <v>888</v>
      </c>
      <c r="H331" s="252" t="s">
        <v>889</v>
      </c>
      <c r="I331" s="255">
        <v>7.92</v>
      </c>
    </row>
    <row r="332" spans="1:9" ht="14.1" customHeight="1">
      <c r="A332" s="251" t="s">
        <v>1269</v>
      </c>
      <c r="B332" s="252" t="s">
        <v>1003</v>
      </c>
      <c r="C332" s="256" t="s">
        <v>4270</v>
      </c>
      <c r="D332" s="254" t="s">
        <v>822</v>
      </c>
      <c r="E332" s="252" t="s">
        <v>1071</v>
      </c>
      <c r="F332" s="252" t="s">
        <v>1273</v>
      </c>
      <c r="G332" s="252" t="s">
        <v>929</v>
      </c>
      <c r="H332" s="252" t="s">
        <v>889</v>
      </c>
      <c r="I332" s="255">
        <v>9</v>
      </c>
    </row>
    <row r="333" spans="1:9" ht="14.1" customHeight="1">
      <c r="A333" s="251" t="s">
        <v>1269</v>
      </c>
      <c r="B333" s="252" t="s">
        <v>1003</v>
      </c>
      <c r="C333" s="256" t="s">
        <v>4240</v>
      </c>
      <c r="D333" s="254" t="s">
        <v>822</v>
      </c>
      <c r="E333" s="252" t="s">
        <v>1032</v>
      </c>
      <c r="F333" s="252" t="s">
        <v>1274</v>
      </c>
      <c r="G333" s="252" t="s">
        <v>888</v>
      </c>
      <c r="H333" s="252" t="s">
        <v>889</v>
      </c>
      <c r="I333" s="255">
        <v>13.372</v>
      </c>
    </row>
    <row r="334" spans="1:9" ht="14.1" customHeight="1">
      <c r="A334" s="251" t="s">
        <v>1269</v>
      </c>
      <c r="B334" s="252" t="s">
        <v>1003</v>
      </c>
      <c r="C334" s="256" t="s">
        <v>4288</v>
      </c>
      <c r="D334" s="254" t="s">
        <v>821</v>
      </c>
      <c r="E334" s="252" t="s">
        <v>1164</v>
      </c>
      <c r="F334" s="252" t="s">
        <v>886</v>
      </c>
      <c r="G334" s="252" t="s">
        <v>888</v>
      </c>
      <c r="H334" s="252" t="s">
        <v>889</v>
      </c>
      <c r="I334" s="255">
        <v>13.372</v>
      </c>
    </row>
    <row r="335" spans="1:9" ht="14.1" customHeight="1">
      <c r="A335" s="251" t="s">
        <v>1269</v>
      </c>
      <c r="B335" s="252" t="s">
        <v>1003</v>
      </c>
      <c r="C335" s="256" t="s">
        <v>4256</v>
      </c>
      <c r="D335" s="254" t="s">
        <v>822</v>
      </c>
      <c r="E335" s="252" t="s">
        <v>1018</v>
      </c>
      <c r="F335" s="252" t="s">
        <v>1275</v>
      </c>
      <c r="G335" s="252" t="s">
        <v>895</v>
      </c>
      <c r="H335" s="252" t="s">
        <v>889</v>
      </c>
      <c r="I335" s="255">
        <v>17.568000000000001</v>
      </c>
    </row>
    <row r="336" spans="1:9" ht="14.1" customHeight="1">
      <c r="A336" s="251" t="s">
        <v>1269</v>
      </c>
      <c r="B336" s="252" t="s">
        <v>1003</v>
      </c>
      <c r="C336" s="256" t="s">
        <v>4223</v>
      </c>
      <c r="D336" s="254" t="s">
        <v>821</v>
      </c>
      <c r="E336" s="252" t="s">
        <v>1168</v>
      </c>
      <c r="F336" s="252" t="s">
        <v>1276</v>
      </c>
      <c r="G336" s="252" t="s">
        <v>925</v>
      </c>
      <c r="H336" s="252" t="s">
        <v>892</v>
      </c>
      <c r="I336" s="255">
        <v>18.713999999999999</v>
      </c>
    </row>
    <row r="337" spans="1:9" ht="14.1" customHeight="1">
      <c r="A337" s="251" t="s">
        <v>1269</v>
      </c>
      <c r="B337" s="252" t="s">
        <v>1003</v>
      </c>
      <c r="C337" s="253" t="s">
        <v>4259</v>
      </c>
      <c r="D337" s="254" t="s">
        <v>822</v>
      </c>
      <c r="E337" s="252" t="s">
        <v>1202</v>
      </c>
      <c r="F337" s="252" t="s">
        <v>1277</v>
      </c>
      <c r="G337" s="252" t="s">
        <v>984</v>
      </c>
      <c r="H337" s="252" t="s">
        <v>892</v>
      </c>
      <c r="I337" s="255">
        <v>21.146999999999998</v>
      </c>
    </row>
    <row r="338" spans="1:9" ht="14.1" customHeight="1">
      <c r="A338" s="251" t="s">
        <v>1269</v>
      </c>
      <c r="B338" s="252" t="s">
        <v>1003</v>
      </c>
      <c r="C338" s="257" t="s">
        <v>4236</v>
      </c>
      <c r="D338" s="254" t="s">
        <v>821</v>
      </c>
      <c r="E338" s="252" t="s">
        <v>1756</v>
      </c>
      <c r="F338" s="252" t="s">
        <v>1278</v>
      </c>
      <c r="G338" s="252" t="s">
        <v>888</v>
      </c>
      <c r="H338" s="252" t="s">
        <v>889</v>
      </c>
      <c r="I338" s="255">
        <v>63.01</v>
      </c>
    </row>
    <row r="339" spans="1:9" ht="14.1" customHeight="1">
      <c r="A339" s="251" t="s">
        <v>1269</v>
      </c>
      <c r="B339" s="252" t="s">
        <v>1003</v>
      </c>
      <c r="C339" s="253" t="s">
        <v>4278</v>
      </c>
      <c r="D339" s="254" t="s">
        <v>821</v>
      </c>
      <c r="E339" s="252" t="s">
        <v>1020</v>
      </c>
      <c r="F339" s="252" t="s">
        <v>1274</v>
      </c>
      <c r="G339" s="252" t="s">
        <v>888</v>
      </c>
      <c r="H339" s="252" t="s">
        <v>889</v>
      </c>
      <c r="I339" s="255">
        <v>75</v>
      </c>
    </row>
    <row r="340" spans="1:9" ht="14.1" customHeight="1">
      <c r="A340" s="251" t="s">
        <v>1269</v>
      </c>
      <c r="B340" s="252" t="s">
        <v>1003</v>
      </c>
      <c r="C340" s="258" t="s">
        <v>4247</v>
      </c>
      <c r="D340" s="254" t="s">
        <v>821</v>
      </c>
      <c r="E340" s="252" t="s">
        <v>887</v>
      </c>
      <c r="F340" s="252" t="s">
        <v>1279</v>
      </c>
      <c r="G340" s="252" t="s">
        <v>925</v>
      </c>
      <c r="H340" s="252" t="s">
        <v>892</v>
      </c>
      <c r="I340" s="255">
        <v>93.47</v>
      </c>
    </row>
    <row r="341" spans="1:9" ht="14.1" customHeight="1">
      <c r="A341" s="251" t="s">
        <v>1269</v>
      </c>
      <c r="B341" s="252" t="s">
        <v>1003</v>
      </c>
      <c r="C341" s="256" t="s">
        <v>4289</v>
      </c>
      <c r="D341" s="254" t="s">
        <v>821</v>
      </c>
      <c r="E341" s="252" t="s">
        <v>983</v>
      </c>
      <c r="F341" s="252" t="s">
        <v>1280</v>
      </c>
      <c r="G341" s="252" t="s">
        <v>888</v>
      </c>
      <c r="H341" s="252" t="s">
        <v>889</v>
      </c>
      <c r="I341" s="255">
        <v>104</v>
      </c>
    </row>
    <row r="342" spans="1:9" ht="14.1" customHeight="1">
      <c r="A342" s="251" t="s">
        <v>1269</v>
      </c>
      <c r="B342" s="252" t="s">
        <v>1003</v>
      </c>
      <c r="C342" s="256" t="s">
        <v>4273</v>
      </c>
      <c r="D342" s="254" t="s">
        <v>821</v>
      </c>
      <c r="E342" s="252" t="s">
        <v>1246</v>
      </c>
      <c r="F342" s="252" t="s">
        <v>1279</v>
      </c>
      <c r="G342" s="252" t="s">
        <v>925</v>
      </c>
      <c r="H342" s="252" t="s">
        <v>889</v>
      </c>
      <c r="I342" s="255">
        <v>138.21700000000001</v>
      </c>
    </row>
    <row r="343" spans="1:9" ht="14.1" customHeight="1">
      <c r="A343" s="251" t="s">
        <v>1269</v>
      </c>
      <c r="B343" s="252" t="s">
        <v>1003</v>
      </c>
      <c r="C343" s="256" t="s">
        <v>4282</v>
      </c>
      <c r="D343" s="254" t="s">
        <v>821</v>
      </c>
      <c r="E343" s="252" t="s">
        <v>1000</v>
      </c>
      <c r="F343" s="252" t="s">
        <v>1266</v>
      </c>
      <c r="G343" s="252" t="s">
        <v>1033</v>
      </c>
      <c r="H343" s="252" t="s">
        <v>889</v>
      </c>
      <c r="I343" s="255">
        <v>220.91499999999999</v>
      </c>
    </row>
    <row r="344" spans="1:9" ht="14.1" customHeight="1">
      <c r="A344" s="251" t="s">
        <v>1269</v>
      </c>
      <c r="B344" s="252" t="s">
        <v>1003</v>
      </c>
      <c r="C344" s="256" t="s">
        <v>4283</v>
      </c>
      <c r="D344" s="254" t="s">
        <v>821</v>
      </c>
      <c r="E344" s="252" t="s">
        <v>1000</v>
      </c>
      <c r="F344" s="252" t="s">
        <v>1281</v>
      </c>
      <c r="G344" s="252" t="s">
        <v>1022</v>
      </c>
      <c r="H344" s="252" t="s">
        <v>889</v>
      </c>
      <c r="I344" s="255">
        <v>920.22400000000005</v>
      </c>
    </row>
    <row r="345" spans="1:9" ht="14.1" customHeight="1">
      <c r="A345" s="251" t="s">
        <v>1269</v>
      </c>
      <c r="B345" s="252" t="s">
        <v>1003</v>
      </c>
      <c r="C345" s="256" t="s">
        <v>4219</v>
      </c>
      <c r="D345" s="254" t="s">
        <v>823</v>
      </c>
      <c r="E345" s="252" t="s">
        <v>1146</v>
      </c>
      <c r="F345" s="252" t="s">
        <v>1282</v>
      </c>
      <c r="G345" s="252" t="s">
        <v>925</v>
      </c>
      <c r="H345" s="252" t="s">
        <v>889</v>
      </c>
      <c r="I345" s="255">
        <v>1100</v>
      </c>
    </row>
    <row r="346" spans="1:9" ht="14.1" customHeight="1">
      <c r="A346" s="251" t="s">
        <v>1269</v>
      </c>
      <c r="B346" s="252" t="s">
        <v>1003</v>
      </c>
      <c r="C346" s="256" t="s">
        <v>4239</v>
      </c>
      <c r="D346" s="254" t="s">
        <v>822</v>
      </c>
      <c r="E346" s="252" t="s">
        <v>1088</v>
      </c>
      <c r="F346" s="252" t="s">
        <v>1283</v>
      </c>
      <c r="G346" s="252" t="s">
        <v>925</v>
      </c>
      <c r="H346" s="252" t="s">
        <v>889</v>
      </c>
      <c r="I346" s="255">
        <v>2267.7739999999999</v>
      </c>
    </row>
    <row r="347" spans="1:9" ht="14.1" customHeight="1">
      <c r="A347" s="251" t="s">
        <v>1284</v>
      </c>
      <c r="B347" s="252" t="s">
        <v>1011</v>
      </c>
      <c r="C347" s="256" t="s">
        <v>4391</v>
      </c>
      <c r="D347" s="254" t="s">
        <v>822</v>
      </c>
      <c r="E347" s="252" t="s">
        <v>917</v>
      </c>
      <c r="F347" s="252" t="s">
        <v>1285</v>
      </c>
      <c r="G347" s="252" t="s">
        <v>895</v>
      </c>
      <c r="H347" s="252" t="s">
        <v>892</v>
      </c>
      <c r="I347" s="255">
        <v>8</v>
      </c>
    </row>
    <row r="348" spans="1:9" ht="14.1" customHeight="1">
      <c r="A348" s="251" t="s">
        <v>1284</v>
      </c>
      <c r="B348" s="252" t="s">
        <v>1011</v>
      </c>
      <c r="C348" s="253" t="s">
        <v>4390</v>
      </c>
      <c r="D348" s="254" t="s">
        <v>822</v>
      </c>
      <c r="E348" s="252" t="s">
        <v>1202</v>
      </c>
      <c r="F348" s="252" t="s">
        <v>1286</v>
      </c>
      <c r="G348" s="252" t="s">
        <v>1119</v>
      </c>
      <c r="H348" s="252" t="s">
        <v>892</v>
      </c>
      <c r="I348" s="255">
        <v>10</v>
      </c>
    </row>
    <row r="349" spans="1:9" ht="14.1" customHeight="1">
      <c r="A349" s="251" t="s">
        <v>1284</v>
      </c>
      <c r="B349" s="252" t="s">
        <v>1011</v>
      </c>
      <c r="C349" s="256" t="s">
        <v>4388</v>
      </c>
      <c r="D349" s="254" t="s">
        <v>822</v>
      </c>
      <c r="E349" s="252" t="s">
        <v>906</v>
      </c>
      <c r="F349" s="252" t="s">
        <v>1231</v>
      </c>
      <c r="G349" s="252" t="s">
        <v>1047</v>
      </c>
      <c r="H349" s="252" t="s">
        <v>892</v>
      </c>
      <c r="I349" s="255">
        <v>31.308</v>
      </c>
    </row>
    <row r="350" spans="1:9" ht="14.1" customHeight="1">
      <c r="A350" s="251" t="s">
        <v>1284</v>
      </c>
      <c r="B350" s="252" t="s">
        <v>1011</v>
      </c>
      <c r="C350" s="256" t="s">
        <v>4376</v>
      </c>
      <c r="D350" s="254" t="s">
        <v>821</v>
      </c>
      <c r="E350" s="252" t="s">
        <v>1030</v>
      </c>
      <c r="F350" s="252" t="s">
        <v>1287</v>
      </c>
      <c r="G350" s="252" t="s">
        <v>925</v>
      </c>
      <c r="H350" s="252" t="s">
        <v>892</v>
      </c>
      <c r="I350" s="255">
        <v>73.19</v>
      </c>
    </row>
    <row r="351" spans="1:9" ht="14.1" customHeight="1">
      <c r="A351" s="251" t="s">
        <v>1284</v>
      </c>
      <c r="B351" s="252" t="s">
        <v>1011</v>
      </c>
      <c r="C351" s="256" t="s">
        <v>4381</v>
      </c>
      <c r="D351" s="254" t="s">
        <v>822</v>
      </c>
      <c r="E351" s="252" t="s">
        <v>1088</v>
      </c>
      <c r="F351" s="252" t="s">
        <v>1288</v>
      </c>
      <c r="G351" s="252" t="s">
        <v>888</v>
      </c>
      <c r="H351" s="252" t="s">
        <v>892</v>
      </c>
      <c r="I351" s="255">
        <v>146.40700000000001</v>
      </c>
    </row>
    <row r="352" spans="1:9" ht="14.1" customHeight="1">
      <c r="A352" s="251" t="s">
        <v>1284</v>
      </c>
      <c r="B352" s="252" t="s">
        <v>1011</v>
      </c>
      <c r="C352" s="256" t="s">
        <v>4375</v>
      </c>
      <c r="D352" s="254" t="s">
        <v>822</v>
      </c>
      <c r="E352" s="252" t="s">
        <v>944</v>
      </c>
      <c r="F352" s="252" t="s">
        <v>1118</v>
      </c>
      <c r="G352" s="252" t="s">
        <v>1119</v>
      </c>
      <c r="H352" s="252" t="s">
        <v>892</v>
      </c>
      <c r="I352" s="255">
        <v>255</v>
      </c>
    </row>
    <row r="353" spans="1:9" ht="14.1" customHeight="1">
      <c r="A353" s="251" t="s">
        <v>1284</v>
      </c>
      <c r="B353" s="252" t="s">
        <v>1011</v>
      </c>
      <c r="C353" s="256" t="s">
        <v>4392</v>
      </c>
      <c r="D353" s="254" t="s">
        <v>822</v>
      </c>
      <c r="E353" s="252" t="s">
        <v>894</v>
      </c>
      <c r="F353" s="252" t="s">
        <v>1289</v>
      </c>
      <c r="G353" s="252" t="s">
        <v>1119</v>
      </c>
      <c r="H353" s="252" t="s">
        <v>892</v>
      </c>
      <c r="I353" s="255">
        <v>2900</v>
      </c>
    </row>
    <row r="354" spans="1:9" ht="14.1" customHeight="1">
      <c r="A354" s="251" t="s">
        <v>1291</v>
      </c>
      <c r="B354" s="252" t="s">
        <v>898</v>
      </c>
      <c r="C354" s="256" t="s">
        <v>1820</v>
      </c>
      <c r="D354" s="254" t="s">
        <v>822</v>
      </c>
      <c r="E354" s="252" t="s">
        <v>917</v>
      </c>
      <c r="F354" s="252" t="s">
        <v>1292</v>
      </c>
      <c r="G354" s="252" t="s">
        <v>929</v>
      </c>
      <c r="H354" s="252" t="s">
        <v>913</v>
      </c>
      <c r="I354" s="255">
        <v>2.7450000000000001</v>
      </c>
    </row>
    <row r="355" spans="1:9" ht="14.1" customHeight="1">
      <c r="A355" s="251" t="s">
        <v>1291</v>
      </c>
      <c r="B355" s="252" t="s">
        <v>898</v>
      </c>
      <c r="C355" s="257" t="s">
        <v>1822</v>
      </c>
      <c r="D355" s="254" t="s">
        <v>822</v>
      </c>
      <c r="E355" s="252" t="s">
        <v>917</v>
      </c>
      <c r="F355" s="252" t="s">
        <v>1293</v>
      </c>
      <c r="G355" s="252" t="s">
        <v>929</v>
      </c>
      <c r="H355" s="252" t="s">
        <v>889</v>
      </c>
      <c r="I355" s="255">
        <v>10</v>
      </c>
    </row>
    <row r="356" spans="1:9" ht="14.1" customHeight="1">
      <c r="A356" s="251" t="s">
        <v>1291</v>
      </c>
      <c r="B356" s="252" t="s">
        <v>898</v>
      </c>
      <c r="C356" s="256" t="s">
        <v>1821</v>
      </c>
      <c r="D356" s="254" t="s">
        <v>822</v>
      </c>
      <c r="E356" s="252" t="s">
        <v>917</v>
      </c>
      <c r="F356" s="252" t="s">
        <v>1290</v>
      </c>
      <c r="G356" s="252" t="s">
        <v>929</v>
      </c>
      <c r="H356" s="252" t="s">
        <v>913</v>
      </c>
      <c r="I356" s="255">
        <v>10.199999999999999</v>
      </c>
    </row>
    <row r="357" spans="1:9" ht="14.1" customHeight="1">
      <c r="A357" s="251" t="s">
        <v>1291</v>
      </c>
      <c r="B357" s="252" t="s">
        <v>898</v>
      </c>
      <c r="C357" s="256" t="s">
        <v>1823</v>
      </c>
      <c r="D357" s="254" t="s">
        <v>822</v>
      </c>
      <c r="E357" s="252" t="s">
        <v>1009</v>
      </c>
      <c r="F357" s="252" t="s">
        <v>1294</v>
      </c>
      <c r="G357" s="252" t="s">
        <v>888</v>
      </c>
      <c r="H357" s="252" t="s">
        <v>892</v>
      </c>
      <c r="I357" s="255">
        <v>12.5</v>
      </c>
    </row>
    <row r="358" spans="1:9" ht="14.1" customHeight="1">
      <c r="A358" s="251" t="s">
        <v>1291</v>
      </c>
      <c r="B358" s="252" t="s">
        <v>898</v>
      </c>
      <c r="C358" s="256" t="s">
        <v>1812</v>
      </c>
      <c r="D358" s="254" t="s">
        <v>822</v>
      </c>
      <c r="E358" s="252" t="s">
        <v>1046</v>
      </c>
      <c r="F358" s="252" t="s">
        <v>1295</v>
      </c>
      <c r="G358" s="252" t="s">
        <v>925</v>
      </c>
      <c r="H358" s="252" t="s">
        <v>889</v>
      </c>
      <c r="I358" s="255">
        <v>14.28</v>
      </c>
    </row>
    <row r="359" spans="1:9" ht="14.1" customHeight="1">
      <c r="A359" s="251" t="s">
        <v>1291</v>
      </c>
      <c r="B359" s="252" t="s">
        <v>898</v>
      </c>
      <c r="C359" s="256" t="s">
        <v>1808</v>
      </c>
      <c r="D359" s="254" t="s">
        <v>821</v>
      </c>
      <c r="E359" s="252" t="s">
        <v>968</v>
      </c>
      <c r="F359" s="252" t="s">
        <v>1296</v>
      </c>
      <c r="G359" s="252" t="s">
        <v>888</v>
      </c>
      <c r="H359" s="252" t="s">
        <v>889</v>
      </c>
      <c r="I359" s="255">
        <v>16.495000000000001</v>
      </c>
    </row>
    <row r="360" spans="1:9" ht="14.1" customHeight="1">
      <c r="A360" s="251" t="s">
        <v>1297</v>
      </c>
      <c r="B360" s="252" t="s">
        <v>908</v>
      </c>
      <c r="C360" s="257" t="s">
        <v>1992</v>
      </c>
      <c r="D360" s="254" t="s">
        <v>822</v>
      </c>
      <c r="E360" s="252" t="s">
        <v>917</v>
      </c>
      <c r="F360" s="252" t="s">
        <v>1298</v>
      </c>
      <c r="G360" s="252" t="s">
        <v>918</v>
      </c>
      <c r="H360" s="252" t="s">
        <v>913</v>
      </c>
      <c r="I360" s="255">
        <v>1</v>
      </c>
    </row>
    <row r="361" spans="1:9" ht="14.1" customHeight="1">
      <c r="A361" s="251" t="s">
        <v>1297</v>
      </c>
      <c r="B361" s="252" t="s">
        <v>908</v>
      </c>
      <c r="C361" s="256" t="s">
        <v>1997</v>
      </c>
      <c r="D361" s="254" t="s">
        <v>821</v>
      </c>
      <c r="E361" s="252" t="s">
        <v>1903</v>
      </c>
      <c r="F361" s="252" t="s">
        <v>1299</v>
      </c>
      <c r="G361" s="252" t="s">
        <v>939</v>
      </c>
      <c r="H361" s="252" t="s">
        <v>889</v>
      </c>
      <c r="I361" s="255">
        <v>1.33</v>
      </c>
    </row>
    <row r="362" spans="1:9" ht="14.1" customHeight="1">
      <c r="A362" s="251" t="s">
        <v>1297</v>
      </c>
      <c r="B362" s="252" t="s">
        <v>908</v>
      </c>
      <c r="C362" s="257" t="s">
        <v>1998</v>
      </c>
      <c r="D362" s="254" t="s">
        <v>821</v>
      </c>
      <c r="E362" s="252" t="s">
        <v>1020</v>
      </c>
      <c r="F362" s="252" t="s">
        <v>1019</v>
      </c>
      <c r="G362" s="252" t="s">
        <v>939</v>
      </c>
      <c r="H362" s="252" t="s">
        <v>889</v>
      </c>
      <c r="I362" s="255">
        <v>8</v>
      </c>
    </row>
    <row r="363" spans="1:9" ht="14.1" customHeight="1">
      <c r="A363" s="251" t="s">
        <v>1300</v>
      </c>
      <c r="B363" s="252" t="s">
        <v>914</v>
      </c>
      <c r="C363" s="253" t="s">
        <v>2130</v>
      </c>
      <c r="D363" s="254" t="s">
        <v>821</v>
      </c>
      <c r="E363" s="252" t="s">
        <v>1020</v>
      </c>
      <c r="F363" s="252" t="s">
        <v>1301</v>
      </c>
      <c r="G363" s="252" t="s">
        <v>895</v>
      </c>
      <c r="H363" s="252" t="s">
        <v>889</v>
      </c>
      <c r="I363" s="255">
        <v>1.4E-2</v>
      </c>
    </row>
    <row r="364" spans="1:9" ht="14.1" customHeight="1">
      <c r="A364" s="251" t="s">
        <v>1300</v>
      </c>
      <c r="B364" s="252" t="s">
        <v>914</v>
      </c>
      <c r="C364" s="256" t="s">
        <v>2126</v>
      </c>
      <c r="D364" s="254" t="s">
        <v>822</v>
      </c>
      <c r="E364" s="252" t="s">
        <v>917</v>
      </c>
      <c r="F364" s="252" t="s">
        <v>1302</v>
      </c>
      <c r="G364" s="252" t="s">
        <v>929</v>
      </c>
      <c r="H364" s="252" t="s">
        <v>889</v>
      </c>
      <c r="I364" s="255">
        <v>0.22</v>
      </c>
    </row>
    <row r="365" spans="1:9" ht="14.1" customHeight="1">
      <c r="A365" s="251" t="s">
        <v>1300</v>
      </c>
      <c r="B365" s="252" t="s">
        <v>914</v>
      </c>
      <c r="C365" s="257" t="s">
        <v>2127</v>
      </c>
      <c r="D365" s="254" t="s">
        <v>822</v>
      </c>
      <c r="E365" s="252" t="s">
        <v>917</v>
      </c>
      <c r="F365" s="252" t="s">
        <v>1303</v>
      </c>
      <c r="G365" s="252" t="s">
        <v>895</v>
      </c>
      <c r="H365" s="252" t="s">
        <v>892</v>
      </c>
      <c r="I365" s="255">
        <v>0.25</v>
      </c>
    </row>
    <row r="366" spans="1:9" ht="14.1" customHeight="1">
      <c r="A366" s="251" t="s">
        <v>1300</v>
      </c>
      <c r="B366" s="252" t="s">
        <v>914</v>
      </c>
      <c r="C366" s="256" t="s">
        <v>2128</v>
      </c>
      <c r="D366" s="254" t="s">
        <v>822</v>
      </c>
      <c r="E366" s="252" t="s">
        <v>917</v>
      </c>
      <c r="F366" s="252" t="s">
        <v>1304</v>
      </c>
      <c r="G366" s="252" t="s">
        <v>929</v>
      </c>
      <c r="H366" s="252" t="s">
        <v>913</v>
      </c>
      <c r="I366" s="255">
        <v>2.0019999999999998</v>
      </c>
    </row>
    <row r="367" spans="1:9" ht="14.1" customHeight="1">
      <c r="A367" s="251" t="s">
        <v>1300</v>
      </c>
      <c r="B367" s="252" t="s">
        <v>914</v>
      </c>
      <c r="C367" s="256" t="s">
        <v>2118</v>
      </c>
      <c r="D367" s="254" t="s">
        <v>822</v>
      </c>
      <c r="E367" s="252" t="s">
        <v>1088</v>
      </c>
      <c r="F367" s="252" t="s">
        <v>1305</v>
      </c>
      <c r="G367" s="252" t="s">
        <v>1306</v>
      </c>
      <c r="H367" s="252" t="s">
        <v>889</v>
      </c>
      <c r="I367" s="255">
        <v>3</v>
      </c>
    </row>
    <row r="368" spans="1:9" ht="14.1" customHeight="1">
      <c r="A368" s="251" t="s">
        <v>1300</v>
      </c>
      <c r="B368" s="252" t="s">
        <v>914</v>
      </c>
      <c r="C368" s="257" t="s">
        <v>2129</v>
      </c>
      <c r="D368" s="254" t="s">
        <v>822</v>
      </c>
      <c r="E368" s="252" t="s">
        <v>917</v>
      </c>
      <c r="F368" s="252" t="s">
        <v>1307</v>
      </c>
      <c r="G368" s="252" t="s">
        <v>918</v>
      </c>
      <c r="H368" s="252" t="s">
        <v>889</v>
      </c>
      <c r="I368" s="255">
        <v>19.332000000000001</v>
      </c>
    </row>
    <row r="369" spans="1:9" ht="14.1" customHeight="1">
      <c r="A369" s="251" t="s">
        <v>1300</v>
      </c>
      <c r="B369" s="252" t="s">
        <v>914</v>
      </c>
      <c r="C369" s="256" t="s">
        <v>2133</v>
      </c>
      <c r="D369" s="254" t="s">
        <v>821</v>
      </c>
      <c r="E369" s="252" t="s">
        <v>1164</v>
      </c>
      <c r="F369" s="252" t="s">
        <v>1308</v>
      </c>
      <c r="G369" s="252" t="s">
        <v>929</v>
      </c>
      <c r="H369" s="252" t="s">
        <v>889</v>
      </c>
      <c r="I369" s="255">
        <v>19.792000000000002</v>
      </c>
    </row>
    <row r="370" spans="1:9" ht="14.1" customHeight="1">
      <c r="A370" s="251" t="s">
        <v>1300</v>
      </c>
      <c r="B370" s="252" t="s">
        <v>914</v>
      </c>
      <c r="C370" s="256" t="s">
        <v>2123</v>
      </c>
      <c r="D370" s="254" t="s">
        <v>821</v>
      </c>
      <c r="E370" s="252" t="s">
        <v>887</v>
      </c>
      <c r="F370" s="252" t="s">
        <v>1309</v>
      </c>
      <c r="G370" s="252" t="s">
        <v>888</v>
      </c>
      <c r="H370" s="252" t="s">
        <v>892</v>
      </c>
      <c r="I370" s="255">
        <v>200</v>
      </c>
    </row>
    <row r="371" spans="1:9" ht="14.1" customHeight="1">
      <c r="A371" s="251" t="s">
        <v>1310</v>
      </c>
      <c r="B371" s="252" t="s">
        <v>922</v>
      </c>
      <c r="C371" s="256" t="s">
        <v>2285</v>
      </c>
      <c r="D371" s="254" t="s">
        <v>822</v>
      </c>
      <c r="E371" s="252" t="s">
        <v>917</v>
      </c>
      <c r="F371" s="252" t="s">
        <v>1311</v>
      </c>
      <c r="G371" s="252" t="s">
        <v>918</v>
      </c>
      <c r="H371" s="252" t="s">
        <v>892</v>
      </c>
      <c r="I371" s="255">
        <v>0.71699999999999997</v>
      </c>
    </row>
    <row r="372" spans="1:9" ht="14.1" customHeight="1">
      <c r="A372" s="251" t="s">
        <v>1310</v>
      </c>
      <c r="B372" s="252" t="s">
        <v>922</v>
      </c>
      <c r="C372" s="258" t="s">
        <v>2286</v>
      </c>
      <c r="D372" s="254" t="s">
        <v>822</v>
      </c>
      <c r="E372" s="252" t="s">
        <v>917</v>
      </c>
      <c r="F372" s="252" t="s">
        <v>1311</v>
      </c>
      <c r="G372" s="252" t="s">
        <v>918</v>
      </c>
      <c r="H372" s="252" t="s">
        <v>892</v>
      </c>
      <c r="I372" s="255">
        <v>0.71699999999999997</v>
      </c>
    </row>
    <row r="373" spans="1:9" ht="14.1" customHeight="1">
      <c r="A373" s="251" t="s">
        <v>1310</v>
      </c>
      <c r="B373" s="252" t="s">
        <v>922</v>
      </c>
      <c r="C373" s="256" t="s">
        <v>2284</v>
      </c>
      <c r="D373" s="254" t="s">
        <v>822</v>
      </c>
      <c r="E373" s="252" t="s">
        <v>917</v>
      </c>
      <c r="F373" s="252" t="s">
        <v>1312</v>
      </c>
      <c r="G373" s="252" t="s">
        <v>918</v>
      </c>
      <c r="H373" s="252" t="s">
        <v>892</v>
      </c>
      <c r="I373" s="255">
        <v>0.874</v>
      </c>
    </row>
    <row r="374" spans="1:9" ht="14.1" customHeight="1">
      <c r="A374" s="251" t="s">
        <v>1310</v>
      </c>
      <c r="B374" s="252" t="s">
        <v>922</v>
      </c>
      <c r="C374" s="256" t="s">
        <v>2289</v>
      </c>
      <c r="D374" s="254" t="s">
        <v>822</v>
      </c>
      <c r="E374" s="252" t="s">
        <v>911</v>
      </c>
      <c r="F374" s="252" t="s">
        <v>1204</v>
      </c>
      <c r="G374" s="252" t="s">
        <v>918</v>
      </c>
      <c r="H374" s="252" t="s">
        <v>889</v>
      </c>
      <c r="I374" s="255">
        <v>1.2</v>
      </c>
    </row>
    <row r="375" spans="1:9" ht="14.1" customHeight="1">
      <c r="A375" s="251" t="s">
        <v>1310</v>
      </c>
      <c r="B375" s="252" t="s">
        <v>922</v>
      </c>
      <c r="C375" s="256" t="s">
        <v>2283</v>
      </c>
      <c r="D375" s="254" t="s">
        <v>822</v>
      </c>
      <c r="E375" s="252" t="s">
        <v>906</v>
      </c>
      <c r="F375" s="252" t="s">
        <v>1313</v>
      </c>
      <c r="G375" s="252" t="s">
        <v>907</v>
      </c>
      <c r="H375" s="252" t="s">
        <v>889</v>
      </c>
      <c r="I375" s="255">
        <v>3</v>
      </c>
    </row>
    <row r="376" spans="1:9" ht="14.1" customHeight="1">
      <c r="A376" s="251" t="s">
        <v>1310</v>
      </c>
      <c r="B376" s="252" t="s">
        <v>922</v>
      </c>
      <c r="C376" s="256" t="s">
        <v>2290</v>
      </c>
      <c r="D376" s="254" t="s">
        <v>821</v>
      </c>
      <c r="E376" s="252" t="s">
        <v>1020</v>
      </c>
      <c r="F376" s="252" t="s">
        <v>1314</v>
      </c>
      <c r="G376" s="252" t="s">
        <v>895</v>
      </c>
      <c r="H376" s="252" t="s">
        <v>889</v>
      </c>
      <c r="I376" s="255">
        <v>438.74400000000003</v>
      </c>
    </row>
    <row r="377" spans="1:9" ht="14.1" customHeight="1">
      <c r="A377" s="251" t="s">
        <v>1315</v>
      </c>
      <c r="B377" s="252" t="s">
        <v>926</v>
      </c>
      <c r="C377" s="256" t="s">
        <v>2417</v>
      </c>
      <c r="D377" s="254" t="s">
        <v>822</v>
      </c>
      <c r="E377" s="252" t="s">
        <v>917</v>
      </c>
      <c r="F377" s="252" t="s">
        <v>1316</v>
      </c>
      <c r="G377" s="252" t="s">
        <v>929</v>
      </c>
      <c r="H377" s="252" t="s">
        <v>892</v>
      </c>
      <c r="I377" s="255">
        <v>1.667</v>
      </c>
    </row>
    <row r="378" spans="1:9" ht="14.1" customHeight="1">
      <c r="A378" s="251" t="s">
        <v>1315</v>
      </c>
      <c r="B378" s="252" t="s">
        <v>926</v>
      </c>
      <c r="C378" s="253" t="s">
        <v>2414</v>
      </c>
      <c r="D378" s="254" t="s">
        <v>822</v>
      </c>
      <c r="E378" s="252" t="s">
        <v>1088</v>
      </c>
      <c r="F378" s="252" t="s">
        <v>1317</v>
      </c>
      <c r="G378" s="252" t="s">
        <v>888</v>
      </c>
      <c r="H378" s="252" t="s">
        <v>889</v>
      </c>
      <c r="I378" s="255">
        <v>45.35</v>
      </c>
    </row>
    <row r="379" spans="1:9" ht="14.1" customHeight="1">
      <c r="A379" s="251" t="s">
        <v>1315</v>
      </c>
      <c r="B379" s="252" t="s">
        <v>926</v>
      </c>
      <c r="C379" s="257" t="s">
        <v>2407</v>
      </c>
      <c r="D379" s="254" t="s">
        <v>823</v>
      </c>
      <c r="E379" s="252" t="s">
        <v>1146</v>
      </c>
      <c r="F379" s="252" t="s">
        <v>1318</v>
      </c>
      <c r="G379" s="252" t="s">
        <v>888</v>
      </c>
      <c r="H379" s="252" t="s">
        <v>889</v>
      </c>
      <c r="I379" s="255">
        <v>204.46</v>
      </c>
    </row>
    <row r="380" spans="1:9" ht="14.1" customHeight="1">
      <c r="A380" s="251" t="s">
        <v>1315</v>
      </c>
      <c r="B380" s="252" t="s">
        <v>926</v>
      </c>
      <c r="C380" s="256" t="s">
        <v>2412</v>
      </c>
      <c r="D380" s="254" t="s">
        <v>821</v>
      </c>
      <c r="E380" s="252" t="s">
        <v>1466</v>
      </c>
      <c r="F380" s="252" t="s">
        <v>1319</v>
      </c>
      <c r="G380" s="252" t="s">
        <v>918</v>
      </c>
      <c r="H380" s="252" t="s">
        <v>889</v>
      </c>
      <c r="I380" s="255">
        <v>280</v>
      </c>
    </row>
    <row r="381" spans="1:9" ht="14.1" customHeight="1">
      <c r="A381" s="251" t="s">
        <v>1315</v>
      </c>
      <c r="B381" s="252" t="s">
        <v>926</v>
      </c>
      <c r="C381" s="256" t="s">
        <v>2413</v>
      </c>
      <c r="D381" s="254" t="s">
        <v>822</v>
      </c>
      <c r="E381" s="252" t="s">
        <v>938</v>
      </c>
      <c r="F381" s="252" t="s">
        <v>1320</v>
      </c>
      <c r="G381" s="252" t="s">
        <v>888</v>
      </c>
      <c r="H381" s="252" t="s">
        <v>889</v>
      </c>
      <c r="I381" s="255">
        <v>3334.2950000000001</v>
      </c>
    </row>
    <row r="382" spans="1:9" ht="14.1" customHeight="1">
      <c r="A382" s="251" t="s">
        <v>1321</v>
      </c>
      <c r="B382" s="252" t="s">
        <v>935</v>
      </c>
      <c r="C382" s="256" t="s">
        <v>2554</v>
      </c>
      <c r="D382" s="254" t="s">
        <v>822</v>
      </c>
      <c r="E382" s="252" t="s">
        <v>1202</v>
      </c>
      <c r="F382" s="252" t="s">
        <v>1322</v>
      </c>
      <c r="G382" s="252" t="s">
        <v>918</v>
      </c>
      <c r="H382" s="252" t="s">
        <v>892</v>
      </c>
      <c r="I382" s="255">
        <v>0.13700000000000001</v>
      </c>
    </row>
    <row r="383" spans="1:9" ht="14.1" customHeight="1">
      <c r="A383" s="251" t="s">
        <v>1321</v>
      </c>
      <c r="B383" s="252" t="s">
        <v>935</v>
      </c>
      <c r="C383" s="256" t="s">
        <v>2548</v>
      </c>
      <c r="D383" s="254" t="s">
        <v>823</v>
      </c>
      <c r="E383" s="252" t="s">
        <v>1146</v>
      </c>
      <c r="F383" s="252" t="s">
        <v>1323</v>
      </c>
      <c r="G383" s="252" t="s">
        <v>1119</v>
      </c>
      <c r="H383" s="252" t="s">
        <v>889</v>
      </c>
      <c r="I383" s="255">
        <v>120</v>
      </c>
    </row>
    <row r="384" spans="1:9" ht="14.1" customHeight="1">
      <c r="A384" s="251" t="s">
        <v>1321</v>
      </c>
      <c r="B384" s="252" t="s">
        <v>935</v>
      </c>
      <c r="C384" s="256" t="s">
        <v>2557</v>
      </c>
      <c r="D384" s="254" t="s">
        <v>821</v>
      </c>
      <c r="E384" s="252" t="s">
        <v>1000</v>
      </c>
      <c r="F384" s="252" t="s">
        <v>1324</v>
      </c>
      <c r="G384" s="252" t="s">
        <v>959</v>
      </c>
      <c r="H384" s="252" t="s">
        <v>889</v>
      </c>
      <c r="I384" s="255">
        <v>160</v>
      </c>
    </row>
    <row r="385" spans="1:9" ht="14.1" customHeight="1">
      <c r="A385" s="251" t="s">
        <v>1321</v>
      </c>
      <c r="B385" s="252" t="s">
        <v>935</v>
      </c>
      <c r="C385" s="256" t="s">
        <v>2547</v>
      </c>
      <c r="D385" s="254" t="s">
        <v>823</v>
      </c>
      <c r="E385" s="252" t="s">
        <v>1146</v>
      </c>
      <c r="F385" s="252" t="s">
        <v>1325</v>
      </c>
      <c r="G385" s="252" t="s">
        <v>1119</v>
      </c>
      <c r="H385" s="252" t="s">
        <v>889</v>
      </c>
      <c r="I385" s="255">
        <v>180</v>
      </c>
    </row>
    <row r="386" spans="1:9" ht="14.1" customHeight="1">
      <c r="A386" s="251" t="s">
        <v>1321</v>
      </c>
      <c r="B386" s="252" t="s">
        <v>935</v>
      </c>
      <c r="C386" s="253" t="s">
        <v>2549</v>
      </c>
      <c r="D386" s="254" t="s">
        <v>821</v>
      </c>
      <c r="E386" s="252" t="s">
        <v>947</v>
      </c>
      <c r="F386" s="252" t="s">
        <v>1326</v>
      </c>
      <c r="G386" s="252" t="s">
        <v>1327</v>
      </c>
      <c r="H386" s="252" t="s">
        <v>889</v>
      </c>
      <c r="I386" s="255">
        <v>464</v>
      </c>
    </row>
    <row r="387" spans="1:9" ht="14.1" customHeight="1">
      <c r="A387" s="251" t="s">
        <v>1328</v>
      </c>
      <c r="B387" s="252" t="s">
        <v>941</v>
      </c>
      <c r="C387" s="256" t="s">
        <v>2720</v>
      </c>
      <c r="D387" s="254" t="s">
        <v>821</v>
      </c>
      <c r="E387" s="252" t="s">
        <v>1164</v>
      </c>
      <c r="F387" s="252" t="s">
        <v>1038</v>
      </c>
      <c r="G387" s="252" t="s">
        <v>888</v>
      </c>
      <c r="H387" s="252" t="s">
        <v>889</v>
      </c>
      <c r="I387" s="255">
        <v>15</v>
      </c>
    </row>
    <row r="388" spans="1:9" ht="14.1" customHeight="1">
      <c r="A388" s="251" t="s">
        <v>1328</v>
      </c>
      <c r="B388" s="252" t="s">
        <v>941</v>
      </c>
      <c r="C388" s="256" t="s">
        <v>2717</v>
      </c>
      <c r="D388" s="254" t="s">
        <v>821</v>
      </c>
      <c r="E388" s="252" t="s">
        <v>986</v>
      </c>
      <c r="F388" s="252" t="s">
        <v>1329</v>
      </c>
      <c r="G388" s="252" t="s">
        <v>888</v>
      </c>
      <c r="H388" s="252" t="s">
        <v>889</v>
      </c>
      <c r="I388" s="255">
        <v>644.00800000000004</v>
      </c>
    </row>
    <row r="389" spans="1:9" ht="14.1" customHeight="1">
      <c r="A389" s="251" t="s">
        <v>1328</v>
      </c>
      <c r="B389" s="252" t="s">
        <v>941</v>
      </c>
      <c r="C389" s="256" t="s">
        <v>2719</v>
      </c>
      <c r="D389" s="254" t="s">
        <v>822</v>
      </c>
      <c r="E389" s="252" t="s">
        <v>917</v>
      </c>
      <c r="F389" s="252" t="s">
        <v>1330</v>
      </c>
      <c r="G389" s="252" t="s">
        <v>918</v>
      </c>
      <c r="H389" s="252" t="s">
        <v>889</v>
      </c>
      <c r="I389" s="255">
        <v>2000</v>
      </c>
    </row>
    <row r="390" spans="1:9" ht="14.1" customHeight="1">
      <c r="A390" s="251" t="s">
        <v>1331</v>
      </c>
      <c r="B390" s="252" t="s">
        <v>948</v>
      </c>
      <c r="C390" s="256" t="s">
        <v>2886</v>
      </c>
      <c r="D390" s="254" t="s">
        <v>822</v>
      </c>
      <c r="E390" s="252" t="s">
        <v>917</v>
      </c>
      <c r="F390" s="252" t="s">
        <v>1332</v>
      </c>
      <c r="G390" s="252" t="s">
        <v>918</v>
      </c>
      <c r="H390" s="252" t="s">
        <v>913</v>
      </c>
      <c r="I390" s="255">
        <v>8.6300000000000008</v>
      </c>
    </row>
    <row r="391" spans="1:9" ht="14.1" customHeight="1">
      <c r="A391" s="251" t="s">
        <v>1331</v>
      </c>
      <c r="B391" s="252" t="s">
        <v>948</v>
      </c>
      <c r="C391" s="253" t="s">
        <v>2886</v>
      </c>
      <c r="D391" s="254" t="s">
        <v>822</v>
      </c>
      <c r="E391" s="252" t="s">
        <v>917</v>
      </c>
      <c r="F391" s="252" t="s">
        <v>1332</v>
      </c>
      <c r="G391" s="252" t="s">
        <v>918</v>
      </c>
      <c r="H391" s="252" t="s">
        <v>913</v>
      </c>
      <c r="I391" s="255">
        <v>15</v>
      </c>
    </row>
    <row r="392" spans="1:9" ht="14.1" customHeight="1">
      <c r="A392" s="251" t="s">
        <v>1331</v>
      </c>
      <c r="B392" s="252" t="s">
        <v>948</v>
      </c>
      <c r="C392" s="257" t="s">
        <v>2883</v>
      </c>
      <c r="D392" s="254" t="s">
        <v>822</v>
      </c>
      <c r="E392" s="252" t="s">
        <v>906</v>
      </c>
      <c r="F392" s="252" t="s">
        <v>1323</v>
      </c>
      <c r="G392" s="252" t="s">
        <v>1119</v>
      </c>
      <c r="H392" s="252" t="s">
        <v>931</v>
      </c>
      <c r="I392" s="255">
        <v>125.063</v>
      </c>
    </row>
    <row r="393" spans="1:9" ht="14.1" customHeight="1">
      <c r="A393" s="251" t="s">
        <v>1333</v>
      </c>
      <c r="B393" s="252" t="s">
        <v>951</v>
      </c>
      <c r="C393" s="257" t="s">
        <v>3017</v>
      </c>
      <c r="D393" s="254" t="s">
        <v>821</v>
      </c>
      <c r="E393" s="252" t="s">
        <v>887</v>
      </c>
      <c r="F393" s="252" t="s">
        <v>1111</v>
      </c>
      <c r="G393" s="252" t="s">
        <v>939</v>
      </c>
      <c r="H393" s="252" t="s">
        <v>889</v>
      </c>
      <c r="I393" s="255">
        <v>14.407999999999999</v>
      </c>
    </row>
    <row r="394" spans="1:9" ht="14.1" customHeight="1">
      <c r="A394" s="251" t="s">
        <v>1334</v>
      </c>
      <c r="B394" s="252" t="s">
        <v>1172</v>
      </c>
      <c r="C394" s="257" t="s">
        <v>3163</v>
      </c>
      <c r="D394" s="254" t="s">
        <v>821</v>
      </c>
      <c r="E394" s="252" t="s">
        <v>1150</v>
      </c>
      <c r="F394" s="252" t="s">
        <v>886</v>
      </c>
      <c r="G394" s="252" t="s">
        <v>888</v>
      </c>
      <c r="H394" s="252" t="s">
        <v>889</v>
      </c>
      <c r="I394" s="255">
        <v>35</v>
      </c>
    </row>
    <row r="395" spans="1:9" ht="14.1" customHeight="1">
      <c r="A395" s="251" t="s">
        <v>1334</v>
      </c>
      <c r="B395" s="252" t="s">
        <v>1172</v>
      </c>
      <c r="C395" s="256" t="s">
        <v>3167</v>
      </c>
      <c r="D395" s="254" t="s">
        <v>822</v>
      </c>
      <c r="E395" s="252" t="s">
        <v>917</v>
      </c>
      <c r="F395" s="252" t="s">
        <v>1335</v>
      </c>
      <c r="G395" s="252" t="s">
        <v>918</v>
      </c>
      <c r="H395" s="252" t="s">
        <v>889</v>
      </c>
      <c r="I395" s="255">
        <v>90</v>
      </c>
    </row>
    <row r="396" spans="1:9" ht="14.1" customHeight="1">
      <c r="A396" s="251" t="s">
        <v>1334</v>
      </c>
      <c r="B396" s="252" t="s">
        <v>1172</v>
      </c>
      <c r="C396" s="253" t="s">
        <v>3164</v>
      </c>
      <c r="D396" s="254" t="s">
        <v>821</v>
      </c>
      <c r="E396" s="252" t="s">
        <v>986</v>
      </c>
      <c r="F396" s="252" t="s">
        <v>1336</v>
      </c>
      <c r="G396" s="252" t="s">
        <v>888</v>
      </c>
      <c r="H396" s="252" t="s">
        <v>889</v>
      </c>
      <c r="I396" s="255">
        <v>162.55500000000001</v>
      </c>
    </row>
    <row r="397" spans="1:9" ht="14.1" customHeight="1">
      <c r="A397" s="251" t="s">
        <v>1334</v>
      </c>
      <c r="B397" s="252" t="s">
        <v>1172</v>
      </c>
      <c r="C397" s="257" t="s">
        <v>3166</v>
      </c>
      <c r="D397" s="254" t="s">
        <v>822</v>
      </c>
      <c r="E397" s="252" t="s">
        <v>917</v>
      </c>
      <c r="F397" s="252" t="s">
        <v>886</v>
      </c>
      <c r="G397" s="252" t="s">
        <v>1337</v>
      </c>
      <c r="H397" s="252" t="s">
        <v>889</v>
      </c>
      <c r="I397" s="255">
        <v>500</v>
      </c>
    </row>
    <row r="398" spans="1:9" ht="14.1" customHeight="1">
      <c r="A398" s="251" t="s">
        <v>1334</v>
      </c>
      <c r="B398" s="252" t="s">
        <v>1172</v>
      </c>
      <c r="C398" s="253" t="s">
        <v>3165</v>
      </c>
      <c r="D398" s="254" t="s">
        <v>822</v>
      </c>
      <c r="E398" s="252" t="s">
        <v>917</v>
      </c>
      <c r="F398" s="252" t="s">
        <v>1338</v>
      </c>
      <c r="G398" s="252" t="s">
        <v>895</v>
      </c>
      <c r="H398" s="252" t="s">
        <v>889</v>
      </c>
      <c r="I398" s="255">
        <v>1005</v>
      </c>
    </row>
    <row r="399" spans="1:9" ht="14.1" customHeight="1">
      <c r="A399" s="251" t="s">
        <v>1339</v>
      </c>
      <c r="B399" s="252" t="s">
        <v>955</v>
      </c>
      <c r="C399" s="256" t="s">
        <v>3338</v>
      </c>
      <c r="D399" s="254" t="s">
        <v>822</v>
      </c>
      <c r="E399" s="252" t="s">
        <v>917</v>
      </c>
      <c r="F399" s="252" t="s">
        <v>1340</v>
      </c>
      <c r="G399" s="252" t="s">
        <v>918</v>
      </c>
      <c r="H399" s="252" t="s">
        <v>889</v>
      </c>
      <c r="I399" s="255">
        <v>3.3000000000000002E-2</v>
      </c>
    </row>
    <row r="400" spans="1:9" ht="14.1" customHeight="1">
      <c r="A400" s="251" t="s">
        <v>1339</v>
      </c>
      <c r="B400" s="252" t="s">
        <v>955</v>
      </c>
      <c r="C400" s="256" t="s">
        <v>3339</v>
      </c>
      <c r="D400" s="254" t="s">
        <v>822</v>
      </c>
      <c r="E400" s="252" t="s">
        <v>917</v>
      </c>
      <c r="F400" s="252" t="s">
        <v>1341</v>
      </c>
      <c r="G400" s="252" t="s">
        <v>918</v>
      </c>
      <c r="H400" s="252" t="s">
        <v>889</v>
      </c>
      <c r="I400" s="255">
        <v>1.637</v>
      </c>
    </row>
    <row r="401" spans="1:9" ht="14.1" customHeight="1">
      <c r="A401" s="251" t="s">
        <v>1339</v>
      </c>
      <c r="B401" s="252" t="s">
        <v>955</v>
      </c>
      <c r="C401" s="256" t="s">
        <v>3329</v>
      </c>
      <c r="D401" s="254" t="s">
        <v>821</v>
      </c>
      <c r="E401" s="252" t="s">
        <v>986</v>
      </c>
      <c r="F401" s="252" t="s">
        <v>1342</v>
      </c>
      <c r="G401" s="252" t="s">
        <v>939</v>
      </c>
      <c r="H401" s="252" t="s">
        <v>889</v>
      </c>
      <c r="I401" s="255">
        <v>224.32</v>
      </c>
    </row>
    <row r="402" spans="1:9" ht="14.1" customHeight="1">
      <c r="A402" s="251" t="s">
        <v>1343</v>
      </c>
      <c r="B402" s="252" t="s">
        <v>960</v>
      </c>
      <c r="C402" s="256" t="s">
        <v>3441</v>
      </c>
      <c r="D402" s="254" t="s">
        <v>822</v>
      </c>
      <c r="E402" s="252" t="s">
        <v>906</v>
      </c>
      <c r="F402" s="252" t="s">
        <v>1344</v>
      </c>
      <c r="G402" s="252" t="s">
        <v>945</v>
      </c>
      <c r="H402" s="252" t="s">
        <v>889</v>
      </c>
      <c r="I402" s="255">
        <v>3</v>
      </c>
    </row>
    <row r="403" spans="1:9" ht="14.1" customHeight="1">
      <c r="A403" s="251" t="s">
        <v>1343</v>
      </c>
      <c r="B403" s="252" t="s">
        <v>960</v>
      </c>
      <c r="C403" s="256" t="s">
        <v>2878</v>
      </c>
      <c r="D403" s="254" t="s">
        <v>821</v>
      </c>
      <c r="E403" s="252" t="s">
        <v>968</v>
      </c>
      <c r="F403" s="252" t="s">
        <v>993</v>
      </c>
      <c r="G403" s="252" t="s">
        <v>929</v>
      </c>
      <c r="H403" s="252" t="s">
        <v>889</v>
      </c>
      <c r="I403" s="255">
        <v>15.038</v>
      </c>
    </row>
    <row r="404" spans="1:9" ht="14.1" customHeight="1">
      <c r="A404" s="251" t="s">
        <v>1343</v>
      </c>
      <c r="B404" s="252" t="s">
        <v>960</v>
      </c>
      <c r="C404" s="256" t="s">
        <v>3442</v>
      </c>
      <c r="D404" s="254" t="s">
        <v>821</v>
      </c>
      <c r="E404" s="252" t="s">
        <v>887</v>
      </c>
      <c r="F404" s="252" t="s">
        <v>1038</v>
      </c>
      <c r="G404" s="252" t="s">
        <v>888</v>
      </c>
      <c r="H404" s="252" t="s">
        <v>889</v>
      </c>
      <c r="I404" s="255">
        <v>140</v>
      </c>
    </row>
    <row r="405" spans="1:9" ht="14.1" customHeight="1">
      <c r="A405" s="251" t="s">
        <v>1343</v>
      </c>
      <c r="B405" s="252" t="s">
        <v>960</v>
      </c>
      <c r="C405" s="256" t="s">
        <v>3449</v>
      </c>
      <c r="D405" s="254" t="s">
        <v>821</v>
      </c>
      <c r="E405" s="252" t="s">
        <v>1000</v>
      </c>
      <c r="F405" s="252" t="s">
        <v>1346</v>
      </c>
      <c r="G405" s="252" t="s">
        <v>939</v>
      </c>
      <c r="H405" s="252" t="s">
        <v>889</v>
      </c>
      <c r="I405" s="255">
        <v>1032.7919999999999</v>
      </c>
    </row>
    <row r="406" spans="1:9" ht="14.1" customHeight="1">
      <c r="A406" s="251" t="s">
        <v>1347</v>
      </c>
      <c r="B406" s="252" t="s">
        <v>964</v>
      </c>
      <c r="C406" s="253" t="s">
        <v>3566</v>
      </c>
      <c r="D406" s="254" t="s">
        <v>821</v>
      </c>
      <c r="E406" s="252" t="s">
        <v>1020</v>
      </c>
      <c r="F406" s="252" t="s">
        <v>1019</v>
      </c>
      <c r="G406" s="252" t="s">
        <v>939</v>
      </c>
      <c r="H406" s="252" t="s">
        <v>889</v>
      </c>
      <c r="I406" s="255">
        <v>0.93700000000000006</v>
      </c>
    </row>
    <row r="407" spans="1:9" ht="14.1" customHeight="1">
      <c r="A407" s="251" t="s">
        <v>1347</v>
      </c>
      <c r="B407" s="252" t="s">
        <v>964</v>
      </c>
      <c r="C407" s="253" t="s">
        <v>3561</v>
      </c>
      <c r="D407" s="254" t="s">
        <v>822</v>
      </c>
      <c r="E407" s="252" t="s">
        <v>917</v>
      </c>
      <c r="F407" s="252" t="s">
        <v>1348</v>
      </c>
      <c r="G407" s="252" t="s">
        <v>929</v>
      </c>
      <c r="H407" s="252" t="s">
        <v>889</v>
      </c>
      <c r="I407" s="255">
        <v>4.4000000000000004</v>
      </c>
    </row>
    <row r="408" spans="1:9" ht="14.1" customHeight="1">
      <c r="A408" s="251" t="s">
        <v>1347</v>
      </c>
      <c r="B408" s="252" t="s">
        <v>964</v>
      </c>
      <c r="C408" s="256" t="s">
        <v>3554</v>
      </c>
      <c r="D408" s="254" t="s">
        <v>823</v>
      </c>
      <c r="E408" s="252" t="s">
        <v>1146</v>
      </c>
      <c r="F408" s="252" t="s">
        <v>1349</v>
      </c>
      <c r="G408" s="252" t="s">
        <v>1350</v>
      </c>
      <c r="H408" s="252" t="s">
        <v>889</v>
      </c>
      <c r="I408" s="255">
        <v>9.1660000000000004</v>
      </c>
    </row>
    <row r="409" spans="1:9" ht="14.1" customHeight="1">
      <c r="A409" s="251" t="s">
        <v>1347</v>
      </c>
      <c r="B409" s="252" t="s">
        <v>964</v>
      </c>
      <c r="C409" s="256" t="s">
        <v>3562</v>
      </c>
      <c r="D409" s="254" t="s">
        <v>822</v>
      </c>
      <c r="E409" s="252" t="s">
        <v>917</v>
      </c>
      <c r="F409" s="252" t="s">
        <v>1351</v>
      </c>
      <c r="G409" s="252" t="s">
        <v>929</v>
      </c>
      <c r="H409" s="252" t="s">
        <v>889</v>
      </c>
      <c r="I409" s="255">
        <v>25</v>
      </c>
    </row>
    <row r="410" spans="1:9" ht="14.1" customHeight="1">
      <c r="A410" s="251" t="s">
        <v>1347</v>
      </c>
      <c r="B410" s="252" t="s">
        <v>964</v>
      </c>
      <c r="C410" s="253" t="s">
        <v>3563</v>
      </c>
      <c r="D410" s="254" t="s">
        <v>822</v>
      </c>
      <c r="E410" s="252" t="s">
        <v>1135</v>
      </c>
      <c r="F410" s="252" t="s">
        <v>1160</v>
      </c>
      <c r="G410" s="252" t="s">
        <v>929</v>
      </c>
      <c r="H410" s="252" t="s">
        <v>889</v>
      </c>
      <c r="I410" s="255">
        <v>435</v>
      </c>
    </row>
    <row r="411" spans="1:9" ht="14.1" customHeight="1">
      <c r="A411" s="251" t="s">
        <v>1352</v>
      </c>
      <c r="B411" s="252" t="s">
        <v>970</v>
      </c>
      <c r="C411" s="256" t="s">
        <v>3726</v>
      </c>
      <c r="D411" s="254" t="s">
        <v>821</v>
      </c>
      <c r="E411" s="252" t="s">
        <v>1246</v>
      </c>
      <c r="F411" s="252" t="s">
        <v>1353</v>
      </c>
      <c r="G411" s="252" t="s">
        <v>907</v>
      </c>
      <c r="H411" s="252" t="s">
        <v>889</v>
      </c>
      <c r="I411" s="255">
        <v>6.78</v>
      </c>
    </row>
    <row r="412" spans="1:9" ht="14.1" customHeight="1">
      <c r="A412" s="251" t="s">
        <v>1352</v>
      </c>
      <c r="B412" s="252" t="s">
        <v>970</v>
      </c>
      <c r="C412" s="253" t="s">
        <v>3722</v>
      </c>
      <c r="D412" s="254" t="s">
        <v>822</v>
      </c>
      <c r="E412" s="252" t="s">
        <v>917</v>
      </c>
      <c r="F412" s="252" t="s">
        <v>1354</v>
      </c>
      <c r="G412" s="252" t="s">
        <v>918</v>
      </c>
      <c r="H412" s="252" t="s">
        <v>913</v>
      </c>
      <c r="I412" s="255">
        <v>24.754999999999999</v>
      </c>
    </row>
    <row r="413" spans="1:9" ht="14.1" customHeight="1">
      <c r="A413" s="251" t="s">
        <v>1352</v>
      </c>
      <c r="B413" s="252" t="s">
        <v>970</v>
      </c>
      <c r="C413" s="256" t="s">
        <v>3719</v>
      </c>
      <c r="D413" s="254" t="s">
        <v>822</v>
      </c>
      <c r="E413" s="252" t="s">
        <v>1032</v>
      </c>
      <c r="F413" s="252" t="s">
        <v>1355</v>
      </c>
      <c r="G413" s="252" t="s">
        <v>907</v>
      </c>
      <c r="H413" s="252" t="s">
        <v>889</v>
      </c>
      <c r="I413" s="255">
        <v>31</v>
      </c>
    </row>
    <row r="414" spans="1:9" ht="14.1" customHeight="1">
      <c r="A414" s="251" t="s">
        <v>1352</v>
      </c>
      <c r="B414" s="252" t="s">
        <v>970</v>
      </c>
      <c r="C414" s="253" t="s">
        <v>3720</v>
      </c>
      <c r="D414" s="254" t="s">
        <v>821</v>
      </c>
      <c r="E414" s="252" t="s">
        <v>1150</v>
      </c>
      <c r="F414" s="252" t="s">
        <v>1356</v>
      </c>
      <c r="G414" s="252" t="s">
        <v>888</v>
      </c>
      <c r="H414" s="252" t="s">
        <v>931</v>
      </c>
      <c r="I414" s="255">
        <v>77.308000000000007</v>
      </c>
    </row>
    <row r="415" spans="1:9" ht="14.1" customHeight="1">
      <c r="A415" s="251" t="s">
        <v>1352</v>
      </c>
      <c r="B415" s="252" t="s">
        <v>970</v>
      </c>
      <c r="C415" s="256" t="s">
        <v>3712</v>
      </c>
      <c r="D415" s="254" t="s">
        <v>821</v>
      </c>
      <c r="E415" s="252" t="s">
        <v>1168</v>
      </c>
      <c r="F415" s="252" t="s">
        <v>1357</v>
      </c>
      <c r="G415" s="252" t="s">
        <v>1094</v>
      </c>
      <c r="H415" s="252" t="s">
        <v>889</v>
      </c>
      <c r="I415" s="255">
        <v>613.16399999999999</v>
      </c>
    </row>
    <row r="416" spans="1:9" ht="14.1" customHeight="1">
      <c r="A416" s="251" t="s">
        <v>1358</v>
      </c>
      <c r="B416" s="252" t="s">
        <v>975</v>
      </c>
      <c r="C416" s="253" t="s">
        <v>3896</v>
      </c>
      <c r="D416" s="254" t="s">
        <v>822</v>
      </c>
      <c r="E416" s="252" t="s">
        <v>917</v>
      </c>
      <c r="F416" s="252" t="s">
        <v>1359</v>
      </c>
      <c r="G416" s="252" t="s">
        <v>918</v>
      </c>
      <c r="H416" s="252" t="s">
        <v>892</v>
      </c>
      <c r="I416" s="255">
        <v>4.101</v>
      </c>
    </row>
    <row r="417" spans="1:9" ht="14.1" customHeight="1">
      <c r="A417" s="251" t="s">
        <v>1358</v>
      </c>
      <c r="B417" s="252" t="s">
        <v>975</v>
      </c>
      <c r="C417" s="253" t="s">
        <v>3893</v>
      </c>
      <c r="D417" s="254" t="s">
        <v>822</v>
      </c>
      <c r="E417" s="252" t="s">
        <v>1088</v>
      </c>
      <c r="F417" s="252" t="s">
        <v>1019</v>
      </c>
      <c r="G417" s="252" t="s">
        <v>939</v>
      </c>
      <c r="H417" s="252" t="s">
        <v>889</v>
      </c>
      <c r="I417" s="255">
        <v>9.6199999999999992</v>
      </c>
    </row>
    <row r="418" spans="1:9" ht="14.1" customHeight="1">
      <c r="A418" s="251" t="s">
        <v>1358</v>
      </c>
      <c r="B418" s="252" t="s">
        <v>975</v>
      </c>
      <c r="C418" s="256" t="s">
        <v>3892</v>
      </c>
      <c r="D418" s="254" t="s">
        <v>822</v>
      </c>
      <c r="E418" s="252" t="s">
        <v>1088</v>
      </c>
      <c r="F418" s="252" t="s">
        <v>1360</v>
      </c>
      <c r="G418" s="252" t="s">
        <v>1033</v>
      </c>
      <c r="H418" s="252" t="s">
        <v>892</v>
      </c>
      <c r="I418" s="255">
        <v>42.947000000000003</v>
      </c>
    </row>
    <row r="419" spans="1:9" ht="14.1" customHeight="1">
      <c r="A419" s="251" t="s">
        <v>1358</v>
      </c>
      <c r="B419" s="252" t="s">
        <v>975</v>
      </c>
      <c r="C419" s="256" t="s">
        <v>3890</v>
      </c>
      <c r="D419" s="254" t="s">
        <v>822</v>
      </c>
      <c r="E419" s="252" t="s">
        <v>944</v>
      </c>
      <c r="F419" s="252" t="s">
        <v>1361</v>
      </c>
      <c r="G419" s="252" t="s">
        <v>1142</v>
      </c>
      <c r="H419" s="252" t="s">
        <v>889</v>
      </c>
      <c r="I419" s="255">
        <v>180</v>
      </c>
    </row>
    <row r="420" spans="1:9" ht="14.1" customHeight="1">
      <c r="A420" s="251" t="s">
        <v>1358</v>
      </c>
      <c r="B420" s="252" t="s">
        <v>975</v>
      </c>
      <c r="C420" s="257" t="s">
        <v>3898</v>
      </c>
      <c r="D420" s="254" t="s">
        <v>821</v>
      </c>
      <c r="E420" s="252" t="s">
        <v>1023</v>
      </c>
      <c r="F420" s="252" t="s">
        <v>1362</v>
      </c>
      <c r="G420" s="252" t="s">
        <v>895</v>
      </c>
      <c r="H420" s="252" t="s">
        <v>889</v>
      </c>
      <c r="I420" s="255">
        <v>289.10700000000003</v>
      </c>
    </row>
    <row r="421" spans="1:9" ht="14.1" customHeight="1">
      <c r="A421" s="251" t="s">
        <v>1358</v>
      </c>
      <c r="B421" s="252" t="s">
        <v>975</v>
      </c>
      <c r="C421" s="256" t="s">
        <v>3891</v>
      </c>
      <c r="D421" s="254" t="s">
        <v>821</v>
      </c>
      <c r="E421" s="252" t="s">
        <v>1030</v>
      </c>
      <c r="F421" s="252" t="s">
        <v>1363</v>
      </c>
      <c r="G421" s="252" t="s">
        <v>1024</v>
      </c>
      <c r="H421" s="252" t="s">
        <v>892</v>
      </c>
      <c r="I421" s="255">
        <v>554.00099999999998</v>
      </c>
    </row>
    <row r="422" spans="1:9" ht="14.1" customHeight="1">
      <c r="A422" s="251" t="s">
        <v>1358</v>
      </c>
      <c r="B422" s="252" t="s">
        <v>975</v>
      </c>
      <c r="C422" s="253" t="s">
        <v>3904</v>
      </c>
      <c r="D422" s="254" t="s">
        <v>822</v>
      </c>
      <c r="E422" s="252" t="s">
        <v>911</v>
      </c>
      <c r="F422" s="252" t="s">
        <v>1364</v>
      </c>
      <c r="G422" s="252" t="s">
        <v>888</v>
      </c>
      <c r="H422" s="252" t="s">
        <v>889</v>
      </c>
      <c r="I422" s="255">
        <v>1230</v>
      </c>
    </row>
    <row r="423" spans="1:9" ht="14.1" customHeight="1">
      <c r="A423" s="251" t="s">
        <v>1365</v>
      </c>
      <c r="B423" s="252" t="s">
        <v>989</v>
      </c>
      <c r="C423" s="253" t="s">
        <v>4023</v>
      </c>
      <c r="D423" s="254" t="s">
        <v>822</v>
      </c>
      <c r="E423" s="252" t="s">
        <v>917</v>
      </c>
      <c r="F423" s="252" t="s">
        <v>1335</v>
      </c>
      <c r="G423" s="252" t="s">
        <v>918</v>
      </c>
      <c r="H423" s="252" t="s">
        <v>889</v>
      </c>
      <c r="I423" s="255">
        <v>20</v>
      </c>
    </row>
    <row r="424" spans="1:9" ht="14.1" customHeight="1">
      <c r="A424" s="251" t="s">
        <v>1365</v>
      </c>
      <c r="B424" s="252" t="s">
        <v>989</v>
      </c>
      <c r="C424" s="257" t="s">
        <v>4020</v>
      </c>
      <c r="D424" s="254" t="s">
        <v>822</v>
      </c>
      <c r="E424" s="252" t="s">
        <v>1088</v>
      </c>
      <c r="F424" s="252" t="s">
        <v>1366</v>
      </c>
      <c r="G424" s="252" t="s">
        <v>929</v>
      </c>
      <c r="H424" s="252" t="s">
        <v>892</v>
      </c>
      <c r="I424" s="255">
        <v>44</v>
      </c>
    </row>
    <row r="425" spans="1:9" ht="14.1" customHeight="1">
      <c r="A425" s="251" t="s">
        <v>1365</v>
      </c>
      <c r="B425" s="252" t="s">
        <v>989</v>
      </c>
      <c r="C425" s="257" t="s">
        <v>4024</v>
      </c>
      <c r="D425" s="254" t="s">
        <v>822</v>
      </c>
      <c r="E425" s="252" t="s">
        <v>917</v>
      </c>
      <c r="F425" s="252" t="s">
        <v>1335</v>
      </c>
      <c r="G425" s="252" t="s">
        <v>918</v>
      </c>
      <c r="H425" s="252" t="s">
        <v>889</v>
      </c>
      <c r="I425" s="255">
        <v>300</v>
      </c>
    </row>
    <row r="426" spans="1:9" ht="14.1" customHeight="1">
      <c r="A426" s="251" t="s">
        <v>1365</v>
      </c>
      <c r="B426" s="252" t="s">
        <v>989</v>
      </c>
      <c r="C426" s="256" t="s">
        <v>4024</v>
      </c>
      <c r="D426" s="254" t="s">
        <v>822</v>
      </c>
      <c r="E426" s="252" t="s">
        <v>917</v>
      </c>
      <c r="F426" s="252" t="s">
        <v>1335</v>
      </c>
      <c r="G426" s="252" t="s">
        <v>918</v>
      </c>
      <c r="H426" s="252" t="s">
        <v>889</v>
      </c>
      <c r="I426" s="255">
        <v>300</v>
      </c>
    </row>
    <row r="427" spans="1:9" ht="14.1" customHeight="1">
      <c r="A427" s="251" t="s">
        <v>1367</v>
      </c>
      <c r="B427" s="252" t="s">
        <v>997</v>
      </c>
      <c r="C427" s="253" t="s">
        <v>4152</v>
      </c>
      <c r="D427" s="254" t="s">
        <v>821</v>
      </c>
      <c r="E427" s="252" t="s">
        <v>1000</v>
      </c>
      <c r="F427" s="252" t="s">
        <v>1368</v>
      </c>
      <c r="G427" s="252" t="s">
        <v>912</v>
      </c>
      <c r="H427" s="252" t="s">
        <v>889</v>
      </c>
      <c r="I427" s="255">
        <v>9.1999999999999998E-2</v>
      </c>
    </row>
    <row r="428" spans="1:9" ht="14.1" customHeight="1">
      <c r="A428" s="251" t="s">
        <v>1367</v>
      </c>
      <c r="B428" s="252" t="s">
        <v>997</v>
      </c>
      <c r="C428" s="256" t="s">
        <v>4144</v>
      </c>
      <c r="D428" s="254" t="s">
        <v>823</v>
      </c>
      <c r="E428" s="252" t="s">
        <v>1146</v>
      </c>
      <c r="F428" s="252" t="s">
        <v>886</v>
      </c>
      <c r="G428" s="252" t="s">
        <v>888</v>
      </c>
      <c r="H428" s="252" t="s">
        <v>889</v>
      </c>
      <c r="I428" s="255">
        <v>2.8</v>
      </c>
    </row>
    <row r="429" spans="1:9" ht="14.1" customHeight="1">
      <c r="A429" s="251" t="s">
        <v>1367</v>
      </c>
      <c r="B429" s="252" t="s">
        <v>997</v>
      </c>
      <c r="C429" s="257" t="s">
        <v>4145</v>
      </c>
      <c r="D429" s="254" t="s">
        <v>822</v>
      </c>
      <c r="E429" s="252" t="s">
        <v>1088</v>
      </c>
      <c r="F429" s="252" t="s">
        <v>886</v>
      </c>
      <c r="G429" s="252" t="s">
        <v>918</v>
      </c>
      <c r="H429" s="252" t="s">
        <v>889</v>
      </c>
      <c r="I429" s="255">
        <v>341</v>
      </c>
    </row>
    <row r="430" spans="1:9" ht="14.1" customHeight="1">
      <c r="A430" s="251" t="s">
        <v>1369</v>
      </c>
      <c r="B430" s="252" t="s">
        <v>1003</v>
      </c>
      <c r="C430" s="253" t="s">
        <v>4301</v>
      </c>
      <c r="D430" s="254" t="s">
        <v>822</v>
      </c>
      <c r="E430" s="252" t="s">
        <v>917</v>
      </c>
      <c r="F430" s="252" t="s">
        <v>962</v>
      </c>
      <c r="G430" s="252" t="s">
        <v>929</v>
      </c>
      <c r="H430" s="252" t="s">
        <v>892</v>
      </c>
      <c r="I430" s="255">
        <v>1.325</v>
      </c>
    </row>
    <row r="431" spans="1:9" ht="14.1" customHeight="1">
      <c r="A431" s="251" t="s">
        <v>1369</v>
      </c>
      <c r="B431" s="252" t="s">
        <v>1003</v>
      </c>
      <c r="C431" s="256" t="s">
        <v>4294</v>
      </c>
      <c r="D431" s="254" t="s">
        <v>822</v>
      </c>
      <c r="E431" s="252" t="s">
        <v>1088</v>
      </c>
      <c r="F431" s="252" t="s">
        <v>1370</v>
      </c>
      <c r="G431" s="252" t="s">
        <v>939</v>
      </c>
      <c r="H431" s="252" t="s">
        <v>889</v>
      </c>
      <c r="I431" s="255">
        <v>15</v>
      </c>
    </row>
    <row r="432" spans="1:9" ht="14.1" customHeight="1">
      <c r="A432" s="251" t="s">
        <v>1369</v>
      </c>
      <c r="B432" s="252" t="s">
        <v>1003</v>
      </c>
      <c r="C432" s="257" t="s">
        <v>4302</v>
      </c>
      <c r="D432" s="254" t="s">
        <v>822</v>
      </c>
      <c r="E432" s="252" t="s">
        <v>917</v>
      </c>
      <c r="F432" s="252" t="s">
        <v>1354</v>
      </c>
      <c r="G432" s="252" t="s">
        <v>918</v>
      </c>
      <c r="H432" s="252" t="s">
        <v>892</v>
      </c>
      <c r="I432" s="255">
        <v>18.637</v>
      </c>
    </row>
    <row r="433" spans="1:9" ht="14.1" customHeight="1">
      <c r="A433" s="251" t="s">
        <v>1369</v>
      </c>
      <c r="B433" s="252" t="s">
        <v>1003</v>
      </c>
      <c r="C433" s="253" t="s">
        <v>4303</v>
      </c>
      <c r="D433" s="254" t="s">
        <v>822</v>
      </c>
      <c r="E433" s="252" t="s">
        <v>917</v>
      </c>
      <c r="F433" s="252" t="s">
        <v>1371</v>
      </c>
      <c r="G433" s="252" t="s">
        <v>918</v>
      </c>
      <c r="H433" s="252" t="s">
        <v>889</v>
      </c>
      <c r="I433" s="255">
        <v>39.9</v>
      </c>
    </row>
    <row r="434" spans="1:9" ht="14.1" customHeight="1">
      <c r="A434" s="251" t="s">
        <v>1369</v>
      </c>
      <c r="B434" s="252" t="s">
        <v>1003</v>
      </c>
      <c r="C434" s="253" t="s">
        <v>4293</v>
      </c>
      <c r="D434" s="254" t="s">
        <v>821</v>
      </c>
      <c r="E434" s="252" t="s">
        <v>1030</v>
      </c>
      <c r="F434" s="252" t="s">
        <v>1372</v>
      </c>
      <c r="G434" s="252" t="s">
        <v>939</v>
      </c>
      <c r="H434" s="252" t="s">
        <v>889</v>
      </c>
      <c r="I434" s="255">
        <v>394.44200000000001</v>
      </c>
    </row>
    <row r="435" spans="1:9" ht="14.1" customHeight="1">
      <c r="A435" s="251" t="s">
        <v>1369</v>
      </c>
      <c r="B435" s="252" t="s">
        <v>1003</v>
      </c>
      <c r="C435" s="253" t="s">
        <v>2882</v>
      </c>
      <c r="D435" s="254" t="s">
        <v>821</v>
      </c>
      <c r="E435" s="252" t="s">
        <v>1051</v>
      </c>
      <c r="F435" s="252" t="s">
        <v>1319</v>
      </c>
      <c r="G435" s="252" t="s">
        <v>918</v>
      </c>
      <c r="H435" s="252" t="s">
        <v>892</v>
      </c>
      <c r="I435" s="255">
        <v>2200</v>
      </c>
    </row>
    <row r="436" spans="1:9" ht="14.1" customHeight="1">
      <c r="A436" s="251" t="s">
        <v>1373</v>
      </c>
      <c r="B436" s="252" t="s">
        <v>1011</v>
      </c>
      <c r="C436" s="257" t="s">
        <v>2289</v>
      </c>
      <c r="D436" s="254" t="s">
        <v>822</v>
      </c>
      <c r="E436" s="252" t="s">
        <v>911</v>
      </c>
      <c r="F436" s="252" t="s">
        <v>1204</v>
      </c>
      <c r="G436" s="252" t="s">
        <v>918</v>
      </c>
      <c r="H436" s="252" t="s">
        <v>889</v>
      </c>
      <c r="I436" s="255">
        <v>6.24</v>
      </c>
    </row>
    <row r="437" spans="1:9" ht="14.1" customHeight="1">
      <c r="A437" s="251" t="s">
        <v>1373</v>
      </c>
      <c r="B437" s="252" t="s">
        <v>1011</v>
      </c>
      <c r="C437" s="256" t="s">
        <v>4399</v>
      </c>
      <c r="D437" s="254" t="s">
        <v>822</v>
      </c>
      <c r="E437" s="252" t="s">
        <v>1032</v>
      </c>
      <c r="F437" s="252" t="s">
        <v>1374</v>
      </c>
      <c r="G437" s="252" t="s">
        <v>918</v>
      </c>
      <c r="H437" s="252" t="s">
        <v>889</v>
      </c>
      <c r="I437" s="255">
        <v>7.5</v>
      </c>
    </row>
    <row r="438" spans="1:9" ht="14.1" customHeight="1">
      <c r="A438" s="251" t="s">
        <v>1373</v>
      </c>
      <c r="B438" s="252" t="s">
        <v>1011</v>
      </c>
      <c r="C438" s="257" t="s">
        <v>4396</v>
      </c>
      <c r="D438" s="254" t="s">
        <v>821</v>
      </c>
      <c r="E438" s="252" t="s">
        <v>1168</v>
      </c>
      <c r="F438" s="252" t="s">
        <v>1375</v>
      </c>
      <c r="G438" s="252" t="s">
        <v>939</v>
      </c>
      <c r="H438" s="252" t="s">
        <v>892</v>
      </c>
      <c r="I438" s="255">
        <v>38.515999999999998</v>
      </c>
    </row>
    <row r="439" spans="1:9" ht="14.1" customHeight="1">
      <c r="A439" s="251" t="s">
        <v>1377</v>
      </c>
      <c r="B439" s="252" t="s">
        <v>898</v>
      </c>
      <c r="C439" s="256" t="s">
        <v>1836</v>
      </c>
      <c r="D439" s="254" t="s">
        <v>822</v>
      </c>
      <c r="E439" s="252" t="s">
        <v>917</v>
      </c>
      <c r="F439" s="252" t="s">
        <v>1378</v>
      </c>
      <c r="G439" s="252" t="s">
        <v>918</v>
      </c>
      <c r="H439" s="252" t="s">
        <v>892</v>
      </c>
      <c r="I439" s="255">
        <v>9.1999999999999998E-2</v>
      </c>
    </row>
    <row r="440" spans="1:9" ht="14.1" customHeight="1">
      <c r="A440" s="251" t="s">
        <v>1377</v>
      </c>
      <c r="B440" s="252" t="s">
        <v>898</v>
      </c>
      <c r="C440" s="256" t="s">
        <v>1837</v>
      </c>
      <c r="D440" s="254" t="s">
        <v>822</v>
      </c>
      <c r="E440" s="252" t="s">
        <v>894</v>
      </c>
      <c r="F440" s="252" t="s">
        <v>1044</v>
      </c>
      <c r="G440" s="252" t="s">
        <v>918</v>
      </c>
      <c r="H440" s="252" t="s">
        <v>889</v>
      </c>
      <c r="I440" s="255">
        <v>6</v>
      </c>
    </row>
    <row r="441" spans="1:9" ht="14.1" customHeight="1">
      <c r="A441" s="251" t="s">
        <v>1377</v>
      </c>
      <c r="B441" s="252" t="s">
        <v>898</v>
      </c>
      <c r="C441" s="257" t="s">
        <v>1837</v>
      </c>
      <c r="D441" s="254" t="s">
        <v>822</v>
      </c>
      <c r="E441" s="252" t="s">
        <v>894</v>
      </c>
      <c r="F441" s="252" t="s">
        <v>1044</v>
      </c>
      <c r="G441" s="252" t="s">
        <v>918</v>
      </c>
      <c r="H441" s="252" t="s">
        <v>892</v>
      </c>
      <c r="I441" s="255">
        <v>9.9499999999999993</v>
      </c>
    </row>
    <row r="442" spans="1:9" ht="14.1" customHeight="1">
      <c r="A442" s="251" t="s">
        <v>1379</v>
      </c>
      <c r="B442" s="252" t="s">
        <v>908</v>
      </c>
      <c r="C442" s="256" t="s">
        <v>1999</v>
      </c>
      <c r="D442" s="254" t="s">
        <v>821</v>
      </c>
      <c r="E442" s="252" t="s">
        <v>1168</v>
      </c>
      <c r="F442" s="252" t="s">
        <v>1380</v>
      </c>
      <c r="G442" s="252" t="s">
        <v>939</v>
      </c>
      <c r="H442" s="252" t="s">
        <v>889</v>
      </c>
      <c r="I442" s="255">
        <v>5.2850000000000001</v>
      </c>
    </row>
    <row r="443" spans="1:9" ht="14.1" customHeight="1">
      <c r="A443" s="251" t="s">
        <v>1379</v>
      </c>
      <c r="B443" s="252" t="s">
        <v>908</v>
      </c>
      <c r="C443" s="256" t="s">
        <v>2000</v>
      </c>
      <c r="D443" s="254" t="s">
        <v>821</v>
      </c>
      <c r="E443" s="252" t="s">
        <v>1168</v>
      </c>
      <c r="F443" s="252" t="s">
        <v>1381</v>
      </c>
      <c r="G443" s="252" t="s">
        <v>895</v>
      </c>
      <c r="H443" s="252" t="s">
        <v>889</v>
      </c>
      <c r="I443" s="255">
        <v>10.025</v>
      </c>
    </row>
    <row r="444" spans="1:9" ht="14.1" customHeight="1">
      <c r="A444" s="251" t="s">
        <v>1379</v>
      </c>
      <c r="B444" s="252" t="s">
        <v>908</v>
      </c>
      <c r="C444" s="253" t="s">
        <v>2001</v>
      </c>
      <c r="D444" s="254" t="s">
        <v>821</v>
      </c>
      <c r="E444" s="252" t="s">
        <v>968</v>
      </c>
      <c r="F444" s="252" t="s">
        <v>1382</v>
      </c>
      <c r="G444" s="252" t="s">
        <v>888</v>
      </c>
      <c r="H444" s="252" t="s">
        <v>892</v>
      </c>
      <c r="I444" s="255">
        <v>54</v>
      </c>
    </row>
    <row r="445" spans="1:9" ht="14.1" customHeight="1">
      <c r="A445" s="251" t="s">
        <v>1379</v>
      </c>
      <c r="B445" s="252" t="s">
        <v>908</v>
      </c>
      <c r="C445" s="257" t="s">
        <v>2008</v>
      </c>
      <c r="D445" s="254" t="s">
        <v>822</v>
      </c>
      <c r="E445" s="252" t="s">
        <v>1009</v>
      </c>
      <c r="F445" s="252" t="s">
        <v>1383</v>
      </c>
      <c r="G445" s="252" t="s">
        <v>912</v>
      </c>
      <c r="H445" s="252" t="s">
        <v>889</v>
      </c>
      <c r="I445" s="255">
        <v>65.552000000000007</v>
      </c>
    </row>
    <row r="446" spans="1:9" ht="14.1" customHeight="1">
      <c r="A446" s="251" t="s">
        <v>1379</v>
      </c>
      <c r="B446" s="252" t="s">
        <v>908</v>
      </c>
      <c r="C446" s="259" t="s">
        <v>2006</v>
      </c>
      <c r="D446" s="254" t="s">
        <v>822</v>
      </c>
      <c r="E446" s="252" t="s">
        <v>894</v>
      </c>
      <c r="F446" s="252" t="s">
        <v>1038</v>
      </c>
      <c r="G446" s="252" t="s">
        <v>888</v>
      </c>
      <c r="H446" s="252" t="s">
        <v>892</v>
      </c>
      <c r="I446" s="255">
        <v>150</v>
      </c>
    </row>
    <row r="447" spans="1:9" ht="14.1" customHeight="1">
      <c r="A447" s="251" t="s">
        <v>1379</v>
      </c>
      <c r="B447" s="252" t="s">
        <v>908</v>
      </c>
      <c r="C447" s="257" t="s">
        <v>2007</v>
      </c>
      <c r="D447" s="254" t="s">
        <v>822</v>
      </c>
      <c r="E447" s="252" t="s">
        <v>894</v>
      </c>
      <c r="F447" s="252" t="s">
        <v>1384</v>
      </c>
      <c r="G447" s="252" t="s">
        <v>907</v>
      </c>
      <c r="H447" s="252" t="s">
        <v>889</v>
      </c>
      <c r="I447" s="255">
        <v>380</v>
      </c>
    </row>
    <row r="448" spans="1:9" ht="14.1" customHeight="1">
      <c r="A448" s="251" t="s">
        <v>1385</v>
      </c>
      <c r="B448" s="252" t="s">
        <v>914</v>
      </c>
      <c r="C448" s="256" t="s">
        <v>2149</v>
      </c>
      <c r="D448" s="254" t="s">
        <v>822</v>
      </c>
      <c r="E448" s="252" t="s">
        <v>917</v>
      </c>
      <c r="F448" s="252" t="s">
        <v>1376</v>
      </c>
      <c r="G448" s="252" t="s">
        <v>918</v>
      </c>
      <c r="H448" s="252" t="s">
        <v>892</v>
      </c>
      <c r="I448" s="255">
        <v>0.17799999999999999</v>
      </c>
    </row>
    <row r="449" spans="1:9" ht="14.1" customHeight="1">
      <c r="A449" s="251" t="s">
        <v>1385</v>
      </c>
      <c r="B449" s="252" t="s">
        <v>914</v>
      </c>
      <c r="C449" s="256" t="s">
        <v>2151</v>
      </c>
      <c r="D449" s="254" t="s">
        <v>822</v>
      </c>
      <c r="E449" s="252" t="s">
        <v>917</v>
      </c>
      <c r="F449" s="252" t="s">
        <v>1386</v>
      </c>
      <c r="G449" s="252" t="s">
        <v>929</v>
      </c>
      <c r="H449" s="252" t="s">
        <v>892</v>
      </c>
      <c r="I449" s="255">
        <v>0.25</v>
      </c>
    </row>
    <row r="450" spans="1:9" ht="14.1" customHeight="1">
      <c r="A450" s="251" t="s">
        <v>1385</v>
      </c>
      <c r="B450" s="252" t="s">
        <v>914</v>
      </c>
      <c r="C450" s="253" t="s">
        <v>2151</v>
      </c>
      <c r="D450" s="254" t="s">
        <v>822</v>
      </c>
      <c r="E450" s="252" t="s">
        <v>917</v>
      </c>
      <c r="F450" s="252" t="s">
        <v>1386</v>
      </c>
      <c r="G450" s="252" t="s">
        <v>929</v>
      </c>
      <c r="H450" s="252" t="s">
        <v>892</v>
      </c>
      <c r="I450" s="255">
        <v>0.73499999999999999</v>
      </c>
    </row>
    <row r="451" spans="1:9" ht="14.1" customHeight="1">
      <c r="A451" s="251" t="s">
        <v>1385</v>
      </c>
      <c r="B451" s="252" t="s">
        <v>914</v>
      </c>
      <c r="C451" s="256" t="s">
        <v>2151</v>
      </c>
      <c r="D451" s="254" t="s">
        <v>822</v>
      </c>
      <c r="E451" s="252" t="s">
        <v>917</v>
      </c>
      <c r="F451" s="252" t="s">
        <v>1386</v>
      </c>
      <c r="G451" s="252" t="s">
        <v>929</v>
      </c>
      <c r="H451" s="252" t="s">
        <v>892</v>
      </c>
      <c r="I451" s="255">
        <v>0.73499999999999999</v>
      </c>
    </row>
    <row r="452" spans="1:9" ht="14.1" customHeight="1">
      <c r="A452" s="251" t="s">
        <v>1385</v>
      </c>
      <c r="B452" s="252" t="s">
        <v>914</v>
      </c>
      <c r="C452" s="256" t="s">
        <v>2151</v>
      </c>
      <c r="D452" s="254" t="s">
        <v>822</v>
      </c>
      <c r="E452" s="252" t="s">
        <v>917</v>
      </c>
      <c r="F452" s="252" t="s">
        <v>1386</v>
      </c>
      <c r="G452" s="252" t="s">
        <v>929</v>
      </c>
      <c r="H452" s="252" t="s">
        <v>892</v>
      </c>
      <c r="I452" s="255">
        <v>1.365</v>
      </c>
    </row>
    <row r="453" spans="1:9" ht="14.1" customHeight="1">
      <c r="A453" s="251" t="s">
        <v>1385</v>
      </c>
      <c r="B453" s="252" t="s">
        <v>914</v>
      </c>
      <c r="C453" s="256" t="s">
        <v>2137</v>
      </c>
      <c r="D453" s="254" t="s">
        <v>821</v>
      </c>
      <c r="E453" s="252" t="s">
        <v>1756</v>
      </c>
      <c r="F453" s="252" t="s">
        <v>1387</v>
      </c>
      <c r="G453" s="252" t="s">
        <v>888</v>
      </c>
      <c r="H453" s="252" t="s">
        <v>889</v>
      </c>
      <c r="I453" s="255">
        <v>5</v>
      </c>
    </row>
    <row r="454" spans="1:9" ht="14.1" customHeight="1">
      <c r="A454" s="251" t="s">
        <v>1385</v>
      </c>
      <c r="B454" s="252" t="s">
        <v>914</v>
      </c>
      <c r="C454" s="256" t="s">
        <v>2153</v>
      </c>
      <c r="D454" s="254" t="s">
        <v>822</v>
      </c>
      <c r="E454" s="252" t="s">
        <v>894</v>
      </c>
      <c r="F454" s="252" t="s">
        <v>1388</v>
      </c>
      <c r="G454" s="252" t="s">
        <v>907</v>
      </c>
      <c r="H454" s="252" t="s">
        <v>889</v>
      </c>
      <c r="I454" s="255">
        <v>23</v>
      </c>
    </row>
    <row r="455" spans="1:9" ht="14.1" customHeight="1">
      <c r="A455" s="251" t="s">
        <v>1385</v>
      </c>
      <c r="B455" s="252" t="s">
        <v>914</v>
      </c>
      <c r="C455" s="256" t="s">
        <v>2148</v>
      </c>
      <c r="D455" s="254" t="s">
        <v>822</v>
      </c>
      <c r="E455" s="252" t="s">
        <v>917</v>
      </c>
      <c r="F455" s="252" t="s">
        <v>1389</v>
      </c>
      <c r="G455" s="252" t="s">
        <v>1390</v>
      </c>
      <c r="H455" s="252" t="s">
        <v>889</v>
      </c>
      <c r="I455" s="255">
        <v>125</v>
      </c>
    </row>
    <row r="456" spans="1:9" ht="14.1" customHeight="1">
      <c r="A456" s="251" t="s">
        <v>1385</v>
      </c>
      <c r="B456" s="252" t="s">
        <v>914</v>
      </c>
      <c r="C456" s="253" t="s">
        <v>2140</v>
      </c>
      <c r="D456" s="254" t="s">
        <v>821</v>
      </c>
      <c r="E456" s="252" t="s">
        <v>986</v>
      </c>
      <c r="F456" s="252" t="s">
        <v>1391</v>
      </c>
      <c r="G456" s="252" t="s">
        <v>907</v>
      </c>
      <c r="H456" s="252" t="s">
        <v>889</v>
      </c>
      <c r="I456" s="255">
        <v>349.44</v>
      </c>
    </row>
    <row r="457" spans="1:9" ht="14.1" customHeight="1">
      <c r="A457" s="251" t="s">
        <v>1385</v>
      </c>
      <c r="B457" s="252" t="s">
        <v>914</v>
      </c>
      <c r="C457" s="253" t="s">
        <v>2158</v>
      </c>
      <c r="D457" s="254" t="s">
        <v>822</v>
      </c>
      <c r="E457" s="252" t="s">
        <v>894</v>
      </c>
      <c r="F457" s="252" t="s">
        <v>886</v>
      </c>
      <c r="G457" s="252" t="s">
        <v>888</v>
      </c>
      <c r="H457" s="252" t="s">
        <v>889</v>
      </c>
      <c r="I457" s="255">
        <v>595</v>
      </c>
    </row>
    <row r="458" spans="1:9" ht="14.1" customHeight="1">
      <c r="A458" s="251" t="s">
        <v>1392</v>
      </c>
      <c r="B458" s="252" t="s">
        <v>922</v>
      </c>
      <c r="C458" s="256" t="s">
        <v>2302</v>
      </c>
      <c r="D458" s="254" t="s">
        <v>822</v>
      </c>
      <c r="E458" s="252" t="s">
        <v>917</v>
      </c>
      <c r="F458" s="252" t="s">
        <v>1386</v>
      </c>
      <c r="G458" s="252" t="s">
        <v>929</v>
      </c>
      <c r="H458" s="252" t="s">
        <v>892</v>
      </c>
      <c r="I458" s="255">
        <v>0.2</v>
      </c>
    </row>
    <row r="459" spans="1:9" ht="14.1" customHeight="1">
      <c r="A459" s="251" t="s">
        <v>1392</v>
      </c>
      <c r="B459" s="252" t="s">
        <v>922</v>
      </c>
      <c r="C459" s="257" t="s">
        <v>2301</v>
      </c>
      <c r="D459" s="254" t="s">
        <v>822</v>
      </c>
      <c r="E459" s="252" t="s">
        <v>917</v>
      </c>
      <c r="F459" s="252" t="s">
        <v>1393</v>
      </c>
      <c r="G459" s="252" t="s">
        <v>918</v>
      </c>
      <c r="H459" s="252" t="s">
        <v>889</v>
      </c>
      <c r="I459" s="255">
        <v>3.95</v>
      </c>
    </row>
    <row r="460" spans="1:9" ht="14.1" customHeight="1">
      <c r="A460" s="251" t="s">
        <v>1392</v>
      </c>
      <c r="B460" s="252" t="s">
        <v>922</v>
      </c>
      <c r="C460" s="259" t="s">
        <v>2307</v>
      </c>
      <c r="D460" s="254" t="s">
        <v>822</v>
      </c>
      <c r="E460" s="252" t="s">
        <v>894</v>
      </c>
      <c r="F460" s="252" t="s">
        <v>1394</v>
      </c>
      <c r="G460" s="252" t="s">
        <v>1327</v>
      </c>
      <c r="H460" s="252" t="s">
        <v>892</v>
      </c>
      <c r="I460" s="255">
        <v>5</v>
      </c>
    </row>
    <row r="461" spans="1:9" ht="14.1" customHeight="1">
      <c r="A461" s="251" t="s">
        <v>1392</v>
      </c>
      <c r="B461" s="252" t="s">
        <v>922</v>
      </c>
      <c r="C461" s="256" t="s">
        <v>2291</v>
      </c>
      <c r="D461" s="254" t="s">
        <v>821</v>
      </c>
      <c r="E461" s="252" t="s">
        <v>968</v>
      </c>
      <c r="F461" s="252" t="s">
        <v>1395</v>
      </c>
      <c r="G461" s="252" t="s">
        <v>888</v>
      </c>
      <c r="H461" s="252" t="s">
        <v>889</v>
      </c>
      <c r="I461" s="255">
        <v>109</v>
      </c>
    </row>
    <row r="462" spans="1:9" ht="14.1" customHeight="1">
      <c r="A462" s="251" t="s">
        <v>1396</v>
      </c>
      <c r="B462" s="252" t="s">
        <v>926</v>
      </c>
      <c r="C462" s="256" t="s">
        <v>2149</v>
      </c>
      <c r="D462" s="254" t="s">
        <v>822</v>
      </c>
      <c r="E462" s="252" t="s">
        <v>917</v>
      </c>
      <c r="F462" s="252" t="s">
        <v>1397</v>
      </c>
      <c r="G462" s="252" t="s">
        <v>929</v>
      </c>
      <c r="H462" s="252" t="s">
        <v>892</v>
      </c>
      <c r="I462" s="255">
        <v>0.71099999999999997</v>
      </c>
    </row>
    <row r="463" spans="1:9" ht="14.1" customHeight="1">
      <c r="A463" s="251" t="s">
        <v>1396</v>
      </c>
      <c r="B463" s="252" t="s">
        <v>926</v>
      </c>
      <c r="C463" s="256" t="s">
        <v>2423</v>
      </c>
      <c r="D463" s="254" t="s">
        <v>822</v>
      </c>
      <c r="E463" s="252" t="s">
        <v>894</v>
      </c>
      <c r="F463" s="252" t="s">
        <v>1394</v>
      </c>
      <c r="G463" s="252" t="s">
        <v>1327</v>
      </c>
      <c r="H463" s="252" t="s">
        <v>931</v>
      </c>
      <c r="I463" s="255">
        <v>1</v>
      </c>
    </row>
    <row r="464" spans="1:9" ht="14.1" customHeight="1">
      <c r="A464" s="251" t="s">
        <v>1396</v>
      </c>
      <c r="B464" s="252" t="s">
        <v>926</v>
      </c>
      <c r="C464" s="256" t="s">
        <v>2427</v>
      </c>
      <c r="D464" s="254" t="s">
        <v>821</v>
      </c>
      <c r="E464" s="252" t="s">
        <v>1000</v>
      </c>
      <c r="F464" s="252" t="s">
        <v>1398</v>
      </c>
      <c r="G464" s="252" t="s">
        <v>939</v>
      </c>
      <c r="H464" s="252" t="s">
        <v>889</v>
      </c>
      <c r="I464" s="255">
        <v>1.208</v>
      </c>
    </row>
    <row r="465" spans="1:9" ht="14.1" customHeight="1">
      <c r="A465" s="251" t="s">
        <v>1396</v>
      </c>
      <c r="B465" s="252" t="s">
        <v>926</v>
      </c>
      <c r="C465" s="256" t="s">
        <v>2425</v>
      </c>
      <c r="D465" s="254" t="s">
        <v>822</v>
      </c>
      <c r="E465" s="252" t="s">
        <v>894</v>
      </c>
      <c r="F465" s="252" t="s">
        <v>1399</v>
      </c>
      <c r="G465" s="252" t="s">
        <v>918</v>
      </c>
      <c r="H465" s="252" t="s">
        <v>892</v>
      </c>
      <c r="I465" s="255">
        <v>17</v>
      </c>
    </row>
    <row r="466" spans="1:9" ht="14.1" customHeight="1">
      <c r="A466" s="251" t="s">
        <v>1396</v>
      </c>
      <c r="B466" s="252" t="s">
        <v>926</v>
      </c>
      <c r="C466" s="256" t="s">
        <v>2426</v>
      </c>
      <c r="D466" s="254" t="s">
        <v>822</v>
      </c>
      <c r="E466" s="252" t="s">
        <v>894</v>
      </c>
      <c r="F466" s="252" t="s">
        <v>1400</v>
      </c>
      <c r="G466" s="252" t="s">
        <v>918</v>
      </c>
      <c r="H466" s="252" t="s">
        <v>889</v>
      </c>
      <c r="I466" s="255">
        <v>40.529000000000003</v>
      </c>
    </row>
    <row r="467" spans="1:9" ht="14.1" customHeight="1">
      <c r="A467" s="251" t="s">
        <v>1396</v>
      </c>
      <c r="B467" s="252" t="s">
        <v>926</v>
      </c>
      <c r="C467" s="256" t="s">
        <v>2424</v>
      </c>
      <c r="D467" s="254" t="s">
        <v>822</v>
      </c>
      <c r="E467" s="252" t="s">
        <v>894</v>
      </c>
      <c r="F467" s="252" t="s">
        <v>1401</v>
      </c>
      <c r="G467" s="252" t="s">
        <v>918</v>
      </c>
      <c r="H467" s="252" t="s">
        <v>889</v>
      </c>
      <c r="I467" s="255">
        <v>217.322</v>
      </c>
    </row>
    <row r="468" spans="1:9" ht="14.1" customHeight="1">
      <c r="A468" s="251" t="s">
        <v>1402</v>
      </c>
      <c r="B468" s="252" t="s">
        <v>935</v>
      </c>
      <c r="C468" s="257" t="s">
        <v>2563</v>
      </c>
      <c r="D468" s="254" t="s">
        <v>822</v>
      </c>
      <c r="E468" s="252" t="s">
        <v>894</v>
      </c>
      <c r="F468" s="252" t="s">
        <v>893</v>
      </c>
      <c r="G468" s="252" t="s">
        <v>895</v>
      </c>
      <c r="H468" s="252" t="s">
        <v>913</v>
      </c>
      <c r="I468" s="255">
        <v>12</v>
      </c>
    </row>
    <row r="469" spans="1:9" ht="14.1" customHeight="1">
      <c r="A469" s="251" t="s">
        <v>1403</v>
      </c>
      <c r="B469" s="252" t="s">
        <v>941</v>
      </c>
      <c r="C469" s="257" t="s">
        <v>2730</v>
      </c>
      <c r="D469" s="254" t="s">
        <v>822</v>
      </c>
      <c r="E469" s="252" t="s">
        <v>917</v>
      </c>
      <c r="F469" s="252" t="s">
        <v>1404</v>
      </c>
      <c r="G469" s="252" t="s">
        <v>918</v>
      </c>
      <c r="H469" s="252" t="s">
        <v>913</v>
      </c>
      <c r="I469" s="255">
        <v>7.2</v>
      </c>
    </row>
    <row r="470" spans="1:9" ht="14.1" customHeight="1">
      <c r="A470" s="251" t="s">
        <v>1403</v>
      </c>
      <c r="B470" s="252" t="s">
        <v>941</v>
      </c>
      <c r="C470" s="256" t="s">
        <v>2733</v>
      </c>
      <c r="D470" s="254" t="s">
        <v>822</v>
      </c>
      <c r="E470" s="252" t="s">
        <v>894</v>
      </c>
      <c r="F470" s="252" t="s">
        <v>886</v>
      </c>
      <c r="G470" s="252" t="s">
        <v>888</v>
      </c>
      <c r="H470" s="252" t="s">
        <v>889</v>
      </c>
      <c r="I470" s="255">
        <v>380</v>
      </c>
    </row>
    <row r="471" spans="1:9" ht="14.1" customHeight="1">
      <c r="A471" s="251" t="s">
        <v>1405</v>
      </c>
      <c r="B471" s="252" t="s">
        <v>948</v>
      </c>
      <c r="C471" s="256" t="s">
        <v>2897</v>
      </c>
      <c r="D471" s="254" t="s">
        <v>821</v>
      </c>
      <c r="E471" s="252" t="s">
        <v>1150</v>
      </c>
      <c r="F471" s="252" t="s">
        <v>1406</v>
      </c>
      <c r="G471" s="252" t="s">
        <v>939</v>
      </c>
      <c r="H471" s="252" t="s">
        <v>889</v>
      </c>
      <c r="I471" s="255">
        <v>74.376000000000005</v>
      </c>
    </row>
    <row r="472" spans="1:9" ht="14.1" customHeight="1">
      <c r="A472" s="251" t="s">
        <v>1407</v>
      </c>
      <c r="B472" s="252" t="s">
        <v>951</v>
      </c>
      <c r="C472" s="257" t="s">
        <v>3034</v>
      </c>
      <c r="D472" s="254" t="s">
        <v>822</v>
      </c>
      <c r="E472" s="252" t="s">
        <v>917</v>
      </c>
      <c r="F472" s="252" t="s">
        <v>1408</v>
      </c>
      <c r="G472" s="252" t="s">
        <v>918</v>
      </c>
      <c r="H472" s="252" t="s">
        <v>889</v>
      </c>
      <c r="I472" s="255">
        <v>2</v>
      </c>
    </row>
    <row r="473" spans="1:9" ht="14.1" customHeight="1">
      <c r="A473" s="251" t="s">
        <v>1407</v>
      </c>
      <c r="B473" s="252" t="s">
        <v>951</v>
      </c>
      <c r="C473" s="256" t="s">
        <v>3035</v>
      </c>
      <c r="D473" s="254" t="s">
        <v>822</v>
      </c>
      <c r="E473" s="252" t="s">
        <v>894</v>
      </c>
      <c r="F473" s="252" t="s">
        <v>1399</v>
      </c>
      <c r="G473" s="252" t="s">
        <v>918</v>
      </c>
      <c r="H473" s="252" t="s">
        <v>892</v>
      </c>
      <c r="I473" s="255">
        <v>20.209</v>
      </c>
    </row>
    <row r="474" spans="1:9" ht="14.1" customHeight="1">
      <c r="A474" s="251" t="s">
        <v>1407</v>
      </c>
      <c r="B474" s="252" t="s">
        <v>951</v>
      </c>
      <c r="C474" s="257" t="s">
        <v>2154</v>
      </c>
      <c r="D474" s="254" t="s">
        <v>822</v>
      </c>
      <c r="E474" s="252" t="s">
        <v>894</v>
      </c>
      <c r="F474" s="252" t="s">
        <v>1409</v>
      </c>
      <c r="G474" s="252" t="s">
        <v>1022</v>
      </c>
      <c r="H474" s="252" t="s">
        <v>931</v>
      </c>
      <c r="I474" s="255">
        <v>1380.6010000000001</v>
      </c>
    </row>
    <row r="475" spans="1:9" ht="14.1" customHeight="1">
      <c r="A475" s="251" t="s">
        <v>1410</v>
      </c>
      <c r="B475" s="252" t="s">
        <v>1172</v>
      </c>
      <c r="C475" s="256" t="s">
        <v>3181</v>
      </c>
      <c r="D475" s="254" t="s">
        <v>822</v>
      </c>
      <c r="E475" s="252" t="s">
        <v>1202</v>
      </c>
      <c r="F475" s="252" t="s">
        <v>1411</v>
      </c>
      <c r="G475" s="252" t="s">
        <v>895</v>
      </c>
      <c r="H475" s="252" t="s">
        <v>889</v>
      </c>
      <c r="I475" s="255">
        <v>9.8780000000000001</v>
      </c>
    </row>
    <row r="476" spans="1:9" ht="14.1" customHeight="1">
      <c r="A476" s="251" t="s">
        <v>1410</v>
      </c>
      <c r="B476" s="252" t="s">
        <v>1172</v>
      </c>
      <c r="C476" s="253" t="s">
        <v>3176</v>
      </c>
      <c r="D476" s="254" t="s">
        <v>821</v>
      </c>
      <c r="E476" s="252" t="s">
        <v>1030</v>
      </c>
      <c r="F476" s="252" t="s">
        <v>1412</v>
      </c>
      <c r="G476" s="252" t="s">
        <v>907</v>
      </c>
      <c r="H476" s="252" t="s">
        <v>892</v>
      </c>
      <c r="I476" s="255">
        <v>108.259</v>
      </c>
    </row>
    <row r="477" spans="1:9" ht="14.1" customHeight="1">
      <c r="A477" s="251" t="s">
        <v>1413</v>
      </c>
      <c r="B477" s="252" t="s">
        <v>955</v>
      </c>
      <c r="C477" s="256" t="s">
        <v>3342</v>
      </c>
      <c r="D477" s="254" t="s">
        <v>821</v>
      </c>
      <c r="E477" s="252" t="s">
        <v>1051</v>
      </c>
      <c r="F477" s="252" t="s">
        <v>1414</v>
      </c>
      <c r="G477" s="252" t="s">
        <v>939</v>
      </c>
      <c r="H477" s="252" t="s">
        <v>889</v>
      </c>
      <c r="I477" s="255">
        <v>50</v>
      </c>
    </row>
    <row r="478" spans="1:9" ht="14.1" customHeight="1">
      <c r="A478" s="251" t="s">
        <v>1415</v>
      </c>
      <c r="B478" s="252" t="s">
        <v>960</v>
      </c>
      <c r="C478" s="256" t="s">
        <v>3464</v>
      </c>
      <c r="D478" s="254" t="s">
        <v>822</v>
      </c>
      <c r="E478" s="252" t="s">
        <v>988</v>
      </c>
      <c r="F478" s="252" t="s">
        <v>1416</v>
      </c>
      <c r="G478" s="252" t="s">
        <v>918</v>
      </c>
      <c r="H478" s="252" t="s">
        <v>892</v>
      </c>
      <c r="I478" s="255">
        <v>0.41</v>
      </c>
    </row>
    <row r="479" spans="1:9" ht="14.1" customHeight="1">
      <c r="A479" s="251" t="s">
        <v>1415</v>
      </c>
      <c r="B479" s="252" t="s">
        <v>960</v>
      </c>
      <c r="C479" s="256" t="s">
        <v>3455</v>
      </c>
      <c r="D479" s="254" t="s">
        <v>822</v>
      </c>
      <c r="E479" s="252" t="s">
        <v>944</v>
      </c>
      <c r="F479" s="252" t="s">
        <v>1417</v>
      </c>
      <c r="G479" s="252" t="s">
        <v>945</v>
      </c>
      <c r="H479" s="252" t="s">
        <v>889</v>
      </c>
      <c r="I479" s="255">
        <v>0.51900000000000002</v>
      </c>
    </row>
    <row r="480" spans="1:9" ht="14.1" customHeight="1">
      <c r="A480" s="251" t="s">
        <v>1415</v>
      </c>
      <c r="B480" s="252" t="s">
        <v>960</v>
      </c>
      <c r="C480" s="257" t="s">
        <v>3453</v>
      </c>
      <c r="D480" s="254" t="s">
        <v>821</v>
      </c>
      <c r="E480" s="252" t="s">
        <v>968</v>
      </c>
      <c r="F480" s="252" t="s">
        <v>1416</v>
      </c>
      <c r="G480" s="252" t="s">
        <v>918</v>
      </c>
      <c r="H480" s="252" t="s">
        <v>931</v>
      </c>
      <c r="I480" s="255">
        <v>1.639</v>
      </c>
    </row>
    <row r="481" spans="1:9" ht="14.1" customHeight="1">
      <c r="A481" s="251" t="s">
        <v>1415</v>
      </c>
      <c r="B481" s="252" t="s">
        <v>960</v>
      </c>
      <c r="C481" s="256" t="s">
        <v>3463</v>
      </c>
      <c r="D481" s="254" t="s">
        <v>822</v>
      </c>
      <c r="E481" s="252" t="s">
        <v>917</v>
      </c>
      <c r="F481" s="252" t="s">
        <v>1418</v>
      </c>
      <c r="G481" s="252" t="s">
        <v>929</v>
      </c>
      <c r="H481" s="252" t="s">
        <v>889</v>
      </c>
      <c r="I481" s="255">
        <v>11.569000000000001</v>
      </c>
    </row>
    <row r="482" spans="1:9" ht="14.1" customHeight="1">
      <c r="A482" s="251" t="s">
        <v>1415</v>
      </c>
      <c r="B482" s="252" t="s">
        <v>960</v>
      </c>
      <c r="C482" s="257" t="s">
        <v>3454</v>
      </c>
      <c r="D482" s="254" t="s">
        <v>821</v>
      </c>
      <c r="E482" s="252" t="s">
        <v>968</v>
      </c>
      <c r="F482" s="252" t="s">
        <v>1419</v>
      </c>
      <c r="G482" s="252" t="s">
        <v>939</v>
      </c>
      <c r="H482" s="252" t="s">
        <v>889</v>
      </c>
      <c r="I482" s="255">
        <v>18.600000000000001</v>
      </c>
    </row>
    <row r="483" spans="1:9" ht="14.1" customHeight="1">
      <c r="A483" s="251" t="s">
        <v>1415</v>
      </c>
      <c r="B483" s="252" t="s">
        <v>960</v>
      </c>
      <c r="C483" s="253" t="s">
        <v>3465</v>
      </c>
      <c r="D483" s="254" t="s">
        <v>822</v>
      </c>
      <c r="E483" s="252" t="s">
        <v>894</v>
      </c>
      <c r="F483" s="252" t="s">
        <v>1420</v>
      </c>
      <c r="G483" s="252" t="s">
        <v>918</v>
      </c>
      <c r="H483" s="252" t="s">
        <v>892</v>
      </c>
      <c r="I483" s="255">
        <v>23</v>
      </c>
    </row>
    <row r="484" spans="1:9" ht="14.1" customHeight="1">
      <c r="A484" s="251" t="s">
        <v>1415</v>
      </c>
      <c r="B484" s="252" t="s">
        <v>960</v>
      </c>
      <c r="C484" s="257" t="s">
        <v>3452</v>
      </c>
      <c r="D484" s="254" t="s">
        <v>821</v>
      </c>
      <c r="E484" s="252" t="s">
        <v>968</v>
      </c>
      <c r="F484" s="252" t="s">
        <v>1421</v>
      </c>
      <c r="G484" s="252" t="s">
        <v>888</v>
      </c>
      <c r="H484" s="252" t="s">
        <v>889</v>
      </c>
      <c r="I484" s="255">
        <v>47.27</v>
      </c>
    </row>
    <row r="485" spans="1:9" ht="14.1" customHeight="1">
      <c r="A485" s="251" t="s">
        <v>1415</v>
      </c>
      <c r="B485" s="252" t="s">
        <v>960</v>
      </c>
      <c r="C485" s="257" t="s">
        <v>3456</v>
      </c>
      <c r="D485" s="254" t="s">
        <v>822</v>
      </c>
      <c r="E485" s="252" t="s">
        <v>1088</v>
      </c>
      <c r="F485" s="252" t="s">
        <v>886</v>
      </c>
      <c r="G485" s="252" t="s">
        <v>918</v>
      </c>
      <c r="H485" s="252" t="s">
        <v>889</v>
      </c>
      <c r="I485" s="255">
        <v>1978.269</v>
      </c>
    </row>
    <row r="486" spans="1:9" ht="14.1" customHeight="1">
      <c r="A486" s="251" t="s">
        <v>1422</v>
      </c>
      <c r="B486" s="252" t="s">
        <v>964</v>
      </c>
      <c r="C486" s="256" t="s">
        <v>3571</v>
      </c>
      <c r="D486" s="254" t="s">
        <v>822</v>
      </c>
      <c r="E486" s="252" t="s">
        <v>894</v>
      </c>
      <c r="F486" s="252" t="s">
        <v>1423</v>
      </c>
      <c r="G486" s="252" t="s">
        <v>918</v>
      </c>
      <c r="H486" s="252" t="s">
        <v>892</v>
      </c>
      <c r="I486" s="255">
        <v>250</v>
      </c>
    </row>
    <row r="487" spans="1:9" ht="14.1" customHeight="1">
      <c r="A487" s="251" t="s">
        <v>1424</v>
      </c>
      <c r="B487" s="252" t="s">
        <v>970</v>
      </c>
      <c r="C487" s="256" t="s">
        <v>3734</v>
      </c>
      <c r="D487" s="254" t="s">
        <v>821</v>
      </c>
      <c r="E487" s="252" t="s">
        <v>887</v>
      </c>
      <c r="F487" s="252" t="s">
        <v>1425</v>
      </c>
      <c r="G487" s="252" t="s">
        <v>895</v>
      </c>
      <c r="H487" s="252" t="s">
        <v>889</v>
      </c>
      <c r="I487" s="255">
        <v>0.193</v>
      </c>
    </row>
    <row r="488" spans="1:9" ht="14.1" customHeight="1">
      <c r="A488" s="251" t="s">
        <v>1424</v>
      </c>
      <c r="B488" s="252" t="s">
        <v>970</v>
      </c>
      <c r="C488" s="257" t="s">
        <v>3739</v>
      </c>
      <c r="D488" s="254" t="s">
        <v>822</v>
      </c>
      <c r="E488" s="252" t="s">
        <v>894</v>
      </c>
      <c r="F488" s="252" t="s">
        <v>1426</v>
      </c>
      <c r="G488" s="252" t="s">
        <v>925</v>
      </c>
      <c r="H488" s="252" t="s">
        <v>892</v>
      </c>
      <c r="I488" s="255">
        <v>0.76600000000000001</v>
      </c>
    </row>
    <row r="489" spans="1:9" ht="14.1" customHeight="1">
      <c r="A489" s="251" t="s">
        <v>1424</v>
      </c>
      <c r="B489" s="252" t="s">
        <v>970</v>
      </c>
      <c r="C489" s="256" t="s">
        <v>3729</v>
      </c>
      <c r="D489" s="254" t="s">
        <v>823</v>
      </c>
      <c r="E489" s="252" t="s">
        <v>1146</v>
      </c>
      <c r="F489" s="252" t="s">
        <v>1427</v>
      </c>
      <c r="G489" s="252" t="s">
        <v>895</v>
      </c>
      <c r="H489" s="252" t="s">
        <v>892</v>
      </c>
      <c r="I489" s="255">
        <v>2.1560000000000001</v>
      </c>
    </row>
    <row r="490" spans="1:9" ht="14.1" customHeight="1">
      <c r="A490" s="251" t="s">
        <v>1424</v>
      </c>
      <c r="B490" s="252" t="s">
        <v>970</v>
      </c>
      <c r="C490" s="253" t="s">
        <v>3733</v>
      </c>
      <c r="D490" s="254" t="s">
        <v>822</v>
      </c>
      <c r="E490" s="252" t="s">
        <v>1046</v>
      </c>
      <c r="F490" s="252" t="s">
        <v>1428</v>
      </c>
      <c r="G490" s="252" t="s">
        <v>918</v>
      </c>
      <c r="H490" s="252" t="s">
        <v>889</v>
      </c>
      <c r="I490" s="255">
        <v>2.2850000000000001</v>
      </c>
    </row>
    <row r="491" spans="1:9" ht="14.1" customHeight="1">
      <c r="A491" s="251" t="s">
        <v>1424</v>
      </c>
      <c r="B491" s="252" t="s">
        <v>970</v>
      </c>
      <c r="C491" s="256" t="s">
        <v>3742</v>
      </c>
      <c r="D491" s="254" t="s">
        <v>822</v>
      </c>
      <c r="E491" s="252" t="s">
        <v>911</v>
      </c>
      <c r="F491" s="252" t="s">
        <v>1429</v>
      </c>
      <c r="G491" s="252" t="s">
        <v>959</v>
      </c>
      <c r="H491" s="252" t="s">
        <v>889</v>
      </c>
      <c r="I491" s="255">
        <v>60</v>
      </c>
    </row>
    <row r="492" spans="1:9" ht="14.1" customHeight="1">
      <c r="A492" s="251" t="s">
        <v>1430</v>
      </c>
      <c r="B492" s="252" t="s">
        <v>975</v>
      </c>
      <c r="C492" s="256" t="s">
        <v>3913</v>
      </c>
      <c r="D492" s="254" t="s">
        <v>822</v>
      </c>
      <c r="E492" s="252" t="s">
        <v>894</v>
      </c>
      <c r="F492" s="252" t="s">
        <v>886</v>
      </c>
      <c r="G492" s="252" t="s">
        <v>918</v>
      </c>
      <c r="H492" s="252" t="s">
        <v>892</v>
      </c>
      <c r="I492" s="255">
        <v>53.4</v>
      </c>
    </row>
    <row r="493" spans="1:9" ht="14.1" customHeight="1">
      <c r="A493" s="251" t="s">
        <v>1431</v>
      </c>
      <c r="B493" s="252" t="s">
        <v>989</v>
      </c>
      <c r="C493" s="253" t="s">
        <v>4036</v>
      </c>
      <c r="D493" s="254" t="s">
        <v>822</v>
      </c>
      <c r="E493" s="252" t="s">
        <v>917</v>
      </c>
      <c r="F493" s="252" t="s">
        <v>1432</v>
      </c>
      <c r="G493" s="252" t="s">
        <v>918</v>
      </c>
      <c r="H493" s="252" t="s">
        <v>892</v>
      </c>
      <c r="I493" s="255">
        <v>0.3</v>
      </c>
    </row>
    <row r="494" spans="1:9" ht="14.1" customHeight="1">
      <c r="A494" s="251" t="s">
        <v>1431</v>
      </c>
      <c r="B494" s="252" t="s">
        <v>989</v>
      </c>
      <c r="C494" s="259" t="s">
        <v>4036</v>
      </c>
      <c r="D494" s="254" t="s">
        <v>822</v>
      </c>
      <c r="E494" s="252" t="s">
        <v>917</v>
      </c>
      <c r="F494" s="252" t="s">
        <v>1432</v>
      </c>
      <c r="G494" s="252" t="s">
        <v>918</v>
      </c>
      <c r="H494" s="252" t="s">
        <v>913</v>
      </c>
      <c r="I494" s="255">
        <v>5.05</v>
      </c>
    </row>
    <row r="495" spans="1:9" ht="14.1" customHeight="1">
      <c r="A495" s="251" t="s">
        <v>1433</v>
      </c>
      <c r="B495" s="252" t="s">
        <v>997</v>
      </c>
      <c r="C495" s="253" t="s">
        <v>4157</v>
      </c>
      <c r="D495" s="254" t="s">
        <v>821</v>
      </c>
      <c r="E495" s="252" t="s">
        <v>1030</v>
      </c>
      <c r="F495" s="252" t="s">
        <v>1434</v>
      </c>
      <c r="G495" s="252" t="s">
        <v>895</v>
      </c>
      <c r="H495" s="252" t="s">
        <v>889</v>
      </c>
      <c r="I495" s="255">
        <v>1.4E-2</v>
      </c>
    </row>
    <row r="496" spans="1:9" ht="14.1" customHeight="1">
      <c r="A496" s="251" t="s">
        <v>1433</v>
      </c>
      <c r="B496" s="252" t="s">
        <v>997</v>
      </c>
      <c r="C496" s="256" t="s">
        <v>4162</v>
      </c>
      <c r="D496" s="254" t="s">
        <v>821</v>
      </c>
      <c r="E496" s="252" t="s">
        <v>1000</v>
      </c>
      <c r="F496" s="252" t="s">
        <v>1435</v>
      </c>
      <c r="G496" s="252" t="s">
        <v>904</v>
      </c>
      <c r="H496" s="252" t="s">
        <v>889</v>
      </c>
      <c r="I496" s="255">
        <v>0.25</v>
      </c>
    </row>
    <row r="497" spans="1:9" ht="14.1" customHeight="1">
      <c r="A497" s="251" t="s">
        <v>1433</v>
      </c>
      <c r="B497" s="252" t="s">
        <v>997</v>
      </c>
      <c r="C497" s="257" t="s">
        <v>4158</v>
      </c>
      <c r="D497" s="254" t="s">
        <v>821</v>
      </c>
      <c r="E497" s="252" t="s">
        <v>1833</v>
      </c>
      <c r="F497" s="252" t="s">
        <v>1436</v>
      </c>
      <c r="G497" s="252" t="s">
        <v>918</v>
      </c>
      <c r="H497" s="252" t="s">
        <v>892</v>
      </c>
      <c r="I497" s="255">
        <v>4.024</v>
      </c>
    </row>
    <row r="498" spans="1:9" ht="14.1" customHeight="1">
      <c r="A498" s="251" t="s">
        <v>1433</v>
      </c>
      <c r="B498" s="252" t="s">
        <v>997</v>
      </c>
      <c r="C498" s="256" t="s">
        <v>4158</v>
      </c>
      <c r="D498" s="254" t="s">
        <v>821</v>
      </c>
      <c r="E498" s="252" t="s">
        <v>1833</v>
      </c>
      <c r="F498" s="252" t="s">
        <v>1436</v>
      </c>
      <c r="G498" s="252" t="s">
        <v>918</v>
      </c>
      <c r="H498" s="252" t="s">
        <v>913</v>
      </c>
      <c r="I498" s="255">
        <v>7.5</v>
      </c>
    </row>
    <row r="499" spans="1:9" ht="14.1" customHeight="1">
      <c r="A499" s="251" t="s">
        <v>1433</v>
      </c>
      <c r="B499" s="252" t="s">
        <v>997</v>
      </c>
      <c r="C499" s="256" t="s">
        <v>4163</v>
      </c>
      <c r="D499" s="254" t="s">
        <v>821</v>
      </c>
      <c r="E499" s="252" t="s">
        <v>983</v>
      </c>
      <c r="F499" s="252" t="s">
        <v>1437</v>
      </c>
      <c r="G499" s="252" t="s">
        <v>945</v>
      </c>
      <c r="H499" s="252" t="s">
        <v>889</v>
      </c>
      <c r="I499" s="255">
        <v>38.145000000000003</v>
      </c>
    </row>
    <row r="500" spans="1:9" ht="14.1" customHeight="1">
      <c r="A500" s="251" t="s">
        <v>1438</v>
      </c>
      <c r="B500" s="252" t="s">
        <v>1003</v>
      </c>
      <c r="C500" s="256" t="s">
        <v>4306</v>
      </c>
      <c r="D500" s="254" t="s">
        <v>821</v>
      </c>
      <c r="E500" s="252" t="s">
        <v>1030</v>
      </c>
      <c r="F500" s="252" t="s">
        <v>1439</v>
      </c>
      <c r="G500" s="252" t="s">
        <v>925</v>
      </c>
      <c r="H500" s="252" t="s">
        <v>889</v>
      </c>
      <c r="I500" s="255">
        <v>4.2279999999999998</v>
      </c>
    </row>
    <row r="501" spans="1:9" ht="14.1" customHeight="1">
      <c r="A501" s="251" t="s">
        <v>1438</v>
      </c>
      <c r="B501" s="252" t="s">
        <v>1003</v>
      </c>
      <c r="C501" s="256" t="s">
        <v>4308</v>
      </c>
      <c r="D501" s="254" t="s">
        <v>821</v>
      </c>
      <c r="E501" s="252" t="s">
        <v>1441</v>
      </c>
      <c r="F501" s="252" t="s">
        <v>1440</v>
      </c>
      <c r="G501" s="252" t="s">
        <v>939</v>
      </c>
      <c r="H501" s="252" t="s">
        <v>889</v>
      </c>
      <c r="I501" s="255">
        <v>20</v>
      </c>
    </row>
    <row r="502" spans="1:9" ht="14.1" customHeight="1">
      <c r="A502" s="251" t="s">
        <v>1438</v>
      </c>
      <c r="B502" s="252" t="s">
        <v>1003</v>
      </c>
      <c r="C502" s="257" t="s">
        <v>4307</v>
      </c>
      <c r="D502" s="254" t="s">
        <v>822</v>
      </c>
      <c r="E502" s="252" t="s">
        <v>938</v>
      </c>
      <c r="F502" s="252" t="s">
        <v>1442</v>
      </c>
      <c r="G502" s="252" t="s">
        <v>888</v>
      </c>
      <c r="H502" s="252" t="s">
        <v>889</v>
      </c>
      <c r="I502" s="255">
        <v>90</v>
      </c>
    </row>
    <row r="503" spans="1:9" ht="14.1" customHeight="1">
      <c r="A503" s="251" t="s">
        <v>1438</v>
      </c>
      <c r="B503" s="252" t="s">
        <v>1003</v>
      </c>
      <c r="C503" s="253" t="s">
        <v>4312</v>
      </c>
      <c r="D503" s="254" t="s">
        <v>821</v>
      </c>
      <c r="E503" s="252" t="s">
        <v>1000</v>
      </c>
      <c r="F503" s="252" t="s">
        <v>1443</v>
      </c>
      <c r="G503" s="252" t="s">
        <v>888</v>
      </c>
      <c r="H503" s="252" t="s">
        <v>892</v>
      </c>
      <c r="I503" s="255">
        <v>136.75200000000001</v>
      </c>
    </row>
    <row r="504" spans="1:9" ht="14.1" customHeight="1">
      <c r="A504" s="251" t="s">
        <v>1438</v>
      </c>
      <c r="B504" s="252" t="s">
        <v>1003</v>
      </c>
      <c r="C504" s="257" t="s">
        <v>4311</v>
      </c>
      <c r="D504" s="254" t="s">
        <v>821</v>
      </c>
      <c r="E504" s="252" t="s">
        <v>1020</v>
      </c>
      <c r="F504" s="252" t="s">
        <v>1061</v>
      </c>
      <c r="G504" s="252" t="s">
        <v>888</v>
      </c>
      <c r="H504" s="252" t="s">
        <v>892</v>
      </c>
      <c r="I504" s="255">
        <v>147.84</v>
      </c>
    </row>
    <row r="505" spans="1:9" ht="14.1" customHeight="1">
      <c r="A505" s="251" t="s">
        <v>1444</v>
      </c>
      <c r="B505" s="252" t="s">
        <v>1011</v>
      </c>
      <c r="C505" s="253" t="s">
        <v>4306</v>
      </c>
      <c r="D505" s="254" t="s">
        <v>821</v>
      </c>
      <c r="E505" s="252" t="s">
        <v>1030</v>
      </c>
      <c r="F505" s="252" t="s">
        <v>1439</v>
      </c>
      <c r="G505" s="252" t="s">
        <v>925</v>
      </c>
      <c r="H505" s="252" t="s">
        <v>889</v>
      </c>
      <c r="I505" s="255">
        <v>4.3470000000000004</v>
      </c>
    </row>
    <row r="506" spans="1:9" ht="14.1" customHeight="1">
      <c r="A506" s="251" t="s">
        <v>1444</v>
      </c>
      <c r="B506" s="252" t="s">
        <v>1011</v>
      </c>
      <c r="C506" s="257" t="s">
        <v>4407</v>
      </c>
      <c r="D506" s="254" t="s">
        <v>821</v>
      </c>
      <c r="E506" s="252" t="s">
        <v>1833</v>
      </c>
      <c r="F506" s="252" t="s">
        <v>1445</v>
      </c>
      <c r="G506" s="252" t="s">
        <v>929</v>
      </c>
      <c r="H506" s="252" t="s">
        <v>892</v>
      </c>
      <c r="I506" s="255">
        <v>7.15</v>
      </c>
    </row>
    <row r="507" spans="1:9" ht="14.1" customHeight="1">
      <c r="A507" s="251" t="s">
        <v>1444</v>
      </c>
      <c r="B507" s="252" t="s">
        <v>1011</v>
      </c>
      <c r="C507" s="257" t="s">
        <v>4408</v>
      </c>
      <c r="D507" s="254" t="s">
        <v>822</v>
      </c>
      <c r="E507" s="252" t="s">
        <v>917</v>
      </c>
      <c r="F507" s="252" t="s">
        <v>1446</v>
      </c>
      <c r="G507" s="252" t="s">
        <v>918</v>
      </c>
      <c r="H507" s="252" t="s">
        <v>889</v>
      </c>
      <c r="I507" s="255">
        <v>18.2</v>
      </c>
    </row>
    <row r="508" spans="1:9" ht="14.1" customHeight="1">
      <c r="A508" s="251" t="s">
        <v>1444</v>
      </c>
      <c r="B508" s="252" t="s">
        <v>1011</v>
      </c>
      <c r="C508" s="256" t="s">
        <v>2733</v>
      </c>
      <c r="D508" s="254" t="s">
        <v>822</v>
      </c>
      <c r="E508" s="252" t="s">
        <v>894</v>
      </c>
      <c r="F508" s="252" t="s">
        <v>1447</v>
      </c>
      <c r="G508" s="252" t="s">
        <v>918</v>
      </c>
      <c r="H508" s="252" t="s">
        <v>892</v>
      </c>
      <c r="I508" s="255">
        <v>180.346</v>
      </c>
    </row>
    <row r="509" spans="1:9" ht="14.1" customHeight="1">
      <c r="A509" s="251" t="s">
        <v>1444</v>
      </c>
      <c r="B509" s="252" t="s">
        <v>1011</v>
      </c>
      <c r="C509" s="256" t="s">
        <v>4405</v>
      </c>
      <c r="D509" s="254" t="s">
        <v>822</v>
      </c>
      <c r="E509" s="252" t="s">
        <v>1088</v>
      </c>
      <c r="F509" s="252" t="s">
        <v>1448</v>
      </c>
      <c r="G509" s="252" t="s">
        <v>918</v>
      </c>
      <c r="H509" s="252" t="s">
        <v>892</v>
      </c>
      <c r="I509" s="255">
        <v>567.39300000000003</v>
      </c>
    </row>
    <row r="510" spans="1:9" ht="14.1" customHeight="1">
      <c r="A510" s="251" t="s">
        <v>1449</v>
      </c>
      <c r="B510" s="252" t="s">
        <v>941</v>
      </c>
      <c r="C510" s="259" t="s">
        <v>2738</v>
      </c>
      <c r="D510" s="254" t="s">
        <v>822</v>
      </c>
      <c r="E510" s="252" t="s">
        <v>917</v>
      </c>
      <c r="F510" s="252" t="s">
        <v>1450</v>
      </c>
      <c r="G510" s="252" t="s">
        <v>918</v>
      </c>
      <c r="H510" s="252" t="s">
        <v>889</v>
      </c>
      <c r="I510" s="255">
        <v>213.846</v>
      </c>
    </row>
    <row r="511" spans="1:9" ht="14.1" customHeight="1">
      <c r="A511" s="251" t="s">
        <v>1451</v>
      </c>
      <c r="B511" s="252" t="s">
        <v>1172</v>
      </c>
      <c r="C511" s="257" t="s">
        <v>3188</v>
      </c>
      <c r="D511" s="254" t="s">
        <v>822</v>
      </c>
      <c r="E511" s="252" t="s">
        <v>917</v>
      </c>
      <c r="F511" s="252" t="s">
        <v>1452</v>
      </c>
      <c r="G511" s="252" t="s">
        <v>918</v>
      </c>
      <c r="H511" s="252" t="s">
        <v>889</v>
      </c>
      <c r="I511" s="255">
        <v>0.38100000000000001</v>
      </c>
    </row>
    <row r="512" spans="1:9" ht="14.1" customHeight="1">
      <c r="A512" s="251" t="s">
        <v>1453</v>
      </c>
      <c r="B512" s="252" t="s">
        <v>975</v>
      </c>
      <c r="C512" s="256" t="s">
        <v>3918</v>
      </c>
      <c r="D512" s="254" t="s">
        <v>822</v>
      </c>
      <c r="E512" s="252" t="s">
        <v>917</v>
      </c>
      <c r="F512" s="252" t="s">
        <v>1454</v>
      </c>
      <c r="G512" s="252" t="s">
        <v>918</v>
      </c>
      <c r="H512" s="252" t="s">
        <v>913</v>
      </c>
      <c r="I512" s="255">
        <v>0.05</v>
      </c>
    </row>
    <row r="513" spans="1:9" ht="14.1" customHeight="1">
      <c r="A513" s="251" t="s">
        <v>1453</v>
      </c>
      <c r="B513" s="252" t="s">
        <v>975</v>
      </c>
      <c r="C513" s="256" t="s">
        <v>3917</v>
      </c>
      <c r="D513" s="254" t="s">
        <v>822</v>
      </c>
      <c r="E513" s="252" t="s">
        <v>917</v>
      </c>
      <c r="F513" s="252" t="s">
        <v>1455</v>
      </c>
      <c r="G513" s="252" t="s">
        <v>929</v>
      </c>
      <c r="H513" s="252" t="s">
        <v>892</v>
      </c>
      <c r="I513" s="255">
        <v>275</v>
      </c>
    </row>
    <row r="514" spans="1:9" ht="14.1" customHeight="1">
      <c r="A514" s="251" t="s">
        <v>1456</v>
      </c>
      <c r="B514" s="252" t="s">
        <v>989</v>
      </c>
      <c r="C514" s="253" t="s">
        <v>4041</v>
      </c>
      <c r="D514" s="254" t="s">
        <v>822</v>
      </c>
      <c r="E514" s="252" t="s">
        <v>917</v>
      </c>
      <c r="F514" s="252" t="s">
        <v>1457</v>
      </c>
      <c r="G514" s="252" t="s">
        <v>918</v>
      </c>
      <c r="H514" s="252" t="s">
        <v>892</v>
      </c>
      <c r="I514" s="255">
        <v>0.91500000000000004</v>
      </c>
    </row>
    <row r="515" spans="1:9" ht="14.1" customHeight="1">
      <c r="A515" s="251" t="s">
        <v>1458</v>
      </c>
      <c r="B515" s="252" t="s">
        <v>997</v>
      </c>
      <c r="C515" s="256" t="s">
        <v>4164</v>
      </c>
      <c r="D515" s="254" t="s">
        <v>822</v>
      </c>
      <c r="E515" s="252" t="s">
        <v>906</v>
      </c>
      <c r="F515" s="252" t="s">
        <v>1459</v>
      </c>
      <c r="G515" s="252" t="s">
        <v>1136</v>
      </c>
      <c r="H515" s="252" t="s">
        <v>889</v>
      </c>
      <c r="I515" s="255">
        <v>119</v>
      </c>
    </row>
    <row r="516" spans="1:9" ht="14.1" customHeight="1">
      <c r="A516" s="251" t="s">
        <v>1460</v>
      </c>
      <c r="B516" s="252" t="s">
        <v>1011</v>
      </c>
      <c r="C516" s="257" t="s">
        <v>4409</v>
      </c>
      <c r="D516" s="254" t="s">
        <v>822</v>
      </c>
      <c r="E516" s="252" t="s">
        <v>894</v>
      </c>
      <c r="F516" s="252" t="s">
        <v>886</v>
      </c>
      <c r="G516" s="252" t="s">
        <v>939</v>
      </c>
      <c r="H516" s="252" t="s">
        <v>892</v>
      </c>
      <c r="I516" s="255">
        <v>42.2</v>
      </c>
    </row>
    <row r="517" spans="1:9" ht="14.1" customHeight="1">
      <c r="A517" s="251" t="s">
        <v>1463</v>
      </c>
      <c r="B517" s="252" t="s">
        <v>898</v>
      </c>
      <c r="C517" s="256" t="s">
        <v>1870</v>
      </c>
      <c r="D517" s="254" t="s">
        <v>822</v>
      </c>
      <c r="E517" s="252" t="s">
        <v>917</v>
      </c>
      <c r="F517" s="252" t="s">
        <v>1464</v>
      </c>
      <c r="G517" s="252" t="s">
        <v>918</v>
      </c>
      <c r="H517" s="252" t="s">
        <v>913</v>
      </c>
      <c r="I517" s="255">
        <v>7.1999999999999995E-2</v>
      </c>
    </row>
    <row r="518" spans="1:9" ht="14.1" customHeight="1">
      <c r="A518" s="251" t="s">
        <v>1463</v>
      </c>
      <c r="B518" s="252" t="s">
        <v>898</v>
      </c>
      <c r="C518" s="253" t="s">
        <v>1868</v>
      </c>
      <c r="D518" s="254" t="s">
        <v>822</v>
      </c>
      <c r="E518" s="252" t="s">
        <v>917</v>
      </c>
      <c r="F518" s="252" t="s">
        <v>1465</v>
      </c>
      <c r="G518" s="252" t="s">
        <v>888</v>
      </c>
      <c r="H518" s="252" t="s">
        <v>892</v>
      </c>
      <c r="I518" s="255">
        <v>0.47299999999999998</v>
      </c>
    </row>
    <row r="519" spans="1:9" ht="14.1" customHeight="1">
      <c r="A519" s="251" t="s">
        <v>1463</v>
      </c>
      <c r="B519" s="252" t="s">
        <v>898</v>
      </c>
      <c r="C519" s="257" t="s">
        <v>1863</v>
      </c>
      <c r="D519" s="254" t="s">
        <v>822</v>
      </c>
      <c r="E519" s="252" t="s">
        <v>917</v>
      </c>
      <c r="F519" s="252" t="s">
        <v>1467</v>
      </c>
      <c r="G519" s="252" t="s">
        <v>918</v>
      </c>
      <c r="H519" s="252" t="s">
        <v>889</v>
      </c>
      <c r="I519" s="255">
        <v>0.71599999999999997</v>
      </c>
    </row>
    <row r="520" spans="1:9" ht="14.1" customHeight="1">
      <c r="A520" s="251" t="s">
        <v>1463</v>
      </c>
      <c r="B520" s="252" t="s">
        <v>898</v>
      </c>
      <c r="C520" s="257" t="s">
        <v>1869</v>
      </c>
      <c r="D520" s="254" t="s">
        <v>822</v>
      </c>
      <c r="E520" s="252" t="s">
        <v>917</v>
      </c>
      <c r="F520" s="252" t="s">
        <v>1468</v>
      </c>
      <c r="G520" s="252" t="s">
        <v>888</v>
      </c>
      <c r="H520" s="252" t="s">
        <v>889</v>
      </c>
      <c r="I520" s="255">
        <v>2.3380000000000001</v>
      </c>
    </row>
    <row r="521" spans="1:9" ht="14.1" customHeight="1">
      <c r="A521" s="251" t="s">
        <v>1463</v>
      </c>
      <c r="B521" s="252" t="s">
        <v>898</v>
      </c>
      <c r="C521" s="257" t="s">
        <v>1864</v>
      </c>
      <c r="D521" s="254" t="s">
        <v>822</v>
      </c>
      <c r="E521" s="252" t="s">
        <v>917</v>
      </c>
      <c r="F521" s="252" t="s">
        <v>1469</v>
      </c>
      <c r="G521" s="252" t="s">
        <v>888</v>
      </c>
      <c r="H521" s="252" t="s">
        <v>892</v>
      </c>
      <c r="I521" s="255">
        <v>5.9</v>
      </c>
    </row>
    <row r="522" spans="1:9" ht="14.1" customHeight="1">
      <c r="A522" s="251" t="s">
        <v>1463</v>
      </c>
      <c r="B522" s="252" t="s">
        <v>898</v>
      </c>
      <c r="C522" s="257" t="s">
        <v>1867</v>
      </c>
      <c r="D522" s="254" t="s">
        <v>822</v>
      </c>
      <c r="E522" s="252" t="s">
        <v>917</v>
      </c>
      <c r="F522" s="252" t="s">
        <v>1470</v>
      </c>
      <c r="G522" s="252" t="s">
        <v>918</v>
      </c>
      <c r="H522" s="252" t="s">
        <v>913</v>
      </c>
      <c r="I522" s="255">
        <v>5.9649999999999999</v>
      </c>
    </row>
    <row r="523" spans="1:9" ht="14.1" customHeight="1">
      <c r="A523" s="251" t="s">
        <v>1463</v>
      </c>
      <c r="B523" s="252" t="s">
        <v>898</v>
      </c>
      <c r="C523" s="257" t="s">
        <v>1867</v>
      </c>
      <c r="D523" s="254" t="s">
        <v>822</v>
      </c>
      <c r="E523" s="252" t="s">
        <v>917</v>
      </c>
      <c r="F523" s="252" t="s">
        <v>1470</v>
      </c>
      <c r="G523" s="252" t="s">
        <v>918</v>
      </c>
      <c r="H523" s="252" t="s">
        <v>913</v>
      </c>
      <c r="I523" s="255">
        <v>19.087</v>
      </c>
    </row>
    <row r="524" spans="1:9" ht="14.1" customHeight="1">
      <c r="A524" s="251" t="s">
        <v>1463</v>
      </c>
      <c r="B524" s="252" t="s">
        <v>898</v>
      </c>
      <c r="C524" s="256" t="s">
        <v>1861</v>
      </c>
      <c r="D524" s="254" t="s">
        <v>822</v>
      </c>
      <c r="E524" s="252" t="s">
        <v>1202</v>
      </c>
      <c r="F524" s="252" t="s">
        <v>1471</v>
      </c>
      <c r="G524" s="252" t="s">
        <v>888</v>
      </c>
      <c r="H524" s="252" t="s">
        <v>889</v>
      </c>
      <c r="I524" s="255">
        <v>23</v>
      </c>
    </row>
    <row r="525" spans="1:9" ht="14.1" customHeight="1">
      <c r="A525" s="251" t="s">
        <v>1463</v>
      </c>
      <c r="B525" s="252" t="s">
        <v>898</v>
      </c>
      <c r="C525" s="257" t="s">
        <v>1862</v>
      </c>
      <c r="D525" s="254" t="s">
        <v>822</v>
      </c>
      <c r="E525" s="252" t="s">
        <v>917</v>
      </c>
      <c r="F525" s="252" t="s">
        <v>886</v>
      </c>
      <c r="G525" s="252" t="s">
        <v>1033</v>
      </c>
      <c r="H525" s="252" t="s">
        <v>889</v>
      </c>
      <c r="I525" s="255">
        <v>60</v>
      </c>
    </row>
    <row r="526" spans="1:9" ht="14.1" customHeight="1">
      <c r="A526" s="251" t="s">
        <v>1463</v>
      </c>
      <c r="B526" s="252" t="s">
        <v>898</v>
      </c>
      <c r="C526" s="253" t="s">
        <v>1846</v>
      </c>
      <c r="D526" s="254" t="s">
        <v>822</v>
      </c>
      <c r="E526" s="252" t="s">
        <v>944</v>
      </c>
      <c r="F526" s="252" t="s">
        <v>1472</v>
      </c>
      <c r="G526" s="252" t="s">
        <v>888</v>
      </c>
      <c r="H526" s="252" t="s">
        <v>889</v>
      </c>
      <c r="I526" s="255">
        <v>105</v>
      </c>
    </row>
    <row r="527" spans="1:9" ht="14.1" customHeight="1">
      <c r="A527" s="251" t="s">
        <v>1463</v>
      </c>
      <c r="B527" s="252" t="s">
        <v>898</v>
      </c>
      <c r="C527" s="256" t="s">
        <v>1849</v>
      </c>
      <c r="D527" s="254" t="s">
        <v>821</v>
      </c>
      <c r="E527" s="252" t="s">
        <v>1030</v>
      </c>
      <c r="F527" s="252" t="s">
        <v>1473</v>
      </c>
      <c r="G527" s="252" t="s">
        <v>888</v>
      </c>
      <c r="H527" s="252" t="s">
        <v>889</v>
      </c>
      <c r="I527" s="255">
        <v>379.714</v>
      </c>
    </row>
    <row r="528" spans="1:9" ht="14.1" customHeight="1">
      <c r="A528" s="251" t="s">
        <v>1463</v>
      </c>
      <c r="B528" s="252" t="s">
        <v>898</v>
      </c>
      <c r="C528" s="256" t="s">
        <v>1873</v>
      </c>
      <c r="D528" s="254" t="s">
        <v>822</v>
      </c>
      <c r="E528" s="252" t="s">
        <v>1475</v>
      </c>
      <c r="F528" s="252" t="s">
        <v>1474</v>
      </c>
      <c r="G528" s="252" t="s">
        <v>888</v>
      </c>
      <c r="H528" s="252" t="s">
        <v>889</v>
      </c>
      <c r="I528" s="255">
        <v>700</v>
      </c>
    </row>
    <row r="529" spans="1:9" ht="14.1" customHeight="1">
      <c r="A529" s="251" t="s">
        <v>1476</v>
      </c>
      <c r="B529" s="252" t="s">
        <v>908</v>
      </c>
      <c r="C529" s="256" t="s">
        <v>2026</v>
      </c>
      <c r="D529" s="254" t="s">
        <v>822</v>
      </c>
      <c r="E529" s="252" t="s">
        <v>917</v>
      </c>
      <c r="F529" s="252" t="s">
        <v>1477</v>
      </c>
      <c r="G529" s="252" t="s">
        <v>895</v>
      </c>
      <c r="H529" s="252" t="s">
        <v>889</v>
      </c>
      <c r="I529" s="255">
        <v>0.501</v>
      </c>
    </row>
    <row r="530" spans="1:9" ht="14.1" customHeight="1">
      <c r="A530" s="251" t="s">
        <v>1476</v>
      </c>
      <c r="B530" s="252" t="s">
        <v>908</v>
      </c>
      <c r="C530" s="256" t="s">
        <v>2027</v>
      </c>
      <c r="D530" s="254" t="s">
        <v>822</v>
      </c>
      <c r="E530" s="252" t="s">
        <v>917</v>
      </c>
      <c r="F530" s="252" t="s">
        <v>1436</v>
      </c>
      <c r="G530" s="252" t="s">
        <v>918</v>
      </c>
      <c r="H530" s="252" t="s">
        <v>892</v>
      </c>
      <c r="I530" s="255">
        <v>1.0009999999999999</v>
      </c>
    </row>
    <row r="531" spans="1:9" ht="14.1" customHeight="1">
      <c r="A531" s="251" t="s">
        <v>1476</v>
      </c>
      <c r="B531" s="252" t="s">
        <v>908</v>
      </c>
      <c r="C531" s="253" t="s">
        <v>2023</v>
      </c>
      <c r="D531" s="254" t="s">
        <v>822</v>
      </c>
      <c r="E531" s="252" t="s">
        <v>917</v>
      </c>
      <c r="F531" s="252" t="s">
        <v>886</v>
      </c>
      <c r="G531" s="252" t="s">
        <v>1022</v>
      </c>
      <c r="H531" s="252" t="s">
        <v>889</v>
      </c>
      <c r="I531" s="255">
        <v>8</v>
      </c>
    </row>
    <row r="532" spans="1:9" ht="14.1" customHeight="1">
      <c r="A532" s="251" t="s">
        <v>1476</v>
      </c>
      <c r="B532" s="252" t="s">
        <v>908</v>
      </c>
      <c r="C532" s="259" t="s">
        <v>2032</v>
      </c>
      <c r="D532" s="254" t="s">
        <v>821</v>
      </c>
      <c r="E532" s="252" t="s">
        <v>1246</v>
      </c>
      <c r="F532" s="252" t="s">
        <v>1478</v>
      </c>
      <c r="G532" s="252" t="s">
        <v>888</v>
      </c>
      <c r="H532" s="252" t="s">
        <v>892</v>
      </c>
      <c r="I532" s="255">
        <v>91.063999999999993</v>
      </c>
    </row>
    <row r="533" spans="1:9" ht="14.1" customHeight="1">
      <c r="A533" s="251" t="s">
        <v>1476</v>
      </c>
      <c r="B533" s="252" t="s">
        <v>908</v>
      </c>
      <c r="C533" s="257" t="s">
        <v>2018</v>
      </c>
      <c r="D533" s="254" t="s">
        <v>821</v>
      </c>
      <c r="E533" s="252" t="s">
        <v>1466</v>
      </c>
      <c r="F533" s="252" t="s">
        <v>1479</v>
      </c>
      <c r="G533" s="252" t="s">
        <v>907</v>
      </c>
      <c r="H533" s="252" t="s">
        <v>889</v>
      </c>
      <c r="I533" s="255">
        <v>120</v>
      </c>
    </row>
    <row r="534" spans="1:9" ht="14.1" customHeight="1">
      <c r="A534" s="251" t="s">
        <v>1476</v>
      </c>
      <c r="B534" s="252" t="s">
        <v>908</v>
      </c>
      <c r="C534" s="256" t="s">
        <v>2034</v>
      </c>
      <c r="D534" s="254" t="s">
        <v>821</v>
      </c>
      <c r="E534" s="252" t="s">
        <v>1020</v>
      </c>
      <c r="F534" s="252" t="s">
        <v>1061</v>
      </c>
      <c r="G534" s="252" t="s">
        <v>888</v>
      </c>
      <c r="H534" s="252" t="s">
        <v>889</v>
      </c>
      <c r="I534" s="255">
        <v>397.57900000000001</v>
      </c>
    </row>
    <row r="535" spans="1:9" ht="14.1" customHeight="1">
      <c r="A535" s="251" t="s">
        <v>1476</v>
      </c>
      <c r="B535" s="252" t="s">
        <v>908</v>
      </c>
      <c r="C535" s="257" t="s">
        <v>2033</v>
      </c>
      <c r="D535" s="254" t="s">
        <v>821</v>
      </c>
      <c r="E535" s="252" t="s">
        <v>1020</v>
      </c>
      <c r="F535" s="252" t="s">
        <v>1480</v>
      </c>
      <c r="G535" s="252" t="s">
        <v>907</v>
      </c>
      <c r="H535" s="252" t="s">
        <v>889</v>
      </c>
      <c r="I535" s="255">
        <v>1142</v>
      </c>
    </row>
    <row r="536" spans="1:9" ht="14.1" customHeight="1">
      <c r="A536" s="251" t="s">
        <v>1481</v>
      </c>
      <c r="B536" s="252" t="s">
        <v>914</v>
      </c>
      <c r="C536" s="257" t="s">
        <v>2176</v>
      </c>
      <c r="D536" s="254" t="s">
        <v>822</v>
      </c>
      <c r="E536" s="252" t="s">
        <v>917</v>
      </c>
      <c r="F536" s="252" t="s">
        <v>1482</v>
      </c>
      <c r="G536" s="252" t="s">
        <v>918</v>
      </c>
      <c r="H536" s="252" t="s">
        <v>892</v>
      </c>
      <c r="I536" s="255">
        <v>1</v>
      </c>
    </row>
    <row r="537" spans="1:9" ht="14.1" customHeight="1">
      <c r="A537" s="251" t="s">
        <v>1481</v>
      </c>
      <c r="B537" s="252" t="s">
        <v>914</v>
      </c>
      <c r="C537" s="257" t="s">
        <v>2178</v>
      </c>
      <c r="D537" s="254" t="s">
        <v>822</v>
      </c>
      <c r="E537" s="252" t="s">
        <v>917</v>
      </c>
      <c r="F537" s="252" t="s">
        <v>1483</v>
      </c>
      <c r="G537" s="252" t="s">
        <v>918</v>
      </c>
      <c r="H537" s="252" t="s">
        <v>889</v>
      </c>
      <c r="I537" s="255">
        <v>1.4390000000000001</v>
      </c>
    </row>
    <row r="538" spans="1:9" ht="14.1" customHeight="1">
      <c r="A538" s="251" t="s">
        <v>1481</v>
      </c>
      <c r="B538" s="252" t="s">
        <v>914</v>
      </c>
      <c r="C538" s="256" t="s">
        <v>2183</v>
      </c>
      <c r="D538" s="254" t="s">
        <v>822</v>
      </c>
      <c r="E538" s="252" t="s">
        <v>917</v>
      </c>
      <c r="F538" s="252" t="s">
        <v>1484</v>
      </c>
      <c r="G538" s="252" t="s">
        <v>918</v>
      </c>
      <c r="H538" s="252" t="s">
        <v>889</v>
      </c>
      <c r="I538" s="255">
        <v>2.169</v>
      </c>
    </row>
    <row r="539" spans="1:9" ht="14.1" customHeight="1">
      <c r="A539" s="251" t="s">
        <v>1481</v>
      </c>
      <c r="B539" s="252" t="s">
        <v>914</v>
      </c>
      <c r="C539" s="256" t="s">
        <v>2179</v>
      </c>
      <c r="D539" s="254" t="s">
        <v>822</v>
      </c>
      <c r="E539" s="252" t="s">
        <v>917</v>
      </c>
      <c r="F539" s="252" t="s">
        <v>1485</v>
      </c>
      <c r="G539" s="252" t="s">
        <v>918</v>
      </c>
      <c r="H539" s="252" t="s">
        <v>892</v>
      </c>
      <c r="I539" s="255">
        <v>2.2170000000000001</v>
      </c>
    </row>
    <row r="540" spans="1:9" ht="14.1" customHeight="1">
      <c r="A540" s="251" t="s">
        <v>1481</v>
      </c>
      <c r="B540" s="252" t="s">
        <v>914</v>
      </c>
      <c r="C540" s="257" t="s">
        <v>2182</v>
      </c>
      <c r="D540" s="254" t="s">
        <v>822</v>
      </c>
      <c r="E540" s="252" t="s">
        <v>917</v>
      </c>
      <c r="F540" s="252" t="s">
        <v>1486</v>
      </c>
      <c r="G540" s="252" t="s">
        <v>918</v>
      </c>
      <c r="H540" s="252" t="s">
        <v>892</v>
      </c>
      <c r="I540" s="255">
        <v>4.6849999999999996</v>
      </c>
    </row>
    <row r="541" spans="1:9" ht="14.1" customHeight="1">
      <c r="A541" s="251" t="s">
        <v>1481</v>
      </c>
      <c r="B541" s="252" t="s">
        <v>914</v>
      </c>
      <c r="C541" s="256" t="s">
        <v>2184</v>
      </c>
      <c r="D541" s="254" t="s">
        <v>822</v>
      </c>
      <c r="E541" s="252" t="s">
        <v>917</v>
      </c>
      <c r="F541" s="252" t="s">
        <v>1487</v>
      </c>
      <c r="G541" s="252" t="s">
        <v>918</v>
      </c>
      <c r="H541" s="252" t="s">
        <v>892</v>
      </c>
      <c r="I541" s="255">
        <v>6</v>
      </c>
    </row>
    <row r="542" spans="1:9" ht="14.1" customHeight="1">
      <c r="A542" s="251" t="s">
        <v>1481</v>
      </c>
      <c r="B542" s="252" t="s">
        <v>914</v>
      </c>
      <c r="C542" s="253" t="s">
        <v>2177</v>
      </c>
      <c r="D542" s="254" t="s">
        <v>822</v>
      </c>
      <c r="E542" s="252" t="s">
        <v>917</v>
      </c>
      <c r="F542" s="252" t="s">
        <v>1488</v>
      </c>
      <c r="G542" s="252" t="s">
        <v>888</v>
      </c>
      <c r="H542" s="252" t="s">
        <v>889</v>
      </c>
      <c r="I542" s="255">
        <v>10</v>
      </c>
    </row>
    <row r="543" spans="1:9" ht="14.1" customHeight="1">
      <c r="A543" s="251" t="s">
        <v>1481</v>
      </c>
      <c r="B543" s="252" t="s">
        <v>914</v>
      </c>
      <c r="C543" s="256" t="s">
        <v>2180</v>
      </c>
      <c r="D543" s="254" t="s">
        <v>822</v>
      </c>
      <c r="E543" s="252" t="s">
        <v>917</v>
      </c>
      <c r="F543" s="252" t="s">
        <v>1489</v>
      </c>
      <c r="G543" s="252" t="s">
        <v>888</v>
      </c>
      <c r="H543" s="252" t="s">
        <v>889</v>
      </c>
      <c r="I543" s="255">
        <v>75</v>
      </c>
    </row>
    <row r="544" spans="1:9" ht="14.1" customHeight="1">
      <c r="A544" s="251" t="s">
        <v>1481</v>
      </c>
      <c r="B544" s="252" t="s">
        <v>914</v>
      </c>
      <c r="C544" s="256" t="s">
        <v>2185</v>
      </c>
      <c r="D544" s="254" t="s">
        <v>822</v>
      </c>
      <c r="E544" s="252" t="s">
        <v>894</v>
      </c>
      <c r="F544" s="252" t="s">
        <v>1490</v>
      </c>
      <c r="G544" s="252" t="s">
        <v>888</v>
      </c>
      <c r="H544" s="252" t="s">
        <v>889</v>
      </c>
      <c r="I544" s="255">
        <v>106.4</v>
      </c>
    </row>
    <row r="545" spans="1:9" ht="14.1" customHeight="1">
      <c r="A545" s="251" t="s">
        <v>1481</v>
      </c>
      <c r="B545" s="252" t="s">
        <v>914</v>
      </c>
      <c r="C545" s="256" t="s">
        <v>2168</v>
      </c>
      <c r="D545" s="254" t="s">
        <v>821</v>
      </c>
      <c r="E545" s="252" t="s">
        <v>1051</v>
      </c>
      <c r="F545" s="252" t="s">
        <v>1491</v>
      </c>
      <c r="G545" s="252" t="s">
        <v>939</v>
      </c>
      <c r="H545" s="252" t="s">
        <v>889</v>
      </c>
      <c r="I545" s="255">
        <v>131.62299999999999</v>
      </c>
    </row>
    <row r="546" spans="1:9" ht="14.1" customHeight="1">
      <c r="A546" s="251" t="s">
        <v>1481</v>
      </c>
      <c r="B546" s="252" t="s">
        <v>914</v>
      </c>
      <c r="C546" s="253" t="s">
        <v>2171</v>
      </c>
      <c r="D546" s="254" t="s">
        <v>821</v>
      </c>
      <c r="E546" s="252" t="s">
        <v>1150</v>
      </c>
      <c r="F546" s="252" t="s">
        <v>1492</v>
      </c>
      <c r="G546" s="252" t="s">
        <v>888</v>
      </c>
      <c r="H546" s="252" t="s">
        <v>889</v>
      </c>
      <c r="I546" s="255">
        <v>200</v>
      </c>
    </row>
    <row r="547" spans="1:9" ht="14.1" customHeight="1">
      <c r="A547" s="251" t="s">
        <v>1481</v>
      </c>
      <c r="B547" s="252" t="s">
        <v>914</v>
      </c>
      <c r="C547" s="256" t="s">
        <v>2198</v>
      </c>
      <c r="D547" s="254" t="s">
        <v>821</v>
      </c>
      <c r="E547" s="252" t="s">
        <v>983</v>
      </c>
      <c r="F547" s="252" t="s">
        <v>886</v>
      </c>
      <c r="G547" s="252" t="s">
        <v>888</v>
      </c>
      <c r="H547" s="252" t="s">
        <v>889</v>
      </c>
      <c r="I547" s="255">
        <v>347.59800000000001</v>
      </c>
    </row>
    <row r="548" spans="1:9" ht="14.1" customHeight="1">
      <c r="A548" s="251" t="s">
        <v>1493</v>
      </c>
      <c r="B548" s="252" t="s">
        <v>922</v>
      </c>
      <c r="C548" s="256" t="s">
        <v>2318</v>
      </c>
      <c r="D548" s="254" t="s">
        <v>822</v>
      </c>
      <c r="E548" s="252" t="s">
        <v>890</v>
      </c>
      <c r="F548" s="252" t="s">
        <v>1494</v>
      </c>
      <c r="G548" s="252" t="s">
        <v>904</v>
      </c>
      <c r="H548" s="252" t="s">
        <v>889</v>
      </c>
      <c r="I548" s="255">
        <v>1.367</v>
      </c>
    </row>
    <row r="549" spans="1:9" ht="14.1" customHeight="1">
      <c r="A549" s="251" t="s">
        <v>1493</v>
      </c>
      <c r="B549" s="252" t="s">
        <v>922</v>
      </c>
      <c r="C549" s="256" t="s">
        <v>2315</v>
      </c>
      <c r="D549" s="254" t="s">
        <v>822</v>
      </c>
      <c r="E549" s="252" t="s">
        <v>1032</v>
      </c>
      <c r="F549" s="252" t="s">
        <v>1495</v>
      </c>
      <c r="G549" s="252" t="s">
        <v>888</v>
      </c>
      <c r="H549" s="252" t="s">
        <v>892</v>
      </c>
      <c r="I549" s="255">
        <v>1.86</v>
      </c>
    </row>
    <row r="550" spans="1:9" ht="14.1" customHeight="1">
      <c r="A550" s="251" t="s">
        <v>1493</v>
      </c>
      <c r="B550" s="252" t="s">
        <v>922</v>
      </c>
      <c r="C550" s="256" t="s">
        <v>2314</v>
      </c>
      <c r="D550" s="254" t="s">
        <v>822</v>
      </c>
      <c r="E550" s="252" t="s">
        <v>1032</v>
      </c>
      <c r="F550" s="252" t="s">
        <v>1495</v>
      </c>
      <c r="G550" s="252" t="s">
        <v>888</v>
      </c>
      <c r="H550" s="252" t="s">
        <v>892</v>
      </c>
      <c r="I550" s="255">
        <v>1.95</v>
      </c>
    </row>
    <row r="551" spans="1:9" ht="14.1" customHeight="1">
      <c r="A551" s="251" t="s">
        <v>1493</v>
      </c>
      <c r="B551" s="252" t="s">
        <v>922</v>
      </c>
      <c r="C551" s="256" t="s">
        <v>2322</v>
      </c>
      <c r="D551" s="254" t="s">
        <v>822</v>
      </c>
      <c r="E551" s="252" t="s">
        <v>917</v>
      </c>
      <c r="F551" s="252" t="s">
        <v>1496</v>
      </c>
      <c r="G551" s="252" t="s">
        <v>918</v>
      </c>
      <c r="H551" s="252" t="s">
        <v>913</v>
      </c>
      <c r="I551" s="255">
        <v>1.968</v>
      </c>
    </row>
    <row r="552" spans="1:9" ht="14.1" customHeight="1">
      <c r="A552" s="251" t="s">
        <v>1493</v>
      </c>
      <c r="B552" s="252" t="s">
        <v>922</v>
      </c>
      <c r="C552" s="256" t="s">
        <v>2323</v>
      </c>
      <c r="D552" s="254" t="s">
        <v>822</v>
      </c>
      <c r="E552" s="252" t="s">
        <v>917</v>
      </c>
      <c r="F552" s="252" t="s">
        <v>1497</v>
      </c>
      <c r="G552" s="252" t="s">
        <v>918</v>
      </c>
      <c r="H552" s="252" t="s">
        <v>892</v>
      </c>
      <c r="I552" s="255">
        <v>2.6680000000000001</v>
      </c>
    </row>
    <row r="553" spans="1:9" ht="14.1" customHeight="1">
      <c r="A553" s="251" t="s">
        <v>1493</v>
      </c>
      <c r="B553" s="252" t="s">
        <v>922</v>
      </c>
      <c r="C553" s="256" t="s">
        <v>2321</v>
      </c>
      <c r="D553" s="254" t="s">
        <v>822</v>
      </c>
      <c r="E553" s="252" t="s">
        <v>917</v>
      </c>
      <c r="F553" s="252" t="s">
        <v>1498</v>
      </c>
      <c r="G553" s="252" t="s">
        <v>918</v>
      </c>
      <c r="H553" s="252" t="s">
        <v>892</v>
      </c>
      <c r="I553" s="255">
        <v>3</v>
      </c>
    </row>
    <row r="554" spans="1:9" ht="14.1" customHeight="1">
      <c r="A554" s="251" t="s">
        <v>1493</v>
      </c>
      <c r="B554" s="252" t="s">
        <v>922</v>
      </c>
      <c r="C554" s="256" t="s">
        <v>2321</v>
      </c>
      <c r="D554" s="254" t="s">
        <v>822</v>
      </c>
      <c r="E554" s="252" t="s">
        <v>917</v>
      </c>
      <c r="F554" s="252" t="s">
        <v>1498</v>
      </c>
      <c r="G554" s="252" t="s">
        <v>918</v>
      </c>
      <c r="H554" s="252" t="s">
        <v>913</v>
      </c>
      <c r="I554" s="255">
        <v>5.05</v>
      </c>
    </row>
    <row r="555" spans="1:9" ht="14.1" customHeight="1">
      <c r="A555" s="251" t="s">
        <v>1493</v>
      </c>
      <c r="B555" s="252" t="s">
        <v>922</v>
      </c>
      <c r="C555" s="256" t="s">
        <v>2324</v>
      </c>
      <c r="D555" s="254" t="s">
        <v>822</v>
      </c>
      <c r="E555" s="252" t="s">
        <v>917</v>
      </c>
      <c r="F555" s="252" t="s">
        <v>1499</v>
      </c>
      <c r="G555" s="252" t="s">
        <v>888</v>
      </c>
      <c r="H555" s="252" t="s">
        <v>892</v>
      </c>
      <c r="I555" s="255">
        <v>5.5</v>
      </c>
    </row>
    <row r="556" spans="1:9" ht="14.1" customHeight="1">
      <c r="A556" s="251" t="s">
        <v>1493</v>
      </c>
      <c r="B556" s="252" t="s">
        <v>922</v>
      </c>
      <c r="C556" s="256" t="s">
        <v>2326</v>
      </c>
      <c r="D556" s="254" t="s">
        <v>822</v>
      </c>
      <c r="E556" s="252" t="s">
        <v>917</v>
      </c>
      <c r="F556" s="252" t="s">
        <v>1500</v>
      </c>
      <c r="G556" s="252" t="s">
        <v>918</v>
      </c>
      <c r="H556" s="252" t="s">
        <v>913</v>
      </c>
      <c r="I556" s="255">
        <v>8.2210000000000001</v>
      </c>
    </row>
    <row r="557" spans="1:9" ht="14.1" customHeight="1">
      <c r="A557" s="251" t="s">
        <v>1493</v>
      </c>
      <c r="B557" s="252" t="s">
        <v>922</v>
      </c>
      <c r="C557" s="256" t="s">
        <v>2311</v>
      </c>
      <c r="D557" s="254" t="s">
        <v>821</v>
      </c>
      <c r="E557" s="252" t="s">
        <v>968</v>
      </c>
      <c r="F557" s="252" t="s">
        <v>1501</v>
      </c>
      <c r="G557" s="252" t="s">
        <v>888</v>
      </c>
      <c r="H557" s="252" t="s">
        <v>889</v>
      </c>
      <c r="I557" s="255">
        <v>25</v>
      </c>
    </row>
    <row r="558" spans="1:9" ht="14.1" customHeight="1">
      <c r="A558" s="251" t="s">
        <v>1493</v>
      </c>
      <c r="B558" s="252" t="s">
        <v>922</v>
      </c>
      <c r="C558" s="256" t="s">
        <v>2308</v>
      </c>
      <c r="D558" s="254" t="s">
        <v>821</v>
      </c>
      <c r="E558" s="252" t="s">
        <v>968</v>
      </c>
      <c r="F558" s="252" t="s">
        <v>1502</v>
      </c>
      <c r="G558" s="252" t="s">
        <v>888</v>
      </c>
      <c r="H558" s="252" t="s">
        <v>889</v>
      </c>
      <c r="I558" s="255">
        <v>115</v>
      </c>
    </row>
    <row r="559" spans="1:9" ht="14.1" customHeight="1">
      <c r="A559" s="251" t="s">
        <v>1493</v>
      </c>
      <c r="B559" s="252" t="s">
        <v>922</v>
      </c>
      <c r="C559" s="256" t="s">
        <v>2329</v>
      </c>
      <c r="D559" s="254" t="s">
        <v>821</v>
      </c>
      <c r="E559" s="252" t="s">
        <v>1000</v>
      </c>
      <c r="F559" s="252" t="s">
        <v>886</v>
      </c>
      <c r="G559" s="252" t="s">
        <v>945</v>
      </c>
      <c r="H559" s="252" t="s">
        <v>889</v>
      </c>
      <c r="I559" s="255">
        <v>224.98400000000001</v>
      </c>
    </row>
    <row r="560" spans="1:9" ht="14.1" customHeight="1">
      <c r="A560" s="251" t="s">
        <v>1493</v>
      </c>
      <c r="B560" s="252" t="s">
        <v>922</v>
      </c>
      <c r="C560" s="256" t="s">
        <v>2327</v>
      </c>
      <c r="D560" s="254" t="s">
        <v>822</v>
      </c>
      <c r="E560" s="252" t="s">
        <v>894</v>
      </c>
      <c r="F560" s="252" t="s">
        <v>1503</v>
      </c>
      <c r="G560" s="252" t="s">
        <v>984</v>
      </c>
      <c r="H560" s="252" t="s">
        <v>889</v>
      </c>
      <c r="I560" s="255">
        <v>750</v>
      </c>
    </row>
    <row r="561" spans="1:9" ht="14.1" customHeight="1">
      <c r="A561" s="251" t="s">
        <v>1504</v>
      </c>
      <c r="B561" s="252" t="s">
        <v>926</v>
      </c>
      <c r="C561" s="257" t="s">
        <v>2443</v>
      </c>
      <c r="D561" s="254" t="s">
        <v>822</v>
      </c>
      <c r="E561" s="252" t="s">
        <v>917</v>
      </c>
      <c r="F561" s="252" t="s">
        <v>1505</v>
      </c>
      <c r="G561" s="252" t="s">
        <v>918</v>
      </c>
      <c r="H561" s="252" t="s">
        <v>889</v>
      </c>
      <c r="I561" s="255">
        <v>0.13600000000000001</v>
      </c>
    </row>
    <row r="562" spans="1:9" ht="14.1" customHeight="1">
      <c r="A562" s="251" t="s">
        <v>1504</v>
      </c>
      <c r="B562" s="252" t="s">
        <v>926</v>
      </c>
      <c r="C562" s="257" t="s">
        <v>2445</v>
      </c>
      <c r="D562" s="254" t="s">
        <v>822</v>
      </c>
      <c r="E562" s="252" t="s">
        <v>917</v>
      </c>
      <c r="F562" s="252" t="s">
        <v>1506</v>
      </c>
      <c r="G562" s="252" t="s">
        <v>918</v>
      </c>
      <c r="H562" s="252" t="s">
        <v>892</v>
      </c>
      <c r="I562" s="255">
        <v>0.47599999999999998</v>
      </c>
    </row>
    <row r="563" spans="1:9" ht="14.1" customHeight="1">
      <c r="A563" s="251" t="s">
        <v>1504</v>
      </c>
      <c r="B563" s="252" t="s">
        <v>926</v>
      </c>
      <c r="C563" s="256" t="s">
        <v>2446</v>
      </c>
      <c r="D563" s="254" t="s">
        <v>822</v>
      </c>
      <c r="E563" s="252" t="s">
        <v>917</v>
      </c>
      <c r="F563" s="252" t="s">
        <v>1507</v>
      </c>
      <c r="G563" s="252" t="s">
        <v>918</v>
      </c>
      <c r="H563" s="252" t="s">
        <v>889</v>
      </c>
      <c r="I563" s="255">
        <v>0.86399999999999999</v>
      </c>
    </row>
    <row r="564" spans="1:9" ht="14.1" customHeight="1">
      <c r="A564" s="251" t="s">
        <v>1504</v>
      </c>
      <c r="B564" s="252" t="s">
        <v>926</v>
      </c>
      <c r="C564" s="256" t="s">
        <v>2442</v>
      </c>
      <c r="D564" s="254" t="s">
        <v>822</v>
      </c>
      <c r="E564" s="252" t="s">
        <v>1018</v>
      </c>
      <c r="F564" s="252" t="s">
        <v>1508</v>
      </c>
      <c r="G564" s="252" t="s">
        <v>1047</v>
      </c>
      <c r="H564" s="252" t="s">
        <v>889</v>
      </c>
      <c r="I564" s="255">
        <v>2.04</v>
      </c>
    </row>
    <row r="565" spans="1:9" ht="14.1" customHeight="1">
      <c r="A565" s="251" t="s">
        <v>1504</v>
      </c>
      <c r="B565" s="252" t="s">
        <v>926</v>
      </c>
      <c r="C565" s="257" t="s">
        <v>2444</v>
      </c>
      <c r="D565" s="254" t="s">
        <v>822</v>
      </c>
      <c r="E565" s="252" t="s">
        <v>917</v>
      </c>
      <c r="F565" s="252" t="s">
        <v>1509</v>
      </c>
      <c r="G565" s="252" t="s">
        <v>918</v>
      </c>
      <c r="H565" s="252" t="s">
        <v>913</v>
      </c>
      <c r="I565" s="255">
        <v>3.3780000000000001</v>
      </c>
    </row>
    <row r="566" spans="1:9" ht="14.1" customHeight="1">
      <c r="A566" s="251" t="s">
        <v>1504</v>
      </c>
      <c r="B566" s="252" t="s">
        <v>926</v>
      </c>
      <c r="C566" s="256" t="s">
        <v>2441</v>
      </c>
      <c r="D566" s="254" t="s">
        <v>821</v>
      </c>
      <c r="E566" s="252" t="s">
        <v>887</v>
      </c>
      <c r="F566" s="252" t="s">
        <v>1049</v>
      </c>
      <c r="G566" s="252" t="s">
        <v>1026</v>
      </c>
      <c r="H566" s="252" t="s">
        <v>889</v>
      </c>
      <c r="I566" s="255">
        <v>8.1270000000000007</v>
      </c>
    </row>
    <row r="567" spans="1:9" ht="14.1" customHeight="1">
      <c r="A567" s="251" t="s">
        <v>1504</v>
      </c>
      <c r="B567" s="252" t="s">
        <v>926</v>
      </c>
      <c r="C567" s="256" t="s">
        <v>2434</v>
      </c>
      <c r="D567" s="254" t="s">
        <v>822</v>
      </c>
      <c r="E567" s="252" t="s">
        <v>1046</v>
      </c>
      <c r="F567" s="252" t="s">
        <v>1510</v>
      </c>
      <c r="G567" s="252" t="s">
        <v>925</v>
      </c>
      <c r="H567" s="252" t="s">
        <v>889</v>
      </c>
      <c r="I567" s="255">
        <v>15.471</v>
      </c>
    </row>
    <row r="568" spans="1:9" ht="14.1" customHeight="1">
      <c r="A568" s="251" t="s">
        <v>1504</v>
      </c>
      <c r="B568" s="252" t="s">
        <v>926</v>
      </c>
      <c r="C568" s="256" t="s">
        <v>2449</v>
      </c>
      <c r="D568" s="254" t="s">
        <v>821</v>
      </c>
      <c r="E568" s="252" t="s">
        <v>1023</v>
      </c>
      <c r="F568" s="252" t="s">
        <v>1511</v>
      </c>
      <c r="G568" s="252" t="s">
        <v>895</v>
      </c>
      <c r="H568" s="252" t="s">
        <v>889</v>
      </c>
      <c r="I568" s="255">
        <v>17.513999999999999</v>
      </c>
    </row>
    <row r="569" spans="1:9" ht="14.1" customHeight="1">
      <c r="A569" s="251" t="s">
        <v>1504</v>
      </c>
      <c r="B569" s="252" t="s">
        <v>926</v>
      </c>
      <c r="C569" s="256" t="s">
        <v>2177</v>
      </c>
      <c r="D569" s="254" t="s">
        <v>822</v>
      </c>
      <c r="E569" s="252" t="s">
        <v>917</v>
      </c>
      <c r="F569" s="252" t="s">
        <v>1488</v>
      </c>
      <c r="G569" s="252" t="s">
        <v>888</v>
      </c>
      <c r="H569" s="252" t="s">
        <v>889</v>
      </c>
      <c r="I569" s="255">
        <v>56.264000000000003</v>
      </c>
    </row>
    <row r="570" spans="1:9" ht="14.1" customHeight="1">
      <c r="A570" s="251" t="s">
        <v>1504</v>
      </c>
      <c r="B570" s="252" t="s">
        <v>926</v>
      </c>
      <c r="C570" s="256" t="s">
        <v>2450</v>
      </c>
      <c r="D570" s="254" t="s">
        <v>821</v>
      </c>
      <c r="E570" s="252" t="s">
        <v>1246</v>
      </c>
      <c r="F570" s="252" t="s">
        <v>1512</v>
      </c>
      <c r="G570" s="252" t="s">
        <v>918</v>
      </c>
      <c r="H570" s="252" t="s">
        <v>889</v>
      </c>
      <c r="I570" s="255">
        <v>105</v>
      </c>
    </row>
    <row r="571" spans="1:9" ht="14.1" customHeight="1">
      <c r="A571" s="251" t="s">
        <v>1504</v>
      </c>
      <c r="B571" s="252" t="s">
        <v>926</v>
      </c>
      <c r="C571" s="257" t="s">
        <v>2438</v>
      </c>
      <c r="D571" s="254" t="s">
        <v>822</v>
      </c>
      <c r="E571" s="252" t="s">
        <v>938</v>
      </c>
      <c r="F571" s="252" t="s">
        <v>1513</v>
      </c>
      <c r="G571" s="252" t="s">
        <v>888</v>
      </c>
      <c r="H571" s="252" t="s">
        <v>889</v>
      </c>
      <c r="I571" s="255">
        <v>268.75</v>
      </c>
    </row>
    <row r="572" spans="1:9" ht="14.1" customHeight="1">
      <c r="A572" s="251" t="s">
        <v>1504</v>
      </c>
      <c r="B572" s="252" t="s">
        <v>926</v>
      </c>
      <c r="C572" s="257" t="s">
        <v>2433</v>
      </c>
      <c r="D572" s="254" t="s">
        <v>822</v>
      </c>
      <c r="E572" s="252" t="s">
        <v>944</v>
      </c>
      <c r="F572" s="252" t="s">
        <v>1514</v>
      </c>
      <c r="G572" s="252" t="s">
        <v>888</v>
      </c>
      <c r="H572" s="252" t="s">
        <v>889</v>
      </c>
      <c r="I572" s="255">
        <v>2298.212</v>
      </c>
    </row>
    <row r="573" spans="1:9" ht="14.1" customHeight="1">
      <c r="A573" s="251" t="s">
        <v>1515</v>
      </c>
      <c r="B573" s="252" t="s">
        <v>935</v>
      </c>
      <c r="C573" s="257" t="s">
        <v>2597</v>
      </c>
      <c r="D573" s="254" t="s">
        <v>822</v>
      </c>
      <c r="E573" s="252" t="s">
        <v>917</v>
      </c>
      <c r="F573" s="252" t="s">
        <v>1516</v>
      </c>
      <c r="G573" s="252" t="s">
        <v>918</v>
      </c>
      <c r="H573" s="252" t="s">
        <v>889</v>
      </c>
      <c r="I573" s="255">
        <v>0.5</v>
      </c>
    </row>
    <row r="574" spans="1:9" ht="14.1" customHeight="1">
      <c r="A574" s="251" t="s">
        <v>1515</v>
      </c>
      <c r="B574" s="252" t="s">
        <v>935</v>
      </c>
      <c r="C574" s="256" t="s">
        <v>2596</v>
      </c>
      <c r="D574" s="254" t="s">
        <v>822</v>
      </c>
      <c r="E574" s="252" t="s">
        <v>917</v>
      </c>
      <c r="F574" s="252" t="s">
        <v>1517</v>
      </c>
      <c r="G574" s="252" t="s">
        <v>918</v>
      </c>
      <c r="H574" s="252" t="s">
        <v>889</v>
      </c>
      <c r="I574" s="255">
        <v>0.50700000000000001</v>
      </c>
    </row>
    <row r="575" spans="1:9" ht="14.1" customHeight="1">
      <c r="A575" s="251" t="s">
        <v>1515</v>
      </c>
      <c r="B575" s="252" t="s">
        <v>935</v>
      </c>
      <c r="C575" s="256" t="s">
        <v>2595</v>
      </c>
      <c r="D575" s="254" t="s">
        <v>822</v>
      </c>
      <c r="E575" s="252" t="s">
        <v>917</v>
      </c>
      <c r="F575" s="252" t="s">
        <v>1518</v>
      </c>
      <c r="G575" s="252" t="s">
        <v>888</v>
      </c>
      <c r="H575" s="252" t="s">
        <v>892</v>
      </c>
      <c r="I575" s="255">
        <v>1.6</v>
      </c>
    </row>
    <row r="576" spans="1:9" ht="14.1" customHeight="1">
      <c r="A576" s="251" t="s">
        <v>1515</v>
      </c>
      <c r="B576" s="252" t="s">
        <v>935</v>
      </c>
      <c r="C576" s="253" t="s">
        <v>2606</v>
      </c>
      <c r="D576" s="254" t="s">
        <v>821</v>
      </c>
      <c r="E576" s="252" t="s">
        <v>983</v>
      </c>
      <c r="F576" s="252" t="s">
        <v>1519</v>
      </c>
      <c r="G576" s="252" t="s">
        <v>918</v>
      </c>
      <c r="H576" s="252" t="s">
        <v>892</v>
      </c>
      <c r="I576" s="255">
        <v>15</v>
      </c>
    </row>
    <row r="577" spans="1:9" ht="14.1" customHeight="1">
      <c r="A577" s="251" t="s">
        <v>1515</v>
      </c>
      <c r="B577" s="252" t="s">
        <v>935</v>
      </c>
      <c r="C577" s="253" t="s">
        <v>2599</v>
      </c>
      <c r="D577" s="254" t="s">
        <v>821</v>
      </c>
      <c r="E577" s="252" t="s">
        <v>1023</v>
      </c>
      <c r="F577" s="252" t="s">
        <v>1520</v>
      </c>
      <c r="G577" s="252" t="s">
        <v>888</v>
      </c>
      <c r="H577" s="252" t="s">
        <v>889</v>
      </c>
      <c r="I577" s="255">
        <v>28.5</v>
      </c>
    </row>
    <row r="578" spans="1:9" ht="14.1" customHeight="1">
      <c r="A578" s="251" t="s">
        <v>1515</v>
      </c>
      <c r="B578" s="252" t="s">
        <v>935</v>
      </c>
      <c r="C578" s="256" t="s">
        <v>2585</v>
      </c>
      <c r="D578" s="254" t="s">
        <v>822</v>
      </c>
      <c r="E578" s="252" t="s">
        <v>906</v>
      </c>
      <c r="F578" s="252" t="s">
        <v>1521</v>
      </c>
      <c r="G578" s="252" t="s">
        <v>888</v>
      </c>
      <c r="H578" s="252" t="s">
        <v>889</v>
      </c>
      <c r="I578" s="255">
        <v>400</v>
      </c>
    </row>
    <row r="579" spans="1:9" ht="14.1" customHeight="1">
      <c r="A579" s="251" t="s">
        <v>1515</v>
      </c>
      <c r="B579" s="252" t="s">
        <v>935</v>
      </c>
      <c r="C579" s="256" t="s">
        <v>2600</v>
      </c>
      <c r="D579" s="254" t="s">
        <v>822</v>
      </c>
      <c r="E579" s="252" t="s">
        <v>894</v>
      </c>
      <c r="F579" s="252" t="s">
        <v>886</v>
      </c>
      <c r="G579" s="252" t="s">
        <v>888</v>
      </c>
      <c r="H579" s="252" t="s">
        <v>889</v>
      </c>
      <c r="I579" s="255">
        <v>525</v>
      </c>
    </row>
    <row r="580" spans="1:9" ht="14.1" customHeight="1">
      <c r="A580" s="251" t="s">
        <v>1515</v>
      </c>
      <c r="B580" s="252" t="s">
        <v>935</v>
      </c>
      <c r="C580" s="253" t="s">
        <v>2593</v>
      </c>
      <c r="D580" s="254" t="s">
        <v>822</v>
      </c>
      <c r="E580" s="252" t="s">
        <v>1202</v>
      </c>
      <c r="F580" s="252" t="s">
        <v>1522</v>
      </c>
      <c r="G580" s="252" t="s">
        <v>888</v>
      </c>
      <c r="H580" s="252" t="s">
        <v>889</v>
      </c>
      <c r="I580" s="255">
        <v>1225</v>
      </c>
    </row>
    <row r="581" spans="1:9" ht="14.1" customHeight="1">
      <c r="A581" s="251" t="s">
        <v>1523</v>
      </c>
      <c r="B581" s="252" t="s">
        <v>941</v>
      </c>
      <c r="C581" s="256" t="s">
        <v>2759</v>
      </c>
      <c r="D581" s="254" t="s">
        <v>822</v>
      </c>
      <c r="E581" s="252" t="s">
        <v>917</v>
      </c>
      <c r="F581" s="252" t="s">
        <v>1524</v>
      </c>
      <c r="G581" s="252" t="s">
        <v>918</v>
      </c>
      <c r="H581" s="252" t="s">
        <v>892</v>
      </c>
      <c r="I581" s="255">
        <v>2.5999999999999999E-2</v>
      </c>
    </row>
    <row r="582" spans="1:9" ht="14.1" customHeight="1">
      <c r="A582" s="251" t="s">
        <v>1523</v>
      </c>
      <c r="B582" s="252" t="s">
        <v>941</v>
      </c>
      <c r="C582" s="256" t="s">
        <v>2755</v>
      </c>
      <c r="D582" s="254" t="s">
        <v>822</v>
      </c>
      <c r="E582" s="252" t="s">
        <v>917</v>
      </c>
      <c r="F582" s="252" t="s">
        <v>886</v>
      </c>
      <c r="G582" s="252" t="s">
        <v>918</v>
      </c>
      <c r="H582" s="252" t="s">
        <v>889</v>
      </c>
      <c r="I582" s="255">
        <v>0.60299999999999998</v>
      </c>
    </row>
    <row r="583" spans="1:9" ht="14.1" customHeight="1">
      <c r="A583" s="251" t="s">
        <v>1523</v>
      </c>
      <c r="B583" s="252" t="s">
        <v>941</v>
      </c>
      <c r="C583" s="256" t="s">
        <v>2756</v>
      </c>
      <c r="D583" s="254" t="s">
        <v>822</v>
      </c>
      <c r="E583" s="252" t="s">
        <v>917</v>
      </c>
      <c r="F583" s="252" t="s">
        <v>1525</v>
      </c>
      <c r="G583" s="252" t="s">
        <v>918</v>
      </c>
      <c r="H583" s="252" t="s">
        <v>913</v>
      </c>
      <c r="I583" s="255">
        <v>0.70799999999999996</v>
      </c>
    </row>
    <row r="584" spans="1:9" ht="14.1" customHeight="1">
      <c r="A584" s="251" t="s">
        <v>1523</v>
      </c>
      <c r="B584" s="252" t="s">
        <v>941</v>
      </c>
      <c r="C584" s="253" t="s">
        <v>2781</v>
      </c>
      <c r="D584" s="254" t="s">
        <v>822</v>
      </c>
      <c r="E584" s="252" t="s">
        <v>1009</v>
      </c>
      <c r="F584" s="252" t="s">
        <v>1526</v>
      </c>
      <c r="G584" s="252" t="s">
        <v>1085</v>
      </c>
      <c r="H584" s="252" t="s">
        <v>889</v>
      </c>
      <c r="I584" s="255">
        <v>10</v>
      </c>
    </row>
    <row r="585" spans="1:9" ht="14.1" customHeight="1">
      <c r="A585" s="251" t="s">
        <v>1523</v>
      </c>
      <c r="B585" s="252" t="s">
        <v>941</v>
      </c>
      <c r="C585" s="257" t="s">
        <v>2762</v>
      </c>
      <c r="D585" s="254" t="s">
        <v>821</v>
      </c>
      <c r="E585" s="252" t="s">
        <v>1246</v>
      </c>
      <c r="F585" s="252" t="s">
        <v>1527</v>
      </c>
      <c r="G585" s="252" t="s">
        <v>895</v>
      </c>
      <c r="H585" s="252" t="s">
        <v>889</v>
      </c>
      <c r="I585" s="255">
        <v>16.957999999999998</v>
      </c>
    </row>
    <row r="586" spans="1:9" ht="14.1" customHeight="1">
      <c r="A586" s="251" t="s">
        <v>1523</v>
      </c>
      <c r="B586" s="252" t="s">
        <v>941</v>
      </c>
      <c r="C586" s="256" t="s">
        <v>2758</v>
      </c>
      <c r="D586" s="254" t="s">
        <v>822</v>
      </c>
      <c r="E586" s="252" t="s">
        <v>917</v>
      </c>
      <c r="F586" s="252" t="s">
        <v>1528</v>
      </c>
      <c r="G586" s="252" t="s">
        <v>918</v>
      </c>
      <c r="H586" s="252" t="s">
        <v>889</v>
      </c>
      <c r="I586" s="255">
        <v>29.707000000000001</v>
      </c>
    </row>
    <row r="587" spans="1:9" ht="14.1" customHeight="1">
      <c r="A587" s="251" t="s">
        <v>1523</v>
      </c>
      <c r="B587" s="252" t="s">
        <v>941</v>
      </c>
      <c r="C587" s="256" t="s">
        <v>2770</v>
      </c>
      <c r="D587" s="254" t="s">
        <v>822</v>
      </c>
      <c r="E587" s="252" t="s">
        <v>911</v>
      </c>
      <c r="F587" s="252" t="s">
        <v>1529</v>
      </c>
      <c r="G587" s="252" t="s">
        <v>888</v>
      </c>
      <c r="H587" s="252" t="s">
        <v>892</v>
      </c>
      <c r="I587" s="255">
        <v>100</v>
      </c>
    </row>
    <row r="588" spans="1:9" ht="14.1" customHeight="1">
      <c r="A588" s="251" t="s">
        <v>1523</v>
      </c>
      <c r="B588" s="252" t="s">
        <v>941</v>
      </c>
      <c r="C588" s="256" t="s">
        <v>2770</v>
      </c>
      <c r="D588" s="254" t="s">
        <v>822</v>
      </c>
      <c r="E588" s="252" t="s">
        <v>911</v>
      </c>
      <c r="F588" s="252" t="s">
        <v>1462</v>
      </c>
      <c r="G588" s="252" t="s">
        <v>888</v>
      </c>
      <c r="H588" s="252" t="s">
        <v>889</v>
      </c>
      <c r="I588" s="255">
        <v>300</v>
      </c>
    </row>
    <row r="589" spans="1:9" ht="14.1" customHeight="1">
      <c r="A589" s="251" t="s">
        <v>1523</v>
      </c>
      <c r="B589" s="252" t="s">
        <v>941</v>
      </c>
      <c r="C589" s="256" t="s">
        <v>2328</v>
      </c>
      <c r="D589" s="254" t="s">
        <v>821</v>
      </c>
      <c r="E589" s="252" t="s">
        <v>1020</v>
      </c>
      <c r="F589" s="252" t="s">
        <v>1530</v>
      </c>
      <c r="G589" s="252" t="s">
        <v>888</v>
      </c>
      <c r="H589" s="252" t="s">
        <v>889</v>
      </c>
      <c r="I589" s="255">
        <v>2500</v>
      </c>
    </row>
    <row r="590" spans="1:9" ht="14.1" customHeight="1">
      <c r="A590" s="251" t="s">
        <v>1531</v>
      </c>
      <c r="B590" s="252" t="s">
        <v>948</v>
      </c>
      <c r="C590" s="256" t="s">
        <v>2917</v>
      </c>
      <c r="D590" s="254" t="s">
        <v>822</v>
      </c>
      <c r="E590" s="252" t="s">
        <v>917</v>
      </c>
      <c r="F590" s="252" t="s">
        <v>1532</v>
      </c>
      <c r="G590" s="252" t="s">
        <v>918</v>
      </c>
      <c r="H590" s="252" t="s">
        <v>913</v>
      </c>
      <c r="I590" s="255">
        <v>2.133</v>
      </c>
    </row>
    <row r="591" spans="1:9" ht="14.1" customHeight="1">
      <c r="A591" s="251" t="s">
        <v>1531</v>
      </c>
      <c r="B591" s="252" t="s">
        <v>948</v>
      </c>
      <c r="C591" s="253" t="s">
        <v>2916</v>
      </c>
      <c r="D591" s="254" t="s">
        <v>822</v>
      </c>
      <c r="E591" s="252" t="s">
        <v>917</v>
      </c>
      <c r="F591" s="252" t="s">
        <v>1533</v>
      </c>
      <c r="G591" s="252" t="s">
        <v>888</v>
      </c>
      <c r="H591" s="252" t="s">
        <v>889</v>
      </c>
      <c r="I591" s="255">
        <v>4</v>
      </c>
    </row>
    <row r="592" spans="1:9" ht="14.1" customHeight="1">
      <c r="A592" s="251" t="s">
        <v>1531</v>
      </c>
      <c r="B592" s="252" t="s">
        <v>948</v>
      </c>
      <c r="C592" s="253" t="s">
        <v>2911</v>
      </c>
      <c r="D592" s="254" t="s">
        <v>821</v>
      </c>
      <c r="E592" s="252" t="s">
        <v>1051</v>
      </c>
      <c r="F592" s="252" t="s">
        <v>1356</v>
      </c>
      <c r="G592" s="252" t="s">
        <v>888</v>
      </c>
      <c r="H592" s="252" t="s">
        <v>889</v>
      </c>
      <c r="I592" s="255">
        <v>52.018999999999998</v>
      </c>
    </row>
    <row r="593" spans="1:9" ht="14.1" customHeight="1">
      <c r="A593" s="251" t="s">
        <v>1531</v>
      </c>
      <c r="B593" s="252" t="s">
        <v>948</v>
      </c>
      <c r="C593" s="253" t="s">
        <v>2913</v>
      </c>
      <c r="D593" s="254" t="s">
        <v>822</v>
      </c>
      <c r="E593" s="252" t="s">
        <v>906</v>
      </c>
      <c r="F593" s="252" t="s">
        <v>1534</v>
      </c>
      <c r="G593" s="252" t="s">
        <v>904</v>
      </c>
      <c r="H593" s="252" t="s">
        <v>892</v>
      </c>
      <c r="I593" s="255">
        <v>105</v>
      </c>
    </row>
    <row r="594" spans="1:9" ht="14.1" customHeight="1">
      <c r="A594" s="251" t="s">
        <v>1531</v>
      </c>
      <c r="B594" s="252" t="s">
        <v>948</v>
      </c>
      <c r="C594" s="256" t="s">
        <v>2912</v>
      </c>
      <c r="D594" s="254" t="s">
        <v>821</v>
      </c>
      <c r="E594" s="252" t="s">
        <v>1030</v>
      </c>
      <c r="F594" s="252" t="s">
        <v>1535</v>
      </c>
      <c r="G594" s="252" t="s">
        <v>929</v>
      </c>
      <c r="H594" s="252" t="s">
        <v>889</v>
      </c>
      <c r="I594" s="255">
        <v>606.14800000000002</v>
      </c>
    </row>
    <row r="595" spans="1:9" ht="14.1" customHeight="1">
      <c r="A595" s="251" t="s">
        <v>1531</v>
      </c>
      <c r="B595" s="252" t="s">
        <v>948</v>
      </c>
      <c r="C595" s="256" t="s">
        <v>2923</v>
      </c>
      <c r="D595" s="254" t="s">
        <v>821</v>
      </c>
      <c r="E595" s="252" t="s">
        <v>1020</v>
      </c>
      <c r="F595" s="252" t="s">
        <v>1530</v>
      </c>
      <c r="G595" s="252" t="s">
        <v>888</v>
      </c>
      <c r="H595" s="252" t="s">
        <v>889</v>
      </c>
      <c r="I595" s="255">
        <v>1875</v>
      </c>
    </row>
    <row r="596" spans="1:9" ht="14.1" customHeight="1">
      <c r="A596" s="251" t="s">
        <v>1536</v>
      </c>
      <c r="B596" s="252" t="s">
        <v>951</v>
      </c>
      <c r="C596" s="257" t="s">
        <v>2755</v>
      </c>
      <c r="D596" s="254" t="s">
        <v>822</v>
      </c>
      <c r="E596" s="252" t="s">
        <v>917</v>
      </c>
      <c r="F596" s="252" t="s">
        <v>1537</v>
      </c>
      <c r="G596" s="252" t="s">
        <v>918</v>
      </c>
      <c r="H596" s="252" t="s">
        <v>913</v>
      </c>
      <c r="I596" s="255">
        <v>8.3000000000000004E-2</v>
      </c>
    </row>
    <row r="597" spans="1:9" ht="14.1" customHeight="1">
      <c r="A597" s="251" t="s">
        <v>1536</v>
      </c>
      <c r="B597" s="252" t="s">
        <v>951</v>
      </c>
      <c r="C597" s="256" t="s">
        <v>3058</v>
      </c>
      <c r="D597" s="254" t="s">
        <v>822</v>
      </c>
      <c r="E597" s="252" t="s">
        <v>917</v>
      </c>
      <c r="F597" s="252" t="s">
        <v>1538</v>
      </c>
      <c r="G597" s="252" t="s">
        <v>918</v>
      </c>
      <c r="H597" s="252" t="s">
        <v>889</v>
      </c>
      <c r="I597" s="255">
        <v>0.123</v>
      </c>
    </row>
    <row r="598" spans="1:9" ht="14.1" customHeight="1">
      <c r="A598" s="251" t="s">
        <v>1536</v>
      </c>
      <c r="B598" s="252" t="s">
        <v>951</v>
      </c>
      <c r="C598" s="253" t="s">
        <v>2755</v>
      </c>
      <c r="D598" s="254" t="s">
        <v>822</v>
      </c>
      <c r="E598" s="252" t="s">
        <v>917</v>
      </c>
      <c r="F598" s="252" t="s">
        <v>1537</v>
      </c>
      <c r="G598" s="252" t="s">
        <v>918</v>
      </c>
      <c r="H598" s="252" t="s">
        <v>913</v>
      </c>
      <c r="I598" s="255">
        <v>0.125</v>
      </c>
    </row>
    <row r="599" spans="1:9" ht="14.1" customHeight="1">
      <c r="A599" s="251" t="s">
        <v>1536</v>
      </c>
      <c r="B599" s="252" t="s">
        <v>951</v>
      </c>
      <c r="C599" s="256" t="s">
        <v>2755</v>
      </c>
      <c r="D599" s="254" t="s">
        <v>822</v>
      </c>
      <c r="E599" s="252" t="s">
        <v>917</v>
      </c>
      <c r="F599" s="252" t="s">
        <v>1537</v>
      </c>
      <c r="G599" s="252" t="s">
        <v>918</v>
      </c>
      <c r="H599" s="252" t="s">
        <v>892</v>
      </c>
      <c r="I599" s="255">
        <v>0.58199999999999996</v>
      </c>
    </row>
    <row r="600" spans="1:9" ht="14.1" customHeight="1">
      <c r="A600" s="251" t="s">
        <v>1536</v>
      </c>
      <c r="B600" s="252" t="s">
        <v>951</v>
      </c>
      <c r="C600" s="256" t="s">
        <v>3059</v>
      </c>
      <c r="D600" s="254" t="s">
        <v>822</v>
      </c>
      <c r="E600" s="252" t="s">
        <v>917</v>
      </c>
      <c r="F600" s="252" t="s">
        <v>1539</v>
      </c>
      <c r="G600" s="252" t="s">
        <v>888</v>
      </c>
      <c r="H600" s="252" t="s">
        <v>889</v>
      </c>
      <c r="I600" s="255">
        <v>5</v>
      </c>
    </row>
    <row r="601" spans="1:9" ht="14.1" customHeight="1">
      <c r="A601" s="251" t="s">
        <v>1536</v>
      </c>
      <c r="B601" s="252" t="s">
        <v>951</v>
      </c>
      <c r="C601" s="256" t="s">
        <v>3067</v>
      </c>
      <c r="D601" s="254" t="s">
        <v>822</v>
      </c>
      <c r="E601" s="252" t="s">
        <v>1110</v>
      </c>
      <c r="F601" s="252" t="s">
        <v>886</v>
      </c>
      <c r="G601" s="252" t="s">
        <v>1022</v>
      </c>
      <c r="H601" s="252" t="s">
        <v>889</v>
      </c>
      <c r="I601" s="255">
        <v>12.74</v>
      </c>
    </row>
    <row r="602" spans="1:9" ht="14.1" customHeight="1">
      <c r="A602" s="251" t="s">
        <v>1536</v>
      </c>
      <c r="B602" s="252" t="s">
        <v>951</v>
      </c>
      <c r="C602" s="253" t="s">
        <v>3051</v>
      </c>
      <c r="D602" s="254" t="s">
        <v>822</v>
      </c>
      <c r="E602" s="252" t="s">
        <v>1088</v>
      </c>
      <c r="F602" s="252" t="s">
        <v>1540</v>
      </c>
      <c r="G602" s="252" t="s">
        <v>954</v>
      </c>
      <c r="H602" s="252" t="s">
        <v>889</v>
      </c>
      <c r="I602" s="255">
        <v>15.62</v>
      </c>
    </row>
    <row r="603" spans="1:9" ht="14.1" customHeight="1">
      <c r="A603" s="251" t="s">
        <v>1536</v>
      </c>
      <c r="B603" s="252" t="s">
        <v>951</v>
      </c>
      <c r="C603" s="256" t="s">
        <v>3050</v>
      </c>
      <c r="D603" s="254" t="s">
        <v>822</v>
      </c>
      <c r="E603" s="252" t="s">
        <v>938</v>
      </c>
      <c r="F603" s="252" t="s">
        <v>1541</v>
      </c>
      <c r="G603" s="252" t="s">
        <v>891</v>
      </c>
      <c r="H603" s="252" t="s">
        <v>889</v>
      </c>
      <c r="I603" s="255">
        <v>34.07</v>
      </c>
    </row>
    <row r="604" spans="1:9" ht="14.1" customHeight="1">
      <c r="A604" s="251" t="s">
        <v>1536</v>
      </c>
      <c r="B604" s="252" t="s">
        <v>951</v>
      </c>
      <c r="C604" s="256" t="s">
        <v>3075</v>
      </c>
      <c r="D604" s="254" t="s">
        <v>821</v>
      </c>
      <c r="E604" s="252" t="s">
        <v>1000</v>
      </c>
      <c r="F604" s="252" t="s">
        <v>1542</v>
      </c>
      <c r="G604" s="252" t="s">
        <v>1306</v>
      </c>
      <c r="H604" s="252" t="s">
        <v>889</v>
      </c>
      <c r="I604" s="255">
        <v>54.5</v>
      </c>
    </row>
    <row r="605" spans="1:9" ht="14.1" customHeight="1">
      <c r="A605" s="251" t="s">
        <v>1536</v>
      </c>
      <c r="B605" s="252" t="s">
        <v>951</v>
      </c>
      <c r="C605" s="256" t="s">
        <v>3077</v>
      </c>
      <c r="D605" s="254" t="s">
        <v>821</v>
      </c>
      <c r="E605" s="252" t="s">
        <v>983</v>
      </c>
      <c r="F605" s="252" t="s">
        <v>1543</v>
      </c>
      <c r="G605" s="252" t="s">
        <v>954</v>
      </c>
      <c r="H605" s="252" t="s">
        <v>889</v>
      </c>
      <c r="I605" s="255">
        <v>88.007000000000005</v>
      </c>
    </row>
    <row r="606" spans="1:9" ht="14.1" customHeight="1">
      <c r="A606" s="251" t="s">
        <v>1536</v>
      </c>
      <c r="B606" s="252" t="s">
        <v>951</v>
      </c>
      <c r="C606" s="256" t="s">
        <v>3041</v>
      </c>
      <c r="D606" s="254" t="s">
        <v>821</v>
      </c>
      <c r="E606" s="252" t="s">
        <v>968</v>
      </c>
      <c r="F606" s="252" t="s">
        <v>1212</v>
      </c>
      <c r="G606" s="252" t="s">
        <v>929</v>
      </c>
      <c r="H606" s="252" t="s">
        <v>889</v>
      </c>
      <c r="I606" s="255">
        <v>125</v>
      </c>
    </row>
    <row r="607" spans="1:9" ht="14.1" customHeight="1">
      <c r="A607" s="251" t="s">
        <v>1536</v>
      </c>
      <c r="B607" s="252" t="s">
        <v>951</v>
      </c>
      <c r="C607" s="256" t="s">
        <v>3045</v>
      </c>
      <c r="D607" s="254" t="s">
        <v>821</v>
      </c>
      <c r="E607" s="252" t="s">
        <v>1030</v>
      </c>
      <c r="F607" s="252" t="s">
        <v>1544</v>
      </c>
      <c r="G607" s="252" t="s">
        <v>918</v>
      </c>
      <c r="H607" s="252" t="s">
        <v>889</v>
      </c>
      <c r="I607" s="255">
        <v>196.48</v>
      </c>
    </row>
    <row r="608" spans="1:9" ht="14.1" customHeight="1">
      <c r="A608" s="251" t="s">
        <v>1536</v>
      </c>
      <c r="B608" s="252" t="s">
        <v>951</v>
      </c>
      <c r="C608" s="256" t="s">
        <v>3070</v>
      </c>
      <c r="D608" s="254" t="s">
        <v>822</v>
      </c>
      <c r="E608" s="252" t="s">
        <v>911</v>
      </c>
      <c r="F608" s="252" t="s">
        <v>1529</v>
      </c>
      <c r="G608" s="252" t="s">
        <v>888</v>
      </c>
      <c r="H608" s="252" t="s">
        <v>889</v>
      </c>
      <c r="I608" s="255">
        <v>2149.9899999999998</v>
      </c>
    </row>
    <row r="609" spans="1:9" ht="14.1" customHeight="1">
      <c r="A609" s="251" t="s">
        <v>1545</v>
      </c>
      <c r="B609" s="252" t="s">
        <v>1172</v>
      </c>
      <c r="C609" s="256" t="s">
        <v>3200</v>
      </c>
      <c r="D609" s="254" t="s">
        <v>822</v>
      </c>
      <c r="E609" s="252" t="s">
        <v>1032</v>
      </c>
      <c r="F609" s="252" t="s">
        <v>1546</v>
      </c>
      <c r="G609" s="252" t="s">
        <v>945</v>
      </c>
      <c r="H609" s="252" t="s">
        <v>931</v>
      </c>
      <c r="I609" s="255">
        <v>0.36199999999999999</v>
      </c>
    </row>
    <row r="610" spans="1:9" ht="14.1" customHeight="1">
      <c r="A610" s="251" t="s">
        <v>1545</v>
      </c>
      <c r="B610" s="252" t="s">
        <v>1172</v>
      </c>
      <c r="C610" s="256" t="s">
        <v>3197</v>
      </c>
      <c r="D610" s="254" t="s">
        <v>822</v>
      </c>
      <c r="E610" s="252" t="s">
        <v>1046</v>
      </c>
      <c r="F610" s="252" t="s">
        <v>1045</v>
      </c>
      <c r="G610" s="252" t="s">
        <v>1047</v>
      </c>
      <c r="H610" s="252" t="s">
        <v>892</v>
      </c>
      <c r="I610" s="255">
        <v>0.48899999999999999</v>
      </c>
    </row>
    <row r="611" spans="1:9" ht="14.1" customHeight="1">
      <c r="A611" s="251" t="s">
        <v>1545</v>
      </c>
      <c r="B611" s="252" t="s">
        <v>1172</v>
      </c>
      <c r="C611" s="256" t="s">
        <v>3208</v>
      </c>
      <c r="D611" s="254" t="s">
        <v>822</v>
      </c>
      <c r="E611" s="252" t="s">
        <v>917</v>
      </c>
      <c r="F611" s="252" t="s">
        <v>1547</v>
      </c>
      <c r="G611" s="252" t="s">
        <v>918</v>
      </c>
      <c r="H611" s="252" t="s">
        <v>913</v>
      </c>
      <c r="I611" s="255">
        <v>1.587</v>
      </c>
    </row>
    <row r="612" spans="1:9" ht="14.1" customHeight="1">
      <c r="A612" s="251" t="s">
        <v>1545</v>
      </c>
      <c r="B612" s="252" t="s">
        <v>1172</v>
      </c>
      <c r="C612" s="256" t="s">
        <v>3207</v>
      </c>
      <c r="D612" s="254" t="s">
        <v>822</v>
      </c>
      <c r="E612" s="252" t="s">
        <v>917</v>
      </c>
      <c r="F612" s="252" t="s">
        <v>1548</v>
      </c>
      <c r="G612" s="252" t="s">
        <v>918</v>
      </c>
      <c r="H612" s="252" t="s">
        <v>889</v>
      </c>
      <c r="I612" s="255">
        <v>2.5</v>
      </c>
    </row>
    <row r="613" spans="1:9" ht="14.1" customHeight="1">
      <c r="A613" s="251" t="s">
        <v>1545</v>
      </c>
      <c r="B613" s="252" t="s">
        <v>1172</v>
      </c>
      <c r="C613" s="256" t="s">
        <v>3210</v>
      </c>
      <c r="D613" s="254" t="s">
        <v>822</v>
      </c>
      <c r="E613" s="252" t="s">
        <v>917</v>
      </c>
      <c r="F613" s="252" t="s">
        <v>1549</v>
      </c>
      <c r="G613" s="252" t="s">
        <v>1024</v>
      </c>
      <c r="H613" s="252" t="s">
        <v>889</v>
      </c>
      <c r="I613" s="255">
        <v>6.0380000000000003</v>
      </c>
    </row>
    <row r="614" spans="1:9" ht="14.1" customHeight="1">
      <c r="A614" s="251" t="s">
        <v>1545</v>
      </c>
      <c r="B614" s="252" t="s">
        <v>1172</v>
      </c>
      <c r="C614" s="256" t="s">
        <v>3209</v>
      </c>
      <c r="D614" s="254" t="s">
        <v>822</v>
      </c>
      <c r="E614" s="252" t="s">
        <v>917</v>
      </c>
      <c r="F614" s="252" t="s">
        <v>1528</v>
      </c>
      <c r="G614" s="252" t="s">
        <v>918</v>
      </c>
      <c r="H614" s="252" t="s">
        <v>889</v>
      </c>
      <c r="I614" s="255">
        <v>6.0709999999999997</v>
      </c>
    </row>
    <row r="615" spans="1:9" ht="14.1" customHeight="1">
      <c r="A615" s="251" t="s">
        <v>1545</v>
      </c>
      <c r="B615" s="252" t="s">
        <v>1172</v>
      </c>
      <c r="C615" s="256" t="s">
        <v>3191</v>
      </c>
      <c r="D615" s="254" t="s">
        <v>821</v>
      </c>
      <c r="E615" s="252" t="s">
        <v>968</v>
      </c>
      <c r="F615" s="252" t="s">
        <v>993</v>
      </c>
      <c r="G615" s="252" t="s">
        <v>929</v>
      </c>
      <c r="H615" s="252" t="s">
        <v>889</v>
      </c>
      <c r="I615" s="255">
        <v>9</v>
      </c>
    </row>
    <row r="616" spans="1:9" ht="14.1" customHeight="1">
      <c r="A616" s="251" t="s">
        <v>1545</v>
      </c>
      <c r="B616" s="252" t="s">
        <v>1172</v>
      </c>
      <c r="C616" s="253" t="s">
        <v>3199</v>
      </c>
      <c r="D616" s="254" t="s">
        <v>822</v>
      </c>
      <c r="E616" s="252" t="s">
        <v>1088</v>
      </c>
      <c r="F616" s="252" t="s">
        <v>1550</v>
      </c>
      <c r="G616" s="252" t="s">
        <v>888</v>
      </c>
      <c r="H616" s="252" t="s">
        <v>889</v>
      </c>
      <c r="I616" s="255">
        <v>14.5</v>
      </c>
    </row>
    <row r="617" spans="1:9" ht="14.1" customHeight="1">
      <c r="A617" s="251" t="s">
        <v>1545</v>
      </c>
      <c r="B617" s="252" t="s">
        <v>1172</v>
      </c>
      <c r="C617" s="256" t="s">
        <v>3201</v>
      </c>
      <c r="D617" s="254" t="s">
        <v>822</v>
      </c>
      <c r="E617" s="252" t="s">
        <v>1032</v>
      </c>
      <c r="F617" s="252" t="s">
        <v>886</v>
      </c>
      <c r="G617" s="252" t="s">
        <v>925</v>
      </c>
      <c r="H617" s="252" t="s">
        <v>889</v>
      </c>
      <c r="I617" s="255">
        <v>20.582999999999998</v>
      </c>
    </row>
    <row r="618" spans="1:9" ht="14.1" customHeight="1">
      <c r="A618" s="251" t="s">
        <v>1545</v>
      </c>
      <c r="B618" s="252" t="s">
        <v>1172</v>
      </c>
      <c r="C618" s="256" t="s">
        <v>3196</v>
      </c>
      <c r="D618" s="254" t="s">
        <v>822</v>
      </c>
      <c r="E618" s="252" t="s">
        <v>1046</v>
      </c>
      <c r="F618" s="252" t="s">
        <v>1551</v>
      </c>
      <c r="G618" s="252" t="s">
        <v>925</v>
      </c>
      <c r="H618" s="252" t="s">
        <v>889</v>
      </c>
      <c r="I618" s="255">
        <v>23.7</v>
      </c>
    </row>
    <row r="619" spans="1:9" ht="14.1" customHeight="1">
      <c r="A619" s="251" t="s">
        <v>1545</v>
      </c>
      <c r="B619" s="252" t="s">
        <v>1172</v>
      </c>
      <c r="C619" s="256" t="s">
        <v>3216</v>
      </c>
      <c r="D619" s="254" t="s">
        <v>821</v>
      </c>
      <c r="E619" s="252" t="s">
        <v>1020</v>
      </c>
      <c r="F619" s="252" t="s">
        <v>1501</v>
      </c>
      <c r="G619" s="252" t="s">
        <v>888</v>
      </c>
      <c r="H619" s="252" t="s">
        <v>889</v>
      </c>
      <c r="I619" s="255">
        <v>38</v>
      </c>
    </row>
    <row r="620" spans="1:9" ht="14.1" customHeight="1">
      <c r="A620" s="251" t="s">
        <v>1545</v>
      </c>
      <c r="B620" s="252" t="s">
        <v>1172</v>
      </c>
      <c r="C620" s="256" t="s">
        <v>3213</v>
      </c>
      <c r="D620" s="254" t="s">
        <v>822</v>
      </c>
      <c r="E620" s="252" t="s">
        <v>1099</v>
      </c>
      <c r="F620" s="252" t="s">
        <v>1429</v>
      </c>
      <c r="G620" s="252" t="s">
        <v>959</v>
      </c>
      <c r="H620" s="252" t="s">
        <v>889</v>
      </c>
      <c r="I620" s="255">
        <v>58.037999999999997</v>
      </c>
    </row>
    <row r="621" spans="1:9" ht="14.1" customHeight="1">
      <c r="A621" s="251" t="s">
        <v>1545</v>
      </c>
      <c r="B621" s="252" t="s">
        <v>1172</v>
      </c>
      <c r="C621" s="258" t="s">
        <v>3205</v>
      </c>
      <c r="D621" s="254" t="s">
        <v>822</v>
      </c>
      <c r="E621" s="252" t="s">
        <v>1202</v>
      </c>
      <c r="F621" s="252" t="s">
        <v>1552</v>
      </c>
      <c r="G621" s="252" t="s">
        <v>959</v>
      </c>
      <c r="H621" s="252" t="s">
        <v>889</v>
      </c>
      <c r="I621" s="255">
        <v>63</v>
      </c>
    </row>
    <row r="622" spans="1:9" ht="14.1" customHeight="1">
      <c r="A622" s="251" t="s">
        <v>1545</v>
      </c>
      <c r="B622" s="252" t="s">
        <v>1172</v>
      </c>
      <c r="C622" s="256" t="s">
        <v>3206</v>
      </c>
      <c r="D622" s="254" t="s">
        <v>822</v>
      </c>
      <c r="E622" s="252" t="s">
        <v>917</v>
      </c>
      <c r="F622" s="252" t="s">
        <v>1553</v>
      </c>
      <c r="G622" s="252" t="s">
        <v>888</v>
      </c>
      <c r="H622" s="252" t="s">
        <v>889</v>
      </c>
      <c r="I622" s="255">
        <v>100</v>
      </c>
    </row>
    <row r="623" spans="1:9" ht="14.1" customHeight="1">
      <c r="A623" s="251" t="s">
        <v>1554</v>
      </c>
      <c r="B623" s="252" t="s">
        <v>955</v>
      </c>
      <c r="C623" s="253" t="s">
        <v>3375</v>
      </c>
      <c r="D623" s="254" t="s">
        <v>822</v>
      </c>
      <c r="E623" s="252" t="s">
        <v>917</v>
      </c>
      <c r="F623" s="252" t="s">
        <v>1507</v>
      </c>
      <c r="G623" s="252" t="s">
        <v>918</v>
      </c>
      <c r="H623" s="252" t="s">
        <v>889</v>
      </c>
      <c r="I623" s="255">
        <v>1.6E-2</v>
      </c>
    </row>
    <row r="624" spans="1:9" ht="14.1" customHeight="1">
      <c r="A624" s="251" t="s">
        <v>1554</v>
      </c>
      <c r="B624" s="252" t="s">
        <v>955</v>
      </c>
      <c r="C624" s="257" t="s">
        <v>3373</v>
      </c>
      <c r="D624" s="254" t="s">
        <v>822</v>
      </c>
      <c r="E624" s="252" t="s">
        <v>1018</v>
      </c>
      <c r="F624" s="252" t="s">
        <v>1555</v>
      </c>
      <c r="G624" s="252" t="s">
        <v>888</v>
      </c>
      <c r="H624" s="252" t="s">
        <v>892</v>
      </c>
      <c r="I624" s="255">
        <v>5</v>
      </c>
    </row>
    <row r="625" spans="1:9" ht="14.1" customHeight="1">
      <c r="A625" s="251" t="s">
        <v>1554</v>
      </c>
      <c r="B625" s="252" t="s">
        <v>955</v>
      </c>
      <c r="C625" s="253" t="s">
        <v>3378</v>
      </c>
      <c r="D625" s="254" t="s">
        <v>822</v>
      </c>
      <c r="E625" s="252" t="s">
        <v>1135</v>
      </c>
      <c r="F625" s="252" t="s">
        <v>1242</v>
      </c>
      <c r="G625" s="252" t="s">
        <v>912</v>
      </c>
      <c r="H625" s="252" t="s">
        <v>889</v>
      </c>
      <c r="I625" s="255">
        <v>434.09800000000001</v>
      </c>
    </row>
    <row r="626" spans="1:9" ht="14.1" customHeight="1">
      <c r="A626" s="251" t="s">
        <v>1554</v>
      </c>
      <c r="B626" s="252" t="s">
        <v>955</v>
      </c>
      <c r="C626" s="256" t="s">
        <v>3358</v>
      </c>
      <c r="D626" s="254" t="s">
        <v>821</v>
      </c>
      <c r="E626" s="252" t="s">
        <v>1168</v>
      </c>
      <c r="F626" s="252" t="s">
        <v>1556</v>
      </c>
      <c r="G626" s="252" t="s">
        <v>888</v>
      </c>
      <c r="H626" s="252" t="s">
        <v>889</v>
      </c>
      <c r="I626" s="255">
        <v>593.73</v>
      </c>
    </row>
    <row r="627" spans="1:9" ht="14.1" customHeight="1">
      <c r="A627" s="251" t="s">
        <v>1554</v>
      </c>
      <c r="B627" s="252" t="s">
        <v>955</v>
      </c>
      <c r="C627" s="253" t="s">
        <v>3361</v>
      </c>
      <c r="D627" s="254" t="s">
        <v>821</v>
      </c>
      <c r="E627" s="252" t="s">
        <v>1051</v>
      </c>
      <c r="F627" s="252" t="s">
        <v>1557</v>
      </c>
      <c r="G627" s="252" t="s">
        <v>939</v>
      </c>
      <c r="H627" s="252" t="s">
        <v>889</v>
      </c>
      <c r="I627" s="255">
        <v>1226.769</v>
      </c>
    </row>
    <row r="628" spans="1:9" ht="14.1" customHeight="1">
      <c r="A628" s="251" t="s">
        <v>1554</v>
      </c>
      <c r="B628" s="252" t="s">
        <v>955</v>
      </c>
      <c r="C628" s="253" t="s">
        <v>3364</v>
      </c>
      <c r="D628" s="254" t="s">
        <v>822</v>
      </c>
      <c r="E628" s="252" t="s">
        <v>938</v>
      </c>
      <c r="F628" s="252" t="s">
        <v>1558</v>
      </c>
      <c r="G628" s="252" t="s">
        <v>1047</v>
      </c>
      <c r="H628" s="252" t="s">
        <v>889</v>
      </c>
      <c r="I628" s="255">
        <v>2294.4070000000002</v>
      </c>
    </row>
    <row r="629" spans="1:9" ht="14.1" customHeight="1">
      <c r="A629" s="251" t="s">
        <v>1559</v>
      </c>
      <c r="B629" s="252" t="s">
        <v>960</v>
      </c>
      <c r="C629" s="256" t="s">
        <v>3493</v>
      </c>
      <c r="D629" s="254" t="s">
        <v>822</v>
      </c>
      <c r="E629" s="252" t="s">
        <v>917</v>
      </c>
      <c r="F629" s="252" t="s">
        <v>1560</v>
      </c>
      <c r="G629" s="252" t="s">
        <v>918</v>
      </c>
      <c r="H629" s="252" t="s">
        <v>889</v>
      </c>
      <c r="I629" s="255">
        <v>2</v>
      </c>
    </row>
    <row r="630" spans="1:9" ht="14.1" customHeight="1">
      <c r="A630" s="251" t="s">
        <v>1559</v>
      </c>
      <c r="B630" s="252" t="s">
        <v>960</v>
      </c>
      <c r="C630" s="256" t="s">
        <v>3483</v>
      </c>
      <c r="D630" s="254" t="s">
        <v>822</v>
      </c>
      <c r="E630" s="252" t="s">
        <v>944</v>
      </c>
      <c r="F630" s="252" t="s">
        <v>1561</v>
      </c>
      <c r="G630" s="252" t="s">
        <v>1021</v>
      </c>
      <c r="H630" s="252" t="s">
        <v>889</v>
      </c>
      <c r="I630" s="255">
        <v>7.8</v>
      </c>
    </row>
    <row r="631" spans="1:9" ht="14.1" customHeight="1">
      <c r="A631" s="251" t="s">
        <v>1559</v>
      </c>
      <c r="B631" s="252" t="s">
        <v>960</v>
      </c>
      <c r="C631" s="256" t="s">
        <v>3481</v>
      </c>
      <c r="D631" s="254" t="s">
        <v>821</v>
      </c>
      <c r="E631" s="252" t="s">
        <v>1168</v>
      </c>
      <c r="F631" s="252" t="s">
        <v>1562</v>
      </c>
      <c r="G631" s="252" t="s">
        <v>888</v>
      </c>
      <c r="H631" s="252" t="s">
        <v>889</v>
      </c>
      <c r="I631" s="255">
        <v>10.5</v>
      </c>
    </row>
    <row r="632" spans="1:9" ht="14.1" customHeight="1">
      <c r="A632" s="251" t="s">
        <v>1559</v>
      </c>
      <c r="B632" s="252" t="s">
        <v>960</v>
      </c>
      <c r="C632" s="253" t="s">
        <v>3489</v>
      </c>
      <c r="D632" s="254" t="s">
        <v>822</v>
      </c>
      <c r="E632" s="252" t="s">
        <v>906</v>
      </c>
      <c r="F632" s="252" t="s">
        <v>1563</v>
      </c>
      <c r="G632" s="252" t="s">
        <v>939</v>
      </c>
      <c r="H632" s="252" t="s">
        <v>889</v>
      </c>
      <c r="I632" s="255">
        <v>15.625</v>
      </c>
    </row>
    <row r="633" spans="1:9" ht="14.1" customHeight="1">
      <c r="A633" s="251" t="s">
        <v>1559</v>
      </c>
      <c r="B633" s="252" t="s">
        <v>960</v>
      </c>
      <c r="C633" s="256" t="s">
        <v>3486</v>
      </c>
      <c r="D633" s="254" t="s">
        <v>822</v>
      </c>
      <c r="E633" s="252" t="s">
        <v>938</v>
      </c>
      <c r="F633" s="252" t="s">
        <v>1564</v>
      </c>
      <c r="G633" s="252" t="s">
        <v>959</v>
      </c>
      <c r="H633" s="252" t="s">
        <v>892</v>
      </c>
      <c r="I633" s="255">
        <v>33.311</v>
      </c>
    </row>
    <row r="634" spans="1:9" ht="14.1" customHeight="1">
      <c r="A634" s="251" t="s">
        <v>1559</v>
      </c>
      <c r="B634" s="252" t="s">
        <v>960</v>
      </c>
      <c r="C634" s="256" t="s">
        <v>3496</v>
      </c>
      <c r="D634" s="254" t="s">
        <v>821</v>
      </c>
      <c r="E634" s="252" t="s">
        <v>1023</v>
      </c>
      <c r="F634" s="252" t="s">
        <v>1520</v>
      </c>
      <c r="G634" s="252" t="s">
        <v>888</v>
      </c>
      <c r="H634" s="252" t="s">
        <v>889</v>
      </c>
      <c r="I634" s="255">
        <v>52</v>
      </c>
    </row>
    <row r="635" spans="1:9" ht="14.1" customHeight="1">
      <c r="A635" s="251" t="s">
        <v>1559</v>
      </c>
      <c r="B635" s="252" t="s">
        <v>960</v>
      </c>
      <c r="C635" s="256" t="s">
        <v>3492</v>
      </c>
      <c r="D635" s="254" t="s">
        <v>822</v>
      </c>
      <c r="E635" s="252" t="s">
        <v>1202</v>
      </c>
      <c r="F635" s="252" t="s">
        <v>1565</v>
      </c>
      <c r="G635" s="252" t="s">
        <v>918</v>
      </c>
      <c r="H635" s="252" t="s">
        <v>892</v>
      </c>
      <c r="I635" s="255">
        <v>73</v>
      </c>
    </row>
    <row r="636" spans="1:9" ht="14.1" customHeight="1">
      <c r="A636" s="251" t="s">
        <v>1566</v>
      </c>
      <c r="B636" s="252" t="s">
        <v>964</v>
      </c>
      <c r="C636" s="256" t="s">
        <v>3602</v>
      </c>
      <c r="D636" s="254" t="s">
        <v>822</v>
      </c>
      <c r="E636" s="252" t="s">
        <v>917</v>
      </c>
      <c r="F636" s="252" t="s">
        <v>1567</v>
      </c>
      <c r="G636" s="252" t="s">
        <v>918</v>
      </c>
      <c r="H636" s="252" t="s">
        <v>889</v>
      </c>
      <c r="I636" s="255">
        <v>17.5</v>
      </c>
    </row>
    <row r="637" spans="1:9" ht="14.1" customHeight="1">
      <c r="A637" s="251" t="s">
        <v>1566</v>
      </c>
      <c r="B637" s="252" t="s">
        <v>964</v>
      </c>
      <c r="C637" s="253" t="s">
        <v>3609</v>
      </c>
      <c r="D637" s="254" t="s">
        <v>822</v>
      </c>
      <c r="E637" s="252" t="s">
        <v>1135</v>
      </c>
      <c r="F637" s="252" t="s">
        <v>1568</v>
      </c>
      <c r="G637" s="252" t="s">
        <v>888</v>
      </c>
      <c r="H637" s="252" t="s">
        <v>889</v>
      </c>
      <c r="I637" s="255">
        <v>17.821000000000002</v>
      </c>
    </row>
    <row r="638" spans="1:9" ht="14.1" customHeight="1">
      <c r="A638" s="251" t="s">
        <v>1566</v>
      </c>
      <c r="B638" s="252" t="s">
        <v>964</v>
      </c>
      <c r="C638" s="256" t="s">
        <v>3594</v>
      </c>
      <c r="D638" s="254" t="s">
        <v>821</v>
      </c>
      <c r="E638" s="252" t="s">
        <v>1833</v>
      </c>
      <c r="F638" s="252" t="s">
        <v>1569</v>
      </c>
      <c r="G638" s="252" t="s">
        <v>888</v>
      </c>
      <c r="H638" s="252" t="s">
        <v>892</v>
      </c>
      <c r="I638" s="255">
        <v>18.009</v>
      </c>
    </row>
    <row r="639" spans="1:9" ht="14.1" customHeight="1">
      <c r="A639" s="251" t="s">
        <v>1566</v>
      </c>
      <c r="B639" s="252" t="s">
        <v>964</v>
      </c>
      <c r="C639" s="253" t="s">
        <v>3616</v>
      </c>
      <c r="D639" s="254" t="s">
        <v>822</v>
      </c>
      <c r="E639" s="252" t="s">
        <v>911</v>
      </c>
      <c r="F639" s="252" t="s">
        <v>1570</v>
      </c>
      <c r="G639" s="252" t="s">
        <v>939</v>
      </c>
      <c r="H639" s="252" t="s">
        <v>889</v>
      </c>
      <c r="I639" s="255">
        <v>23.055</v>
      </c>
    </row>
    <row r="640" spans="1:9" ht="14.1" customHeight="1">
      <c r="A640" s="251" t="s">
        <v>1566</v>
      </c>
      <c r="B640" s="252" t="s">
        <v>964</v>
      </c>
      <c r="C640" s="256" t="s">
        <v>3595</v>
      </c>
      <c r="D640" s="254" t="s">
        <v>821</v>
      </c>
      <c r="E640" s="252" t="s">
        <v>1150</v>
      </c>
      <c r="F640" s="252" t="s">
        <v>886</v>
      </c>
      <c r="G640" s="252" t="s">
        <v>888</v>
      </c>
      <c r="H640" s="252" t="s">
        <v>889</v>
      </c>
      <c r="I640" s="255">
        <v>28.417999999999999</v>
      </c>
    </row>
    <row r="641" spans="1:9" ht="14.1" customHeight="1">
      <c r="A641" s="251" t="s">
        <v>1566</v>
      </c>
      <c r="B641" s="252" t="s">
        <v>964</v>
      </c>
      <c r="C641" s="257" t="s">
        <v>3617</v>
      </c>
      <c r="D641" s="254" t="s">
        <v>821</v>
      </c>
      <c r="E641" s="252" t="s">
        <v>1000</v>
      </c>
      <c r="F641" s="252" t="s">
        <v>886</v>
      </c>
      <c r="G641" s="252" t="s">
        <v>918</v>
      </c>
      <c r="H641" s="252" t="s">
        <v>889</v>
      </c>
      <c r="I641" s="255">
        <v>1070.0650000000001</v>
      </c>
    </row>
    <row r="642" spans="1:9" ht="14.1" customHeight="1">
      <c r="A642" s="251" t="s">
        <v>1571</v>
      </c>
      <c r="B642" s="252" t="s">
        <v>970</v>
      </c>
      <c r="C642" s="253" t="s">
        <v>3763</v>
      </c>
      <c r="D642" s="254" t="s">
        <v>821</v>
      </c>
      <c r="E642" s="252" t="s">
        <v>1246</v>
      </c>
      <c r="F642" s="252" t="s">
        <v>1572</v>
      </c>
      <c r="G642" s="252" t="s">
        <v>888</v>
      </c>
      <c r="H642" s="252" t="s">
        <v>889</v>
      </c>
      <c r="I642" s="255">
        <v>1.333</v>
      </c>
    </row>
    <row r="643" spans="1:9" ht="14.1" customHeight="1">
      <c r="A643" s="251" t="s">
        <v>1571</v>
      </c>
      <c r="B643" s="252" t="s">
        <v>970</v>
      </c>
      <c r="C643" s="256" t="s">
        <v>3761</v>
      </c>
      <c r="D643" s="254" t="s">
        <v>822</v>
      </c>
      <c r="E643" s="252" t="s">
        <v>917</v>
      </c>
      <c r="F643" s="252" t="s">
        <v>1573</v>
      </c>
      <c r="G643" s="252" t="s">
        <v>929</v>
      </c>
      <c r="H643" s="252" t="s">
        <v>892</v>
      </c>
      <c r="I643" s="255">
        <v>1.5269999999999999</v>
      </c>
    </row>
    <row r="644" spans="1:9" ht="14.1" customHeight="1">
      <c r="A644" s="251" t="s">
        <v>1571</v>
      </c>
      <c r="B644" s="252" t="s">
        <v>970</v>
      </c>
      <c r="C644" s="256" t="s">
        <v>3760</v>
      </c>
      <c r="D644" s="254" t="s">
        <v>822</v>
      </c>
      <c r="E644" s="252" t="s">
        <v>917</v>
      </c>
      <c r="F644" s="252" t="s">
        <v>1517</v>
      </c>
      <c r="G644" s="252" t="s">
        <v>918</v>
      </c>
      <c r="H644" s="252" t="s">
        <v>889</v>
      </c>
      <c r="I644" s="255">
        <v>5.2670000000000003</v>
      </c>
    </row>
    <row r="645" spans="1:9" ht="14.1" customHeight="1">
      <c r="A645" s="251" t="s">
        <v>1571</v>
      </c>
      <c r="B645" s="252" t="s">
        <v>970</v>
      </c>
      <c r="C645" s="253" t="s">
        <v>3757</v>
      </c>
      <c r="D645" s="254" t="s">
        <v>822</v>
      </c>
      <c r="E645" s="252" t="s">
        <v>917</v>
      </c>
      <c r="F645" s="252" t="s">
        <v>1574</v>
      </c>
      <c r="G645" s="252" t="s">
        <v>918</v>
      </c>
      <c r="H645" s="252" t="s">
        <v>889</v>
      </c>
      <c r="I645" s="255">
        <v>143.57400000000001</v>
      </c>
    </row>
    <row r="646" spans="1:9" ht="14.1" customHeight="1">
      <c r="A646" s="251" t="s">
        <v>1575</v>
      </c>
      <c r="B646" s="252" t="s">
        <v>975</v>
      </c>
      <c r="C646" s="256" t="s">
        <v>3934</v>
      </c>
      <c r="D646" s="254" t="s">
        <v>822</v>
      </c>
      <c r="E646" s="252" t="s">
        <v>917</v>
      </c>
      <c r="F646" s="252" t="s">
        <v>1576</v>
      </c>
      <c r="G646" s="252" t="s">
        <v>918</v>
      </c>
      <c r="H646" s="252" t="s">
        <v>892</v>
      </c>
      <c r="I646" s="255">
        <v>4.72</v>
      </c>
    </row>
    <row r="647" spans="1:9" ht="14.1" customHeight="1">
      <c r="A647" s="251" t="s">
        <v>1575</v>
      </c>
      <c r="B647" s="252" t="s">
        <v>975</v>
      </c>
      <c r="C647" s="256" t="s">
        <v>3929</v>
      </c>
      <c r="D647" s="254" t="s">
        <v>822</v>
      </c>
      <c r="E647" s="252" t="s">
        <v>906</v>
      </c>
      <c r="F647" s="252" t="s">
        <v>1231</v>
      </c>
      <c r="G647" s="252" t="s">
        <v>1047</v>
      </c>
      <c r="H647" s="252" t="s">
        <v>889</v>
      </c>
      <c r="I647" s="255">
        <v>20.5</v>
      </c>
    </row>
    <row r="648" spans="1:9" ht="14.1" customHeight="1">
      <c r="A648" s="251" t="s">
        <v>1575</v>
      </c>
      <c r="B648" s="252" t="s">
        <v>975</v>
      </c>
      <c r="C648" s="253" t="s">
        <v>3939</v>
      </c>
      <c r="D648" s="254" t="s">
        <v>822</v>
      </c>
      <c r="E648" s="252" t="s">
        <v>911</v>
      </c>
      <c r="F648" s="252" t="s">
        <v>1577</v>
      </c>
      <c r="G648" s="252" t="s">
        <v>939</v>
      </c>
      <c r="H648" s="252" t="s">
        <v>892</v>
      </c>
      <c r="I648" s="255">
        <v>109</v>
      </c>
    </row>
    <row r="649" spans="1:9" ht="14.1" customHeight="1">
      <c r="A649" s="251" t="s">
        <v>1575</v>
      </c>
      <c r="B649" s="252" t="s">
        <v>975</v>
      </c>
      <c r="C649" s="257" t="s">
        <v>3923</v>
      </c>
      <c r="D649" s="254" t="s">
        <v>822</v>
      </c>
      <c r="E649" s="252" t="s">
        <v>944</v>
      </c>
      <c r="F649" s="252" t="s">
        <v>1578</v>
      </c>
      <c r="G649" s="252" t="s">
        <v>888</v>
      </c>
      <c r="H649" s="252" t="s">
        <v>889</v>
      </c>
      <c r="I649" s="255">
        <v>182.065</v>
      </c>
    </row>
    <row r="650" spans="1:9" ht="14.1" customHeight="1">
      <c r="A650" s="251" t="s">
        <v>1575</v>
      </c>
      <c r="B650" s="252" t="s">
        <v>975</v>
      </c>
      <c r="C650" s="256" t="s">
        <v>3927</v>
      </c>
      <c r="D650" s="254" t="s">
        <v>822</v>
      </c>
      <c r="E650" s="252" t="s">
        <v>906</v>
      </c>
      <c r="F650" s="252" t="s">
        <v>1579</v>
      </c>
      <c r="G650" s="252" t="s">
        <v>939</v>
      </c>
      <c r="H650" s="252" t="s">
        <v>889</v>
      </c>
      <c r="I650" s="255">
        <v>205.93799999999999</v>
      </c>
    </row>
    <row r="651" spans="1:9" ht="14.1" customHeight="1">
      <c r="A651" s="251" t="s">
        <v>1575</v>
      </c>
      <c r="B651" s="252" t="s">
        <v>975</v>
      </c>
      <c r="C651" s="256" t="s">
        <v>3944</v>
      </c>
      <c r="D651" s="254" t="s">
        <v>821</v>
      </c>
      <c r="E651" s="252" t="s">
        <v>1000</v>
      </c>
      <c r="F651" s="252" t="s">
        <v>1535</v>
      </c>
      <c r="G651" s="252" t="s">
        <v>929</v>
      </c>
      <c r="H651" s="252" t="s">
        <v>889</v>
      </c>
      <c r="I651" s="255">
        <v>472.47</v>
      </c>
    </row>
    <row r="652" spans="1:9" ht="14.1" customHeight="1">
      <c r="A652" s="251" t="s">
        <v>1575</v>
      </c>
      <c r="B652" s="252" t="s">
        <v>975</v>
      </c>
      <c r="C652" s="256" t="s">
        <v>3928</v>
      </c>
      <c r="D652" s="254" t="s">
        <v>822</v>
      </c>
      <c r="E652" s="252" t="s">
        <v>906</v>
      </c>
      <c r="F652" s="252" t="s">
        <v>1462</v>
      </c>
      <c r="G652" s="252" t="s">
        <v>888</v>
      </c>
      <c r="H652" s="252" t="s">
        <v>889</v>
      </c>
      <c r="I652" s="255">
        <v>600</v>
      </c>
    </row>
    <row r="653" spans="1:9" ht="14.1" customHeight="1">
      <c r="A653" s="251" t="s">
        <v>1580</v>
      </c>
      <c r="B653" s="252" t="s">
        <v>989</v>
      </c>
      <c r="C653" s="256" t="s">
        <v>4062</v>
      </c>
      <c r="D653" s="254" t="s">
        <v>822</v>
      </c>
      <c r="E653" s="252" t="s">
        <v>917</v>
      </c>
      <c r="F653" s="252" t="s">
        <v>1581</v>
      </c>
      <c r="G653" s="252" t="s">
        <v>918</v>
      </c>
      <c r="H653" s="252" t="s">
        <v>889</v>
      </c>
      <c r="I653" s="255">
        <v>0.5</v>
      </c>
    </row>
    <row r="654" spans="1:9" ht="14.1" customHeight="1">
      <c r="A654" s="251" t="s">
        <v>1580</v>
      </c>
      <c r="B654" s="252" t="s">
        <v>989</v>
      </c>
      <c r="C654" s="256" t="s">
        <v>4058</v>
      </c>
      <c r="D654" s="254" t="s">
        <v>822</v>
      </c>
      <c r="E654" s="252" t="s">
        <v>917</v>
      </c>
      <c r="F654" s="252" t="s">
        <v>1532</v>
      </c>
      <c r="G654" s="252" t="s">
        <v>918</v>
      </c>
      <c r="H654" s="252" t="s">
        <v>913</v>
      </c>
      <c r="I654" s="255">
        <v>0.53</v>
      </c>
    </row>
    <row r="655" spans="1:9" ht="14.1" customHeight="1">
      <c r="A655" s="251" t="s">
        <v>1580</v>
      </c>
      <c r="B655" s="252" t="s">
        <v>989</v>
      </c>
      <c r="C655" s="257" t="s">
        <v>4068</v>
      </c>
      <c r="D655" s="254" t="s">
        <v>821</v>
      </c>
      <c r="E655" s="252" t="s">
        <v>1164</v>
      </c>
      <c r="F655" s="252" t="s">
        <v>1582</v>
      </c>
      <c r="G655" s="252" t="s">
        <v>918</v>
      </c>
      <c r="H655" s="252" t="s">
        <v>889</v>
      </c>
      <c r="I655" s="255">
        <v>0.99399999999999999</v>
      </c>
    </row>
    <row r="656" spans="1:9" ht="14.1" customHeight="1">
      <c r="A656" s="251" t="s">
        <v>1580</v>
      </c>
      <c r="B656" s="252" t="s">
        <v>989</v>
      </c>
      <c r="C656" s="256" t="s">
        <v>4060</v>
      </c>
      <c r="D656" s="254" t="s">
        <v>822</v>
      </c>
      <c r="E656" s="252" t="s">
        <v>917</v>
      </c>
      <c r="F656" s="252" t="s">
        <v>1583</v>
      </c>
      <c r="G656" s="252" t="s">
        <v>918</v>
      </c>
      <c r="H656" s="252" t="s">
        <v>889</v>
      </c>
      <c r="I656" s="255">
        <v>1.165</v>
      </c>
    </row>
    <row r="657" spans="1:9" ht="14.1" customHeight="1">
      <c r="A657" s="251" t="s">
        <v>1580</v>
      </c>
      <c r="B657" s="252" t="s">
        <v>989</v>
      </c>
      <c r="C657" s="257" t="s">
        <v>4061</v>
      </c>
      <c r="D657" s="254" t="s">
        <v>822</v>
      </c>
      <c r="E657" s="252" t="s">
        <v>917</v>
      </c>
      <c r="F657" s="252" t="s">
        <v>1584</v>
      </c>
      <c r="G657" s="252" t="s">
        <v>918</v>
      </c>
      <c r="H657" s="252" t="s">
        <v>889</v>
      </c>
      <c r="I657" s="255">
        <v>1.2250000000000001</v>
      </c>
    </row>
    <row r="658" spans="1:9" ht="14.1" customHeight="1">
      <c r="A658" s="251" t="s">
        <v>1580</v>
      </c>
      <c r="B658" s="252" t="s">
        <v>989</v>
      </c>
      <c r="C658" s="256" t="s">
        <v>4065</v>
      </c>
      <c r="D658" s="254" t="s">
        <v>822</v>
      </c>
      <c r="E658" s="252" t="s">
        <v>894</v>
      </c>
      <c r="F658" s="252" t="s">
        <v>1585</v>
      </c>
      <c r="G658" s="252" t="s">
        <v>888</v>
      </c>
      <c r="H658" s="252" t="s">
        <v>913</v>
      </c>
      <c r="I658" s="255">
        <v>1.5</v>
      </c>
    </row>
    <row r="659" spans="1:9" ht="14.1" customHeight="1">
      <c r="A659" s="251" t="s">
        <v>1580</v>
      </c>
      <c r="B659" s="252" t="s">
        <v>989</v>
      </c>
      <c r="C659" s="256" t="s">
        <v>4064</v>
      </c>
      <c r="D659" s="254" t="s">
        <v>822</v>
      </c>
      <c r="E659" s="252" t="s">
        <v>894</v>
      </c>
      <c r="F659" s="252" t="s">
        <v>1586</v>
      </c>
      <c r="G659" s="252" t="s">
        <v>918</v>
      </c>
      <c r="H659" s="252" t="s">
        <v>889</v>
      </c>
      <c r="I659" s="255">
        <v>1.75</v>
      </c>
    </row>
    <row r="660" spans="1:9" ht="14.1" customHeight="1">
      <c r="A660" s="251" t="s">
        <v>1580</v>
      </c>
      <c r="B660" s="252" t="s">
        <v>989</v>
      </c>
      <c r="C660" s="256" t="s">
        <v>4059</v>
      </c>
      <c r="D660" s="254" t="s">
        <v>822</v>
      </c>
      <c r="E660" s="252" t="s">
        <v>917</v>
      </c>
      <c r="F660" s="252" t="s">
        <v>1587</v>
      </c>
      <c r="G660" s="252" t="s">
        <v>929</v>
      </c>
      <c r="H660" s="252" t="s">
        <v>913</v>
      </c>
      <c r="I660" s="255">
        <v>13.009</v>
      </c>
    </row>
    <row r="661" spans="1:9" ht="14.1" customHeight="1">
      <c r="A661" s="251" t="s">
        <v>1580</v>
      </c>
      <c r="B661" s="252" t="s">
        <v>989</v>
      </c>
      <c r="C661" s="256" t="s">
        <v>4066</v>
      </c>
      <c r="D661" s="254" t="s">
        <v>822</v>
      </c>
      <c r="E661" s="252" t="s">
        <v>1135</v>
      </c>
      <c r="F661" s="252" t="s">
        <v>1588</v>
      </c>
      <c r="G661" s="252" t="s">
        <v>888</v>
      </c>
      <c r="H661" s="252" t="s">
        <v>889</v>
      </c>
      <c r="I661" s="255">
        <v>22</v>
      </c>
    </row>
    <row r="662" spans="1:9" ht="14.1" customHeight="1">
      <c r="A662" s="251" t="s">
        <v>1580</v>
      </c>
      <c r="B662" s="252" t="s">
        <v>989</v>
      </c>
      <c r="C662" s="256" t="s">
        <v>4069</v>
      </c>
      <c r="D662" s="254" t="s">
        <v>821</v>
      </c>
      <c r="E662" s="252" t="s">
        <v>983</v>
      </c>
      <c r="F662" s="252" t="s">
        <v>1589</v>
      </c>
      <c r="G662" s="252" t="s">
        <v>888</v>
      </c>
      <c r="H662" s="252" t="s">
        <v>889</v>
      </c>
      <c r="I662" s="255">
        <v>58</v>
      </c>
    </row>
    <row r="663" spans="1:9" ht="14.1" customHeight="1">
      <c r="A663" s="251" t="s">
        <v>1580</v>
      </c>
      <c r="B663" s="252" t="s">
        <v>989</v>
      </c>
      <c r="C663" s="256" t="s">
        <v>4054</v>
      </c>
      <c r="D663" s="254" t="s">
        <v>822</v>
      </c>
      <c r="E663" s="252" t="s">
        <v>906</v>
      </c>
      <c r="F663" s="252" t="s">
        <v>1590</v>
      </c>
      <c r="G663" s="252" t="s">
        <v>939</v>
      </c>
      <c r="H663" s="252" t="s">
        <v>889</v>
      </c>
      <c r="I663" s="255">
        <v>86.935000000000002</v>
      </c>
    </row>
    <row r="664" spans="1:9" ht="14.1" customHeight="1">
      <c r="A664" s="251" t="s">
        <v>1580</v>
      </c>
      <c r="B664" s="252" t="s">
        <v>989</v>
      </c>
      <c r="C664" s="256" t="s">
        <v>4067</v>
      </c>
      <c r="D664" s="254" t="s">
        <v>822</v>
      </c>
      <c r="E664" s="252" t="s">
        <v>1068</v>
      </c>
      <c r="F664" s="252" t="s">
        <v>1591</v>
      </c>
      <c r="G664" s="252" t="s">
        <v>888</v>
      </c>
      <c r="H664" s="252" t="s">
        <v>889</v>
      </c>
      <c r="I664" s="255">
        <v>144.1</v>
      </c>
    </row>
    <row r="665" spans="1:9" ht="14.1" customHeight="1">
      <c r="A665" s="251" t="s">
        <v>1580</v>
      </c>
      <c r="B665" s="252" t="s">
        <v>989</v>
      </c>
      <c r="C665" s="257" t="s">
        <v>4057</v>
      </c>
      <c r="D665" s="254" t="s">
        <v>822</v>
      </c>
      <c r="E665" s="252" t="s">
        <v>917</v>
      </c>
      <c r="F665" s="252" t="s">
        <v>1592</v>
      </c>
      <c r="G665" s="252" t="s">
        <v>918</v>
      </c>
      <c r="H665" s="252" t="s">
        <v>889</v>
      </c>
      <c r="I665" s="255">
        <v>295.55500000000001</v>
      </c>
    </row>
    <row r="666" spans="1:9" ht="14.1" customHeight="1">
      <c r="A666" s="251" t="s">
        <v>1593</v>
      </c>
      <c r="B666" s="252" t="s">
        <v>997</v>
      </c>
      <c r="C666" s="256" t="s">
        <v>4195</v>
      </c>
      <c r="D666" s="254" t="s">
        <v>821</v>
      </c>
      <c r="E666" s="252" t="s">
        <v>1164</v>
      </c>
      <c r="F666" s="252" t="s">
        <v>1594</v>
      </c>
      <c r="G666" s="252" t="s">
        <v>888</v>
      </c>
      <c r="H666" s="252" t="s">
        <v>892</v>
      </c>
      <c r="I666" s="255">
        <v>0.21</v>
      </c>
    </row>
    <row r="667" spans="1:9" ht="14.1" customHeight="1">
      <c r="A667" s="251" t="s">
        <v>1593</v>
      </c>
      <c r="B667" s="252" t="s">
        <v>997</v>
      </c>
      <c r="C667" s="256" t="s">
        <v>4167</v>
      </c>
      <c r="D667" s="254" t="s">
        <v>821</v>
      </c>
      <c r="E667" s="252" t="s">
        <v>1466</v>
      </c>
      <c r="F667" s="252" t="s">
        <v>1595</v>
      </c>
      <c r="G667" s="252" t="s">
        <v>954</v>
      </c>
      <c r="H667" s="252" t="s">
        <v>889</v>
      </c>
      <c r="I667" s="255">
        <v>2.9969999999999999</v>
      </c>
    </row>
    <row r="668" spans="1:9" ht="14.1" customHeight="1">
      <c r="A668" s="251" t="s">
        <v>1593</v>
      </c>
      <c r="B668" s="252" t="s">
        <v>997</v>
      </c>
      <c r="C668" s="256" t="s">
        <v>4165</v>
      </c>
      <c r="D668" s="254" t="s">
        <v>821</v>
      </c>
      <c r="E668" s="252" t="s">
        <v>968</v>
      </c>
      <c r="F668" s="252" t="s">
        <v>1596</v>
      </c>
      <c r="G668" s="252" t="s">
        <v>1157</v>
      </c>
      <c r="H668" s="252" t="s">
        <v>889</v>
      </c>
      <c r="I668" s="255">
        <v>5.6529999999999996</v>
      </c>
    </row>
    <row r="669" spans="1:9" ht="14.1" customHeight="1">
      <c r="A669" s="251" t="s">
        <v>1593</v>
      </c>
      <c r="B669" s="252" t="s">
        <v>997</v>
      </c>
      <c r="C669" s="257" t="s">
        <v>4170</v>
      </c>
      <c r="D669" s="254" t="s">
        <v>822</v>
      </c>
      <c r="E669" s="252" t="s">
        <v>1088</v>
      </c>
      <c r="F669" s="252" t="s">
        <v>1501</v>
      </c>
      <c r="G669" s="252" t="s">
        <v>888</v>
      </c>
      <c r="H669" s="252" t="s">
        <v>889</v>
      </c>
      <c r="I669" s="255">
        <v>15</v>
      </c>
    </row>
    <row r="670" spans="1:9" ht="14.1" customHeight="1">
      <c r="A670" s="251" t="s">
        <v>1593</v>
      </c>
      <c r="B670" s="252" t="s">
        <v>997</v>
      </c>
      <c r="C670" s="257" t="s">
        <v>4187</v>
      </c>
      <c r="D670" s="254" t="s">
        <v>822</v>
      </c>
      <c r="E670" s="252" t="s">
        <v>917</v>
      </c>
      <c r="F670" s="252" t="s">
        <v>1582</v>
      </c>
      <c r="G670" s="252" t="s">
        <v>918</v>
      </c>
      <c r="H670" s="252" t="s">
        <v>889</v>
      </c>
      <c r="I670" s="255">
        <v>20</v>
      </c>
    </row>
    <row r="671" spans="1:9" ht="14.1" customHeight="1">
      <c r="A671" s="251" t="s">
        <v>1593</v>
      </c>
      <c r="B671" s="252" t="s">
        <v>997</v>
      </c>
      <c r="C671" s="256" t="s">
        <v>4188</v>
      </c>
      <c r="D671" s="254" t="s">
        <v>822</v>
      </c>
      <c r="E671" s="252" t="s">
        <v>917</v>
      </c>
      <c r="F671" s="252" t="s">
        <v>1597</v>
      </c>
      <c r="G671" s="252" t="s">
        <v>918</v>
      </c>
      <c r="H671" s="252" t="s">
        <v>889</v>
      </c>
      <c r="I671" s="255">
        <v>26.454000000000001</v>
      </c>
    </row>
    <row r="672" spans="1:9" ht="14.1" customHeight="1">
      <c r="A672" s="251" t="s">
        <v>1593</v>
      </c>
      <c r="B672" s="252" t="s">
        <v>997</v>
      </c>
      <c r="C672" s="256" t="s">
        <v>4196</v>
      </c>
      <c r="D672" s="254" t="s">
        <v>821</v>
      </c>
      <c r="E672" s="252" t="s">
        <v>983</v>
      </c>
      <c r="F672" s="252" t="s">
        <v>1191</v>
      </c>
      <c r="G672" s="252" t="s">
        <v>888</v>
      </c>
      <c r="H672" s="252" t="s">
        <v>889</v>
      </c>
      <c r="I672" s="255">
        <v>32.271999999999998</v>
      </c>
    </row>
    <row r="673" spans="1:9" ht="14.1" customHeight="1">
      <c r="A673" s="251" t="s">
        <v>1593</v>
      </c>
      <c r="B673" s="252" t="s">
        <v>997</v>
      </c>
      <c r="C673" s="256" t="s">
        <v>3749</v>
      </c>
      <c r="D673" s="254" t="s">
        <v>821</v>
      </c>
      <c r="E673" s="252" t="s">
        <v>1030</v>
      </c>
      <c r="F673" s="252" t="s">
        <v>1598</v>
      </c>
      <c r="G673" s="252" t="s">
        <v>939</v>
      </c>
      <c r="H673" s="252" t="s">
        <v>889</v>
      </c>
      <c r="I673" s="255">
        <v>726.15800000000002</v>
      </c>
    </row>
    <row r="674" spans="1:9" ht="14.1" customHeight="1">
      <c r="A674" s="251" t="s">
        <v>1599</v>
      </c>
      <c r="B674" s="252" t="s">
        <v>1003</v>
      </c>
      <c r="C674" s="256" t="s">
        <v>4319</v>
      </c>
      <c r="D674" s="254" t="s">
        <v>822</v>
      </c>
      <c r="E674" s="252" t="s">
        <v>917</v>
      </c>
      <c r="F674" s="252" t="s">
        <v>1461</v>
      </c>
      <c r="G674" s="252" t="s">
        <v>929</v>
      </c>
      <c r="H674" s="252" t="s">
        <v>889</v>
      </c>
      <c r="I674" s="255">
        <v>1.5</v>
      </c>
    </row>
    <row r="675" spans="1:9" ht="14.1" customHeight="1">
      <c r="A675" s="251" t="s">
        <v>1599</v>
      </c>
      <c r="B675" s="252" t="s">
        <v>1003</v>
      </c>
      <c r="C675" s="256" t="s">
        <v>4313</v>
      </c>
      <c r="D675" s="254" t="s">
        <v>821</v>
      </c>
      <c r="E675" s="252" t="s">
        <v>968</v>
      </c>
      <c r="F675" s="252" t="s">
        <v>1600</v>
      </c>
      <c r="G675" s="252" t="s">
        <v>895</v>
      </c>
      <c r="H675" s="252" t="s">
        <v>889</v>
      </c>
      <c r="I675" s="255">
        <v>4.6120000000000001</v>
      </c>
    </row>
    <row r="676" spans="1:9" ht="14.1" customHeight="1">
      <c r="A676" s="251" t="s">
        <v>1599</v>
      </c>
      <c r="B676" s="252" t="s">
        <v>1003</v>
      </c>
      <c r="C676" s="257" t="s">
        <v>4316</v>
      </c>
      <c r="D676" s="254" t="s">
        <v>821</v>
      </c>
      <c r="E676" s="252" t="s">
        <v>1030</v>
      </c>
      <c r="F676" s="252" t="s">
        <v>1019</v>
      </c>
      <c r="G676" s="252" t="s">
        <v>939</v>
      </c>
      <c r="H676" s="252" t="s">
        <v>889</v>
      </c>
      <c r="I676" s="255">
        <v>5.4249999999999998</v>
      </c>
    </row>
    <row r="677" spans="1:9" ht="14.1" customHeight="1">
      <c r="A677" s="251" t="s">
        <v>1599</v>
      </c>
      <c r="B677" s="252" t="s">
        <v>1003</v>
      </c>
      <c r="C677" s="256" t="s">
        <v>3063</v>
      </c>
      <c r="D677" s="254" t="s">
        <v>821</v>
      </c>
      <c r="E677" s="252" t="s">
        <v>1246</v>
      </c>
      <c r="F677" s="252" t="s">
        <v>1226</v>
      </c>
      <c r="G677" s="252" t="s">
        <v>888</v>
      </c>
      <c r="H677" s="252" t="s">
        <v>889</v>
      </c>
      <c r="I677" s="255">
        <v>29</v>
      </c>
    </row>
    <row r="678" spans="1:9" ht="14.1" customHeight="1">
      <c r="A678" s="251" t="s">
        <v>1599</v>
      </c>
      <c r="B678" s="252" t="s">
        <v>1003</v>
      </c>
      <c r="C678" s="256" t="s">
        <v>4320</v>
      </c>
      <c r="D678" s="254" t="s">
        <v>822</v>
      </c>
      <c r="E678" s="252" t="s">
        <v>917</v>
      </c>
      <c r="F678" s="252" t="s">
        <v>1601</v>
      </c>
      <c r="G678" s="252" t="s">
        <v>918</v>
      </c>
      <c r="H678" s="252" t="s">
        <v>892</v>
      </c>
      <c r="I678" s="255">
        <v>59.530999999999999</v>
      </c>
    </row>
    <row r="679" spans="1:9" ht="14.1" customHeight="1">
      <c r="A679" s="251" t="s">
        <v>1599</v>
      </c>
      <c r="B679" s="252" t="s">
        <v>1003</v>
      </c>
      <c r="C679" s="257" t="s">
        <v>4318</v>
      </c>
      <c r="D679" s="254" t="s">
        <v>822</v>
      </c>
      <c r="E679" s="252" t="s">
        <v>938</v>
      </c>
      <c r="F679" s="252" t="s">
        <v>1356</v>
      </c>
      <c r="G679" s="252" t="s">
        <v>888</v>
      </c>
      <c r="H679" s="252" t="s">
        <v>889</v>
      </c>
      <c r="I679" s="255">
        <v>124</v>
      </c>
    </row>
    <row r="680" spans="1:9" ht="14.1" customHeight="1">
      <c r="A680" s="251" t="s">
        <v>1602</v>
      </c>
      <c r="B680" s="252" t="s">
        <v>1011</v>
      </c>
      <c r="C680" s="256" t="s">
        <v>4430</v>
      </c>
      <c r="D680" s="254" t="s">
        <v>822</v>
      </c>
      <c r="E680" s="252" t="s">
        <v>917</v>
      </c>
      <c r="F680" s="252" t="s">
        <v>1603</v>
      </c>
      <c r="G680" s="252" t="s">
        <v>929</v>
      </c>
      <c r="H680" s="252" t="s">
        <v>892</v>
      </c>
      <c r="I680" s="255">
        <v>0.11899999999999999</v>
      </c>
    </row>
    <row r="681" spans="1:9" ht="14.1" customHeight="1">
      <c r="A681" s="251" t="s">
        <v>1602</v>
      </c>
      <c r="B681" s="252" t="s">
        <v>1011</v>
      </c>
      <c r="C681" s="257" t="s">
        <v>4434</v>
      </c>
      <c r="D681" s="254" t="s">
        <v>822</v>
      </c>
      <c r="E681" s="252" t="s">
        <v>917</v>
      </c>
      <c r="F681" s="252" t="s">
        <v>1604</v>
      </c>
      <c r="G681" s="252" t="s">
        <v>918</v>
      </c>
      <c r="H681" s="252" t="s">
        <v>892</v>
      </c>
      <c r="I681" s="255">
        <v>0.15</v>
      </c>
    </row>
    <row r="682" spans="1:9" ht="14.1" customHeight="1">
      <c r="A682" s="251" t="s">
        <v>1602</v>
      </c>
      <c r="B682" s="252" t="s">
        <v>1011</v>
      </c>
      <c r="C682" s="256" t="s">
        <v>4444</v>
      </c>
      <c r="D682" s="254" t="s">
        <v>822</v>
      </c>
      <c r="E682" s="252" t="s">
        <v>988</v>
      </c>
      <c r="F682" s="252" t="s">
        <v>1140</v>
      </c>
      <c r="G682" s="252" t="s">
        <v>891</v>
      </c>
      <c r="H682" s="252" t="s">
        <v>889</v>
      </c>
      <c r="I682" s="255">
        <v>1.0309999999999999</v>
      </c>
    </row>
    <row r="683" spans="1:9" ht="14.1" customHeight="1">
      <c r="A683" s="251" t="s">
        <v>1602</v>
      </c>
      <c r="B683" s="252" t="s">
        <v>1011</v>
      </c>
      <c r="C683" s="256" t="s">
        <v>4436</v>
      </c>
      <c r="D683" s="254" t="s">
        <v>822</v>
      </c>
      <c r="E683" s="252" t="s">
        <v>917</v>
      </c>
      <c r="F683" s="252" t="s">
        <v>1605</v>
      </c>
      <c r="G683" s="252" t="s">
        <v>918</v>
      </c>
      <c r="H683" s="252" t="s">
        <v>892</v>
      </c>
      <c r="I683" s="255">
        <v>2.6150000000000002</v>
      </c>
    </row>
    <row r="684" spans="1:9" ht="14.1" customHeight="1">
      <c r="A684" s="251" t="s">
        <v>1602</v>
      </c>
      <c r="B684" s="252" t="s">
        <v>1011</v>
      </c>
      <c r="C684" s="256" t="s">
        <v>4435</v>
      </c>
      <c r="D684" s="254" t="s">
        <v>822</v>
      </c>
      <c r="E684" s="252" t="s">
        <v>917</v>
      </c>
      <c r="F684" s="252" t="s">
        <v>1606</v>
      </c>
      <c r="G684" s="252" t="s">
        <v>918</v>
      </c>
      <c r="H684" s="252" t="s">
        <v>889</v>
      </c>
      <c r="I684" s="255">
        <v>3.4980000000000002</v>
      </c>
    </row>
    <row r="685" spans="1:9" ht="14.1" customHeight="1">
      <c r="A685" s="251" t="s">
        <v>1602</v>
      </c>
      <c r="B685" s="252" t="s">
        <v>1011</v>
      </c>
      <c r="C685" s="256" t="s">
        <v>4431</v>
      </c>
      <c r="D685" s="254" t="s">
        <v>822</v>
      </c>
      <c r="E685" s="252" t="s">
        <v>917</v>
      </c>
      <c r="F685" s="252" t="s">
        <v>1560</v>
      </c>
      <c r="G685" s="252" t="s">
        <v>918</v>
      </c>
      <c r="H685" s="252" t="s">
        <v>913</v>
      </c>
      <c r="I685" s="255">
        <v>6</v>
      </c>
    </row>
    <row r="686" spans="1:9" ht="14.1" customHeight="1">
      <c r="A686" s="251" t="s">
        <v>1602</v>
      </c>
      <c r="B686" s="252" t="s">
        <v>1011</v>
      </c>
      <c r="C686" s="256" t="s">
        <v>4421</v>
      </c>
      <c r="D686" s="254" t="s">
        <v>821</v>
      </c>
      <c r="E686" s="252" t="s">
        <v>887</v>
      </c>
      <c r="F686" s="252" t="s">
        <v>1111</v>
      </c>
      <c r="G686" s="252" t="s">
        <v>939</v>
      </c>
      <c r="H686" s="252" t="s">
        <v>889</v>
      </c>
      <c r="I686" s="255">
        <v>11.163</v>
      </c>
    </row>
    <row r="687" spans="1:9" ht="14.1" customHeight="1">
      <c r="A687" s="251" t="s">
        <v>1602</v>
      </c>
      <c r="B687" s="252" t="s">
        <v>1011</v>
      </c>
      <c r="C687" s="256" t="s">
        <v>4417</v>
      </c>
      <c r="D687" s="254" t="s">
        <v>822</v>
      </c>
      <c r="E687" s="252" t="s">
        <v>1088</v>
      </c>
      <c r="F687" s="252" t="s">
        <v>1607</v>
      </c>
      <c r="G687" s="252" t="s">
        <v>918</v>
      </c>
      <c r="H687" s="252" t="s">
        <v>892</v>
      </c>
      <c r="I687" s="255">
        <v>88.807000000000002</v>
      </c>
    </row>
    <row r="688" spans="1:9" ht="14.1" customHeight="1">
      <c r="A688" s="251" t="s">
        <v>1602</v>
      </c>
      <c r="B688" s="252" t="s">
        <v>1011</v>
      </c>
      <c r="C688" s="253" t="s">
        <v>4419</v>
      </c>
      <c r="D688" s="254" t="s">
        <v>822</v>
      </c>
      <c r="E688" s="252" t="s">
        <v>1032</v>
      </c>
      <c r="F688" s="252" t="s">
        <v>1608</v>
      </c>
      <c r="G688" s="252" t="s">
        <v>925</v>
      </c>
      <c r="H688" s="252" t="s">
        <v>892</v>
      </c>
      <c r="I688" s="255">
        <v>142</v>
      </c>
    </row>
    <row r="689" spans="1:9" ht="14.1" customHeight="1">
      <c r="A689" s="251" t="s">
        <v>1602</v>
      </c>
      <c r="B689" s="252" t="s">
        <v>1011</v>
      </c>
      <c r="C689" s="256" t="s">
        <v>4445</v>
      </c>
      <c r="D689" s="254" t="s">
        <v>821</v>
      </c>
      <c r="E689" s="252" t="s">
        <v>1020</v>
      </c>
      <c r="F689" s="252" t="s">
        <v>1061</v>
      </c>
      <c r="G689" s="252" t="s">
        <v>888</v>
      </c>
      <c r="H689" s="252" t="s">
        <v>889</v>
      </c>
      <c r="I689" s="255">
        <v>500</v>
      </c>
    </row>
    <row r="690" spans="1:9" ht="14.1" customHeight="1">
      <c r="A690" s="251" t="s">
        <v>1602</v>
      </c>
      <c r="B690" s="252" t="s">
        <v>1011</v>
      </c>
      <c r="C690" s="256" t="s">
        <v>4418</v>
      </c>
      <c r="D690" s="254" t="s">
        <v>822</v>
      </c>
      <c r="E690" s="252" t="s">
        <v>1088</v>
      </c>
      <c r="F690" s="252" t="s">
        <v>1609</v>
      </c>
      <c r="G690" s="252" t="s">
        <v>895</v>
      </c>
      <c r="H690" s="252" t="s">
        <v>892</v>
      </c>
      <c r="I690" s="255">
        <v>1256</v>
      </c>
    </row>
    <row r="691" spans="1:9" ht="14.1" customHeight="1">
      <c r="A691" s="251" t="s">
        <v>1602</v>
      </c>
      <c r="B691" s="252" t="s">
        <v>1011</v>
      </c>
      <c r="C691" s="256" t="s">
        <v>4414</v>
      </c>
      <c r="D691" s="254" t="s">
        <v>822</v>
      </c>
      <c r="E691" s="252" t="s">
        <v>1088</v>
      </c>
      <c r="F691" s="252" t="s">
        <v>886</v>
      </c>
      <c r="G691" s="252" t="s">
        <v>918</v>
      </c>
      <c r="H691" s="252" t="s">
        <v>892</v>
      </c>
      <c r="I691" s="255">
        <v>1350</v>
      </c>
    </row>
    <row r="692" spans="1:9" ht="14.1" customHeight="1">
      <c r="A692" s="251" t="s">
        <v>1611</v>
      </c>
      <c r="B692" s="252" t="s">
        <v>898</v>
      </c>
      <c r="C692" s="256" t="s">
        <v>1889</v>
      </c>
      <c r="D692" s="254" t="s">
        <v>822</v>
      </c>
      <c r="E692" s="252" t="s">
        <v>917</v>
      </c>
      <c r="F692" s="252" t="s">
        <v>1612</v>
      </c>
      <c r="G692" s="252" t="s">
        <v>918</v>
      </c>
      <c r="H692" s="252" t="s">
        <v>889</v>
      </c>
      <c r="I692" s="255">
        <v>3.82</v>
      </c>
    </row>
    <row r="693" spans="1:9" ht="14.1" customHeight="1">
      <c r="A693" s="251" t="s">
        <v>1611</v>
      </c>
      <c r="B693" s="252" t="s">
        <v>898</v>
      </c>
      <c r="C693" s="256" t="s">
        <v>1889</v>
      </c>
      <c r="D693" s="254" t="s">
        <v>822</v>
      </c>
      <c r="E693" s="252" t="s">
        <v>917</v>
      </c>
      <c r="F693" s="252" t="s">
        <v>1612</v>
      </c>
      <c r="G693" s="252" t="s">
        <v>918</v>
      </c>
      <c r="H693" s="252" t="s">
        <v>889</v>
      </c>
      <c r="I693" s="255">
        <v>4.0110000000000001</v>
      </c>
    </row>
    <row r="694" spans="1:9" ht="14.1" customHeight="1">
      <c r="A694" s="251" t="s">
        <v>1611</v>
      </c>
      <c r="B694" s="252" t="s">
        <v>898</v>
      </c>
      <c r="C694" s="257" t="s">
        <v>1878</v>
      </c>
      <c r="D694" s="254" t="s">
        <v>822</v>
      </c>
      <c r="E694" s="252" t="s">
        <v>1088</v>
      </c>
      <c r="F694" s="252" t="s">
        <v>1613</v>
      </c>
      <c r="G694" s="252" t="s">
        <v>939</v>
      </c>
      <c r="H694" s="252" t="s">
        <v>889</v>
      </c>
      <c r="I694" s="255">
        <v>6.9</v>
      </c>
    </row>
    <row r="695" spans="1:9" ht="14.1" customHeight="1">
      <c r="A695" s="251" t="s">
        <v>1611</v>
      </c>
      <c r="B695" s="252" t="s">
        <v>898</v>
      </c>
      <c r="C695" s="253" t="s">
        <v>1877</v>
      </c>
      <c r="D695" s="254" t="s">
        <v>821</v>
      </c>
      <c r="E695" s="252" t="s">
        <v>1466</v>
      </c>
      <c r="F695" s="252" t="s">
        <v>886</v>
      </c>
      <c r="G695" s="252" t="s">
        <v>939</v>
      </c>
      <c r="H695" s="252" t="s">
        <v>892</v>
      </c>
      <c r="I695" s="255">
        <v>12.494</v>
      </c>
    </row>
    <row r="696" spans="1:9" ht="14.1" customHeight="1">
      <c r="A696" s="251" t="s">
        <v>1611</v>
      </c>
      <c r="B696" s="252" t="s">
        <v>898</v>
      </c>
      <c r="C696" s="256" t="s">
        <v>1881</v>
      </c>
      <c r="D696" s="254" t="s">
        <v>822</v>
      </c>
      <c r="E696" s="252" t="s">
        <v>906</v>
      </c>
      <c r="F696" s="252" t="s">
        <v>1614</v>
      </c>
      <c r="G696" s="252" t="s">
        <v>1119</v>
      </c>
      <c r="H696" s="252" t="s">
        <v>889</v>
      </c>
      <c r="I696" s="255">
        <v>120.85</v>
      </c>
    </row>
    <row r="697" spans="1:9" ht="14.1" customHeight="1">
      <c r="A697" s="251" t="s">
        <v>1611</v>
      </c>
      <c r="B697" s="252" t="s">
        <v>898</v>
      </c>
      <c r="C697" s="253" t="s">
        <v>1881</v>
      </c>
      <c r="D697" s="254" t="s">
        <v>822</v>
      </c>
      <c r="E697" s="252" t="s">
        <v>906</v>
      </c>
      <c r="F697" s="252" t="s">
        <v>1614</v>
      </c>
      <c r="G697" s="252" t="s">
        <v>1119</v>
      </c>
      <c r="H697" s="252" t="s">
        <v>931</v>
      </c>
      <c r="I697" s="255">
        <v>609.84</v>
      </c>
    </row>
    <row r="698" spans="1:9" ht="14.1" customHeight="1">
      <c r="A698" s="251" t="s">
        <v>1611</v>
      </c>
      <c r="B698" s="252" t="s">
        <v>898</v>
      </c>
      <c r="C698" s="253" t="s">
        <v>1881</v>
      </c>
      <c r="D698" s="254" t="s">
        <v>822</v>
      </c>
      <c r="E698" s="252" t="s">
        <v>906</v>
      </c>
      <c r="F698" s="252" t="s">
        <v>1610</v>
      </c>
      <c r="G698" s="252" t="s">
        <v>945</v>
      </c>
      <c r="H698" s="252" t="s">
        <v>889</v>
      </c>
      <c r="I698" s="255">
        <v>639.48900000000003</v>
      </c>
    </row>
    <row r="699" spans="1:9" ht="14.1" customHeight="1">
      <c r="A699" s="251" t="s">
        <v>1615</v>
      </c>
      <c r="B699" s="252" t="s">
        <v>908</v>
      </c>
      <c r="C699" s="253" t="s">
        <v>2040</v>
      </c>
      <c r="D699" s="254" t="s">
        <v>823</v>
      </c>
      <c r="E699" s="252" t="s">
        <v>1146</v>
      </c>
      <c r="F699" s="252" t="s">
        <v>1616</v>
      </c>
      <c r="G699" s="252" t="s">
        <v>939</v>
      </c>
      <c r="H699" s="252" t="s">
        <v>889</v>
      </c>
      <c r="I699" s="255">
        <v>0.19800000000000001</v>
      </c>
    </row>
    <row r="700" spans="1:9" ht="14.1" customHeight="1">
      <c r="A700" s="251" t="s">
        <v>1615</v>
      </c>
      <c r="B700" s="252" t="s">
        <v>908</v>
      </c>
      <c r="C700" s="256" t="s">
        <v>2041</v>
      </c>
      <c r="D700" s="254" t="s">
        <v>822</v>
      </c>
      <c r="E700" s="252" t="s">
        <v>917</v>
      </c>
      <c r="F700" s="252" t="s">
        <v>1617</v>
      </c>
      <c r="G700" s="252" t="s">
        <v>918</v>
      </c>
      <c r="H700" s="252" t="s">
        <v>892</v>
      </c>
      <c r="I700" s="255">
        <v>1.5</v>
      </c>
    </row>
    <row r="701" spans="1:9" ht="14.1" customHeight="1">
      <c r="A701" s="251" t="s">
        <v>1615</v>
      </c>
      <c r="B701" s="252" t="s">
        <v>908</v>
      </c>
      <c r="C701" s="256" t="s">
        <v>2042</v>
      </c>
      <c r="D701" s="254" t="s">
        <v>822</v>
      </c>
      <c r="E701" s="252" t="s">
        <v>917</v>
      </c>
      <c r="F701" s="252" t="s">
        <v>1618</v>
      </c>
      <c r="G701" s="252" t="s">
        <v>929</v>
      </c>
      <c r="H701" s="252" t="s">
        <v>931</v>
      </c>
      <c r="I701" s="255">
        <v>4.2699999999999996</v>
      </c>
    </row>
    <row r="702" spans="1:9" ht="14.1" customHeight="1">
      <c r="A702" s="251" t="s">
        <v>1615</v>
      </c>
      <c r="B702" s="252" t="s">
        <v>908</v>
      </c>
      <c r="C702" s="256" t="s">
        <v>1881</v>
      </c>
      <c r="D702" s="254" t="s">
        <v>822</v>
      </c>
      <c r="E702" s="252" t="s">
        <v>906</v>
      </c>
      <c r="F702" s="252" t="s">
        <v>1610</v>
      </c>
      <c r="G702" s="252" t="s">
        <v>945</v>
      </c>
      <c r="H702" s="252" t="s">
        <v>889</v>
      </c>
      <c r="I702" s="255">
        <v>5.4320000000000004</v>
      </c>
    </row>
    <row r="703" spans="1:9" ht="14.1" customHeight="1">
      <c r="A703" s="251" t="s">
        <v>1619</v>
      </c>
      <c r="B703" s="252" t="s">
        <v>914</v>
      </c>
      <c r="C703" s="256" t="s">
        <v>2043</v>
      </c>
      <c r="D703" s="254" t="s">
        <v>822</v>
      </c>
      <c r="E703" s="252" t="s">
        <v>917</v>
      </c>
      <c r="F703" s="252" t="s">
        <v>1620</v>
      </c>
      <c r="G703" s="252" t="s">
        <v>1621</v>
      </c>
      <c r="H703" s="252" t="s">
        <v>913</v>
      </c>
      <c r="I703" s="255">
        <v>0.48499999999999999</v>
      </c>
    </row>
    <row r="704" spans="1:9" ht="14.1" customHeight="1">
      <c r="A704" s="251" t="s">
        <v>1619</v>
      </c>
      <c r="B704" s="252" t="s">
        <v>914</v>
      </c>
      <c r="C704" s="256" t="s">
        <v>2206</v>
      </c>
      <c r="D704" s="254" t="s">
        <v>822</v>
      </c>
      <c r="E704" s="252" t="s">
        <v>917</v>
      </c>
      <c r="F704" s="252" t="s">
        <v>1622</v>
      </c>
      <c r="G704" s="252" t="s">
        <v>918</v>
      </c>
      <c r="H704" s="252" t="s">
        <v>889</v>
      </c>
      <c r="I704" s="255">
        <v>0.91</v>
      </c>
    </row>
    <row r="705" spans="1:9" ht="14.1" customHeight="1">
      <c r="A705" s="251" t="s">
        <v>1619</v>
      </c>
      <c r="B705" s="252" t="s">
        <v>914</v>
      </c>
      <c r="C705" s="256" t="s">
        <v>2205</v>
      </c>
      <c r="D705" s="254" t="s">
        <v>822</v>
      </c>
      <c r="E705" s="252" t="s">
        <v>917</v>
      </c>
      <c r="F705" s="252" t="s">
        <v>1623</v>
      </c>
      <c r="G705" s="252" t="s">
        <v>945</v>
      </c>
      <c r="H705" s="252" t="s">
        <v>931</v>
      </c>
      <c r="I705" s="255">
        <v>10</v>
      </c>
    </row>
    <row r="706" spans="1:9" ht="14.1" customHeight="1">
      <c r="A706" s="251" t="s">
        <v>1619</v>
      </c>
      <c r="B706" s="252" t="s">
        <v>914</v>
      </c>
      <c r="C706" s="257" t="s">
        <v>2207</v>
      </c>
      <c r="D706" s="254" t="s">
        <v>822</v>
      </c>
      <c r="E706" s="252" t="s">
        <v>894</v>
      </c>
      <c r="F706" s="252" t="s">
        <v>1624</v>
      </c>
      <c r="G706" s="252" t="s">
        <v>925</v>
      </c>
      <c r="H706" s="252" t="s">
        <v>889</v>
      </c>
      <c r="I706" s="255">
        <v>2600</v>
      </c>
    </row>
    <row r="707" spans="1:9" ht="14.1" customHeight="1">
      <c r="A707" s="251" t="s">
        <v>1625</v>
      </c>
      <c r="B707" s="252" t="s">
        <v>922</v>
      </c>
      <c r="C707" s="257" t="s">
        <v>1881</v>
      </c>
      <c r="D707" s="254" t="s">
        <v>822</v>
      </c>
      <c r="E707" s="252" t="s">
        <v>906</v>
      </c>
      <c r="F707" s="252" t="s">
        <v>1610</v>
      </c>
      <c r="G707" s="252" t="s">
        <v>945</v>
      </c>
      <c r="H707" s="252" t="s">
        <v>889</v>
      </c>
      <c r="I707" s="255">
        <v>1.748</v>
      </c>
    </row>
    <row r="708" spans="1:9" ht="14.1" customHeight="1">
      <c r="A708" s="251" t="s">
        <v>1625</v>
      </c>
      <c r="B708" s="252" t="s">
        <v>922</v>
      </c>
      <c r="C708" s="256" t="s">
        <v>2332</v>
      </c>
      <c r="D708" s="254" t="s">
        <v>822</v>
      </c>
      <c r="E708" s="252" t="s">
        <v>917</v>
      </c>
      <c r="F708" s="252" t="s">
        <v>1626</v>
      </c>
      <c r="G708" s="252" t="s">
        <v>918</v>
      </c>
      <c r="H708" s="252" t="s">
        <v>889</v>
      </c>
      <c r="I708" s="255">
        <v>2.387</v>
      </c>
    </row>
    <row r="709" spans="1:9" ht="14.1" customHeight="1">
      <c r="A709" s="251" t="s">
        <v>1625</v>
      </c>
      <c r="B709" s="252" t="s">
        <v>922</v>
      </c>
      <c r="C709" s="256" t="s">
        <v>2330</v>
      </c>
      <c r="D709" s="254" t="s">
        <v>822</v>
      </c>
      <c r="E709" s="252" t="s">
        <v>1088</v>
      </c>
      <c r="F709" s="252" t="s">
        <v>1062</v>
      </c>
      <c r="G709" s="252" t="s">
        <v>918</v>
      </c>
      <c r="H709" s="252" t="s">
        <v>889</v>
      </c>
      <c r="I709" s="255">
        <v>200</v>
      </c>
    </row>
    <row r="710" spans="1:9" ht="14.1" customHeight="1">
      <c r="A710" s="251" t="s">
        <v>1625</v>
      </c>
      <c r="B710" s="252" t="s">
        <v>922</v>
      </c>
      <c r="C710" s="256" t="s">
        <v>2330</v>
      </c>
      <c r="D710" s="254" t="s">
        <v>822</v>
      </c>
      <c r="E710" s="252" t="s">
        <v>1088</v>
      </c>
      <c r="F710" s="252" t="s">
        <v>1627</v>
      </c>
      <c r="G710" s="252" t="s">
        <v>939</v>
      </c>
      <c r="H710" s="252" t="s">
        <v>889</v>
      </c>
      <c r="I710" s="255">
        <v>491</v>
      </c>
    </row>
    <row r="711" spans="1:9" ht="14.1" customHeight="1">
      <c r="A711" s="251" t="s">
        <v>1625</v>
      </c>
      <c r="B711" s="252" t="s">
        <v>922</v>
      </c>
      <c r="C711" s="256" t="s">
        <v>2330</v>
      </c>
      <c r="D711" s="254" t="s">
        <v>822</v>
      </c>
      <c r="E711" s="252" t="s">
        <v>1088</v>
      </c>
      <c r="F711" s="252" t="s">
        <v>1628</v>
      </c>
      <c r="G711" s="252" t="s">
        <v>888</v>
      </c>
      <c r="H711" s="252" t="s">
        <v>889</v>
      </c>
      <c r="I711" s="255">
        <v>650</v>
      </c>
    </row>
    <row r="712" spans="1:9" ht="14.1" customHeight="1">
      <c r="A712" s="251" t="s">
        <v>1629</v>
      </c>
      <c r="B712" s="252" t="s">
        <v>926</v>
      </c>
      <c r="C712" s="257" t="s">
        <v>2465</v>
      </c>
      <c r="D712" s="254" t="s">
        <v>822</v>
      </c>
      <c r="E712" s="252" t="s">
        <v>917</v>
      </c>
      <c r="F712" s="252" t="s">
        <v>1482</v>
      </c>
      <c r="G712" s="252" t="s">
        <v>918</v>
      </c>
      <c r="H712" s="252" t="s">
        <v>892</v>
      </c>
      <c r="I712" s="255">
        <v>7.4999999999999997E-2</v>
      </c>
    </row>
    <row r="713" spans="1:9" ht="14.1" customHeight="1">
      <c r="A713" s="251" t="s">
        <v>1629</v>
      </c>
      <c r="B713" s="252" t="s">
        <v>926</v>
      </c>
      <c r="C713" s="256" t="s">
        <v>2463</v>
      </c>
      <c r="D713" s="254" t="s">
        <v>822</v>
      </c>
      <c r="E713" s="252" t="s">
        <v>917</v>
      </c>
      <c r="F713" s="252" t="s">
        <v>1630</v>
      </c>
      <c r="G713" s="252" t="s">
        <v>918</v>
      </c>
      <c r="H713" s="252" t="s">
        <v>931</v>
      </c>
      <c r="I713" s="255">
        <v>0.48899999999999999</v>
      </c>
    </row>
    <row r="714" spans="1:9" ht="14.1" customHeight="1">
      <c r="A714" s="251" t="s">
        <v>1629</v>
      </c>
      <c r="B714" s="252" t="s">
        <v>926</v>
      </c>
      <c r="C714" s="258" t="s">
        <v>2459</v>
      </c>
      <c r="D714" s="254" t="s">
        <v>822</v>
      </c>
      <c r="E714" s="252" t="s">
        <v>917</v>
      </c>
      <c r="F714" s="252" t="s">
        <v>1620</v>
      </c>
      <c r="G714" s="252" t="s">
        <v>1621</v>
      </c>
      <c r="H714" s="252" t="s">
        <v>913</v>
      </c>
      <c r="I714" s="255">
        <v>1.1000000000000001</v>
      </c>
    </row>
    <row r="715" spans="1:9" ht="14.1" customHeight="1">
      <c r="A715" s="251" t="s">
        <v>1629</v>
      </c>
      <c r="B715" s="252" t="s">
        <v>926</v>
      </c>
      <c r="C715" s="253" t="s">
        <v>2206</v>
      </c>
      <c r="D715" s="254" t="s">
        <v>822</v>
      </c>
      <c r="E715" s="252" t="s">
        <v>917</v>
      </c>
      <c r="F715" s="252" t="s">
        <v>1631</v>
      </c>
      <c r="G715" s="252" t="s">
        <v>918</v>
      </c>
      <c r="H715" s="252" t="s">
        <v>889</v>
      </c>
      <c r="I715" s="255">
        <v>5.6749999999999998</v>
      </c>
    </row>
    <row r="716" spans="1:9" ht="14.1" customHeight="1">
      <c r="A716" s="251" t="s">
        <v>1629</v>
      </c>
      <c r="B716" s="252" t="s">
        <v>926</v>
      </c>
      <c r="C716" s="256" t="s">
        <v>2464</v>
      </c>
      <c r="D716" s="254" t="s">
        <v>822</v>
      </c>
      <c r="E716" s="252" t="s">
        <v>917</v>
      </c>
      <c r="F716" s="252" t="s">
        <v>1632</v>
      </c>
      <c r="G716" s="252" t="s">
        <v>1026</v>
      </c>
      <c r="H716" s="252" t="s">
        <v>889</v>
      </c>
      <c r="I716" s="255">
        <v>231.036</v>
      </c>
    </row>
    <row r="717" spans="1:9" ht="14.1" customHeight="1">
      <c r="A717" s="251" t="s">
        <v>1629</v>
      </c>
      <c r="B717" s="252" t="s">
        <v>926</v>
      </c>
      <c r="C717" s="256" t="s">
        <v>2460</v>
      </c>
      <c r="D717" s="254" t="s">
        <v>822</v>
      </c>
      <c r="E717" s="252" t="s">
        <v>917</v>
      </c>
      <c r="F717" s="252" t="s">
        <v>1633</v>
      </c>
      <c r="G717" s="252" t="s">
        <v>1022</v>
      </c>
      <c r="H717" s="252" t="s">
        <v>889</v>
      </c>
      <c r="I717" s="255">
        <v>7011.2560000000003</v>
      </c>
    </row>
    <row r="718" spans="1:9" ht="14.1" customHeight="1">
      <c r="A718" s="251" t="s">
        <v>1634</v>
      </c>
      <c r="B718" s="252" t="s">
        <v>935</v>
      </c>
      <c r="C718" s="256" t="s">
        <v>2619</v>
      </c>
      <c r="D718" s="254" t="s">
        <v>821</v>
      </c>
      <c r="E718" s="252" t="s">
        <v>1246</v>
      </c>
      <c r="F718" s="252" t="s">
        <v>1635</v>
      </c>
      <c r="G718" s="252" t="s">
        <v>918</v>
      </c>
      <c r="H718" s="252" t="s">
        <v>889</v>
      </c>
      <c r="I718" s="255">
        <v>1.988</v>
      </c>
    </row>
    <row r="719" spans="1:9" ht="14.1" customHeight="1">
      <c r="A719" s="251" t="s">
        <v>1634</v>
      </c>
      <c r="B719" s="252" t="s">
        <v>935</v>
      </c>
      <c r="C719" s="256" t="s">
        <v>2617</v>
      </c>
      <c r="D719" s="254" t="s">
        <v>822</v>
      </c>
      <c r="E719" s="252" t="s">
        <v>1202</v>
      </c>
      <c r="F719" s="252" t="s">
        <v>1636</v>
      </c>
      <c r="G719" s="252" t="s">
        <v>929</v>
      </c>
      <c r="H719" s="252" t="s">
        <v>889</v>
      </c>
      <c r="I719" s="255">
        <v>5.5</v>
      </c>
    </row>
    <row r="720" spans="1:9" ht="14.1" customHeight="1">
      <c r="A720" s="251" t="s">
        <v>1634</v>
      </c>
      <c r="B720" s="252" t="s">
        <v>935</v>
      </c>
      <c r="C720" s="256" t="s">
        <v>2614</v>
      </c>
      <c r="D720" s="254" t="s">
        <v>822</v>
      </c>
      <c r="E720" s="252" t="s">
        <v>906</v>
      </c>
      <c r="F720" s="252" t="s">
        <v>1231</v>
      </c>
      <c r="G720" s="252" t="s">
        <v>1047</v>
      </c>
      <c r="H720" s="252" t="s">
        <v>889</v>
      </c>
      <c r="I720" s="255">
        <v>35</v>
      </c>
    </row>
    <row r="721" spans="1:9" ht="14.1" customHeight="1">
      <c r="A721" s="251" t="s">
        <v>1637</v>
      </c>
      <c r="B721" s="252" t="s">
        <v>941</v>
      </c>
      <c r="C721" s="253" t="s">
        <v>2788</v>
      </c>
      <c r="D721" s="254" t="s">
        <v>822</v>
      </c>
      <c r="E721" s="252" t="s">
        <v>917</v>
      </c>
      <c r="F721" s="252" t="s">
        <v>1638</v>
      </c>
      <c r="G721" s="252" t="s">
        <v>918</v>
      </c>
      <c r="H721" s="252" t="s">
        <v>889</v>
      </c>
      <c r="I721" s="255">
        <v>0.19900000000000001</v>
      </c>
    </row>
    <row r="722" spans="1:9" ht="14.1" customHeight="1">
      <c r="A722" s="251" t="s">
        <v>1637</v>
      </c>
      <c r="B722" s="252" t="s">
        <v>941</v>
      </c>
      <c r="C722" s="256" t="s">
        <v>2789</v>
      </c>
      <c r="D722" s="254" t="s">
        <v>822</v>
      </c>
      <c r="E722" s="252" t="s">
        <v>917</v>
      </c>
      <c r="F722" s="252" t="s">
        <v>1639</v>
      </c>
      <c r="G722" s="252" t="s">
        <v>895</v>
      </c>
      <c r="H722" s="252" t="s">
        <v>931</v>
      </c>
      <c r="I722" s="255">
        <v>8.3859999999999992</v>
      </c>
    </row>
    <row r="723" spans="1:9" ht="14.1" customHeight="1">
      <c r="A723" s="251" t="s">
        <v>1640</v>
      </c>
      <c r="B723" s="252" t="s">
        <v>948</v>
      </c>
      <c r="C723" s="253" t="s">
        <v>2939</v>
      </c>
      <c r="D723" s="254" t="s">
        <v>822</v>
      </c>
      <c r="E723" s="252" t="s">
        <v>917</v>
      </c>
      <c r="F723" s="252" t="s">
        <v>1638</v>
      </c>
      <c r="G723" s="252" t="s">
        <v>918</v>
      </c>
      <c r="H723" s="252" t="s">
        <v>913</v>
      </c>
      <c r="I723" s="255">
        <v>0.28000000000000003</v>
      </c>
    </row>
    <row r="724" spans="1:9" ht="14.1" customHeight="1">
      <c r="A724" s="251" t="s">
        <v>1640</v>
      </c>
      <c r="B724" s="252" t="s">
        <v>948</v>
      </c>
      <c r="C724" s="256" t="s">
        <v>2940</v>
      </c>
      <c r="D724" s="254" t="s">
        <v>822</v>
      </c>
      <c r="E724" s="252" t="s">
        <v>917</v>
      </c>
      <c r="F724" s="252" t="s">
        <v>1641</v>
      </c>
      <c r="G724" s="252" t="s">
        <v>918</v>
      </c>
      <c r="H724" s="252" t="s">
        <v>889</v>
      </c>
      <c r="I724" s="255">
        <v>4</v>
      </c>
    </row>
    <row r="725" spans="1:9" ht="14.1" customHeight="1">
      <c r="A725" s="251" t="s">
        <v>1642</v>
      </c>
      <c r="B725" s="252" t="s">
        <v>951</v>
      </c>
      <c r="C725" s="256" t="s">
        <v>3080</v>
      </c>
      <c r="D725" s="254" t="s">
        <v>822</v>
      </c>
      <c r="E725" s="252" t="s">
        <v>917</v>
      </c>
      <c r="F725" s="252" t="s">
        <v>1537</v>
      </c>
      <c r="G725" s="252" t="s">
        <v>918</v>
      </c>
      <c r="H725" s="252" t="s">
        <v>889</v>
      </c>
      <c r="I725" s="255">
        <v>0.1</v>
      </c>
    </row>
    <row r="726" spans="1:9" ht="14.1" customHeight="1">
      <c r="A726" s="251" t="s">
        <v>1642</v>
      </c>
      <c r="B726" s="252" t="s">
        <v>951</v>
      </c>
      <c r="C726" s="256" t="s">
        <v>2463</v>
      </c>
      <c r="D726" s="254" t="s">
        <v>822</v>
      </c>
      <c r="E726" s="252" t="s">
        <v>917</v>
      </c>
      <c r="F726" s="252" t="s">
        <v>1354</v>
      </c>
      <c r="G726" s="252" t="s">
        <v>918</v>
      </c>
      <c r="H726" s="252" t="s">
        <v>889</v>
      </c>
      <c r="I726" s="255">
        <v>0.27900000000000003</v>
      </c>
    </row>
    <row r="727" spans="1:9" ht="14.1" customHeight="1">
      <c r="A727" s="251" t="s">
        <v>1642</v>
      </c>
      <c r="B727" s="252" t="s">
        <v>951</v>
      </c>
      <c r="C727" s="257" t="s">
        <v>3081</v>
      </c>
      <c r="D727" s="254" t="s">
        <v>822</v>
      </c>
      <c r="E727" s="252" t="s">
        <v>917</v>
      </c>
      <c r="F727" s="252" t="s">
        <v>1643</v>
      </c>
      <c r="G727" s="252" t="s">
        <v>918</v>
      </c>
      <c r="H727" s="252" t="s">
        <v>931</v>
      </c>
      <c r="I727" s="255">
        <v>3.3090000000000002</v>
      </c>
    </row>
    <row r="728" spans="1:9" ht="14.1" customHeight="1">
      <c r="A728" s="251" t="s">
        <v>1642</v>
      </c>
      <c r="B728" s="252" t="s">
        <v>951</v>
      </c>
      <c r="C728" s="256" t="s">
        <v>3082</v>
      </c>
      <c r="D728" s="254" t="s">
        <v>822</v>
      </c>
      <c r="E728" s="252" t="s">
        <v>917</v>
      </c>
      <c r="F728" s="252" t="s">
        <v>1644</v>
      </c>
      <c r="G728" s="252" t="s">
        <v>918</v>
      </c>
      <c r="H728" s="252" t="s">
        <v>889</v>
      </c>
      <c r="I728" s="255">
        <v>10.1</v>
      </c>
    </row>
    <row r="729" spans="1:9" ht="14.1" customHeight="1">
      <c r="A729" s="251" t="s">
        <v>1642</v>
      </c>
      <c r="B729" s="252" t="s">
        <v>951</v>
      </c>
      <c r="C729" s="256" t="s">
        <v>3084</v>
      </c>
      <c r="D729" s="254" t="s">
        <v>822</v>
      </c>
      <c r="E729" s="252" t="s">
        <v>917</v>
      </c>
      <c r="F729" s="252" t="s">
        <v>886</v>
      </c>
      <c r="G729" s="252" t="s">
        <v>918</v>
      </c>
      <c r="H729" s="252" t="s">
        <v>889</v>
      </c>
      <c r="I729" s="255">
        <v>14</v>
      </c>
    </row>
    <row r="730" spans="1:9" ht="14.1" customHeight="1">
      <c r="A730" s="251" t="s">
        <v>1642</v>
      </c>
      <c r="B730" s="252" t="s">
        <v>951</v>
      </c>
      <c r="C730" s="256" t="s">
        <v>2330</v>
      </c>
      <c r="D730" s="254" t="s">
        <v>822</v>
      </c>
      <c r="E730" s="252" t="s">
        <v>1088</v>
      </c>
      <c r="F730" s="252" t="s">
        <v>886</v>
      </c>
      <c r="G730" s="252" t="s">
        <v>939</v>
      </c>
      <c r="H730" s="252" t="s">
        <v>889</v>
      </c>
      <c r="I730" s="255">
        <v>251</v>
      </c>
    </row>
    <row r="731" spans="1:9" ht="14.1" customHeight="1">
      <c r="A731" s="251" t="s">
        <v>1645</v>
      </c>
      <c r="B731" s="252" t="s">
        <v>1172</v>
      </c>
      <c r="C731" s="256" t="s">
        <v>3225</v>
      </c>
      <c r="D731" s="254" t="s">
        <v>822</v>
      </c>
      <c r="E731" s="252" t="s">
        <v>917</v>
      </c>
      <c r="F731" s="252" t="s">
        <v>1646</v>
      </c>
      <c r="G731" s="252" t="s">
        <v>918</v>
      </c>
      <c r="H731" s="252" t="s">
        <v>889</v>
      </c>
      <c r="I731" s="255">
        <v>3.2109999999999999</v>
      </c>
    </row>
    <row r="732" spans="1:9" ht="14.1" customHeight="1">
      <c r="A732" s="251" t="s">
        <v>1647</v>
      </c>
      <c r="B732" s="252" t="s">
        <v>960</v>
      </c>
      <c r="C732" s="256" t="s">
        <v>3502</v>
      </c>
      <c r="D732" s="254" t="s">
        <v>822</v>
      </c>
      <c r="E732" s="252" t="s">
        <v>917</v>
      </c>
      <c r="F732" s="252" t="s">
        <v>1648</v>
      </c>
      <c r="G732" s="252" t="s">
        <v>918</v>
      </c>
      <c r="H732" s="252" t="s">
        <v>889</v>
      </c>
      <c r="I732" s="255">
        <v>8</v>
      </c>
    </row>
    <row r="733" spans="1:9" ht="14.1" customHeight="1">
      <c r="A733" s="251" t="s">
        <v>1649</v>
      </c>
      <c r="B733" s="252" t="s">
        <v>964</v>
      </c>
      <c r="C733" s="256" t="s">
        <v>3621</v>
      </c>
      <c r="D733" s="254" t="s">
        <v>822</v>
      </c>
      <c r="E733" s="252" t="s">
        <v>917</v>
      </c>
      <c r="F733" s="252" t="s">
        <v>1650</v>
      </c>
      <c r="G733" s="252" t="s">
        <v>918</v>
      </c>
      <c r="H733" s="252" t="s">
        <v>889</v>
      </c>
      <c r="I733" s="255">
        <v>0.33600000000000002</v>
      </c>
    </row>
    <row r="734" spans="1:9" ht="14.1" customHeight="1">
      <c r="A734" s="251" t="s">
        <v>1649</v>
      </c>
      <c r="B734" s="252" t="s">
        <v>964</v>
      </c>
      <c r="C734" s="256" t="s">
        <v>3621</v>
      </c>
      <c r="D734" s="254" t="s">
        <v>822</v>
      </c>
      <c r="E734" s="252" t="s">
        <v>917</v>
      </c>
      <c r="F734" s="252" t="s">
        <v>1650</v>
      </c>
      <c r="G734" s="252" t="s">
        <v>918</v>
      </c>
      <c r="H734" s="252" t="s">
        <v>892</v>
      </c>
      <c r="I734" s="255">
        <v>0.56599999999999995</v>
      </c>
    </row>
    <row r="735" spans="1:9" ht="14.1" customHeight="1">
      <c r="A735" s="251" t="s">
        <v>1651</v>
      </c>
      <c r="B735" s="252" t="s">
        <v>970</v>
      </c>
      <c r="C735" s="256" t="s">
        <v>3776</v>
      </c>
      <c r="D735" s="254" t="s">
        <v>822</v>
      </c>
      <c r="E735" s="252" t="s">
        <v>917</v>
      </c>
      <c r="F735" s="252" t="s">
        <v>1652</v>
      </c>
      <c r="G735" s="252" t="s">
        <v>929</v>
      </c>
      <c r="H735" s="252" t="s">
        <v>889</v>
      </c>
      <c r="I735" s="255">
        <v>0.502</v>
      </c>
    </row>
    <row r="736" spans="1:9" ht="14.1" customHeight="1">
      <c r="A736" s="251" t="s">
        <v>1651</v>
      </c>
      <c r="B736" s="252" t="s">
        <v>970</v>
      </c>
      <c r="C736" s="256" t="s">
        <v>3773</v>
      </c>
      <c r="D736" s="254" t="s">
        <v>822</v>
      </c>
      <c r="E736" s="252" t="s">
        <v>917</v>
      </c>
      <c r="F736" s="252" t="s">
        <v>1643</v>
      </c>
      <c r="G736" s="252" t="s">
        <v>918</v>
      </c>
      <c r="H736" s="252" t="s">
        <v>889</v>
      </c>
      <c r="I736" s="255">
        <v>0.67800000000000005</v>
      </c>
    </row>
    <row r="737" spans="1:9" ht="14.1" customHeight="1">
      <c r="A737" s="251" t="s">
        <v>1651</v>
      </c>
      <c r="B737" s="252" t="s">
        <v>970</v>
      </c>
      <c r="C737" s="257" t="s">
        <v>3772</v>
      </c>
      <c r="D737" s="254" t="s">
        <v>822</v>
      </c>
      <c r="E737" s="252" t="s">
        <v>917</v>
      </c>
      <c r="F737" s="252" t="s">
        <v>1585</v>
      </c>
      <c r="G737" s="252" t="s">
        <v>888</v>
      </c>
      <c r="H737" s="252" t="s">
        <v>913</v>
      </c>
      <c r="I737" s="255">
        <v>2</v>
      </c>
    </row>
    <row r="738" spans="1:9" ht="14.1" customHeight="1">
      <c r="A738" s="251" t="s">
        <v>1651</v>
      </c>
      <c r="B738" s="252" t="s">
        <v>970</v>
      </c>
      <c r="C738" s="257" t="s">
        <v>3778</v>
      </c>
      <c r="D738" s="254" t="s">
        <v>822</v>
      </c>
      <c r="E738" s="252" t="s">
        <v>911</v>
      </c>
      <c r="F738" s="252" t="s">
        <v>886</v>
      </c>
      <c r="G738" s="252" t="s">
        <v>939</v>
      </c>
      <c r="H738" s="252" t="s">
        <v>889</v>
      </c>
      <c r="I738" s="255">
        <v>4</v>
      </c>
    </row>
    <row r="739" spans="1:9" ht="14.1" customHeight="1">
      <c r="A739" s="251" t="s">
        <v>1651</v>
      </c>
      <c r="B739" s="252" t="s">
        <v>970</v>
      </c>
      <c r="C739" s="256" t="s">
        <v>3767</v>
      </c>
      <c r="D739" s="254" t="s">
        <v>821</v>
      </c>
      <c r="E739" s="252" t="s">
        <v>1030</v>
      </c>
      <c r="F739" s="252" t="s">
        <v>1653</v>
      </c>
      <c r="G739" s="252" t="s">
        <v>907</v>
      </c>
      <c r="H739" s="252" t="s">
        <v>889</v>
      </c>
      <c r="I739" s="255">
        <v>1651.155</v>
      </c>
    </row>
    <row r="740" spans="1:9" ht="14.1" customHeight="1">
      <c r="A740" s="251" t="s">
        <v>1654</v>
      </c>
      <c r="B740" s="252" t="s">
        <v>975</v>
      </c>
      <c r="C740" s="257" t="s">
        <v>3954</v>
      </c>
      <c r="D740" s="254" t="s">
        <v>822</v>
      </c>
      <c r="E740" s="252" t="s">
        <v>917</v>
      </c>
      <c r="F740" s="252" t="s">
        <v>1655</v>
      </c>
      <c r="G740" s="252" t="s">
        <v>918</v>
      </c>
      <c r="H740" s="252" t="s">
        <v>889</v>
      </c>
      <c r="I740" s="255">
        <v>6.7919999999999998</v>
      </c>
    </row>
    <row r="741" spans="1:9" ht="14.1" customHeight="1">
      <c r="A741" s="251" t="s">
        <v>1654</v>
      </c>
      <c r="B741" s="252" t="s">
        <v>975</v>
      </c>
      <c r="C741" s="257" t="s">
        <v>3956</v>
      </c>
      <c r="D741" s="254" t="s">
        <v>822</v>
      </c>
      <c r="E741" s="252" t="s">
        <v>917</v>
      </c>
      <c r="F741" s="252" t="s">
        <v>1656</v>
      </c>
      <c r="G741" s="252" t="s">
        <v>925</v>
      </c>
      <c r="H741" s="252" t="s">
        <v>892</v>
      </c>
      <c r="I741" s="255">
        <v>10</v>
      </c>
    </row>
    <row r="742" spans="1:9" ht="14.1" customHeight="1">
      <c r="A742" s="251" t="s">
        <v>1654</v>
      </c>
      <c r="B742" s="252" t="s">
        <v>975</v>
      </c>
      <c r="C742" s="256" t="s">
        <v>3955</v>
      </c>
      <c r="D742" s="254" t="s">
        <v>822</v>
      </c>
      <c r="E742" s="252" t="s">
        <v>917</v>
      </c>
      <c r="F742" s="252" t="s">
        <v>1277</v>
      </c>
      <c r="G742" s="252" t="s">
        <v>984</v>
      </c>
      <c r="H742" s="252" t="s">
        <v>889</v>
      </c>
      <c r="I742" s="255">
        <v>21</v>
      </c>
    </row>
    <row r="743" spans="1:9" ht="14.1" customHeight="1">
      <c r="A743" s="251" t="s">
        <v>1654</v>
      </c>
      <c r="B743" s="252" t="s">
        <v>975</v>
      </c>
      <c r="C743" s="257" t="s">
        <v>3950</v>
      </c>
      <c r="D743" s="254" t="s">
        <v>822</v>
      </c>
      <c r="E743" s="252" t="s">
        <v>1088</v>
      </c>
      <c r="F743" s="252" t="s">
        <v>1657</v>
      </c>
      <c r="G743" s="252" t="s">
        <v>888</v>
      </c>
      <c r="H743" s="252" t="s">
        <v>889</v>
      </c>
      <c r="I743" s="255">
        <v>1200</v>
      </c>
    </row>
    <row r="744" spans="1:9" ht="14.1" customHeight="1">
      <c r="A744" s="251" t="s">
        <v>1658</v>
      </c>
      <c r="B744" s="252" t="s">
        <v>989</v>
      </c>
      <c r="C744" s="256" t="s">
        <v>4078</v>
      </c>
      <c r="D744" s="254" t="s">
        <v>822</v>
      </c>
      <c r="E744" s="252" t="s">
        <v>917</v>
      </c>
      <c r="F744" s="252" t="s">
        <v>1659</v>
      </c>
      <c r="G744" s="252" t="s">
        <v>918</v>
      </c>
      <c r="H744" s="252" t="s">
        <v>892</v>
      </c>
      <c r="I744" s="255">
        <v>0.111</v>
      </c>
    </row>
    <row r="745" spans="1:9" ht="14.1" customHeight="1">
      <c r="A745" s="251" t="s">
        <v>1658</v>
      </c>
      <c r="B745" s="252" t="s">
        <v>989</v>
      </c>
      <c r="C745" s="256" t="s">
        <v>4077</v>
      </c>
      <c r="D745" s="254" t="s">
        <v>822</v>
      </c>
      <c r="E745" s="252" t="s">
        <v>917</v>
      </c>
      <c r="F745" s="252" t="s">
        <v>1659</v>
      </c>
      <c r="G745" s="252" t="s">
        <v>918</v>
      </c>
      <c r="H745" s="252" t="s">
        <v>889</v>
      </c>
      <c r="I745" s="255">
        <v>0.122</v>
      </c>
    </row>
    <row r="746" spans="1:9" ht="14.1" customHeight="1">
      <c r="A746" s="251" t="s">
        <v>1658</v>
      </c>
      <c r="B746" s="252" t="s">
        <v>989</v>
      </c>
      <c r="C746" s="256" t="s">
        <v>4074</v>
      </c>
      <c r="D746" s="254" t="s">
        <v>822</v>
      </c>
      <c r="E746" s="252" t="s">
        <v>917</v>
      </c>
      <c r="F746" s="252" t="s">
        <v>1660</v>
      </c>
      <c r="G746" s="252" t="s">
        <v>918</v>
      </c>
      <c r="H746" s="252" t="s">
        <v>889</v>
      </c>
      <c r="I746" s="255">
        <v>0.4</v>
      </c>
    </row>
    <row r="747" spans="1:9" ht="14.1" customHeight="1">
      <c r="A747" s="251" t="s">
        <v>1658</v>
      </c>
      <c r="B747" s="252" t="s">
        <v>989</v>
      </c>
      <c r="C747" s="256" t="s">
        <v>4074</v>
      </c>
      <c r="D747" s="254" t="s">
        <v>822</v>
      </c>
      <c r="E747" s="252" t="s">
        <v>917</v>
      </c>
      <c r="F747" s="252" t="s">
        <v>1660</v>
      </c>
      <c r="G747" s="252" t="s">
        <v>918</v>
      </c>
      <c r="H747" s="252" t="s">
        <v>913</v>
      </c>
      <c r="I747" s="255">
        <v>0.6</v>
      </c>
    </row>
    <row r="748" spans="1:9" ht="14.1" customHeight="1">
      <c r="A748" s="251" t="s">
        <v>1658</v>
      </c>
      <c r="B748" s="252" t="s">
        <v>989</v>
      </c>
      <c r="C748" s="253" t="s">
        <v>4073</v>
      </c>
      <c r="D748" s="254" t="s">
        <v>822</v>
      </c>
      <c r="E748" s="252" t="s">
        <v>917</v>
      </c>
      <c r="F748" s="252" t="s">
        <v>1661</v>
      </c>
      <c r="G748" s="252" t="s">
        <v>918</v>
      </c>
      <c r="H748" s="252" t="s">
        <v>889</v>
      </c>
      <c r="I748" s="255">
        <v>2.121</v>
      </c>
    </row>
    <row r="749" spans="1:9" ht="14.1" customHeight="1">
      <c r="A749" s="251" t="s">
        <v>1658</v>
      </c>
      <c r="B749" s="252" t="s">
        <v>989</v>
      </c>
      <c r="C749" s="253" t="s">
        <v>3766</v>
      </c>
      <c r="D749" s="254" t="s">
        <v>821</v>
      </c>
      <c r="E749" s="252" t="s">
        <v>1051</v>
      </c>
      <c r="F749" s="252" t="s">
        <v>1662</v>
      </c>
      <c r="G749" s="252" t="s">
        <v>888</v>
      </c>
      <c r="H749" s="252" t="s">
        <v>931</v>
      </c>
      <c r="I749" s="255">
        <v>2.7589999999999999</v>
      </c>
    </row>
    <row r="750" spans="1:9" ht="14.1" customHeight="1">
      <c r="A750" s="251" t="s">
        <v>1658</v>
      </c>
      <c r="B750" s="252" t="s">
        <v>989</v>
      </c>
      <c r="C750" s="256" t="s">
        <v>2332</v>
      </c>
      <c r="D750" s="254" t="s">
        <v>822</v>
      </c>
      <c r="E750" s="252" t="s">
        <v>917</v>
      </c>
      <c r="F750" s="252" t="s">
        <v>1663</v>
      </c>
      <c r="G750" s="252" t="s">
        <v>929</v>
      </c>
      <c r="H750" s="252" t="s">
        <v>913</v>
      </c>
      <c r="I750" s="255">
        <v>3.9140000000000001</v>
      </c>
    </row>
    <row r="751" spans="1:9" ht="14.1" customHeight="1">
      <c r="A751" s="251" t="s">
        <v>1658</v>
      </c>
      <c r="B751" s="252" t="s">
        <v>989</v>
      </c>
      <c r="C751" s="258" t="s">
        <v>4075</v>
      </c>
      <c r="D751" s="254" t="s">
        <v>822</v>
      </c>
      <c r="E751" s="252" t="s">
        <v>917</v>
      </c>
      <c r="F751" s="252" t="s">
        <v>1664</v>
      </c>
      <c r="G751" s="252" t="s">
        <v>929</v>
      </c>
      <c r="H751" s="252" t="s">
        <v>889</v>
      </c>
      <c r="I751" s="255">
        <v>9.1989999999999998</v>
      </c>
    </row>
    <row r="752" spans="1:9" ht="14.1" customHeight="1">
      <c r="A752" s="251" t="s">
        <v>1658</v>
      </c>
      <c r="B752" s="252" t="s">
        <v>989</v>
      </c>
      <c r="C752" s="256" t="s">
        <v>4076</v>
      </c>
      <c r="D752" s="254" t="s">
        <v>822</v>
      </c>
      <c r="E752" s="252" t="s">
        <v>917</v>
      </c>
      <c r="F752" s="252" t="s">
        <v>1643</v>
      </c>
      <c r="G752" s="252" t="s">
        <v>918</v>
      </c>
      <c r="H752" s="252" t="s">
        <v>892</v>
      </c>
      <c r="I752" s="255">
        <v>9.4</v>
      </c>
    </row>
    <row r="753" spans="1:9" ht="14.1" customHeight="1">
      <c r="A753" s="251" t="s">
        <v>1665</v>
      </c>
      <c r="B753" s="252" t="s">
        <v>997</v>
      </c>
      <c r="C753" s="256" t="s">
        <v>4201</v>
      </c>
      <c r="D753" s="254" t="s">
        <v>822</v>
      </c>
      <c r="E753" s="252" t="s">
        <v>917</v>
      </c>
      <c r="F753" s="252" t="s">
        <v>1666</v>
      </c>
      <c r="G753" s="252" t="s">
        <v>918</v>
      </c>
      <c r="H753" s="252" t="s">
        <v>892</v>
      </c>
      <c r="I753" s="255">
        <v>2.5</v>
      </c>
    </row>
    <row r="754" spans="1:9" ht="14.1" customHeight="1">
      <c r="A754" s="251" t="s">
        <v>1665</v>
      </c>
      <c r="B754" s="252" t="s">
        <v>997</v>
      </c>
      <c r="C754" s="256" t="s">
        <v>4197</v>
      </c>
      <c r="D754" s="254" t="s">
        <v>823</v>
      </c>
      <c r="E754" s="252" t="s">
        <v>1146</v>
      </c>
      <c r="F754" s="252" t="s">
        <v>1667</v>
      </c>
      <c r="G754" s="252" t="s">
        <v>888</v>
      </c>
      <c r="H754" s="252" t="s">
        <v>889</v>
      </c>
      <c r="I754" s="255">
        <v>15</v>
      </c>
    </row>
    <row r="755" spans="1:9" ht="14.1" customHeight="1">
      <c r="A755" s="251" t="s">
        <v>1665</v>
      </c>
      <c r="B755" s="252" t="s">
        <v>997</v>
      </c>
      <c r="C755" s="256" t="s">
        <v>4200</v>
      </c>
      <c r="D755" s="254" t="s">
        <v>822</v>
      </c>
      <c r="E755" s="252" t="s">
        <v>1088</v>
      </c>
      <c r="F755" s="252" t="s">
        <v>886</v>
      </c>
      <c r="G755" s="252" t="s">
        <v>939</v>
      </c>
      <c r="H755" s="252" t="s">
        <v>889</v>
      </c>
      <c r="I755" s="255">
        <v>21.5</v>
      </c>
    </row>
    <row r="756" spans="1:9" ht="14.1" customHeight="1">
      <c r="A756" s="251" t="s">
        <v>1665</v>
      </c>
      <c r="B756" s="252" t="s">
        <v>997</v>
      </c>
      <c r="C756" s="253" t="s">
        <v>4199</v>
      </c>
      <c r="D756" s="254" t="s">
        <v>821</v>
      </c>
      <c r="E756" s="252" t="s">
        <v>968</v>
      </c>
      <c r="F756" s="252" t="s">
        <v>1356</v>
      </c>
      <c r="G756" s="252" t="s">
        <v>888</v>
      </c>
      <c r="H756" s="252" t="s">
        <v>889</v>
      </c>
      <c r="I756" s="255">
        <v>84.7</v>
      </c>
    </row>
    <row r="757" spans="1:9" ht="14.1" customHeight="1">
      <c r="A757" s="251" t="s">
        <v>1668</v>
      </c>
      <c r="B757" s="252" t="s">
        <v>1003</v>
      </c>
      <c r="C757" s="256" t="s">
        <v>4334</v>
      </c>
      <c r="D757" s="254" t="s">
        <v>821</v>
      </c>
      <c r="E757" s="252" t="s">
        <v>1833</v>
      </c>
      <c r="F757" s="252" t="s">
        <v>1669</v>
      </c>
      <c r="G757" s="252" t="s">
        <v>939</v>
      </c>
      <c r="H757" s="252" t="s">
        <v>889</v>
      </c>
      <c r="I757" s="255">
        <v>0.35</v>
      </c>
    </row>
    <row r="758" spans="1:9" ht="14.1" customHeight="1">
      <c r="A758" s="251" t="s">
        <v>1668</v>
      </c>
      <c r="B758" s="252" t="s">
        <v>1003</v>
      </c>
      <c r="C758" s="256" t="s">
        <v>4340</v>
      </c>
      <c r="D758" s="254" t="s">
        <v>822</v>
      </c>
      <c r="E758" s="252" t="s">
        <v>917</v>
      </c>
      <c r="F758" s="252" t="s">
        <v>1670</v>
      </c>
      <c r="G758" s="252" t="s">
        <v>918</v>
      </c>
      <c r="H758" s="252" t="s">
        <v>892</v>
      </c>
      <c r="I758" s="255">
        <v>5.2229999999999999</v>
      </c>
    </row>
    <row r="759" spans="1:9" ht="14.1" customHeight="1">
      <c r="A759" s="251" t="s">
        <v>1668</v>
      </c>
      <c r="B759" s="252" t="s">
        <v>1003</v>
      </c>
      <c r="C759" s="256" t="s">
        <v>4339</v>
      </c>
      <c r="D759" s="254" t="s">
        <v>822</v>
      </c>
      <c r="E759" s="252" t="s">
        <v>917</v>
      </c>
      <c r="F759" s="252" t="s">
        <v>1671</v>
      </c>
      <c r="G759" s="252" t="s">
        <v>918</v>
      </c>
      <c r="H759" s="252" t="s">
        <v>889</v>
      </c>
      <c r="I759" s="255">
        <v>5.5460000000000003</v>
      </c>
    </row>
    <row r="760" spans="1:9" ht="14.1" customHeight="1">
      <c r="A760" s="251" t="s">
        <v>1668</v>
      </c>
      <c r="B760" s="252" t="s">
        <v>1003</v>
      </c>
      <c r="C760" s="257" t="s">
        <v>4338</v>
      </c>
      <c r="D760" s="254" t="s">
        <v>821</v>
      </c>
      <c r="E760" s="252" t="s">
        <v>986</v>
      </c>
      <c r="F760" s="252" t="s">
        <v>1672</v>
      </c>
      <c r="G760" s="252" t="s">
        <v>959</v>
      </c>
      <c r="H760" s="252" t="s">
        <v>892</v>
      </c>
      <c r="I760" s="255">
        <v>34.67</v>
      </c>
    </row>
    <row r="761" spans="1:9" ht="14.1" customHeight="1">
      <c r="A761" s="251" t="s">
        <v>1668</v>
      </c>
      <c r="B761" s="252" t="s">
        <v>1003</v>
      </c>
      <c r="C761" s="257" t="s">
        <v>4331</v>
      </c>
      <c r="D761" s="254" t="s">
        <v>822</v>
      </c>
      <c r="E761" s="252" t="s">
        <v>1088</v>
      </c>
      <c r="F761" s="252" t="s">
        <v>886</v>
      </c>
      <c r="G761" s="252" t="s">
        <v>925</v>
      </c>
      <c r="H761" s="252" t="s">
        <v>892</v>
      </c>
      <c r="I761" s="255">
        <v>1390</v>
      </c>
    </row>
    <row r="762" spans="1:9" ht="14.1" customHeight="1">
      <c r="A762" s="251" t="s">
        <v>1673</v>
      </c>
      <c r="B762" s="252" t="s">
        <v>1011</v>
      </c>
      <c r="C762" s="256" t="s">
        <v>4452</v>
      </c>
      <c r="D762" s="254" t="s">
        <v>822</v>
      </c>
      <c r="E762" s="252" t="s">
        <v>917</v>
      </c>
      <c r="F762" s="252" t="s">
        <v>1277</v>
      </c>
      <c r="G762" s="252" t="s">
        <v>984</v>
      </c>
      <c r="H762" s="252" t="s">
        <v>889</v>
      </c>
      <c r="I762" s="255">
        <v>202.27500000000001</v>
      </c>
    </row>
    <row r="763" spans="1:9" ht="14.1" customHeight="1">
      <c r="A763" s="251" t="s">
        <v>1673</v>
      </c>
      <c r="B763" s="252" t="s">
        <v>1011</v>
      </c>
      <c r="C763" s="256" t="s">
        <v>4452</v>
      </c>
      <c r="D763" s="254" t="s">
        <v>822</v>
      </c>
      <c r="E763" s="252" t="s">
        <v>917</v>
      </c>
      <c r="F763" s="252" t="s">
        <v>1277</v>
      </c>
      <c r="G763" s="252" t="s">
        <v>984</v>
      </c>
      <c r="H763" s="252" t="s">
        <v>889</v>
      </c>
      <c r="I763" s="255">
        <v>530.53300000000002</v>
      </c>
    </row>
    <row r="764" spans="1:9" ht="14.1" customHeight="1">
      <c r="A764" s="251" t="s">
        <v>1673</v>
      </c>
      <c r="B764" s="252" t="s">
        <v>1011</v>
      </c>
      <c r="C764" s="253" t="s">
        <v>4451</v>
      </c>
      <c r="D764" s="254" t="s">
        <v>822</v>
      </c>
      <c r="E764" s="252" t="s">
        <v>1088</v>
      </c>
      <c r="F764" s="252" t="s">
        <v>1657</v>
      </c>
      <c r="G764" s="252" t="s">
        <v>888</v>
      </c>
      <c r="H764" s="252" t="s">
        <v>889</v>
      </c>
      <c r="I764" s="255">
        <v>1952</v>
      </c>
    </row>
    <row r="765" spans="1:9" ht="14.1" customHeight="1">
      <c r="A765" s="251" t="s">
        <v>1674</v>
      </c>
      <c r="B765" s="252" t="s">
        <v>922</v>
      </c>
      <c r="C765" s="253" t="s">
        <v>2336</v>
      </c>
      <c r="D765" s="254" t="s">
        <v>822</v>
      </c>
      <c r="E765" s="252" t="s">
        <v>906</v>
      </c>
      <c r="F765" s="252" t="s">
        <v>1675</v>
      </c>
      <c r="G765" s="252" t="s">
        <v>1136</v>
      </c>
      <c r="H765" s="252" t="s">
        <v>889</v>
      </c>
      <c r="I765" s="255">
        <v>71.528999999999996</v>
      </c>
    </row>
    <row r="766" spans="1:9" ht="14.1" customHeight="1">
      <c r="A766" s="251" t="s">
        <v>1676</v>
      </c>
      <c r="B766" s="252" t="s">
        <v>935</v>
      </c>
      <c r="C766" s="256" t="s">
        <v>2620</v>
      </c>
      <c r="D766" s="254" t="s">
        <v>822</v>
      </c>
      <c r="E766" s="252" t="s">
        <v>894</v>
      </c>
      <c r="F766" s="252" t="s">
        <v>1677</v>
      </c>
      <c r="G766" s="252" t="s">
        <v>919</v>
      </c>
      <c r="H766" s="252" t="s">
        <v>889</v>
      </c>
      <c r="I766" s="255">
        <v>500</v>
      </c>
    </row>
    <row r="767" spans="1:9" ht="14.1" customHeight="1">
      <c r="A767" s="251" t="s">
        <v>1678</v>
      </c>
      <c r="B767" s="252" t="s">
        <v>951</v>
      </c>
      <c r="C767" s="252" t="s">
        <v>3088</v>
      </c>
      <c r="D767" s="254" t="s">
        <v>822</v>
      </c>
      <c r="E767" s="252" t="s">
        <v>894</v>
      </c>
      <c r="F767" s="252" t="s">
        <v>1677</v>
      </c>
      <c r="G767" s="252" t="s">
        <v>919</v>
      </c>
      <c r="H767" s="255" t="s">
        <v>892</v>
      </c>
      <c r="I767" s="255">
        <v>500</v>
      </c>
    </row>
    <row r="768" spans="1:9" ht="14.1" customHeight="1">
      <c r="A768" s="346"/>
      <c r="B768" s="343"/>
      <c r="C768" s="343"/>
      <c r="D768" s="344"/>
      <c r="E768" s="343"/>
      <c r="F768" s="343"/>
      <c r="G768" s="343"/>
      <c r="H768" s="345"/>
      <c r="I768" s="345"/>
    </row>
    <row r="769" spans="1:13" ht="14.1" customHeight="1">
      <c r="A769" s="349" t="s">
        <v>4478</v>
      </c>
      <c r="B769" s="350"/>
      <c r="C769" s="347"/>
      <c r="D769" s="350"/>
      <c r="E769" s="108"/>
      <c r="F769" s="234"/>
      <c r="G769" s="234"/>
      <c r="H769" s="234"/>
      <c r="I769" s="235"/>
      <c r="J769" s="150"/>
      <c r="K769" s="150"/>
      <c r="L769" s="150"/>
      <c r="M769" s="150"/>
    </row>
    <row r="770" spans="1:13" ht="14.1" customHeight="1">
      <c r="A770" s="234"/>
      <c r="B770" s="234"/>
      <c r="C770" s="108"/>
      <c r="D770" s="234"/>
      <c r="E770" s="108"/>
      <c r="F770" s="234"/>
      <c r="G770" s="234"/>
      <c r="H770" s="234"/>
      <c r="I770" s="235"/>
      <c r="J770" s="150"/>
      <c r="K770" s="150"/>
      <c r="L770" s="150"/>
      <c r="M770" s="150"/>
    </row>
    <row r="771" spans="1:13" ht="14.1" customHeight="1">
      <c r="A771" s="234"/>
      <c r="B771" s="234"/>
      <c r="C771" s="108"/>
      <c r="D771" s="234"/>
      <c r="E771" s="108"/>
      <c r="F771" s="234"/>
      <c r="G771" s="234"/>
      <c r="H771" s="234"/>
      <c r="I771" s="235"/>
      <c r="J771" s="150"/>
      <c r="K771" s="150"/>
      <c r="L771" s="150"/>
      <c r="M771" s="150"/>
    </row>
    <row r="772" spans="1:13" ht="14.1" customHeight="1">
      <c r="A772" s="234"/>
      <c r="B772" s="234"/>
      <c r="C772" s="108"/>
      <c r="D772" s="234"/>
      <c r="E772" s="108"/>
      <c r="F772" s="234"/>
      <c r="G772" s="234"/>
      <c r="H772" s="234"/>
      <c r="I772" s="235"/>
      <c r="J772" s="150"/>
      <c r="K772" s="150"/>
      <c r="L772" s="150"/>
      <c r="M772" s="150"/>
    </row>
    <row r="773" spans="1:13" ht="14.1" customHeight="1">
      <c r="A773" s="234"/>
      <c r="B773" s="234"/>
      <c r="C773" s="108"/>
      <c r="D773" s="234"/>
      <c r="E773" s="108"/>
      <c r="F773" s="234"/>
      <c r="G773" s="234"/>
      <c r="H773" s="234"/>
      <c r="I773" s="235"/>
      <c r="J773" s="150"/>
      <c r="K773" s="150"/>
      <c r="L773" s="150"/>
      <c r="M773" s="150"/>
    </row>
    <row r="774" spans="1:13" ht="14.1" customHeight="1">
      <c r="A774" s="234"/>
      <c r="B774" s="234"/>
      <c r="C774" s="108"/>
      <c r="D774" s="234"/>
      <c r="E774" s="108"/>
      <c r="F774" s="234"/>
      <c r="G774" s="234"/>
      <c r="H774" s="234"/>
      <c r="I774" s="235"/>
      <c r="J774" s="150"/>
      <c r="K774" s="150"/>
      <c r="L774" s="150"/>
      <c r="M774" s="150"/>
    </row>
    <row r="775" spans="1:13" ht="14.1" customHeight="1">
      <c r="A775" s="234"/>
      <c r="B775" s="234"/>
      <c r="C775" s="108"/>
      <c r="D775" s="234"/>
      <c r="E775" s="108"/>
      <c r="F775" s="234"/>
      <c r="G775" s="234"/>
      <c r="H775" s="234"/>
      <c r="I775" s="235"/>
      <c r="J775" s="150"/>
      <c r="K775" s="150"/>
      <c r="L775" s="150"/>
      <c r="M775" s="150"/>
    </row>
    <row r="776" spans="1:13" ht="14.1" customHeight="1">
      <c r="A776" s="234"/>
      <c r="B776" s="234"/>
      <c r="C776" s="108"/>
      <c r="D776" s="234"/>
      <c r="E776" s="108"/>
      <c r="F776" s="234"/>
      <c r="G776" s="234"/>
      <c r="H776" s="234"/>
      <c r="I776" s="235"/>
      <c r="J776" s="150"/>
      <c r="K776" s="150"/>
      <c r="L776" s="150"/>
      <c r="M776" s="150"/>
    </row>
    <row r="777" spans="1:13" ht="14.1" customHeight="1">
      <c r="A777" s="234"/>
      <c r="B777" s="234"/>
      <c r="C777" s="108"/>
      <c r="D777" s="234"/>
      <c r="E777" s="108"/>
      <c r="F777" s="234"/>
      <c r="G777" s="234"/>
      <c r="H777" s="234"/>
      <c r="I777" s="235"/>
      <c r="J777" s="150"/>
      <c r="K777" s="150"/>
      <c r="L777" s="150"/>
      <c r="M777" s="150"/>
    </row>
    <row r="778" spans="1:13" ht="14.1" customHeight="1">
      <c r="A778" s="234"/>
      <c r="B778" s="234"/>
      <c r="C778" s="108"/>
      <c r="D778" s="234"/>
      <c r="E778" s="108"/>
      <c r="F778" s="234"/>
      <c r="G778" s="234"/>
      <c r="H778" s="234"/>
      <c r="I778" s="235"/>
      <c r="J778" s="150"/>
      <c r="K778" s="150"/>
      <c r="L778" s="150"/>
      <c r="M778" s="150"/>
    </row>
    <row r="779" spans="1:13" ht="14.1" customHeight="1">
      <c r="A779" s="234"/>
      <c r="B779" s="234"/>
      <c r="C779" s="108"/>
      <c r="D779" s="234"/>
      <c r="E779" s="108"/>
      <c r="F779" s="234"/>
      <c r="G779" s="234"/>
      <c r="H779" s="234"/>
      <c r="I779" s="235"/>
      <c r="J779" s="150"/>
      <c r="K779" s="150"/>
      <c r="L779" s="150"/>
      <c r="M779" s="150"/>
    </row>
    <row r="780" spans="1:13" ht="14.1" customHeight="1">
      <c r="A780" s="234"/>
      <c r="B780" s="234"/>
      <c r="C780" s="108"/>
      <c r="D780" s="234"/>
      <c r="E780" s="108"/>
      <c r="F780" s="234"/>
      <c r="G780" s="234"/>
      <c r="H780" s="234"/>
      <c r="I780" s="235"/>
      <c r="J780" s="150"/>
      <c r="K780" s="150"/>
      <c r="L780" s="150"/>
      <c r="M780" s="150"/>
    </row>
    <row r="781" spans="1:13" ht="14.1" customHeight="1">
      <c r="A781" s="234"/>
      <c r="B781" s="234"/>
      <c r="C781" s="108"/>
      <c r="D781" s="234"/>
      <c r="E781" s="108"/>
      <c r="F781" s="234"/>
      <c r="G781" s="234"/>
      <c r="H781" s="234"/>
      <c r="I781" s="235"/>
      <c r="J781" s="150"/>
      <c r="K781" s="150"/>
      <c r="L781" s="150"/>
      <c r="M781" s="150"/>
    </row>
    <row r="782" spans="1:13" ht="14.1" customHeight="1">
      <c r="A782" s="234"/>
      <c r="B782" s="234"/>
      <c r="C782" s="108"/>
      <c r="D782" s="234"/>
      <c r="E782" s="108"/>
      <c r="F782" s="234"/>
      <c r="G782" s="234"/>
      <c r="H782" s="234"/>
      <c r="I782" s="235"/>
      <c r="J782" s="150"/>
      <c r="K782" s="150"/>
      <c r="L782" s="150"/>
      <c r="M782" s="150"/>
    </row>
    <row r="783" spans="1:13" ht="14.1" customHeight="1">
      <c r="A783" s="234"/>
      <c r="B783" s="234"/>
      <c r="C783" s="108"/>
      <c r="D783" s="234"/>
      <c r="E783" s="108"/>
      <c r="F783" s="234"/>
      <c r="G783" s="234"/>
      <c r="H783" s="234"/>
      <c r="I783" s="235"/>
      <c r="J783" s="150"/>
      <c r="K783" s="150"/>
      <c r="L783" s="150"/>
      <c r="M783" s="150"/>
    </row>
    <row r="784" spans="1:13" ht="14.1" customHeight="1">
      <c r="A784" s="234"/>
      <c r="B784" s="234"/>
      <c r="C784" s="108"/>
      <c r="D784" s="234"/>
      <c r="E784" s="108"/>
      <c r="F784" s="234"/>
      <c r="G784" s="234"/>
      <c r="H784" s="234"/>
      <c r="I784" s="235"/>
      <c r="J784" s="150"/>
      <c r="K784" s="150"/>
      <c r="L784" s="150"/>
      <c r="M784" s="150"/>
    </row>
    <row r="785" spans="1:13" ht="14.1" customHeight="1">
      <c r="A785" s="234"/>
      <c r="B785" s="234"/>
      <c r="C785" s="108"/>
      <c r="D785" s="234"/>
      <c r="E785" s="108"/>
      <c r="F785" s="234"/>
      <c r="G785" s="234"/>
      <c r="H785" s="234"/>
      <c r="I785" s="235"/>
      <c r="J785" s="150"/>
      <c r="K785" s="150"/>
      <c r="L785" s="150"/>
      <c r="M785" s="150"/>
    </row>
    <row r="786" spans="1:13" ht="14.1" customHeight="1">
      <c r="A786" s="234"/>
      <c r="B786" s="234"/>
      <c r="C786" s="108"/>
      <c r="D786" s="234"/>
      <c r="E786" s="108"/>
      <c r="F786" s="234"/>
      <c r="G786" s="234"/>
      <c r="H786" s="234"/>
      <c r="I786" s="235"/>
      <c r="J786" s="150"/>
      <c r="K786" s="150"/>
      <c r="L786" s="150"/>
      <c r="M786" s="150"/>
    </row>
    <row r="787" spans="1:13" ht="14.1" customHeight="1">
      <c r="A787" s="234"/>
      <c r="B787" s="234"/>
      <c r="C787" s="108"/>
      <c r="D787" s="234"/>
      <c r="E787" s="108"/>
      <c r="F787" s="234"/>
      <c r="G787" s="234"/>
      <c r="H787" s="234"/>
      <c r="I787" s="235"/>
      <c r="J787" s="150"/>
      <c r="K787" s="150"/>
      <c r="L787" s="150"/>
      <c r="M787" s="150"/>
    </row>
    <row r="788" spans="1:13" ht="14.1" customHeight="1">
      <c r="A788" s="234"/>
      <c r="B788" s="234"/>
      <c r="C788" s="108"/>
      <c r="D788" s="234"/>
      <c r="E788" s="108"/>
      <c r="F788" s="234"/>
      <c r="G788" s="234"/>
      <c r="H788" s="234"/>
      <c r="I788" s="235"/>
      <c r="J788" s="150"/>
      <c r="K788" s="150"/>
      <c r="L788" s="150"/>
      <c r="M788" s="150"/>
    </row>
    <row r="789" spans="1:13" ht="14.1" customHeight="1">
      <c r="A789" s="234"/>
      <c r="B789" s="234"/>
      <c r="C789" s="108"/>
      <c r="D789" s="234"/>
      <c r="E789" s="108"/>
      <c r="F789" s="234"/>
      <c r="G789" s="234"/>
      <c r="H789" s="234"/>
      <c r="I789" s="235"/>
      <c r="J789" s="150"/>
      <c r="K789" s="150"/>
      <c r="L789" s="150"/>
      <c r="M789" s="150"/>
    </row>
    <row r="790" spans="1:13" ht="14.1" customHeight="1">
      <c r="A790" s="234"/>
      <c r="B790" s="234"/>
      <c r="C790" s="108"/>
      <c r="D790" s="234"/>
      <c r="E790" s="108"/>
      <c r="F790" s="234"/>
      <c r="G790" s="234"/>
      <c r="H790" s="234"/>
      <c r="I790" s="235"/>
      <c r="J790" s="150"/>
      <c r="K790" s="150"/>
      <c r="L790" s="150"/>
      <c r="M790" s="150"/>
    </row>
    <row r="791" spans="1:13" ht="14.1" customHeight="1">
      <c r="A791" s="234"/>
      <c r="B791" s="234"/>
      <c r="C791" s="108"/>
      <c r="D791" s="234"/>
      <c r="E791" s="108"/>
      <c r="F791" s="234"/>
      <c r="G791" s="234"/>
      <c r="H791" s="234"/>
      <c r="I791" s="235"/>
      <c r="J791" s="150"/>
      <c r="K791" s="150"/>
      <c r="L791" s="150"/>
      <c r="M791" s="150"/>
    </row>
    <row r="792" spans="1:13" ht="14.1" customHeight="1">
      <c r="A792" s="234"/>
      <c r="B792" s="234"/>
      <c r="C792" s="108"/>
      <c r="D792" s="234"/>
      <c r="E792" s="108"/>
      <c r="F792" s="234"/>
      <c r="G792" s="234"/>
      <c r="H792" s="234"/>
      <c r="I792" s="235"/>
      <c r="J792" s="150"/>
      <c r="K792" s="150"/>
      <c r="L792" s="150"/>
      <c r="M792" s="150"/>
    </row>
    <row r="793" spans="1:13" ht="14.1" customHeight="1">
      <c r="A793" s="234"/>
      <c r="B793" s="234"/>
      <c r="C793" s="108"/>
      <c r="D793" s="234"/>
      <c r="E793" s="108"/>
      <c r="F793" s="234"/>
      <c r="G793" s="234"/>
      <c r="H793" s="234"/>
      <c r="I793" s="235"/>
      <c r="J793" s="150"/>
      <c r="K793" s="150"/>
      <c r="L793" s="150"/>
      <c r="M793" s="150"/>
    </row>
    <row r="794" spans="1:13" ht="14.1" customHeight="1">
      <c r="A794" s="234"/>
      <c r="B794" s="234"/>
      <c r="C794" s="108"/>
      <c r="D794" s="234"/>
      <c r="E794" s="108"/>
      <c r="F794" s="234"/>
      <c r="G794" s="234"/>
      <c r="H794" s="234"/>
      <c r="I794" s="235"/>
      <c r="J794" s="150"/>
      <c r="K794" s="150"/>
      <c r="L794" s="150"/>
      <c r="M794" s="150"/>
    </row>
    <row r="795" spans="1:13" ht="14.1" customHeight="1">
      <c r="A795" s="234"/>
      <c r="B795" s="234"/>
      <c r="C795" s="108"/>
      <c r="D795" s="234"/>
      <c r="E795" s="108"/>
      <c r="F795" s="234"/>
      <c r="G795" s="234"/>
      <c r="H795" s="234"/>
      <c r="I795" s="235"/>
      <c r="J795" s="150"/>
      <c r="K795" s="150"/>
      <c r="L795" s="150"/>
      <c r="M795" s="150"/>
    </row>
    <row r="796" spans="1:13" ht="14.1" customHeight="1">
      <c r="A796" s="234"/>
      <c r="B796" s="234"/>
      <c r="C796" s="108"/>
      <c r="D796" s="234"/>
      <c r="E796" s="108"/>
      <c r="F796" s="234"/>
      <c r="G796" s="234"/>
      <c r="H796" s="234"/>
      <c r="I796" s="235"/>
      <c r="J796" s="150"/>
      <c r="K796" s="150"/>
      <c r="L796" s="150"/>
      <c r="M796" s="150"/>
    </row>
    <row r="797" spans="1:13" ht="14.1" customHeight="1">
      <c r="A797" s="234"/>
      <c r="B797" s="234"/>
      <c r="C797" s="108"/>
      <c r="D797" s="234"/>
      <c r="E797" s="108"/>
      <c r="F797" s="234"/>
      <c r="G797" s="234"/>
      <c r="H797" s="234"/>
      <c r="I797" s="235"/>
      <c r="J797" s="150"/>
      <c r="K797" s="150"/>
      <c r="L797" s="150"/>
      <c r="M797" s="150"/>
    </row>
    <row r="798" spans="1:13" ht="14.1" customHeight="1">
      <c r="A798" s="234"/>
      <c r="B798" s="234"/>
      <c r="C798" s="108"/>
      <c r="D798" s="234"/>
      <c r="E798" s="108"/>
      <c r="F798" s="234"/>
      <c r="G798" s="234"/>
      <c r="H798" s="234"/>
      <c r="I798" s="235"/>
      <c r="J798" s="150"/>
      <c r="K798" s="150"/>
      <c r="L798" s="150"/>
      <c r="M798" s="150"/>
    </row>
    <row r="799" spans="1:13" ht="14.1" customHeight="1">
      <c r="A799" s="234"/>
      <c r="B799" s="234"/>
      <c r="C799" s="108"/>
      <c r="D799" s="234"/>
      <c r="E799" s="108"/>
      <c r="F799" s="234"/>
      <c r="G799" s="234"/>
      <c r="H799" s="234"/>
      <c r="I799" s="235"/>
      <c r="J799" s="150"/>
      <c r="K799" s="150"/>
      <c r="L799" s="150"/>
      <c r="M799" s="150"/>
    </row>
    <row r="800" spans="1:13" ht="14.1" customHeight="1">
      <c r="A800" s="234"/>
      <c r="B800" s="234"/>
      <c r="C800" s="108"/>
      <c r="D800" s="234"/>
      <c r="E800" s="108"/>
      <c r="F800" s="234"/>
      <c r="G800" s="234"/>
      <c r="H800" s="234"/>
      <c r="I800" s="235"/>
      <c r="J800" s="150"/>
      <c r="K800" s="150"/>
      <c r="L800" s="150"/>
      <c r="M800" s="150"/>
    </row>
    <row r="801" spans="1:13" ht="14.1" customHeight="1">
      <c r="A801" s="234"/>
      <c r="B801" s="234"/>
      <c r="C801" s="108"/>
      <c r="D801" s="234"/>
      <c r="E801" s="108"/>
      <c r="F801" s="234"/>
      <c r="G801" s="234"/>
      <c r="H801" s="234"/>
      <c r="I801" s="235"/>
      <c r="J801" s="150"/>
      <c r="K801" s="150"/>
      <c r="L801" s="150"/>
      <c r="M801" s="150"/>
    </row>
    <row r="802" spans="1:13" ht="14.1" customHeight="1">
      <c r="A802" s="234"/>
      <c r="B802" s="234"/>
      <c r="C802" s="108"/>
      <c r="D802" s="234"/>
      <c r="E802" s="108"/>
      <c r="F802" s="234"/>
      <c r="G802" s="234"/>
      <c r="H802" s="234"/>
      <c r="I802" s="235"/>
      <c r="J802" s="150"/>
      <c r="K802" s="150"/>
      <c r="L802" s="150"/>
      <c r="M802" s="150"/>
    </row>
    <row r="803" spans="1:13" ht="14.1" customHeight="1">
      <c r="A803" s="234"/>
      <c r="B803" s="234"/>
      <c r="C803" s="108"/>
      <c r="D803" s="234"/>
      <c r="E803" s="108"/>
      <c r="F803" s="234"/>
      <c r="G803" s="234"/>
      <c r="H803" s="234"/>
      <c r="I803" s="235"/>
      <c r="J803" s="150"/>
      <c r="K803" s="150"/>
      <c r="L803" s="150"/>
      <c r="M803" s="150"/>
    </row>
    <row r="804" spans="1:13" ht="14.1" customHeight="1">
      <c r="A804" s="234"/>
      <c r="B804" s="234"/>
      <c r="C804" s="108"/>
      <c r="D804" s="234"/>
      <c r="E804" s="108"/>
      <c r="F804" s="234"/>
      <c r="G804" s="234"/>
      <c r="H804" s="234"/>
      <c r="I804" s="235"/>
      <c r="J804" s="150"/>
      <c r="K804" s="150"/>
      <c r="L804" s="150"/>
      <c r="M804" s="150"/>
    </row>
    <row r="805" spans="1:13" ht="14.1" customHeight="1">
      <c r="A805" s="234"/>
      <c r="B805" s="234"/>
      <c r="C805" s="108"/>
      <c r="D805" s="234"/>
      <c r="E805" s="108"/>
      <c r="F805" s="234"/>
      <c r="G805" s="234"/>
      <c r="H805" s="234"/>
      <c r="I805" s="235"/>
      <c r="J805" s="150"/>
      <c r="K805" s="150"/>
      <c r="L805" s="150"/>
      <c r="M805" s="150"/>
    </row>
    <row r="806" spans="1:13" ht="14.1" customHeight="1">
      <c r="A806" s="234"/>
      <c r="B806" s="234"/>
      <c r="C806" s="108"/>
      <c r="D806" s="234"/>
      <c r="E806" s="108"/>
      <c r="F806" s="234"/>
      <c r="G806" s="234"/>
      <c r="H806" s="234"/>
      <c r="I806" s="235"/>
      <c r="J806" s="150"/>
      <c r="K806" s="150"/>
      <c r="L806" s="150"/>
      <c r="M806" s="150"/>
    </row>
    <row r="807" spans="1:13" ht="14.1" customHeight="1">
      <c r="A807" s="234"/>
      <c r="B807" s="234"/>
      <c r="C807" s="108"/>
      <c r="D807" s="234"/>
      <c r="E807" s="108"/>
      <c r="F807" s="234"/>
      <c r="G807" s="234"/>
      <c r="H807" s="234"/>
      <c r="I807" s="235"/>
      <c r="J807" s="150"/>
      <c r="K807" s="150"/>
      <c r="L807" s="150"/>
      <c r="M807" s="150"/>
    </row>
    <row r="808" spans="1:13" ht="14.1" customHeight="1">
      <c r="A808" s="234"/>
      <c r="B808" s="234"/>
      <c r="C808" s="108"/>
      <c r="D808" s="234"/>
      <c r="E808" s="108"/>
      <c r="F808" s="234"/>
      <c r="G808" s="234"/>
      <c r="H808" s="234"/>
      <c r="I808" s="235"/>
      <c r="J808" s="150"/>
      <c r="K808" s="150"/>
      <c r="L808" s="150"/>
      <c r="M808" s="150"/>
    </row>
    <row r="809" spans="1:13" ht="14.1" customHeight="1">
      <c r="A809" s="234"/>
      <c r="B809" s="234"/>
      <c r="C809" s="108"/>
      <c r="D809" s="234"/>
      <c r="E809" s="108"/>
      <c r="F809" s="234"/>
      <c r="G809" s="234"/>
      <c r="H809" s="234"/>
      <c r="I809" s="235"/>
      <c r="J809" s="150"/>
      <c r="K809" s="150"/>
      <c r="L809" s="150"/>
      <c r="M809" s="150"/>
    </row>
    <row r="810" spans="1:13" ht="14.1" customHeight="1">
      <c r="A810" s="234"/>
      <c r="B810" s="234"/>
      <c r="C810" s="108"/>
      <c r="D810" s="234"/>
      <c r="E810" s="108"/>
      <c r="F810" s="234"/>
      <c r="G810" s="234"/>
      <c r="H810" s="234"/>
      <c r="I810" s="235"/>
      <c r="J810" s="150"/>
      <c r="K810" s="150"/>
      <c r="L810" s="150"/>
      <c r="M810" s="150"/>
    </row>
    <row r="811" spans="1:13" ht="14.1" customHeight="1">
      <c r="A811" s="234"/>
      <c r="B811" s="234"/>
      <c r="C811" s="108"/>
      <c r="D811" s="234"/>
      <c r="E811" s="108"/>
      <c r="F811" s="234"/>
      <c r="G811" s="234"/>
      <c r="H811" s="234"/>
      <c r="I811" s="235"/>
      <c r="J811" s="150"/>
      <c r="K811" s="150"/>
      <c r="L811" s="150"/>
      <c r="M811" s="150"/>
    </row>
    <row r="812" spans="1:13" ht="14.1" customHeight="1">
      <c r="A812" s="234"/>
      <c r="B812" s="234"/>
      <c r="C812" s="108"/>
      <c r="D812" s="234"/>
      <c r="E812" s="108"/>
      <c r="F812" s="234"/>
      <c r="G812" s="234"/>
      <c r="H812" s="234"/>
      <c r="I812" s="235"/>
      <c r="J812" s="150"/>
      <c r="K812" s="150"/>
      <c r="L812" s="150"/>
      <c r="M812" s="150"/>
    </row>
    <row r="813" spans="1:13" ht="14.1" customHeight="1">
      <c r="A813" s="234"/>
      <c r="B813" s="234"/>
      <c r="C813" s="108"/>
      <c r="D813" s="234"/>
      <c r="E813" s="108"/>
      <c r="F813" s="234"/>
      <c r="G813" s="234"/>
      <c r="H813" s="234"/>
      <c r="I813" s="235"/>
      <c r="J813" s="150"/>
      <c r="K813" s="150"/>
      <c r="L813" s="150"/>
      <c r="M813" s="150"/>
    </row>
    <row r="814" spans="1:13" ht="14.1" customHeight="1">
      <c r="A814" s="234"/>
      <c r="B814" s="234"/>
      <c r="C814" s="108"/>
      <c r="D814" s="234"/>
      <c r="E814" s="108"/>
      <c r="F814" s="234"/>
      <c r="G814" s="234"/>
      <c r="H814" s="234"/>
      <c r="I814" s="235"/>
      <c r="J814" s="150"/>
      <c r="K814" s="150"/>
      <c r="L814" s="150"/>
      <c r="M814" s="150"/>
    </row>
    <row r="815" spans="1:13" ht="14.1" customHeight="1">
      <c r="A815" s="234"/>
      <c r="B815" s="234"/>
      <c r="C815" s="108"/>
      <c r="D815" s="234"/>
      <c r="E815" s="108"/>
      <c r="F815" s="234"/>
      <c r="G815" s="234"/>
      <c r="H815" s="234"/>
      <c r="I815" s="235"/>
      <c r="J815" s="150"/>
      <c r="K815" s="150"/>
      <c r="L815" s="150"/>
      <c r="M815" s="150"/>
    </row>
    <row r="816" spans="1:13" ht="14.1" customHeight="1">
      <c r="A816" s="234"/>
      <c r="B816" s="234"/>
      <c r="C816" s="108"/>
      <c r="D816" s="234"/>
      <c r="E816" s="108"/>
      <c r="F816" s="234"/>
      <c r="G816" s="234"/>
      <c r="H816" s="234"/>
      <c r="I816" s="235"/>
      <c r="J816" s="150"/>
      <c r="K816" s="150"/>
      <c r="L816" s="150"/>
      <c r="M816" s="150"/>
    </row>
    <row r="817" spans="1:13" ht="14.1" customHeight="1">
      <c r="A817" s="234"/>
      <c r="B817" s="234"/>
      <c r="C817" s="108"/>
      <c r="D817" s="234"/>
      <c r="E817" s="108"/>
      <c r="F817" s="234"/>
      <c r="G817" s="234"/>
      <c r="H817" s="234"/>
      <c r="I817" s="235"/>
      <c r="J817" s="150"/>
      <c r="K817" s="150"/>
      <c r="L817" s="150"/>
      <c r="M817" s="150"/>
    </row>
    <row r="818" spans="1:13" ht="14.1" customHeight="1">
      <c r="A818" s="234"/>
      <c r="B818" s="234"/>
      <c r="C818" s="108"/>
      <c r="D818" s="234"/>
      <c r="E818" s="108"/>
      <c r="F818" s="234"/>
      <c r="G818" s="234"/>
      <c r="H818" s="234"/>
      <c r="I818" s="235"/>
      <c r="J818" s="150"/>
      <c r="K818" s="150"/>
      <c r="L818" s="150"/>
      <c r="M818" s="150"/>
    </row>
    <row r="819" spans="1:13" ht="14.1" customHeight="1">
      <c r="A819" s="234"/>
      <c r="B819" s="234"/>
      <c r="C819" s="108"/>
      <c r="D819" s="234"/>
      <c r="E819" s="108"/>
      <c r="F819" s="234"/>
      <c r="G819" s="234"/>
      <c r="H819" s="234"/>
      <c r="I819" s="235"/>
      <c r="J819" s="150"/>
      <c r="K819" s="150"/>
      <c r="L819" s="150"/>
      <c r="M819" s="150"/>
    </row>
    <row r="820" spans="1:13" ht="14.1" customHeight="1">
      <c r="A820" s="234"/>
      <c r="B820" s="234"/>
      <c r="C820" s="108"/>
      <c r="D820" s="234"/>
      <c r="E820" s="108"/>
      <c r="F820" s="234"/>
      <c r="G820" s="234"/>
      <c r="H820" s="234"/>
      <c r="I820" s="235"/>
      <c r="J820" s="150"/>
      <c r="K820" s="150"/>
      <c r="L820" s="150"/>
      <c r="M820" s="150"/>
    </row>
    <row r="821" spans="1:13" ht="14.1" customHeight="1">
      <c r="A821" s="234"/>
      <c r="B821" s="234"/>
      <c r="C821" s="108"/>
      <c r="D821" s="234"/>
      <c r="E821" s="108"/>
      <c r="F821" s="234"/>
      <c r="G821" s="234"/>
      <c r="H821" s="234"/>
      <c r="I821" s="235"/>
      <c r="J821" s="150"/>
      <c r="K821" s="150"/>
      <c r="L821" s="150"/>
      <c r="M821" s="150"/>
    </row>
    <row r="822" spans="1:13" ht="14.1" customHeight="1">
      <c r="A822" s="234"/>
      <c r="B822" s="234"/>
      <c r="C822" s="108"/>
      <c r="D822" s="234"/>
      <c r="E822" s="108"/>
      <c r="F822" s="234"/>
      <c r="G822" s="234"/>
      <c r="H822" s="234"/>
      <c r="I822" s="235"/>
      <c r="J822" s="150"/>
      <c r="K822" s="150"/>
      <c r="L822" s="150"/>
      <c r="M822" s="150"/>
    </row>
    <row r="823" spans="1:13" ht="14.1" customHeight="1">
      <c r="A823" s="234"/>
      <c r="B823" s="234"/>
      <c r="C823" s="108"/>
      <c r="D823" s="234"/>
      <c r="E823" s="108"/>
      <c r="F823" s="234"/>
      <c r="G823" s="234"/>
      <c r="H823" s="234"/>
      <c r="I823" s="235"/>
      <c r="J823" s="150"/>
      <c r="K823" s="150"/>
      <c r="L823" s="150"/>
      <c r="M823" s="150"/>
    </row>
    <row r="824" spans="1:13" ht="14.1" customHeight="1">
      <c r="A824" s="234"/>
      <c r="B824" s="234"/>
      <c r="C824" s="108"/>
      <c r="D824" s="234"/>
      <c r="E824" s="108"/>
      <c r="F824" s="234"/>
      <c r="G824" s="234"/>
      <c r="H824" s="234"/>
      <c r="I824" s="235"/>
      <c r="J824" s="150"/>
      <c r="K824" s="150"/>
      <c r="L824" s="150"/>
      <c r="M824" s="150"/>
    </row>
    <row r="825" spans="1:13" ht="14.1" customHeight="1">
      <c r="A825" s="234"/>
      <c r="B825" s="234"/>
      <c r="C825" s="108"/>
      <c r="D825" s="234"/>
      <c r="E825" s="108"/>
      <c r="F825" s="234"/>
      <c r="G825" s="234"/>
      <c r="H825" s="234"/>
      <c r="I825" s="235"/>
      <c r="J825" s="150"/>
      <c r="K825" s="150"/>
      <c r="L825" s="150"/>
      <c r="M825" s="150"/>
    </row>
    <row r="826" spans="1:13" ht="14.1" customHeight="1">
      <c r="A826" s="234"/>
      <c r="B826" s="234"/>
      <c r="C826" s="108"/>
      <c r="D826" s="234"/>
      <c r="E826" s="108"/>
      <c r="F826" s="234"/>
      <c r="G826" s="234"/>
      <c r="H826" s="234"/>
      <c r="I826" s="235"/>
      <c r="J826" s="150"/>
      <c r="K826" s="150"/>
      <c r="L826" s="150"/>
      <c r="M826" s="150"/>
    </row>
    <row r="827" spans="1:13" ht="14.1" customHeight="1">
      <c r="A827" s="234"/>
      <c r="B827" s="234"/>
      <c r="C827" s="108"/>
      <c r="D827" s="234"/>
      <c r="E827" s="108"/>
      <c r="F827" s="234"/>
      <c r="G827" s="234"/>
      <c r="H827" s="234"/>
      <c r="I827" s="235"/>
      <c r="J827" s="150"/>
      <c r="K827" s="150"/>
      <c r="L827" s="150"/>
      <c r="M827" s="150"/>
    </row>
    <row r="828" spans="1:13" ht="14.1" customHeight="1">
      <c r="A828" s="234"/>
      <c r="B828" s="234"/>
      <c r="C828" s="108"/>
      <c r="D828" s="234"/>
      <c r="E828" s="108"/>
      <c r="F828" s="234"/>
      <c r="G828" s="234"/>
      <c r="H828" s="234"/>
      <c r="I828" s="235"/>
      <c r="J828" s="150"/>
      <c r="K828" s="150"/>
      <c r="L828" s="150"/>
      <c r="M828" s="150"/>
    </row>
    <row r="829" spans="1:13" ht="14.1" customHeight="1">
      <c r="A829" s="234"/>
      <c r="B829" s="234"/>
      <c r="C829" s="108"/>
      <c r="D829" s="234"/>
      <c r="E829" s="108"/>
      <c r="F829" s="234"/>
      <c r="G829" s="234"/>
      <c r="H829" s="234"/>
      <c r="I829" s="235"/>
      <c r="J829" s="150"/>
      <c r="K829" s="150"/>
      <c r="L829" s="150"/>
      <c r="M829" s="150"/>
    </row>
    <row r="830" spans="1:13" ht="14.1" customHeight="1">
      <c r="A830" s="234"/>
      <c r="B830" s="234"/>
      <c r="C830" s="108"/>
      <c r="D830" s="234"/>
      <c r="E830" s="108"/>
      <c r="F830" s="234"/>
      <c r="G830" s="234"/>
      <c r="H830" s="234"/>
      <c r="I830" s="235"/>
      <c r="J830" s="150"/>
      <c r="K830" s="150"/>
      <c r="L830" s="150"/>
      <c r="M830" s="150"/>
    </row>
    <row r="831" spans="1:13" ht="14.1" customHeight="1">
      <c r="A831" s="234"/>
      <c r="B831" s="234"/>
      <c r="C831" s="108"/>
      <c r="D831" s="234"/>
      <c r="E831" s="108"/>
      <c r="F831" s="234"/>
      <c r="G831" s="234"/>
      <c r="H831" s="234"/>
      <c r="I831" s="235"/>
      <c r="J831" s="150"/>
      <c r="K831" s="150"/>
      <c r="L831" s="150"/>
      <c r="M831" s="150"/>
    </row>
    <row r="832" spans="1:13" ht="14.1" customHeight="1">
      <c r="A832" s="234"/>
      <c r="B832" s="234"/>
      <c r="C832" s="108"/>
      <c r="D832" s="234"/>
      <c r="E832" s="108"/>
      <c r="F832" s="234"/>
      <c r="G832" s="234"/>
      <c r="H832" s="234"/>
      <c r="I832" s="235"/>
      <c r="J832" s="150"/>
      <c r="K832" s="150"/>
      <c r="L832" s="150"/>
      <c r="M832" s="150"/>
    </row>
    <row r="833" spans="1:13" ht="14.1" customHeight="1">
      <c r="A833" s="234"/>
      <c r="B833" s="234"/>
      <c r="C833" s="108"/>
      <c r="D833" s="234"/>
      <c r="E833" s="108"/>
      <c r="F833" s="234"/>
      <c r="G833" s="234"/>
      <c r="H833" s="234"/>
      <c r="I833" s="235"/>
      <c r="J833" s="150"/>
      <c r="K833" s="150"/>
      <c r="L833" s="150"/>
      <c r="M833" s="150"/>
    </row>
    <row r="834" spans="1:13" ht="14.1" customHeight="1">
      <c r="A834" s="234"/>
      <c r="B834" s="234"/>
      <c r="C834" s="108"/>
      <c r="D834" s="234"/>
      <c r="E834" s="108"/>
      <c r="F834" s="234"/>
      <c r="G834" s="234"/>
      <c r="H834" s="234"/>
      <c r="I834" s="235"/>
      <c r="J834" s="150"/>
      <c r="K834" s="150"/>
      <c r="L834" s="150"/>
      <c r="M834" s="150"/>
    </row>
    <row r="835" spans="1:13" ht="14.1" customHeight="1">
      <c r="A835" s="234"/>
      <c r="B835" s="234"/>
      <c r="C835" s="108"/>
      <c r="D835" s="234"/>
      <c r="E835" s="108"/>
      <c r="F835" s="234"/>
      <c r="G835" s="234"/>
      <c r="H835" s="234"/>
      <c r="I835" s="235"/>
      <c r="J835" s="150"/>
      <c r="K835" s="150"/>
      <c r="L835" s="150"/>
      <c r="M835" s="150"/>
    </row>
    <row r="836" spans="1:13" ht="14.1" customHeight="1">
      <c r="A836" s="234"/>
      <c r="B836" s="234"/>
      <c r="C836" s="108"/>
      <c r="D836" s="234"/>
      <c r="E836" s="108"/>
      <c r="F836" s="234"/>
      <c r="G836" s="234"/>
      <c r="H836" s="234"/>
      <c r="I836" s="235"/>
      <c r="J836" s="150"/>
      <c r="K836" s="150"/>
      <c r="L836" s="150"/>
      <c r="M836" s="150"/>
    </row>
    <row r="837" spans="1:13" ht="14.1" customHeight="1">
      <c r="A837" s="234"/>
      <c r="B837" s="234"/>
      <c r="C837" s="108"/>
      <c r="D837" s="234"/>
      <c r="E837" s="108"/>
      <c r="F837" s="234"/>
      <c r="G837" s="234"/>
      <c r="H837" s="234"/>
      <c r="I837" s="235"/>
      <c r="J837" s="150"/>
      <c r="K837" s="150"/>
      <c r="L837" s="150"/>
      <c r="M837" s="150"/>
    </row>
    <row r="838" spans="1:13" ht="14.1" customHeight="1">
      <c r="A838" s="234"/>
      <c r="B838" s="234"/>
      <c r="C838" s="108"/>
      <c r="D838" s="234"/>
      <c r="E838" s="108"/>
      <c r="F838" s="234"/>
      <c r="G838" s="234"/>
      <c r="H838" s="234"/>
      <c r="I838" s="235"/>
      <c r="J838" s="150"/>
      <c r="K838" s="150"/>
      <c r="L838" s="150"/>
      <c r="M838" s="150"/>
    </row>
    <row r="839" spans="1:13" ht="14.1" customHeight="1">
      <c r="A839" s="234"/>
      <c r="B839" s="234"/>
      <c r="C839" s="108"/>
      <c r="D839" s="234"/>
      <c r="E839" s="108"/>
      <c r="F839" s="234"/>
      <c r="G839" s="234"/>
      <c r="H839" s="234"/>
      <c r="I839" s="235"/>
      <c r="J839" s="150"/>
      <c r="K839" s="150"/>
      <c r="L839" s="150"/>
      <c r="M839" s="150"/>
    </row>
    <row r="840" spans="1:13" ht="14.1" customHeight="1">
      <c r="A840" s="234"/>
      <c r="B840" s="234"/>
      <c r="C840" s="108"/>
      <c r="D840" s="234"/>
      <c r="E840" s="108"/>
      <c r="F840" s="234"/>
      <c r="G840" s="234"/>
      <c r="H840" s="234"/>
      <c r="I840" s="235"/>
      <c r="J840" s="150"/>
      <c r="K840" s="150"/>
      <c r="L840" s="150"/>
      <c r="M840" s="150"/>
    </row>
    <row r="841" spans="1:13" ht="14.1" customHeight="1">
      <c r="A841" s="234"/>
      <c r="B841" s="234"/>
      <c r="C841" s="108"/>
      <c r="D841" s="234"/>
      <c r="E841" s="108"/>
      <c r="F841" s="234"/>
      <c r="G841" s="234"/>
      <c r="H841" s="234"/>
      <c r="I841" s="235"/>
      <c r="J841" s="150"/>
      <c r="K841" s="150"/>
      <c r="L841" s="150"/>
      <c r="M841" s="150"/>
    </row>
    <row r="842" spans="1:13" ht="14.1" customHeight="1">
      <c r="A842" s="234"/>
      <c r="B842" s="234"/>
      <c r="C842" s="108"/>
      <c r="D842" s="234"/>
      <c r="E842" s="108"/>
      <c r="F842" s="234"/>
      <c r="G842" s="234"/>
      <c r="H842" s="234"/>
      <c r="I842" s="235"/>
      <c r="J842" s="150"/>
      <c r="K842" s="150"/>
      <c r="L842" s="150"/>
      <c r="M842" s="150"/>
    </row>
    <row r="843" spans="1:13" ht="14.1" customHeight="1">
      <c r="A843" s="234"/>
      <c r="B843" s="234"/>
      <c r="C843" s="108"/>
      <c r="D843" s="234"/>
      <c r="E843" s="108"/>
      <c r="F843" s="234"/>
      <c r="G843" s="234"/>
      <c r="H843" s="234"/>
      <c r="I843" s="235"/>
      <c r="J843" s="150"/>
      <c r="K843" s="150"/>
      <c r="L843" s="150"/>
      <c r="M843" s="150"/>
    </row>
    <row r="844" spans="1:13" ht="14.1" customHeight="1">
      <c r="A844" s="234"/>
      <c r="B844" s="234"/>
      <c r="C844" s="108"/>
      <c r="D844" s="234"/>
      <c r="E844" s="108"/>
      <c r="F844" s="234"/>
      <c r="G844" s="234"/>
      <c r="H844" s="234"/>
      <c r="I844" s="235"/>
      <c r="J844" s="150"/>
      <c r="K844" s="150"/>
      <c r="L844" s="150"/>
      <c r="M844" s="150"/>
    </row>
    <row r="845" spans="1:13" ht="14.1" customHeight="1">
      <c r="A845" s="234"/>
      <c r="B845" s="234"/>
      <c r="C845" s="108"/>
      <c r="D845" s="234"/>
      <c r="E845" s="108"/>
      <c r="F845" s="234"/>
      <c r="G845" s="234"/>
      <c r="H845" s="234"/>
      <c r="I845" s="235"/>
      <c r="J845" s="150"/>
      <c r="K845" s="150"/>
      <c r="L845" s="150"/>
      <c r="M845" s="150"/>
    </row>
    <row r="846" spans="1:13" ht="14.1" customHeight="1">
      <c r="A846" s="234"/>
      <c r="B846" s="234"/>
      <c r="C846" s="108"/>
      <c r="D846" s="234"/>
      <c r="E846" s="108"/>
      <c r="F846" s="234"/>
      <c r="G846" s="234"/>
      <c r="H846" s="234"/>
      <c r="I846" s="235"/>
      <c r="J846" s="150"/>
      <c r="K846" s="150"/>
      <c r="L846" s="150"/>
      <c r="M846" s="150"/>
    </row>
    <row r="847" spans="1:13" ht="14.1" customHeight="1">
      <c r="A847" s="234"/>
      <c r="B847" s="234"/>
      <c r="C847" s="108"/>
      <c r="D847" s="234"/>
      <c r="E847" s="108"/>
      <c r="F847" s="234"/>
      <c r="G847" s="234"/>
      <c r="H847" s="234"/>
      <c r="I847" s="235"/>
      <c r="J847" s="150"/>
      <c r="K847" s="150"/>
      <c r="L847" s="150"/>
      <c r="M847" s="150"/>
    </row>
    <row r="848" spans="1:13" ht="14.1" customHeight="1">
      <c r="A848" s="234"/>
      <c r="B848" s="234"/>
      <c r="C848" s="108"/>
      <c r="D848" s="234"/>
      <c r="E848" s="108"/>
      <c r="F848" s="234"/>
      <c r="G848" s="234"/>
      <c r="H848" s="234"/>
      <c r="I848" s="235"/>
      <c r="J848" s="150"/>
      <c r="K848" s="150"/>
      <c r="L848" s="150"/>
      <c r="M848" s="150"/>
    </row>
    <row r="849" spans="1:13" ht="14.1" customHeight="1">
      <c r="A849" s="234"/>
      <c r="B849" s="234"/>
      <c r="C849" s="108"/>
      <c r="D849" s="234"/>
      <c r="E849" s="108"/>
      <c r="F849" s="234"/>
      <c r="G849" s="234"/>
      <c r="H849" s="234"/>
      <c r="I849" s="235"/>
      <c r="J849" s="150"/>
      <c r="K849" s="150"/>
      <c r="L849" s="150"/>
      <c r="M849" s="150"/>
    </row>
    <row r="850" spans="1:13" ht="14.1" customHeight="1">
      <c r="A850" s="234"/>
      <c r="B850" s="234"/>
      <c r="C850" s="108"/>
      <c r="D850" s="234"/>
      <c r="E850" s="108"/>
      <c r="F850" s="234"/>
      <c r="G850" s="234"/>
      <c r="H850" s="234"/>
      <c r="I850" s="235"/>
      <c r="J850" s="150"/>
      <c r="K850" s="150"/>
      <c r="L850" s="150"/>
      <c r="M850" s="150"/>
    </row>
    <row r="851" spans="1:13" ht="14.1" customHeight="1">
      <c r="A851" s="234"/>
      <c r="B851" s="234"/>
      <c r="C851" s="108"/>
      <c r="D851" s="234"/>
      <c r="E851" s="108"/>
      <c r="F851" s="234"/>
      <c r="G851" s="234"/>
      <c r="H851" s="234"/>
      <c r="I851" s="235"/>
      <c r="J851" s="150"/>
      <c r="K851" s="150"/>
      <c r="L851" s="150"/>
      <c r="M851" s="150"/>
    </row>
    <row r="852" spans="1:13" ht="14.1" customHeight="1">
      <c r="A852" s="234"/>
      <c r="B852" s="234"/>
      <c r="C852" s="108"/>
      <c r="D852" s="234"/>
      <c r="E852" s="108"/>
      <c r="F852" s="234"/>
      <c r="G852" s="234"/>
      <c r="H852" s="234"/>
      <c r="I852" s="235"/>
      <c r="J852" s="150"/>
      <c r="K852" s="150"/>
      <c r="L852" s="150"/>
      <c r="M852" s="150"/>
    </row>
    <row r="853" spans="1:13" ht="14.1" customHeight="1">
      <c r="A853" s="234"/>
      <c r="B853" s="234"/>
      <c r="C853" s="108"/>
      <c r="D853" s="234"/>
      <c r="E853" s="108"/>
      <c r="F853" s="234"/>
      <c r="G853" s="234"/>
      <c r="H853" s="234"/>
      <c r="I853" s="235"/>
      <c r="J853" s="150"/>
      <c r="K853" s="150"/>
      <c r="L853" s="150"/>
      <c r="M853" s="150"/>
    </row>
    <row r="854" spans="1:13" ht="14.1" customHeight="1">
      <c r="A854" s="234"/>
      <c r="B854" s="234"/>
      <c r="C854" s="108"/>
      <c r="D854" s="234"/>
      <c r="E854" s="108"/>
      <c r="F854" s="234"/>
      <c r="G854" s="234"/>
      <c r="H854" s="234"/>
      <c r="I854" s="235"/>
      <c r="J854" s="150"/>
      <c r="K854" s="150"/>
      <c r="L854" s="150"/>
      <c r="M854" s="150"/>
    </row>
    <row r="855" spans="1:13" ht="14.1" customHeight="1">
      <c r="A855" s="234"/>
      <c r="B855" s="234"/>
      <c r="C855" s="108"/>
      <c r="D855" s="234"/>
      <c r="E855" s="108"/>
      <c r="F855" s="234"/>
      <c r="G855" s="234"/>
      <c r="H855" s="234"/>
      <c r="I855" s="235"/>
      <c r="J855" s="150"/>
      <c r="K855" s="150"/>
      <c r="L855" s="150"/>
      <c r="M855" s="150"/>
    </row>
    <row r="856" spans="1:13" ht="14.1" customHeight="1">
      <c r="A856" s="234"/>
      <c r="B856" s="234"/>
      <c r="C856" s="108"/>
      <c r="D856" s="234"/>
      <c r="E856" s="108"/>
      <c r="F856" s="234"/>
      <c r="G856" s="234"/>
      <c r="H856" s="234"/>
      <c r="I856" s="235"/>
      <c r="J856" s="150"/>
      <c r="K856" s="150"/>
      <c r="L856" s="150"/>
      <c r="M856" s="150"/>
    </row>
    <row r="857" spans="1:13" ht="14.1" customHeight="1">
      <c r="A857" s="234"/>
      <c r="B857" s="234"/>
      <c r="C857" s="108"/>
      <c r="D857" s="234"/>
      <c r="E857" s="108"/>
      <c r="F857" s="234"/>
      <c r="G857" s="234"/>
      <c r="H857" s="234"/>
      <c r="I857" s="235"/>
      <c r="J857" s="150"/>
      <c r="K857" s="150"/>
      <c r="L857" s="150"/>
      <c r="M857" s="150"/>
    </row>
    <row r="858" spans="1:13" ht="14.1" customHeight="1">
      <c r="A858" s="234"/>
      <c r="B858" s="234"/>
      <c r="C858" s="108"/>
      <c r="D858" s="234"/>
      <c r="E858" s="108"/>
      <c r="F858" s="234"/>
      <c r="G858" s="234"/>
      <c r="H858" s="234"/>
      <c r="I858" s="235"/>
      <c r="J858" s="150"/>
      <c r="K858" s="150"/>
      <c r="L858" s="150"/>
      <c r="M858" s="150"/>
    </row>
    <row r="859" spans="1:13" ht="14.1" customHeight="1">
      <c r="A859" s="234"/>
      <c r="B859" s="234"/>
      <c r="C859" s="108"/>
      <c r="D859" s="234"/>
      <c r="E859" s="108"/>
      <c r="F859" s="234"/>
      <c r="G859" s="234"/>
      <c r="H859" s="234"/>
      <c r="I859" s="235"/>
      <c r="J859" s="150"/>
      <c r="K859" s="150"/>
      <c r="L859" s="150"/>
      <c r="M859" s="150"/>
    </row>
    <row r="860" spans="1:13" ht="14.1" customHeight="1">
      <c r="A860" s="234"/>
      <c r="B860" s="234"/>
      <c r="C860" s="108"/>
      <c r="D860" s="234"/>
      <c r="E860" s="108"/>
      <c r="F860" s="234"/>
      <c r="G860" s="234"/>
      <c r="H860" s="234"/>
      <c r="I860" s="235"/>
      <c r="J860" s="150"/>
      <c r="K860" s="150"/>
      <c r="L860" s="150"/>
      <c r="M860" s="150"/>
    </row>
    <row r="861" spans="1:13" ht="14.1" customHeight="1">
      <c r="A861" s="234"/>
      <c r="B861" s="234"/>
      <c r="C861" s="108"/>
      <c r="D861" s="234"/>
      <c r="E861" s="108"/>
      <c r="F861" s="234"/>
      <c r="G861" s="234"/>
      <c r="H861" s="234"/>
      <c r="I861" s="235"/>
      <c r="J861" s="150"/>
      <c r="K861" s="150"/>
      <c r="L861" s="150"/>
      <c r="M861" s="150"/>
    </row>
    <row r="862" spans="1:13" ht="14.1" customHeight="1">
      <c r="A862" s="234"/>
      <c r="B862" s="234"/>
      <c r="C862" s="108"/>
      <c r="D862" s="234"/>
      <c r="E862" s="108"/>
      <c r="F862" s="234"/>
      <c r="G862" s="234"/>
      <c r="H862" s="234"/>
      <c r="I862" s="235"/>
      <c r="J862" s="150"/>
      <c r="K862" s="150"/>
      <c r="L862" s="150"/>
      <c r="M862" s="150"/>
    </row>
    <row r="863" spans="1:13" ht="14.1" customHeight="1">
      <c r="A863" s="234"/>
      <c r="B863" s="234"/>
      <c r="C863" s="108"/>
      <c r="D863" s="234"/>
      <c r="E863" s="108"/>
      <c r="F863" s="234"/>
      <c r="G863" s="234"/>
      <c r="H863" s="234"/>
      <c r="I863" s="235"/>
      <c r="J863" s="150"/>
      <c r="K863" s="150"/>
      <c r="L863" s="150"/>
      <c r="M863" s="150"/>
    </row>
    <row r="864" spans="1:13" ht="14.1" customHeight="1">
      <c r="A864" s="234"/>
      <c r="B864" s="234"/>
      <c r="C864" s="108"/>
      <c r="D864" s="234"/>
      <c r="E864" s="108"/>
      <c r="F864" s="234"/>
      <c r="G864" s="234"/>
      <c r="H864" s="234"/>
      <c r="I864" s="235"/>
      <c r="J864" s="150"/>
      <c r="K864" s="150"/>
      <c r="L864" s="150"/>
      <c r="M864" s="150"/>
    </row>
    <row r="865" spans="1:13" ht="14.1" customHeight="1">
      <c r="A865" s="234"/>
      <c r="B865" s="234"/>
      <c r="C865" s="108"/>
      <c r="D865" s="234"/>
      <c r="E865" s="108"/>
      <c r="F865" s="234"/>
      <c r="G865" s="234"/>
      <c r="H865" s="234"/>
      <c r="I865" s="235"/>
      <c r="J865" s="150"/>
      <c r="K865" s="150"/>
      <c r="L865" s="150"/>
      <c r="M865" s="150"/>
    </row>
    <row r="866" spans="1:13" ht="14.1" customHeight="1">
      <c r="A866" s="234"/>
      <c r="B866" s="234"/>
      <c r="C866" s="108"/>
      <c r="D866" s="234"/>
      <c r="E866" s="108"/>
      <c r="F866" s="234"/>
      <c r="G866" s="234"/>
      <c r="H866" s="234"/>
      <c r="I866" s="235"/>
      <c r="J866" s="150"/>
      <c r="K866" s="150"/>
      <c r="L866" s="150"/>
      <c r="M866" s="150"/>
    </row>
    <row r="867" spans="1:13" ht="14.1" customHeight="1">
      <c r="A867" s="234"/>
      <c r="B867" s="234"/>
      <c r="C867" s="108"/>
      <c r="D867" s="234"/>
      <c r="E867" s="108"/>
      <c r="F867" s="234"/>
      <c r="G867" s="234"/>
      <c r="H867" s="234"/>
      <c r="I867" s="235"/>
      <c r="J867" s="150"/>
      <c r="K867" s="150"/>
      <c r="L867" s="150"/>
      <c r="M867" s="150"/>
    </row>
    <row r="868" spans="1:13" ht="14.1" customHeight="1">
      <c r="A868" s="234"/>
      <c r="B868" s="234"/>
      <c r="C868" s="108"/>
      <c r="D868" s="234"/>
      <c r="E868" s="108"/>
      <c r="F868" s="234"/>
      <c r="G868" s="234"/>
      <c r="H868" s="234"/>
      <c r="I868" s="235"/>
      <c r="J868" s="150"/>
      <c r="K868" s="150"/>
      <c r="L868" s="150"/>
      <c r="M868" s="150"/>
    </row>
    <row r="869" spans="1:13" ht="14.1" customHeight="1">
      <c r="A869" s="234"/>
      <c r="B869" s="234"/>
      <c r="C869" s="108"/>
      <c r="D869" s="234"/>
      <c r="E869" s="108"/>
      <c r="F869" s="234"/>
      <c r="G869" s="234"/>
      <c r="H869" s="234"/>
      <c r="I869" s="235"/>
      <c r="J869" s="150"/>
      <c r="K869" s="150"/>
      <c r="L869" s="150"/>
      <c r="M869" s="150"/>
    </row>
    <row r="870" spans="1:13" ht="14.1" customHeight="1">
      <c r="A870" s="234"/>
      <c r="B870" s="234"/>
      <c r="C870" s="108"/>
      <c r="D870" s="234"/>
      <c r="E870" s="108"/>
      <c r="F870" s="234"/>
      <c r="G870" s="234"/>
      <c r="H870" s="234"/>
      <c r="I870" s="235"/>
      <c r="J870" s="150"/>
      <c r="K870" s="150"/>
      <c r="L870" s="150"/>
      <c r="M870" s="150"/>
    </row>
    <row r="871" spans="1:13" ht="14.1" customHeight="1">
      <c r="A871" s="234"/>
      <c r="B871" s="234"/>
      <c r="C871" s="108"/>
      <c r="D871" s="234"/>
      <c r="E871" s="108"/>
      <c r="F871" s="234"/>
      <c r="G871" s="234"/>
      <c r="H871" s="234"/>
      <c r="I871" s="235"/>
      <c r="J871" s="150"/>
      <c r="K871" s="150"/>
      <c r="L871" s="150"/>
      <c r="M871" s="150"/>
    </row>
    <row r="872" spans="1:13" ht="14.1" customHeight="1">
      <c r="A872" s="234"/>
      <c r="B872" s="234"/>
      <c r="C872" s="108"/>
      <c r="D872" s="234"/>
      <c r="E872" s="108"/>
      <c r="F872" s="234"/>
      <c r="G872" s="234"/>
      <c r="H872" s="234"/>
      <c r="I872" s="235"/>
      <c r="J872" s="150"/>
      <c r="K872" s="150"/>
      <c r="L872" s="150"/>
      <c r="M872" s="150"/>
    </row>
    <row r="873" spans="1:13" ht="14.1" customHeight="1">
      <c r="A873" s="234"/>
      <c r="B873" s="234"/>
      <c r="C873" s="108"/>
      <c r="D873" s="234"/>
      <c r="E873" s="108"/>
      <c r="F873" s="234"/>
      <c r="G873" s="234"/>
      <c r="H873" s="234"/>
      <c r="I873" s="235"/>
      <c r="J873" s="150"/>
      <c r="K873" s="150"/>
      <c r="L873" s="150"/>
      <c r="M873" s="150"/>
    </row>
    <row r="874" spans="1:13" ht="14.1" customHeight="1">
      <c r="A874" s="234"/>
      <c r="B874" s="234"/>
      <c r="C874" s="108"/>
      <c r="D874" s="234"/>
      <c r="E874" s="108"/>
      <c r="F874" s="234"/>
      <c r="G874" s="234"/>
      <c r="H874" s="234"/>
      <c r="I874" s="235"/>
      <c r="J874" s="150"/>
      <c r="K874" s="150"/>
      <c r="L874" s="150"/>
      <c r="M874" s="150"/>
    </row>
    <row r="875" spans="1:13" ht="14.1" customHeight="1">
      <c r="A875" s="234"/>
      <c r="B875" s="234"/>
      <c r="C875" s="108"/>
      <c r="D875" s="234"/>
      <c r="E875" s="108"/>
      <c r="F875" s="234"/>
      <c r="G875" s="234"/>
      <c r="H875" s="234"/>
      <c r="I875" s="235"/>
      <c r="J875" s="150"/>
      <c r="K875" s="150"/>
      <c r="L875" s="150"/>
      <c r="M875" s="150"/>
    </row>
    <row r="876" spans="1:13" ht="14.1" customHeight="1">
      <c r="A876" s="234"/>
      <c r="B876" s="234"/>
      <c r="C876" s="108"/>
      <c r="D876" s="234"/>
      <c r="E876" s="108"/>
      <c r="F876" s="234"/>
      <c r="G876" s="234"/>
      <c r="H876" s="234"/>
      <c r="I876" s="235"/>
      <c r="J876" s="150"/>
      <c r="K876" s="150"/>
      <c r="L876" s="150"/>
      <c r="M876" s="150"/>
    </row>
    <row r="877" spans="1:13" ht="14.1" customHeight="1">
      <c r="A877" s="234"/>
      <c r="B877" s="234"/>
      <c r="C877" s="108"/>
      <c r="D877" s="234"/>
      <c r="E877" s="108"/>
      <c r="F877" s="234"/>
      <c r="G877" s="234"/>
      <c r="H877" s="234"/>
      <c r="I877" s="235"/>
      <c r="J877" s="150"/>
      <c r="K877" s="150"/>
      <c r="L877" s="150"/>
      <c r="M877" s="150"/>
    </row>
    <row r="878" spans="1:13" ht="14.1" customHeight="1">
      <c r="A878" s="234"/>
      <c r="B878" s="234"/>
      <c r="C878" s="108"/>
      <c r="D878" s="234"/>
      <c r="E878" s="108"/>
      <c r="F878" s="234"/>
      <c r="G878" s="234"/>
      <c r="H878" s="234"/>
      <c r="I878" s="235"/>
      <c r="J878" s="150"/>
      <c r="K878" s="150"/>
      <c r="L878" s="150"/>
      <c r="M878" s="150"/>
    </row>
    <row r="879" spans="1:13" ht="14.1" customHeight="1">
      <c r="A879" s="234"/>
      <c r="B879" s="234"/>
      <c r="C879" s="108"/>
      <c r="D879" s="234"/>
      <c r="E879" s="108"/>
      <c r="F879" s="234"/>
      <c r="G879" s="234"/>
      <c r="H879" s="234"/>
      <c r="I879" s="235"/>
      <c r="J879" s="150"/>
      <c r="K879" s="150"/>
      <c r="L879" s="150"/>
      <c r="M879" s="150"/>
    </row>
    <row r="880" spans="1:13" ht="14.1" customHeight="1">
      <c r="A880" s="234"/>
      <c r="B880" s="234"/>
      <c r="C880" s="108"/>
      <c r="D880" s="234"/>
      <c r="E880" s="108"/>
      <c r="F880" s="234"/>
      <c r="G880" s="234"/>
      <c r="H880" s="234"/>
      <c r="I880" s="235"/>
      <c r="J880" s="150"/>
      <c r="K880" s="150"/>
      <c r="L880" s="150"/>
      <c r="M880" s="150"/>
    </row>
    <row r="881" spans="1:13" ht="14.1" customHeight="1">
      <c r="A881" s="234"/>
      <c r="B881" s="234"/>
      <c r="C881" s="108"/>
      <c r="D881" s="234"/>
      <c r="E881" s="108"/>
      <c r="F881" s="234"/>
      <c r="G881" s="234"/>
      <c r="H881" s="234"/>
      <c r="I881" s="235"/>
      <c r="J881" s="150"/>
      <c r="K881" s="150"/>
      <c r="L881" s="150"/>
      <c r="M881" s="150"/>
    </row>
    <row r="882" spans="1:13" ht="14.1" customHeight="1">
      <c r="A882" s="234"/>
      <c r="B882" s="234"/>
      <c r="C882" s="108"/>
      <c r="D882" s="234"/>
      <c r="E882" s="108"/>
      <c r="F882" s="234"/>
      <c r="G882" s="234"/>
      <c r="H882" s="234"/>
      <c r="I882" s="235"/>
      <c r="J882" s="150"/>
      <c r="K882" s="150"/>
      <c r="L882" s="150"/>
      <c r="M882" s="150"/>
    </row>
    <row r="883" spans="1:13" ht="14.1" customHeight="1">
      <c r="A883" s="234"/>
      <c r="B883" s="234"/>
      <c r="C883" s="108"/>
      <c r="D883" s="234"/>
      <c r="E883" s="108"/>
      <c r="F883" s="234"/>
      <c r="G883" s="234"/>
      <c r="H883" s="234"/>
      <c r="I883" s="235"/>
      <c r="J883" s="150"/>
      <c r="K883" s="150"/>
      <c r="L883" s="150"/>
      <c r="M883" s="150"/>
    </row>
    <row r="884" spans="1:13" ht="14.1" customHeight="1">
      <c r="A884" s="234"/>
      <c r="B884" s="234"/>
      <c r="C884" s="108"/>
      <c r="D884" s="234"/>
      <c r="E884" s="108"/>
      <c r="F884" s="234"/>
      <c r="G884" s="234"/>
      <c r="H884" s="234"/>
      <c r="I884" s="235"/>
      <c r="J884" s="150"/>
      <c r="K884" s="150"/>
      <c r="L884" s="150"/>
      <c r="M884" s="150"/>
    </row>
    <row r="885" spans="1:13" ht="14.1" customHeight="1">
      <c r="A885" s="234"/>
      <c r="B885" s="234"/>
      <c r="C885" s="108"/>
      <c r="D885" s="234"/>
      <c r="E885" s="108"/>
      <c r="F885" s="234"/>
      <c r="G885" s="234"/>
      <c r="H885" s="234"/>
      <c r="I885" s="235"/>
      <c r="J885" s="150"/>
      <c r="K885" s="150"/>
      <c r="L885" s="150"/>
      <c r="M885" s="150"/>
    </row>
    <row r="886" spans="1:13" ht="14.1" customHeight="1">
      <c r="A886" s="234"/>
      <c r="B886" s="234"/>
      <c r="C886" s="108"/>
      <c r="D886" s="234"/>
      <c r="E886" s="108"/>
      <c r="F886" s="234"/>
      <c r="G886" s="234"/>
      <c r="H886" s="234"/>
      <c r="I886" s="235"/>
      <c r="J886" s="150"/>
      <c r="K886" s="150"/>
      <c r="L886" s="150"/>
      <c r="M886" s="150"/>
    </row>
    <row r="887" spans="1:13" ht="14.1" customHeight="1">
      <c r="A887" s="234"/>
      <c r="B887" s="234"/>
      <c r="C887" s="108"/>
      <c r="D887" s="234"/>
      <c r="E887" s="108"/>
      <c r="F887" s="234"/>
      <c r="G887" s="234"/>
      <c r="H887" s="234"/>
      <c r="I887" s="235"/>
      <c r="J887" s="150"/>
      <c r="K887" s="150"/>
      <c r="L887" s="150"/>
      <c r="M887" s="150"/>
    </row>
    <row r="888" spans="1:13" ht="14.1" customHeight="1">
      <c r="A888" s="234"/>
      <c r="B888" s="234"/>
      <c r="C888" s="108"/>
      <c r="D888" s="234"/>
      <c r="E888" s="108"/>
      <c r="F888" s="234"/>
      <c r="G888" s="234"/>
      <c r="H888" s="234"/>
      <c r="I888" s="235"/>
      <c r="J888" s="150"/>
      <c r="K888" s="150"/>
      <c r="L888" s="150"/>
      <c r="M888" s="150"/>
    </row>
    <row r="889" spans="1:13" ht="14.1" customHeight="1">
      <c r="A889" s="234"/>
      <c r="B889" s="234"/>
      <c r="C889" s="108"/>
      <c r="D889" s="234"/>
      <c r="E889" s="108"/>
      <c r="F889" s="234"/>
      <c r="G889" s="234"/>
      <c r="H889" s="234"/>
      <c r="I889" s="235"/>
      <c r="J889" s="150"/>
      <c r="K889" s="150"/>
      <c r="L889" s="150"/>
      <c r="M889" s="150"/>
    </row>
    <row r="890" spans="1:13" ht="14.1" customHeight="1">
      <c r="A890" s="234"/>
      <c r="B890" s="234"/>
      <c r="C890" s="108"/>
      <c r="D890" s="234"/>
      <c r="E890" s="108"/>
      <c r="F890" s="234"/>
      <c r="G890" s="234"/>
      <c r="H890" s="234"/>
      <c r="I890" s="235"/>
      <c r="J890" s="150"/>
      <c r="K890" s="150"/>
      <c r="L890" s="150"/>
      <c r="M890" s="150"/>
    </row>
    <row r="891" spans="1:13" ht="14.1" customHeight="1">
      <c r="A891" s="234"/>
      <c r="B891" s="234"/>
      <c r="C891" s="108"/>
      <c r="D891" s="234"/>
      <c r="E891" s="108"/>
      <c r="F891" s="234"/>
      <c r="G891" s="234"/>
      <c r="H891" s="234"/>
      <c r="I891" s="235"/>
      <c r="J891" s="150"/>
      <c r="K891" s="150"/>
      <c r="L891" s="150"/>
      <c r="M891" s="150"/>
    </row>
    <row r="892" spans="1:13" ht="14.1" customHeight="1">
      <c r="A892" s="234"/>
      <c r="B892" s="234"/>
      <c r="C892" s="108"/>
      <c r="D892" s="234"/>
      <c r="E892" s="108"/>
      <c r="F892" s="234"/>
      <c r="G892" s="234"/>
      <c r="H892" s="234"/>
      <c r="I892" s="235"/>
      <c r="J892" s="150"/>
      <c r="K892" s="150"/>
      <c r="L892" s="150"/>
      <c r="M892" s="150"/>
    </row>
    <row r="893" spans="1:13" ht="14.1" customHeight="1">
      <c r="A893" s="234"/>
      <c r="B893" s="234"/>
      <c r="C893" s="108"/>
      <c r="D893" s="234"/>
      <c r="E893" s="108"/>
      <c r="F893" s="234"/>
      <c r="G893" s="234"/>
      <c r="H893" s="234"/>
      <c r="I893" s="235"/>
      <c r="J893" s="150"/>
      <c r="K893" s="150"/>
      <c r="L893" s="150"/>
      <c r="M893" s="150"/>
    </row>
    <row r="894" spans="1:13" ht="14.1" customHeight="1">
      <c r="A894" s="234"/>
      <c r="B894" s="234"/>
      <c r="C894" s="108"/>
      <c r="D894" s="234"/>
      <c r="E894" s="108"/>
      <c r="F894" s="234"/>
      <c r="G894" s="234"/>
      <c r="H894" s="234"/>
      <c r="I894" s="235"/>
      <c r="J894" s="150"/>
      <c r="K894" s="150"/>
      <c r="L894" s="150"/>
      <c r="M894" s="150"/>
    </row>
    <row r="895" spans="1:13" ht="14.1" customHeight="1">
      <c r="A895" s="234"/>
      <c r="B895" s="234"/>
      <c r="C895" s="108"/>
      <c r="D895" s="234"/>
      <c r="E895" s="108"/>
      <c r="F895" s="234"/>
      <c r="G895" s="234"/>
      <c r="H895" s="234"/>
      <c r="I895" s="235"/>
      <c r="J895" s="150"/>
      <c r="K895" s="150"/>
      <c r="L895" s="150"/>
      <c r="M895" s="150"/>
    </row>
    <row r="896" spans="1:13" ht="14.1" customHeight="1">
      <c r="A896" s="234"/>
      <c r="B896" s="234"/>
      <c r="C896" s="108"/>
      <c r="D896" s="234"/>
      <c r="E896" s="108"/>
      <c r="F896" s="234"/>
      <c r="G896" s="234"/>
      <c r="H896" s="234"/>
      <c r="I896" s="235"/>
      <c r="J896" s="150"/>
      <c r="K896" s="150"/>
      <c r="L896" s="150"/>
      <c r="M896" s="150"/>
    </row>
    <row r="897" spans="1:13" ht="14.1" customHeight="1">
      <c r="A897" s="234"/>
      <c r="B897" s="234"/>
      <c r="C897" s="108"/>
      <c r="D897" s="234"/>
      <c r="E897" s="108"/>
      <c r="F897" s="234"/>
      <c r="G897" s="234"/>
      <c r="H897" s="234"/>
      <c r="I897" s="235"/>
      <c r="J897" s="150"/>
      <c r="K897" s="150"/>
      <c r="L897" s="150"/>
      <c r="M897" s="150"/>
    </row>
    <row r="898" spans="1:13" ht="14.1" customHeight="1">
      <c r="A898" s="234"/>
      <c r="B898" s="234"/>
      <c r="C898" s="108"/>
      <c r="D898" s="234"/>
      <c r="E898" s="108"/>
      <c r="F898" s="234"/>
      <c r="G898" s="234"/>
      <c r="H898" s="234"/>
      <c r="I898" s="235"/>
      <c r="J898" s="150"/>
      <c r="K898" s="150"/>
      <c r="L898" s="150"/>
      <c r="M898" s="150"/>
    </row>
    <row r="899" spans="1:13" ht="14.1" customHeight="1">
      <c r="A899" s="234"/>
      <c r="B899" s="234"/>
      <c r="C899" s="108"/>
      <c r="D899" s="234"/>
      <c r="E899" s="108"/>
      <c r="F899" s="234"/>
      <c r="G899" s="234"/>
      <c r="H899" s="234"/>
      <c r="I899" s="235"/>
      <c r="J899" s="150"/>
      <c r="K899" s="150"/>
      <c r="L899" s="150"/>
      <c r="M899" s="150"/>
    </row>
    <row r="900" spans="1:13" ht="14.1" customHeight="1">
      <c r="A900" s="234"/>
      <c r="B900" s="234"/>
      <c r="C900" s="108"/>
      <c r="D900" s="234"/>
      <c r="E900" s="108"/>
      <c r="F900" s="234"/>
      <c r="G900" s="234"/>
      <c r="H900" s="234"/>
      <c r="I900" s="235"/>
      <c r="J900" s="150"/>
      <c r="K900" s="150"/>
      <c r="L900" s="150"/>
      <c r="M900" s="150"/>
    </row>
  </sheetData>
  <hyperlinks>
    <hyperlink ref="C182" r:id="rId1"/>
    <hyperlink ref="C186" r:id="rId2"/>
    <hyperlink ref="C217" r:id="rId3"/>
  </hyperlinks>
  <pageMargins left="0.5" right="0.5" top="0.75" bottom="0.75" header="0.27777800000000002" footer="0.27777800000000002"/>
  <pageSetup orientation="portrait"/>
  <headerFooter>
    <oddFooter>&amp;C&amp;"Helvetica Neue,Regular"&amp;12&amp;K000000&amp;P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enableFormatConditionsCalculation="0">
    <tabColor rgb="FF7030A0"/>
    <pageSetUpPr fitToPage="1"/>
  </sheetPr>
  <dimension ref="A1:W35"/>
  <sheetViews>
    <sheetView showGridLines="0" workbookViewId="0">
      <pane xSplit="1" ySplit="2" topLeftCell="B18" activePane="bottomRight" state="frozen"/>
      <selection activeCell="B3" sqref="B3"/>
      <selection pane="topRight" activeCell="B3" sqref="B3"/>
      <selection pane="bottomLeft" activeCell="B3" sqref="B3"/>
      <selection pane="bottomRight" activeCell="E36" sqref="E36"/>
    </sheetView>
  </sheetViews>
  <sheetFormatPr baseColWidth="10" defaultColWidth="13.625" defaultRowHeight="20.100000000000001" customHeight="1"/>
  <cols>
    <col min="1" max="1" width="15.875" style="30" customWidth="1"/>
    <col min="2" max="11" width="13.625" style="30" customWidth="1"/>
    <col min="12" max="256" width="13.625" style="29" customWidth="1"/>
    <col min="257" max="16384" width="13.625" style="29"/>
  </cols>
  <sheetData>
    <row r="1" spans="1:23" ht="20.100000000000001" customHeight="1">
      <c r="A1" s="151"/>
      <c r="B1" s="244">
        <v>2013</v>
      </c>
      <c r="C1" s="242"/>
      <c r="D1" s="241">
        <v>2014</v>
      </c>
      <c r="E1" s="242"/>
      <c r="F1" s="241">
        <v>2015</v>
      </c>
      <c r="G1" s="242"/>
      <c r="H1" s="241">
        <v>2016</v>
      </c>
      <c r="I1" s="242"/>
      <c r="J1" s="241">
        <v>2017</v>
      </c>
      <c r="K1" s="243"/>
      <c r="L1" s="150"/>
      <c r="M1" s="150"/>
      <c r="N1" s="150"/>
      <c r="O1" s="150"/>
      <c r="P1" s="150"/>
      <c r="Q1" s="150"/>
      <c r="R1" s="150"/>
      <c r="S1" s="150"/>
      <c r="T1" s="150"/>
      <c r="U1" s="150"/>
      <c r="V1" s="150"/>
      <c r="W1" s="150"/>
    </row>
    <row r="2" spans="1:23" ht="20.25" customHeight="1">
      <c r="A2" s="151"/>
      <c r="B2" s="152" t="s">
        <v>832</v>
      </c>
      <c r="C2" s="153" t="s">
        <v>831</v>
      </c>
      <c r="D2" s="153" t="s">
        <v>832</v>
      </c>
      <c r="E2" s="153" t="s">
        <v>831</v>
      </c>
      <c r="F2" s="153" t="s">
        <v>832</v>
      </c>
      <c r="G2" s="153" t="s">
        <v>831</v>
      </c>
      <c r="H2" s="153" t="s">
        <v>832</v>
      </c>
      <c r="I2" s="153" t="s">
        <v>831</v>
      </c>
      <c r="J2" s="153" t="s">
        <v>832</v>
      </c>
      <c r="K2" s="154" t="s">
        <v>831</v>
      </c>
      <c r="L2" s="150"/>
      <c r="M2" s="150"/>
      <c r="N2" s="150"/>
      <c r="O2" s="150"/>
      <c r="P2" s="150"/>
      <c r="Q2" s="150"/>
      <c r="R2" s="150"/>
      <c r="S2" s="150"/>
      <c r="T2" s="150"/>
      <c r="U2" s="150"/>
      <c r="V2" s="150"/>
      <c r="W2" s="150"/>
    </row>
    <row r="3" spans="1:23" ht="20.25" customHeight="1">
      <c r="A3" s="155" t="s">
        <v>4465</v>
      </c>
      <c r="B3" s="238">
        <v>611470</v>
      </c>
      <c r="C3" s="239"/>
      <c r="D3" s="238">
        <v>563610</v>
      </c>
      <c r="E3" s="239"/>
      <c r="F3" s="238">
        <v>631620</v>
      </c>
      <c r="G3" s="239"/>
      <c r="H3" s="238">
        <v>544740</v>
      </c>
      <c r="I3" s="239"/>
      <c r="J3" s="238">
        <v>619870</v>
      </c>
      <c r="K3" s="240"/>
      <c r="L3" s="150"/>
      <c r="M3" s="150"/>
      <c r="N3" s="150"/>
      <c r="O3" s="150"/>
      <c r="P3" s="150"/>
      <c r="Q3" s="150"/>
      <c r="R3" s="150"/>
      <c r="S3" s="150"/>
      <c r="T3" s="150"/>
      <c r="U3" s="150"/>
      <c r="V3" s="150"/>
      <c r="W3" s="150"/>
    </row>
    <row r="4" spans="1:23" ht="20.100000000000001" customHeight="1">
      <c r="A4" s="156" t="s">
        <v>823</v>
      </c>
      <c r="B4" s="158">
        <v>7.2099999999999997E-2</v>
      </c>
      <c r="C4" s="158">
        <f>B3*B4</f>
        <v>44086.987000000001</v>
      </c>
      <c r="D4" s="158">
        <v>0.08</v>
      </c>
      <c r="E4" s="158">
        <f>D4*D3</f>
        <v>45088.800000000003</v>
      </c>
      <c r="F4" s="158">
        <v>6.0400000000000002E-2</v>
      </c>
      <c r="G4" s="158">
        <f>F4*F3</f>
        <v>38149.847999999998</v>
      </c>
      <c r="H4" s="158">
        <v>7.5600000000000001E-2</v>
      </c>
      <c r="I4" s="158">
        <f>H4*H3</f>
        <v>41182.343999999997</v>
      </c>
      <c r="J4" s="158">
        <v>0.109</v>
      </c>
      <c r="K4" s="158">
        <f>J4*J3</f>
        <v>67565.83</v>
      </c>
    </row>
    <row r="5" spans="1:23" ht="20.100000000000001" customHeight="1">
      <c r="A5" s="156" t="s">
        <v>822</v>
      </c>
      <c r="B5" s="158">
        <v>0.28589999999999999</v>
      </c>
      <c r="C5" s="158">
        <f>B5*B3</f>
        <v>174819.27299999999</v>
      </c>
      <c r="D5" s="158">
        <v>0.2893</v>
      </c>
      <c r="E5" s="158">
        <f>D5*D3</f>
        <v>163052.37299999999</v>
      </c>
      <c r="F5" s="158">
        <v>0.28060000000000002</v>
      </c>
      <c r="G5" s="158">
        <f>F5*F3</f>
        <v>177232.57200000001</v>
      </c>
      <c r="H5" s="158">
        <v>0.26679999999999998</v>
      </c>
      <c r="I5" s="158">
        <f>H5*H3</f>
        <v>145336.63199999998</v>
      </c>
      <c r="J5" s="158">
        <v>0.28199999999999997</v>
      </c>
      <c r="K5" s="158">
        <f>J5*J3</f>
        <v>174803.34</v>
      </c>
    </row>
    <row r="6" spans="1:23" ht="20.100000000000001" customHeight="1">
      <c r="A6" s="156" t="s">
        <v>821</v>
      </c>
      <c r="B6" s="158">
        <v>0.6421</v>
      </c>
      <c r="C6" s="158">
        <f>B6*B3</f>
        <v>392624.88699999999</v>
      </c>
      <c r="D6" s="158">
        <v>0.63080000000000003</v>
      </c>
      <c r="E6" s="158">
        <f>D6*D3</f>
        <v>355525.18800000002</v>
      </c>
      <c r="F6" s="158">
        <v>0.65890000000000004</v>
      </c>
      <c r="G6" s="158">
        <f>F6*F3</f>
        <v>416174.41800000001</v>
      </c>
      <c r="H6" s="158">
        <v>0.65759999999999996</v>
      </c>
      <c r="I6" s="158">
        <f>H6*H3</f>
        <v>358221.02399999998</v>
      </c>
      <c r="J6" s="158">
        <v>0.60899999999999999</v>
      </c>
      <c r="K6" s="158">
        <f>J6*J3</f>
        <v>377500.83</v>
      </c>
    </row>
    <row r="7" spans="1:23" ht="20.100000000000001" customHeight="1">
      <c r="A7" s="157" t="s">
        <v>830</v>
      </c>
      <c r="B7" s="238">
        <v>2470000</v>
      </c>
      <c r="C7" s="239"/>
      <c r="D7" s="238">
        <v>2460000</v>
      </c>
      <c r="E7" s="239"/>
      <c r="F7" s="238">
        <v>1800000</v>
      </c>
      <c r="G7" s="239"/>
      <c r="H7" s="245">
        <v>1800000</v>
      </c>
      <c r="I7" s="239"/>
      <c r="J7" s="238">
        <v>2080000</v>
      </c>
      <c r="K7" s="239"/>
    </row>
    <row r="8" spans="1:23" ht="20.100000000000001" customHeight="1">
      <c r="A8" s="156" t="s">
        <v>823</v>
      </c>
      <c r="B8" s="158">
        <v>5.28E-2</v>
      </c>
      <c r="C8" s="158">
        <f>B7*B8</f>
        <v>130416</v>
      </c>
      <c r="D8" s="158">
        <v>5.0299999999999997E-2</v>
      </c>
      <c r="E8" s="158">
        <f>D8*D7</f>
        <v>123738</v>
      </c>
      <c r="F8" s="158">
        <v>4.9700000000000001E-2</v>
      </c>
      <c r="G8" s="158">
        <f>F8*F7</f>
        <v>89460</v>
      </c>
      <c r="H8" s="158">
        <v>5.45E-2</v>
      </c>
      <c r="I8" s="158">
        <f>H8*H7</f>
        <v>98100</v>
      </c>
      <c r="J8" s="158">
        <v>6.2E-2</v>
      </c>
      <c r="K8" s="158">
        <f>J8*J7</f>
        <v>128960</v>
      </c>
    </row>
    <row r="9" spans="1:23" ht="20.100000000000001" customHeight="1">
      <c r="A9" s="156" t="s">
        <v>822</v>
      </c>
      <c r="B9" s="158">
        <v>0.2485</v>
      </c>
      <c r="C9" s="158">
        <f>B7*B9</f>
        <v>613795</v>
      </c>
      <c r="D9" s="158">
        <v>0.2379</v>
      </c>
      <c r="E9" s="158">
        <f>D9*D7</f>
        <v>585234</v>
      </c>
      <c r="F9" s="158">
        <v>0.2235</v>
      </c>
      <c r="G9" s="158">
        <f>F9*F7</f>
        <v>402300</v>
      </c>
      <c r="H9" s="158">
        <v>0.21240000000000001</v>
      </c>
      <c r="I9" s="158">
        <f>H9*H7</f>
        <v>382320</v>
      </c>
      <c r="J9" s="158">
        <v>0.21</v>
      </c>
      <c r="K9" s="158">
        <f>J9*J7</f>
        <v>436800</v>
      </c>
    </row>
    <row r="10" spans="1:23" ht="20.100000000000001" customHeight="1">
      <c r="A10" s="156" t="s">
        <v>821</v>
      </c>
      <c r="B10" s="158">
        <v>0.69869999999999999</v>
      </c>
      <c r="C10" s="158">
        <f>B10*B7</f>
        <v>1725789</v>
      </c>
      <c r="D10" s="158">
        <v>0.71179999999999999</v>
      </c>
      <c r="E10" s="158">
        <f>D10*D7</f>
        <v>1751028</v>
      </c>
      <c r="F10" s="158">
        <v>0.7268</v>
      </c>
      <c r="G10" s="158">
        <f>F10*F7</f>
        <v>1308240</v>
      </c>
      <c r="H10" s="158">
        <v>0.73299999999999998</v>
      </c>
      <c r="I10" s="158">
        <f>H10*H7</f>
        <v>1319400</v>
      </c>
      <c r="J10" s="158">
        <v>0.72799999999999998</v>
      </c>
      <c r="K10" s="158">
        <f>J10*J7</f>
        <v>1514240</v>
      </c>
    </row>
    <row r="11" spans="1:23" ht="20.100000000000001" customHeight="1">
      <c r="A11" s="157" t="s">
        <v>829</v>
      </c>
      <c r="B11" s="238">
        <v>278340</v>
      </c>
      <c r="C11" s="239"/>
      <c r="D11" s="238">
        <v>260950</v>
      </c>
      <c r="E11" s="239"/>
      <c r="F11" s="238">
        <v>242540</v>
      </c>
      <c r="G11" s="239"/>
      <c r="H11" s="238">
        <v>247030</v>
      </c>
      <c r="I11" s="239"/>
      <c r="J11" s="238">
        <v>263210</v>
      </c>
      <c r="K11" s="239"/>
    </row>
    <row r="12" spans="1:23" ht="20.100000000000001" customHeight="1">
      <c r="A12" s="156" t="s">
        <v>823</v>
      </c>
      <c r="B12" s="158">
        <v>3.6999999999999998E-2</v>
      </c>
      <c r="C12" s="158">
        <f>B12*B11</f>
        <v>10298.58</v>
      </c>
      <c r="D12" s="158">
        <v>4.2799999999999998E-2</v>
      </c>
      <c r="E12" s="158">
        <f>D12*D11</f>
        <v>11168.66</v>
      </c>
      <c r="F12" s="158">
        <v>4.3099999999999999E-2</v>
      </c>
      <c r="G12" s="158">
        <f>F12*F11</f>
        <v>10453.474</v>
      </c>
      <c r="H12" s="158">
        <v>4.2999999999999997E-2</v>
      </c>
      <c r="I12" s="158">
        <f>H12*H11</f>
        <v>10622.289999999999</v>
      </c>
      <c r="J12" s="158">
        <v>4.3999999999999997E-2</v>
      </c>
      <c r="K12" s="158">
        <f>J12*J11</f>
        <v>11581.24</v>
      </c>
    </row>
    <row r="13" spans="1:23" ht="20.100000000000001" customHeight="1">
      <c r="A13" s="156" t="s">
        <v>822</v>
      </c>
      <c r="B13" s="158">
        <v>0.34079999999999999</v>
      </c>
      <c r="C13" s="158">
        <f>B13*B11</f>
        <v>94858.271999999997</v>
      </c>
      <c r="D13" s="158">
        <v>0.3372</v>
      </c>
      <c r="E13" s="158">
        <f>D13*D11</f>
        <v>87992.34</v>
      </c>
      <c r="F13" s="158">
        <v>0.3241</v>
      </c>
      <c r="G13" s="158">
        <f>F13*F11</f>
        <v>78607.213999999993</v>
      </c>
      <c r="H13" s="158">
        <v>0.31290000000000001</v>
      </c>
      <c r="I13" s="158">
        <f>H13*H11</f>
        <v>77295.687000000005</v>
      </c>
      <c r="J13" s="158">
        <v>0.314</v>
      </c>
      <c r="K13" s="158">
        <f>J13*J11</f>
        <v>82647.94</v>
      </c>
    </row>
    <row r="14" spans="1:23" ht="20.100000000000001" customHeight="1">
      <c r="A14" s="156" t="s">
        <v>821</v>
      </c>
      <c r="B14" s="158">
        <v>0.62219999999999998</v>
      </c>
      <c r="C14" s="158">
        <f>B14*B11</f>
        <v>173183.14799999999</v>
      </c>
      <c r="D14" s="158">
        <v>0.62</v>
      </c>
      <c r="E14" s="158">
        <f>D14*D11</f>
        <v>161789</v>
      </c>
      <c r="F14" s="158">
        <v>0.63270000000000004</v>
      </c>
      <c r="G14" s="158">
        <f>F14*F11</f>
        <v>153455.05800000002</v>
      </c>
      <c r="H14" s="158">
        <v>0.64400000000000002</v>
      </c>
      <c r="I14" s="158">
        <f>H14*H11</f>
        <v>159087.32</v>
      </c>
      <c r="J14" s="158">
        <v>0.64300000000000002</v>
      </c>
      <c r="K14" s="158">
        <f>J14*J11</f>
        <v>169244.03</v>
      </c>
    </row>
    <row r="15" spans="1:23" ht="20.100000000000001" customHeight="1">
      <c r="A15" s="157" t="s">
        <v>828</v>
      </c>
      <c r="B15" s="238">
        <v>380170</v>
      </c>
      <c r="C15" s="239"/>
      <c r="D15" s="238">
        <v>378320</v>
      </c>
      <c r="E15" s="239"/>
      <c r="F15" s="238">
        <v>291530</v>
      </c>
      <c r="G15" s="239"/>
      <c r="H15" s="238">
        <v>282360</v>
      </c>
      <c r="I15" s="239"/>
      <c r="J15" s="238">
        <v>307480</v>
      </c>
      <c r="K15" s="239"/>
    </row>
    <row r="16" spans="1:23" ht="20.100000000000001" customHeight="1">
      <c r="A16" s="156" t="s">
        <v>823</v>
      </c>
      <c r="B16" s="158">
        <v>6.08E-2</v>
      </c>
      <c r="C16" s="158">
        <f>B16*B15</f>
        <v>23114.335999999999</v>
      </c>
      <c r="D16" s="158">
        <v>6.1800000000000001E-2</v>
      </c>
      <c r="E16" s="158">
        <f>D16*D15</f>
        <v>23380.175999999999</v>
      </c>
      <c r="F16" s="158">
        <v>6.6199999999999995E-2</v>
      </c>
      <c r="G16" s="158">
        <f>F16*F15</f>
        <v>19299.286</v>
      </c>
      <c r="H16" s="158">
        <v>7.1199999999999999E-2</v>
      </c>
      <c r="I16" s="158">
        <f>H16*H15</f>
        <v>20104.031999999999</v>
      </c>
      <c r="J16" s="158">
        <v>7.3999999999999996E-2</v>
      </c>
      <c r="K16" s="158">
        <f>J16*J15</f>
        <v>22753.52</v>
      </c>
    </row>
    <row r="17" spans="1:11" ht="20.100000000000001" customHeight="1">
      <c r="A17" s="156" t="s">
        <v>822</v>
      </c>
      <c r="B17" s="158">
        <v>0.37130000000000002</v>
      </c>
      <c r="C17" s="158">
        <f>B17*B15</f>
        <v>141157.12100000001</v>
      </c>
      <c r="D17" s="158">
        <v>0.35720000000000002</v>
      </c>
      <c r="E17" s="158">
        <f>D17*D15</f>
        <v>135135.90400000001</v>
      </c>
      <c r="F17" s="158">
        <v>0.33439999999999998</v>
      </c>
      <c r="G17" s="158">
        <f>F17*F15</f>
        <v>97487.631999999998</v>
      </c>
      <c r="H17" s="158">
        <v>0.32590000000000002</v>
      </c>
      <c r="I17" s="158">
        <f>H17*H15</f>
        <v>92021.124000000011</v>
      </c>
      <c r="J17" s="158">
        <v>0.313</v>
      </c>
      <c r="K17" s="158">
        <f>J17*J15</f>
        <v>96241.24</v>
      </c>
    </row>
    <row r="18" spans="1:11" ht="20.100000000000001" customHeight="1">
      <c r="A18" s="156" t="s">
        <v>821</v>
      </c>
      <c r="B18" s="158">
        <v>0.56789999999999996</v>
      </c>
      <c r="C18" s="158">
        <f>B18*B15</f>
        <v>215898.54299999998</v>
      </c>
      <c r="D18" s="158">
        <v>0.58089999999999997</v>
      </c>
      <c r="E18" s="158">
        <f>D18*D15</f>
        <v>219766.08799999999</v>
      </c>
      <c r="F18" s="158">
        <v>0.59950000000000003</v>
      </c>
      <c r="G18" s="158">
        <f>F18*F15</f>
        <v>174772.23500000002</v>
      </c>
      <c r="H18" s="158">
        <v>0.60289999999999999</v>
      </c>
      <c r="I18" s="158">
        <f>H18*H15</f>
        <v>170234.84400000001</v>
      </c>
      <c r="J18" s="158">
        <v>0.61399999999999999</v>
      </c>
      <c r="K18" s="158">
        <f>J18*J15</f>
        <v>188792.72</v>
      </c>
    </row>
    <row r="19" spans="1:11" ht="20.100000000000001" customHeight="1">
      <c r="A19" s="157" t="s">
        <v>827</v>
      </c>
      <c r="B19" s="238">
        <v>95130</v>
      </c>
      <c r="C19" s="239"/>
      <c r="D19" s="238">
        <v>102290</v>
      </c>
      <c r="E19" s="239"/>
      <c r="F19" s="238">
        <v>100180</v>
      </c>
      <c r="G19" s="239"/>
      <c r="H19" s="238">
        <v>97800</v>
      </c>
      <c r="I19" s="239"/>
      <c r="J19" s="238">
        <v>985800</v>
      </c>
      <c r="K19" s="239"/>
    </row>
    <row r="20" spans="1:11" ht="20.100000000000001" customHeight="1">
      <c r="A20" s="156" t="s">
        <v>823</v>
      </c>
      <c r="B20" s="158">
        <v>9.2100000000000001E-2</v>
      </c>
      <c r="C20" s="158">
        <f>B20*B19</f>
        <v>8761.473</v>
      </c>
      <c r="D20" s="158">
        <v>9.4799999999999995E-2</v>
      </c>
      <c r="E20" s="158">
        <f>D20*D19</f>
        <v>9697.0919999999987</v>
      </c>
      <c r="F20" s="158">
        <v>0.1011</v>
      </c>
      <c r="G20" s="158">
        <f>F20*F19</f>
        <v>10128.198</v>
      </c>
      <c r="H20" s="158">
        <v>0.1043</v>
      </c>
      <c r="I20" s="158">
        <f>H20*H19</f>
        <v>10200.540000000001</v>
      </c>
      <c r="J20" s="158">
        <v>6.5000000000000002E-2</v>
      </c>
      <c r="K20" s="158">
        <f>J20*J19</f>
        <v>64077</v>
      </c>
    </row>
    <row r="21" spans="1:11" ht="20.100000000000001" customHeight="1">
      <c r="A21" s="156" t="s">
        <v>822</v>
      </c>
      <c r="B21" s="158">
        <v>0.39029999999999998</v>
      </c>
      <c r="C21" s="158">
        <f>B21*B19</f>
        <v>37129.239000000001</v>
      </c>
      <c r="D21" s="158">
        <v>0.38600000000000001</v>
      </c>
      <c r="E21" s="158">
        <f>D21*D19</f>
        <v>39483.94</v>
      </c>
      <c r="F21" s="158">
        <v>0.34079999999999999</v>
      </c>
      <c r="G21" s="158">
        <f>F21*F19</f>
        <v>34141.343999999997</v>
      </c>
      <c r="H21" s="158">
        <v>0.33429999999999999</v>
      </c>
      <c r="I21" s="158">
        <f>H21*H19</f>
        <v>32694.539999999997</v>
      </c>
      <c r="J21" s="158">
        <v>0.33800000000000002</v>
      </c>
      <c r="K21" s="158">
        <f>J21*J19</f>
        <v>333200.40000000002</v>
      </c>
    </row>
    <row r="22" spans="1:11" ht="20.100000000000001" customHeight="1">
      <c r="A22" s="156" t="s">
        <v>821</v>
      </c>
      <c r="B22" s="158">
        <v>0.51749999999999996</v>
      </c>
      <c r="C22" s="158">
        <f>B22*B19</f>
        <v>49229.774999999994</v>
      </c>
      <c r="D22" s="158">
        <v>0.51919999999999999</v>
      </c>
      <c r="E22" s="158">
        <f>D22*D19</f>
        <v>53108.968000000001</v>
      </c>
      <c r="F22" s="158">
        <v>0.55810000000000004</v>
      </c>
      <c r="G22" s="158">
        <f>F22*F19</f>
        <v>55910.458000000006</v>
      </c>
      <c r="H22" s="158">
        <v>0.56140000000000001</v>
      </c>
      <c r="I22" s="158">
        <f>H22*H19</f>
        <v>54904.92</v>
      </c>
      <c r="J22" s="158">
        <v>0.59699999999999998</v>
      </c>
      <c r="K22" s="158">
        <f>J22*J19</f>
        <v>588522.6</v>
      </c>
    </row>
    <row r="23" spans="1:11" ht="20.100000000000001" customHeight="1">
      <c r="A23" s="157" t="s">
        <v>826</v>
      </c>
      <c r="B23" s="238">
        <v>1260000</v>
      </c>
      <c r="C23" s="239"/>
      <c r="D23" s="238">
        <v>1300000</v>
      </c>
      <c r="E23" s="239"/>
      <c r="F23" s="238">
        <v>1150000</v>
      </c>
      <c r="G23" s="239"/>
      <c r="H23" s="238">
        <v>1050000</v>
      </c>
      <c r="I23" s="239"/>
      <c r="J23" s="238">
        <v>1140000</v>
      </c>
      <c r="K23" s="239"/>
    </row>
    <row r="24" spans="1:11" ht="20.100000000000001" customHeight="1">
      <c r="A24" s="156" t="s">
        <v>823</v>
      </c>
      <c r="B24" s="158">
        <v>3.5200000000000002E-2</v>
      </c>
      <c r="C24" s="158">
        <f>B24*B23</f>
        <v>44352</v>
      </c>
      <c r="D24" s="158">
        <v>3.5400000000000001E-2</v>
      </c>
      <c r="E24" s="158">
        <f>D24*D23</f>
        <v>46020</v>
      </c>
      <c r="F24" s="158">
        <v>3.61E-2</v>
      </c>
      <c r="G24" s="158">
        <f>F24*F23</f>
        <v>41515</v>
      </c>
      <c r="H24" s="158">
        <v>3.85E-2</v>
      </c>
      <c r="I24" s="158">
        <f>H24*H23</f>
        <v>40425</v>
      </c>
      <c r="J24" s="158">
        <v>3.9E-2</v>
      </c>
      <c r="K24" s="158">
        <f>J24*J23</f>
        <v>44460</v>
      </c>
    </row>
    <row r="25" spans="1:11" ht="20.100000000000001" customHeight="1">
      <c r="A25" s="156" t="s">
        <v>822</v>
      </c>
      <c r="B25" s="158">
        <v>0.34399999999999997</v>
      </c>
      <c r="C25" s="158">
        <f>B25*B23</f>
        <v>433439.99999999994</v>
      </c>
      <c r="D25" s="158">
        <v>0.34329999999999999</v>
      </c>
      <c r="E25" s="158">
        <f>D25*D23</f>
        <v>446290</v>
      </c>
      <c r="F25" s="158">
        <v>0.32690000000000002</v>
      </c>
      <c r="G25" s="158">
        <f>F25*F23</f>
        <v>375935</v>
      </c>
      <c r="H25" s="158">
        <v>0.32690000000000002</v>
      </c>
      <c r="I25" s="158">
        <f>H25*H23</f>
        <v>343245</v>
      </c>
      <c r="J25" s="158">
        <v>0.316</v>
      </c>
      <c r="K25" s="158">
        <f>J25*J23</f>
        <v>360240</v>
      </c>
    </row>
    <row r="26" spans="1:11" ht="20.100000000000001" customHeight="1">
      <c r="A26" s="156" t="s">
        <v>821</v>
      </c>
      <c r="B26" s="158">
        <v>0.62070000000000003</v>
      </c>
      <c r="C26" s="158">
        <f>B26*B23</f>
        <v>782082</v>
      </c>
      <c r="D26" s="158">
        <v>0.62129999999999996</v>
      </c>
      <c r="E26" s="158">
        <f>D26*D23</f>
        <v>807690</v>
      </c>
      <c r="F26" s="158">
        <v>0.63700000000000001</v>
      </c>
      <c r="G26" s="158">
        <f>F26*F23</f>
        <v>732550</v>
      </c>
      <c r="H26" s="158">
        <v>0.63460000000000005</v>
      </c>
      <c r="I26" s="158">
        <f>H26*H23</f>
        <v>666330</v>
      </c>
      <c r="J26" s="158">
        <v>0.64</v>
      </c>
      <c r="K26" s="158">
        <f>J26*J23</f>
        <v>729600</v>
      </c>
    </row>
    <row r="27" spans="1:11" ht="20.100000000000001" customHeight="1">
      <c r="A27" s="157" t="s">
        <v>825</v>
      </c>
      <c r="B27" s="238">
        <v>197900</v>
      </c>
      <c r="C27" s="239"/>
      <c r="D27" s="238">
        <v>203100</v>
      </c>
      <c r="E27" s="239"/>
      <c r="F27" s="238">
        <v>192310</v>
      </c>
      <c r="G27" s="239"/>
      <c r="H27" s="238">
        <v>195300</v>
      </c>
      <c r="I27" s="239"/>
      <c r="J27" s="238">
        <v>210010</v>
      </c>
      <c r="K27" s="239"/>
    </row>
    <row r="28" spans="1:11" ht="20.100000000000001" customHeight="1">
      <c r="A28" s="156" t="s">
        <v>823</v>
      </c>
      <c r="B28" s="158">
        <v>7.3200000000000001E-2</v>
      </c>
      <c r="C28" s="158">
        <f>B28*B27</f>
        <v>14486.28</v>
      </c>
      <c r="D28" s="158">
        <v>7.4700000000000003E-2</v>
      </c>
      <c r="E28" s="158">
        <f>D28*D27</f>
        <v>15171.57</v>
      </c>
      <c r="F28" s="158">
        <v>7.7600000000000002E-2</v>
      </c>
      <c r="G28" s="158">
        <f>F28*F27</f>
        <v>14923.256000000001</v>
      </c>
      <c r="H28" s="158">
        <v>7.4999999999999997E-2</v>
      </c>
      <c r="I28" s="158">
        <f>H28*H27</f>
        <v>14647.5</v>
      </c>
      <c r="J28" s="159">
        <v>7.4999999999999997E-2</v>
      </c>
      <c r="K28" s="158">
        <f>J28*J27</f>
        <v>15750.75</v>
      </c>
    </row>
    <row r="29" spans="1:11" ht="20.100000000000001" customHeight="1">
      <c r="A29" s="156" t="s">
        <v>822</v>
      </c>
      <c r="B29" s="158">
        <v>0.37180000000000002</v>
      </c>
      <c r="C29" s="158">
        <f>B29*B27</f>
        <v>73579.22</v>
      </c>
      <c r="D29" s="158">
        <v>0.34820000000000001</v>
      </c>
      <c r="E29" s="158">
        <f>D29*D27</f>
        <v>70719.42</v>
      </c>
      <c r="F29" s="158">
        <v>0.32829999999999998</v>
      </c>
      <c r="G29" s="158">
        <f>F29*F27</f>
        <v>63135.373</v>
      </c>
      <c r="H29" s="158">
        <v>0.36299999999999999</v>
      </c>
      <c r="I29" s="158">
        <f>H29*H27</f>
        <v>70893.899999999994</v>
      </c>
      <c r="J29" s="159">
        <v>0.36299999999999999</v>
      </c>
      <c r="K29" s="158">
        <f>J29*J27</f>
        <v>76233.63</v>
      </c>
    </row>
    <row r="30" spans="1:11" ht="20.100000000000001" customHeight="1">
      <c r="A30" s="156" t="s">
        <v>821</v>
      </c>
      <c r="B30" s="158">
        <v>0.55500000000000005</v>
      </c>
      <c r="C30" s="158">
        <f>B30*B27</f>
        <v>109834.50000000001</v>
      </c>
      <c r="D30" s="158">
        <v>0.57709999999999995</v>
      </c>
      <c r="E30" s="158">
        <f>D30*D27</f>
        <v>117209.01</v>
      </c>
      <c r="F30" s="158">
        <v>0.59409999999999996</v>
      </c>
      <c r="G30" s="158">
        <f>F30*F27</f>
        <v>114251.371</v>
      </c>
      <c r="H30" s="158">
        <v>0.56100000000000005</v>
      </c>
      <c r="I30" s="158">
        <f>H30*H27</f>
        <v>109563.30000000002</v>
      </c>
      <c r="J30" s="159">
        <v>0.56100000000000005</v>
      </c>
      <c r="K30" s="158">
        <f>J30*J27</f>
        <v>117815.61000000002</v>
      </c>
    </row>
    <row r="31" spans="1:11" ht="20.100000000000001" customHeight="1">
      <c r="A31" s="157" t="s">
        <v>824</v>
      </c>
      <c r="B31" s="238">
        <v>234400</v>
      </c>
      <c r="C31" s="239"/>
      <c r="D31" s="238">
        <v>212350</v>
      </c>
      <c r="E31" s="239"/>
      <c r="F31" s="238">
        <v>242600</v>
      </c>
      <c r="G31" s="239"/>
      <c r="H31" s="238">
        <v>236440</v>
      </c>
      <c r="I31" s="239"/>
      <c r="J31" s="238">
        <v>215310</v>
      </c>
      <c r="K31" s="239"/>
    </row>
    <row r="32" spans="1:11" ht="20.100000000000001" customHeight="1">
      <c r="A32" s="156" t="s">
        <v>823</v>
      </c>
      <c r="B32" s="158">
        <v>5.3699999999999998E-2</v>
      </c>
      <c r="C32" s="158">
        <f>B32*B31</f>
        <v>12587.279999999999</v>
      </c>
      <c r="D32" s="158">
        <v>5.6399999999999999E-2</v>
      </c>
      <c r="E32" s="158">
        <f>D32*D31</f>
        <v>11976.539999999999</v>
      </c>
      <c r="F32" s="158">
        <v>4.3999999999999997E-2</v>
      </c>
      <c r="G32" s="158">
        <f>F32*F31</f>
        <v>10674.4</v>
      </c>
      <c r="H32" s="159">
        <v>4.3999999999999997E-2</v>
      </c>
      <c r="I32" s="158">
        <f>H32*H31</f>
        <v>10403.359999999999</v>
      </c>
      <c r="J32" s="159">
        <v>4.3999999999999997E-2</v>
      </c>
      <c r="K32" s="158">
        <f>J32*J31</f>
        <v>9473.64</v>
      </c>
    </row>
    <row r="33" spans="1:11" ht="20.100000000000001" customHeight="1">
      <c r="A33" s="156" t="s">
        <v>822</v>
      </c>
      <c r="B33" s="158">
        <v>0.48970000000000002</v>
      </c>
      <c r="C33" s="158">
        <f>B33*B31</f>
        <v>114785.68000000001</v>
      </c>
      <c r="D33" s="158">
        <v>0.41799999999999998</v>
      </c>
      <c r="E33" s="158">
        <f>D33*D31</f>
        <v>88762.3</v>
      </c>
      <c r="F33" s="158">
        <v>0.38200000000000001</v>
      </c>
      <c r="G33" s="158">
        <f>F33*F31</f>
        <v>92673.2</v>
      </c>
      <c r="H33" s="159">
        <v>0.38200000000000001</v>
      </c>
      <c r="I33" s="158">
        <f>H33*H31</f>
        <v>90320.08</v>
      </c>
      <c r="J33" s="159">
        <v>0.38200000000000001</v>
      </c>
      <c r="K33" s="158">
        <f>J33*J31</f>
        <v>82248.42</v>
      </c>
    </row>
    <row r="34" spans="1:11" ht="20.100000000000001" customHeight="1">
      <c r="A34" s="156" t="s">
        <v>821</v>
      </c>
      <c r="B34" s="158">
        <v>0.45660000000000001</v>
      </c>
      <c r="C34" s="158">
        <f>B34*B31</f>
        <v>107027.04000000001</v>
      </c>
      <c r="D34" s="158">
        <v>0.52549999999999997</v>
      </c>
      <c r="E34" s="158">
        <f>D34*D31</f>
        <v>111589.92499999999</v>
      </c>
      <c r="F34" s="158">
        <v>0.57399999999999995</v>
      </c>
      <c r="G34" s="158">
        <f>F34*F31</f>
        <v>139252.4</v>
      </c>
      <c r="H34" s="159">
        <v>0.57399999999999995</v>
      </c>
      <c r="I34" s="158">
        <f>H34*H31</f>
        <v>135716.56</v>
      </c>
      <c r="J34" s="159">
        <v>0.57399999999999995</v>
      </c>
      <c r="K34" s="158">
        <f>J34*J31</f>
        <v>123587.93999999999</v>
      </c>
    </row>
    <row r="35" spans="1:11" ht="112.5" customHeight="1">
      <c r="A35" s="285" t="s">
        <v>4466</v>
      </c>
      <c r="B35" s="351" t="s">
        <v>4467</v>
      </c>
      <c r="C35" s="286"/>
      <c r="D35" s="287"/>
      <c r="E35" s="287"/>
      <c r="F35" s="288"/>
      <c r="G35" s="288"/>
      <c r="H35" s="286" t="s">
        <v>4464</v>
      </c>
      <c r="I35" s="289"/>
      <c r="J35" s="289"/>
      <c r="K35" s="288"/>
    </row>
  </sheetData>
  <mergeCells count="45">
    <mergeCell ref="F31:G31"/>
    <mergeCell ref="D31:E31"/>
    <mergeCell ref="J31:K31"/>
    <mergeCell ref="J27:K27"/>
    <mergeCell ref="J11:K11"/>
    <mergeCell ref="J23:K23"/>
    <mergeCell ref="H31:I31"/>
    <mergeCell ref="J19:K19"/>
    <mergeCell ref="B23:C23"/>
    <mergeCell ref="B19:C19"/>
    <mergeCell ref="D7:E7"/>
    <mergeCell ref="J7:K7"/>
    <mergeCell ref="H7:I7"/>
    <mergeCell ref="D19:E19"/>
    <mergeCell ref="J15:K15"/>
    <mergeCell ref="H15:I15"/>
    <mergeCell ref="F15:G15"/>
    <mergeCell ref="D15:E15"/>
    <mergeCell ref="D11:E11"/>
    <mergeCell ref="F19:G19"/>
    <mergeCell ref="H23:I23"/>
    <mergeCell ref="F23:G23"/>
    <mergeCell ref="D23:E23"/>
    <mergeCell ref="F1:G1"/>
    <mergeCell ref="D1:E1"/>
    <mergeCell ref="B3:C3"/>
    <mergeCell ref="J1:K1"/>
    <mergeCell ref="H1:I1"/>
    <mergeCell ref="B1:C1"/>
    <mergeCell ref="B31:C31"/>
    <mergeCell ref="H27:I27"/>
    <mergeCell ref="F27:G27"/>
    <mergeCell ref="D27:E27"/>
    <mergeCell ref="J3:K3"/>
    <mergeCell ref="H3:I3"/>
    <mergeCell ref="F3:G3"/>
    <mergeCell ref="D3:E3"/>
    <mergeCell ref="B7:C7"/>
    <mergeCell ref="B15:C15"/>
    <mergeCell ref="B27:C27"/>
    <mergeCell ref="B11:C11"/>
    <mergeCell ref="F7:G7"/>
    <mergeCell ref="H19:I19"/>
    <mergeCell ref="H11:I11"/>
    <mergeCell ref="F11:G11"/>
  </mergeCells>
  <pageMargins left="1" right="1" top="1" bottom="1" header="0.25" footer="0.25"/>
  <pageSetup orientation="portrait"/>
  <headerFooter>
    <oddFooter>&amp;C&amp;"Helvetica Neue,Regular"&amp;12&amp;K000000&amp;P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pageSetUpPr fitToPage="1"/>
  </sheetPr>
  <dimension ref="A1:HM498"/>
  <sheetViews>
    <sheetView showGridLines="0" workbookViewId="0">
      <pane xSplit="1" ySplit="2" topLeftCell="B6" activePane="bottomRight" state="frozen"/>
      <selection pane="topRight"/>
      <selection pane="bottomLeft"/>
      <selection pane="bottomRight" activeCell="A31" sqref="A31"/>
    </sheetView>
  </sheetViews>
  <sheetFormatPr baseColWidth="10" defaultColWidth="16.375" defaultRowHeight="20.100000000000001" customHeight="1"/>
  <cols>
    <col min="1" max="1" width="16.375" style="224" customWidth="1"/>
    <col min="2" max="2" width="14.375" style="213" customWidth="1"/>
    <col min="3" max="12" width="16.375" style="213" customWidth="1"/>
    <col min="13" max="256" width="16.375" style="212" customWidth="1"/>
    <col min="257" max="16384" width="16.375" style="212"/>
  </cols>
  <sheetData>
    <row r="1" spans="1:221" ht="20.100000000000001" customHeight="1">
      <c r="A1" s="211"/>
      <c r="B1" s="246">
        <v>2013</v>
      </c>
      <c r="C1" s="247"/>
      <c r="D1" s="246">
        <v>2014</v>
      </c>
      <c r="E1" s="247"/>
      <c r="F1" s="246">
        <v>2015</v>
      </c>
      <c r="G1" s="247"/>
      <c r="H1" s="246">
        <v>2016</v>
      </c>
      <c r="I1" s="247"/>
      <c r="J1" s="246">
        <v>2017</v>
      </c>
      <c r="K1" s="247"/>
      <c r="L1" s="270"/>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60"/>
    </row>
    <row r="2" spans="1:221" ht="20.25" customHeight="1">
      <c r="A2" s="211"/>
      <c r="B2" s="206" t="s">
        <v>4469</v>
      </c>
      <c r="C2" s="206" t="s">
        <v>4470</v>
      </c>
      <c r="D2" s="206" t="s">
        <v>4469</v>
      </c>
      <c r="E2" s="206" t="s">
        <v>4470</v>
      </c>
      <c r="F2" s="206" t="s">
        <v>4469</v>
      </c>
      <c r="G2" s="206" t="s">
        <v>4470</v>
      </c>
      <c r="H2" s="206" t="s">
        <v>4469</v>
      </c>
      <c r="I2" s="206" t="s">
        <v>4470</v>
      </c>
      <c r="J2" s="206" t="s">
        <v>4469</v>
      </c>
      <c r="K2" s="206" t="s">
        <v>4470</v>
      </c>
      <c r="L2" s="270"/>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60"/>
    </row>
    <row r="3" spans="1:221" ht="20.25" customHeight="1">
      <c r="A3" s="200" t="s">
        <v>269</v>
      </c>
      <c r="B3" s="208">
        <v>90301.8</v>
      </c>
      <c r="C3" s="203">
        <v>89608.12</v>
      </c>
      <c r="D3" s="203">
        <v>80936.63</v>
      </c>
      <c r="E3" s="203">
        <v>81836.81</v>
      </c>
      <c r="F3" s="203">
        <v>76622.789999999994</v>
      </c>
      <c r="G3" s="203">
        <v>70022.570000000007</v>
      </c>
      <c r="H3" s="203">
        <v>74496.23</v>
      </c>
      <c r="I3" s="203">
        <v>70731.679999999993</v>
      </c>
      <c r="J3" s="203">
        <v>87932</v>
      </c>
      <c r="K3" s="271">
        <v>72632</v>
      </c>
      <c r="L3" s="270"/>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60"/>
    </row>
    <row r="4" spans="1:221" ht="20.25" customHeight="1">
      <c r="A4" s="219" t="s">
        <v>1696</v>
      </c>
      <c r="B4" s="201">
        <f>SUM(B3+C3)</f>
        <v>179909.91999999998</v>
      </c>
      <c r="C4" s="202"/>
      <c r="D4" s="202">
        <f t="shared" ref="D4:J4" si="0">SUM(D3+E3)</f>
        <v>162773.44</v>
      </c>
      <c r="E4" s="202"/>
      <c r="F4" s="202">
        <f t="shared" si="0"/>
        <v>146645.35999999999</v>
      </c>
      <c r="G4" s="202"/>
      <c r="H4" s="202">
        <f t="shared" si="0"/>
        <v>145227.90999999997</v>
      </c>
      <c r="I4" s="202"/>
      <c r="J4" s="202">
        <f t="shared" si="0"/>
        <v>160564</v>
      </c>
      <c r="K4" s="272"/>
      <c r="L4" s="270"/>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60"/>
    </row>
    <row r="5" spans="1:221" s="214" customFormat="1" ht="20.25" customHeight="1">
      <c r="A5" s="220" t="s">
        <v>4468</v>
      </c>
      <c r="B5" s="204">
        <f>B4/B28</f>
        <v>0.64345331184822074</v>
      </c>
      <c r="C5" s="204"/>
      <c r="D5" s="204">
        <f>D4/D28</f>
        <v>0.59136484071720108</v>
      </c>
      <c r="E5" s="204"/>
      <c r="F5" s="204">
        <f>F4/F28</f>
        <v>0.61215508806410301</v>
      </c>
      <c r="G5" s="204"/>
      <c r="H5" s="204">
        <f>H4/H28</f>
        <v>0.64555008952980231</v>
      </c>
      <c r="I5" s="204"/>
      <c r="J5" s="204">
        <f>J4/J28</f>
        <v>0.64695522396479066</v>
      </c>
      <c r="K5" s="204"/>
      <c r="L5" s="267"/>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84"/>
      <c r="BP5" s="284"/>
      <c r="BQ5" s="284"/>
      <c r="BR5" s="284"/>
      <c r="BS5" s="284"/>
      <c r="BT5" s="284"/>
      <c r="BU5" s="284"/>
      <c r="BV5" s="284"/>
      <c r="BW5" s="284"/>
      <c r="BX5" s="284"/>
      <c r="BY5" s="284"/>
      <c r="BZ5" s="284"/>
      <c r="CA5" s="284"/>
      <c r="CB5" s="284"/>
      <c r="CC5" s="284"/>
      <c r="CD5" s="284"/>
      <c r="CE5" s="284"/>
      <c r="CF5" s="284"/>
      <c r="CG5" s="284"/>
      <c r="CH5" s="284"/>
      <c r="CI5" s="284"/>
      <c r="CJ5" s="284"/>
      <c r="CK5" s="284"/>
      <c r="CL5" s="284"/>
      <c r="CM5" s="284"/>
      <c r="CN5" s="284"/>
      <c r="CO5" s="284"/>
      <c r="CP5" s="284"/>
      <c r="CQ5" s="284"/>
      <c r="CR5" s="284"/>
      <c r="CS5" s="284"/>
      <c r="CT5" s="284"/>
      <c r="CU5" s="284"/>
      <c r="CV5" s="284"/>
      <c r="CW5" s="284"/>
      <c r="CX5" s="284"/>
      <c r="CY5" s="284"/>
      <c r="CZ5" s="284"/>
      <c r="DA5" s="284"/>
      <c r="DB5" s="284"/>
      <c r="DC5" s="284"/>
      <c r="DD5" s="284"/>
      <c r="DE5" s="284"/>
      <c r="DF5" s="284"/>
      <c r="DG5" s="284"/>
      <c r="DH5" s="284"/>
      <c r="DI5" s="284"/>
      <c r="DJ5" s="284"/>
      <c r="DK5" s="284"/>
      <c r="DL5" s="284"/>
      <c r="DM5" s="284"/>
      <c r="DN5" s="284"/>
      <c r="DO5" s="284"/>
      <c r="DP5" s="284"/>
      <c r="DQ5" s="284"/>
      <c r="DR5" s="284"/>
      <c r="DS5" s="284"/>
      <c r="DT5" s="284"/>
      <c r="DU5" s="284"/>
      <c r="DV5" s="284"/>
      <c r="DW5" s="284"/>
      <c r="DX5" s="284"/>
      <c r="DY5" s="284"/>
      <c r="DZ5" s="284"/>
      <c r="EA5" s="284"/>
      <c r="EB5" s="284"/>
      <c r="EC5" s="284"/>
      <c r="ED5" s="284"/>
      <c r="EE5" s="284"/>
      <c r="EF5" s="284"/>
      <c r="EG5" s="284"/>
      <c r="EH5" s="284"/>
      <c r="EI5" s="284"/>
      <c r="EJ5" s="284"/>
      <c r="EK5" s="284"/>
      <c r="EL5" s="284"/>
      <c r="EM5" s="284"/>
      <c r="EN5" s="284"/>
      <c r="EO5" s="284"/>
      <c r="EP5" s="284"/>
      <c r="EQ5" s="284"/>
      <c r="ER5" s="284"/>
      <c r="ES5" s="284"/>
      <c r="ET5" s="284"/>
      <c r="EU5" s="284"/>
      <c r="EV5" s="284"/>
      <c r="EW5" s="284"/>
      <c r="EX5" s="284"/>
      <c r="EY5" s="284"/>
      <c r="EZ5" s="284"/>
      <c r="FA5" s="284"/>
      <c r="FB5" s="284"/>
      <c r="FC5" s="284"/>
      <c r="FD5" s="284"/>
      <c r="FE5" s="284"/>
      <c r="FF5" s="284"/>
      <c r="FG5" s="284"/>
      <c r="FH5" s="284"/>
      <c r="FI5" s="284"/>
      <c r="FJ5" s="284"/>
      <c r="FK5" s="284"/>
      <c r="FL5" s="284"/>
      <c r="FM5" s="284"/>
      <c r="FN5" s="284"/>
      <c r="FO5" s="284"/>
      <c r="FP5" s="284"/>
      <c r="FQ5" s="284"/>
      <c r="FR5" s="284"/>
      <c r="FS5" s="284"/>
      <c r="FT5" s="284"/>
      <c r="FU5" s="284"/>
      <c r="FV5" s="284"/>
      <c r="FW5" s="284"/>
      <c r="FX5" s="284"/>
      <c r="FY5" s="284"/>
      <c r="FZ5" s="284"/>
      <c r="GA5" s="284"/>
      <c r="GB5" s="284"/>
      <c r="GC5" s="284"/>
      <c r="GD5" s="284"/>
      <c r="GE5" s="284"/>
      <c r="GF5" s="284"/>
      <c r="GG5" s="284"/>
      <c r="GH5" s="284"/>
      <c r="GI5" s="284"/>
      <c r="GJ5" s="284"/>
      <c r="GK5" s="284"/>
      <c r="GL5" s="284"/>
      <c r="GM5" s="284"/>
      <c r="GN5" s="284"/>
      <c r="GO5" s="284"/>
      <c r="GP5" s="284"/>
      <c r="GQ5" s="284"/>
      <c r="GR5" s="284"/>
      <c r="GS5" s="284"/>
      <c r="GT5" s="284"/>
      <c r="GU5" s="284"/>
      <c r="GV5" s="284"/>
      <c r="GW5" s="284"/>
      <c r="GX5" s="284"/>
      <c r="GY5" s="284"/>
      <c r="GZ5" s="284"/>
      <c r="HA5" s="284"/>
      <c r="HB5" s="284"/>
      <c r="HC5" s="284"/>
      <c r="HD5" s="284"/>
      <c r="HE5" s="284"/>
      <c r="HF5" s="284"/>
      <c r="HG5" s="284"/>
      <c r="HH5" s="284"/>
      <c r="HI5" s="284"/>
      <c r="HJ5" s="284"/>
      <c r="HK5" s="284"/>
      <c r="HL5" s="284"/>
      <c r="HM5" s="279"/>
    </row>
    <row r="6" spans="1:221" ht="20.100000000000001" customHeight="1">
      <c r="A6" s="206" t="s">
        <v>262</v>
      </c>
      <c r="B6" s="208">
        <v>325571.36</v>
      </c>
      <c r="C6" s="203">
        <v>279587.81</v>
      </c>
      <c r="D6" s="203">
        <v>318799.15000000002</v>
      </c>
      <c r="E6" s="203">
        <v>264063.09999999998</v>
      </c>
      <c r="F6" s="203">
        <v>243145.56</v>
      </c>
      <c r="G6" s="203">
        <v>223869.59</v>
      </c>
      <c r="H6" s="203">
        <v>203163.01</v>
      </c>
      <c r="I6" s="203">
        <v>217753.2</v>
      </c>
      <c r="J6" s="203">
        <v>221544</v>
      </c>
      <c r="K6" s="271">
        <v>251721</v>
      </c>
      <c r="L6" s="267"/>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60"/>
    </row>
    <row r="7" spans="1:221" ht="20.100000000000001" customHeight="1">
      <c r="A7" s="221" t="s">
        <v>1696</v>
      </c>
      <c r="B7" s="199">
        <f>SUM(B6:C6)</f>
        <v>605159.16999999993</v>
      </c>
      <c r="C7" s="197"/>
      <c r="D7" s="197">
        <f t="shared" ref="D7:J7" si="1">SUM(D6:E6)</f>
        <v>582862.25</v>
      </c>
      <c r="E7" s="197"/>
      <c r="F7" s="197">
        <f t="shared" si="1"/>
        <v>467015.15</v>
      </c>
      <c r="G7" s="197"/>
      <c r="H7" s="197">
        <f t="shared" si="1"/>
        <v>420916.21</v>
      </c>
      <c r="I7" s="197"/>
      <c r="J7" s="197">
        <f t="shared" si="1"/>
        <v>473265</v>
      </c>
      <c r="K7" s="273"/>
      <c r="L7" s="267"/>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60"/>
    </row>
    <row r="8" spans="1:221" s="214" customFormat="1" ht="20.100000000000001" customHeight="1">
      <c r="A8" s="222" t="s">
        <v>4468</v>
      </c>
      <c r="B8" s="198">
        <f>B7/B28</f>
        <v>2.1643702144485442</v>
      </c>
      <c r="C8" s="198"/>
      <c r="D8" s="198">
        <f>D7/D28</f>
        <v>2.1175705424135502</v>
      </c>
      <c r="E8" s="198"/>
      <c r="F8" s="198">
        <f>F7/F28</f>
        <v>1.9495038934441589</v>
      </c>
      <c r="G8" s="198"/>
      <c r="H8" s="198">
        <f>H7/H28</f>
        <v>1.8710074189599308</v>
      </c>
      <c r="I8" s="198"/>
      <c r="J8" s="198">
        <f>J7/J28</f>
        <v>1.9069110390230477</v>
      </c>
      <c r="K8" s="274"/>
      <c r="L8" s="267"/>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84"/>
      <c r="BP8" s="284"/>
      <c r="BQ8" s="284"/>
      <c r="BR8" s="284"/>
      <c r="BS8" s="284"/>
      <c r="BT8" s="284"/>
      <c r="BU8" s="284"/>
      <c r="BV8" s="284"/>
      <c r="BW8" s="284"/>
      <c r="BX8" s="284"/>
      <c r="BY8" s="284"/>
      <c r="BZ8" s="284"/>
      <c r="CA8" s="284"/>
      <c r="CB8" s="284"/>
      <c r="CC8" s="284"/>
      <c r="CD8" s="284"/>
      <c r="CE8" s="284"/>
      <c r="CF8" s="284"/>
      <c r="CG8" s="284"/>
      <c r="CH8" s="284"/>
      <c r="CI8" s="284"/>
      <c r="CJ8" s="284"/>
      <c r="CK8" s="284"/>
      <c r="CL8" s="284"/>
      <c r="CM8" s="284"/>
      <c r="CN8" s="284"/>
      <c r="CO8" s="284"/>
      <c r="CP8" s="284"/>
      <c r="CQ8" s="284"/>
      <c r="CR8" s="284"/>
      <c r="CS8" s="284"/>
      <c r="CT8" s="284"/>
      <c r="CU8" s="284"/>
      <c r="CV8" s="284"/>
      <c r="CW8" s="284"/>
      <c r="CX8" s="284"/>
      <c r="CY8" s="284"/>
      <c r="CZ8" s="284"/>
      <c r="DA8" s="284"/>
      <c r="DB8" s="284"/>
      <c r="DC8" s="284"/>
      <c r="DD8" s="284"/>
      <c r="DE8" s="284"/>
      <c r="DF8" s="284"/>
      <c r="DG8" s="284"/>
      <c r="DH8" s="284"/>
      <c r="DI8" s="284"/>
      <c r="DJ8" s="284"/>
      <c r="DK8" s="284"/>
      <c r="DL8" s="284"/>
      <c r="DM8" s="284"/>
      <c r="DN8" s="284"/>
      <c r="DO8" s="284"/>
      <c r="DP8" s="284"/>
      <c r="DQ8" s="284"/>
      <c r="DR8" s="284"/>
      <c r="DS8" s="284"/>
      <c r="DT8" s="284"/>
      <c r="DU8" s="284"/>
      <c r="DV8" s="284"/>
      <c r="DW8" s="284"/>
      <c r="DX8" s="284"/>
      <c r="DY8" s="284"/>
      <c r="DZ8" s="284"/>
      <c r="EA8" s="284"/>
      <c r="EB8" s="284"/>
      <c r="EC8" s="284"/>
      <c r="ED8" s="284"/>
      <c r="EE8" s="284"/>
      <c r="EF8" s="284"/>
      <c r="EG8" s="284"/>
      <c r="EH8" s="284"/>
      <c r="EI8" s="284"/>
      <c r="EJ8" s="284"/>
      <c r="EK8" s="284"/>
      <c r="EL8" s="284"/>
      <c r="EM8" s="284"/>
      <c r="EN8" s="284"/>
      <c r="EO8" s="284"/>
      <c r="EP8" s="284"/>
      <c r="EQ8" s="284"/>
      <c r="ER8" s="284"/>
      <c r="ES8" s="284"/>
      <c r="ET8" s="284"/>
      <c r="EU8" s="284"/>
      <c r="EV8" s="284"/>
      <c r="EW8" s="284"/>
      <c r="EX8" s="284"/>
      <c r="EY8" s="284"/>
      <c r="EZ8" s="284"/>
      <c r="FA8" s="284"/>
      <c r="FB8" s="284"/>
      <c r="FC8" s="284"/>
      <c r="FD8" s="284"/>
      <c r="FE8" s="284"/>
      <c r="FF8" s="284"/>
      <c r="FG8" s="284"/>
      <c r="FH8" s="284"/>
      <c r="FI8" s="284"/>
      <c r="FJ8" s="284"/>
      <c r="FK8" s="284"/>
      <c r="FL8" s="284"/>
      <c r="FM8" s="284"/>
      <c r="FN8" s="284"/>
      <c r="FO8" s="284"/>
      <c r="FP8" s="284"/>
      <c r="FQ8" s="284"/>
      <c r="FR8" s="284"/>
      <c r="FS8" s="284"/>
      <c r="FT8" s="284"/>
      <c r="FU8" s="284"/>
      <c r="FV8" s="284"/>
      <c r="FW8" s="284"/>
      <c r="FX8" s="284"/>
      <c r="FY8" s="284"/>
      <c r="FZ8" s="284"/>
      <c r="GA8" s="284"/>
      <c r="GB8" s="284"/>
      <c r="GC8" s="284"/>
      <c r="GD8" s="284"/>
      <c r="GE8" s="284"/>
      <c r="GF8" s="284"/>
      <c r="GG8" s="284"/>
      <c r="GH8" s="284"/>
      <c r="GI8" s="284"/>
      <c r="GJ8" s="284"/>
      <c r="GK8" s="284"/>
      <c r="GL8" s="284"/>
      <c r="GM8" s="284"/>
      <c r="GN8" s="284"/>
      <c r="GO8" s="284"/>
      <c r="GP8" s="284"/>
      <c r="GQ8" s="284"/>
      <c r="GR8" s="284"/>
      <c r="GS8" s="284"/>
      <c r="GT8" s="284"/>
      <c r="GU8" s="284"/>
      <c r="GV8" s="284"/>
      <c r="GW8" s="284"/>
      <c r="GX8" s="284"/>
      <c r="GY8" s="284"/>
      <c r="GZ8" s="284"/>
      <c r="HA8" s="284"/>
      <c r="HB8" s="284"/>
      <c r="HC8" s="284"/>
      <c r="HD8" s="284"/>
      <c r="HE8" s="284"/>
      <c r="HF8" s="284"/>
      <c r="HG8" s="284"/>
      <c r="HH8" s="284"/>
      <c r="HI8" s="284"/>
      <c r="HJ8" s="284"/>
      <c r="HK8" s="284"/>
      <c r="HL8" s="284"/>
      <c r="HM8" s="279"/>
    </row>
    <row r="9" spans="1:221" ht="20.100000000000001" customHeight="1">
      <c r="A9" s="200" t="s">
        <v>268</v>
      </c>
      <c r="B9" s="199">
        <v>90296.28</v>
      </c>
      <c r="C9" s="197">
        <v>88886.69</v>
      </c>
      <c r="D9" s="197">
        <v>83010.179999999993</v>
      </c>
      <c r="E9" s="197">
        <v>85779.25</v>
      </c>
      <c r="F9" s="197">
        <v>71772.12</v>
      </c>
      <c r="G9" s="197">
        <v>71819.58</v>
      </c>
      <c r="H9" s="197">
        <v>67978.960000000006</v>
      </c>
      <c r="I9" s="197">
        <v>70097.62</v>
      </c>
      <c r="J9" s="197">
        <v>74464</v>
      </c>
      <c r="K9" s="273">
        <v>79328</v>
      </c>
      <c r="L9" s="267"/>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83"/>
      <c r="BP9" s="283"/>
      <c r="BQ9" s="283"/>
      <c r="BR9" s="283"/>
      <c r="BS9" s="283"/>
      <c r="BT9" s="283"/>
      <c r="BU9" s="283"/>
      <c r="BV9" s="283"/>
      <c r="BW9" s="283"/>
      <c r="BX9" s="283"/>
      <c r="BY9" s="283"/>
      <c r="BZ9" s="283"/>
      <c r="CA9" s="283"/>
      <c r="CB9" s="283"/>
      <c r="CC9" s="283"/>
      <c r="CD9" s="283"/>
      <c r="CE9" s="283"/>
      <c r="CF9" s="283"/>
      <c r="CG9" s="283"/>
      <c r="CH9" s="283"/>
      <c r="CI9" s="283"/>
      <c r="CJ9" s="283"/>
      <c r="CK9" s="283"/>
      <c r="CL9" s="283"/>
      <c r="CM9" s="283"/>
      <c r="CN9" s="283"/>
      <c r="CO9" s="283"/>
      <c r="CP9" s="283"/>
      <c r="CQ9" s="283"/>
      <c r="CR9" s="283"/>
      <c r="CS9" s="283"/>
      <c r="CT9" s="283"/>
      <c r="CU9" s="283"/>
      <c r="CV9" s="283"/>
      <c r="CW9" s="283"/>
      <c r="CX9" s="283"/>
      <c r="CY9" s="283"/>
      <c r="CZ9" s="283"/>
      <c r="DA9" s="283"/>
      <c r="DB9" s="283"/>
      <c r="DC9" s="283"/>
      <c r="DD9" s="283"/>
      <c r="DE9" s="283"/>
      <c r="DF9" s="283"/>
      <c r="DG9" s="283"/>
      <c r="DH9" s="283"/>
      <c r="DI9" s="283"/>
      <c r="DJ9" s="283"/>
      <c r="DK9" s="283"/>
      <c r="DL9" s="283"/>
      <c r="DM9" s="283"/>
      <c r="DN9" s="283"/>
      <c r="DO9" s="283"/>
      <c r="DP9" s="283"/>
      <c r="DQ9" s="283"/>
      <c r="DR9" s="283"/>
      <c r="DS9" s="283"/>
      <c r="DT9" s="283"/>
      <c r="DU9" s="283"/>
      <c r="DV9" s="283"/>
      <c r="DW9" s="283"/>
      <c r="DX9" s="283"/>
      <c r="DY9" s="283"/>
      <c r="DZ9" s="283"/>
      <c r="EA9" s="283"/>
      <c r="EB9" s="283"/>
      <c r="EC9" s="283"/>
      <c r="ED9" s="283"/>
      <c r="EE9" s="283"/>
      <c r="EF9" s="283"/>
      <c r="EG9" s="283"/>
      <c r="EH9" s="283"/>
      <c r="EI9" s="283"/>
      <c r="EJ9" s="283"/>
      <c r="EK9" s="283"/>
      <c r="EL9" s="283"/>
      <c r="EM9" s="283"/>
      <c r="EN9" s="283"/>
      <c r="EO9" s="283"/>
      <c r="EP9" s="283"/>
      <c r="EQ9" s="283"/>
      <c r="ER9" s="283"/>
      <c r="ES9" s="283"/>
      <c r="ET9" s="283"/>
      <c r="EU9" s="283"/>
      <c r="EV9" s="283"/>
      <c r="EW9" s="283"/>
      <c r="EX9" s="283"/>
      <c r="EY9" s="283"/>
      <c r="EZ9" s="283"/>
      <c r="FA9" s="283"/>
      <c r="FB9" s="283"/>
      <c r="FC9" s="283"/>
      <c r="FD9" s="283"/>
      <c r="FE9" s="283"/>
      <c r="FF9" s="283"/>
      <c r="FG9" s="283"/>
      <c r="FH9" s="283"/>
      <c r="FI9" s="283"/>
      <c r="FJ9" s="283"/>
      <c r="FK9" s="283"/>
      <c r="FL9" s="283"/>
      <c r="FM9" s="283"/>
      <c r="FN9" s="283"/>
      <c r="FO9" s="283"/>
      <c r="FP9" s="283"/>
      <c r="FQ9" s="283"/>
      <c r="FR9" s="283"/>
      <c r="FS9" s="283"/>
      <c r="FT9" s="283"/>
      <c r="FU9" s="283"/>
      <c r="FV9" s="283"/>
      <c r="FW9" s="283"/>
      <c r="FX9" s="283"/>
      <c r="FY9" s="283"/>
      <c r="FZ9" s="283"/>
      <c r="GA9" s="283"/>
      <c r="GB9" s="283"/>
      <c r="GC9" s="283"/>
      <c r="GD9" s="283"/>
      <c r="GE9" s="283"/>
      <c r="GF9" s="283"/>
      <c r="GG9" s="283"/>
      <c r="GH9" s="283"/>
      <c r="GI9" s="283"/>
      <c r="GJ9" s="283"/>
      <c r="GK9" s="283"/>
      <c r="GL9" s="283"/>
      <c r="GM9" s="283"/>
      <c r="GN9" s="283"/>
      <c r="GO9" s="283"/>
      <c r="GP9" s="283"/>
      <c r="GQ9" s="283"/>
      <c r="GR9" s="283"/>
      <c r="GS9" s="283"/>
      <c r="GT9" s="283"/>
      <c r="GU9" s="283"/>
      <c r="GV9" s="283"/>
      <c r="GW9" s="283"/>
      <c r="GX9" s="283"/>
      <c r="GY9" s="283"/>
      <c r="GZ9" s="283"/>
      <c r="HA9" s="283"/>
      <c r="HB9" s="283"/>
      <c r="HC9" s="283"/>
      <c r="HD9" s="283"/>
      <c r="HE9" s="283"/>
      <c r="HF9" s="283"/>
      <c r="HG9" s="283"/>
      <c r="HH9" s="283"/>
      <c r="HI9" s="283"/>
      <c r="HJ9" s="283"/>
      <c r="HK9" s="283"/>
      <c r="HL9" s="283"/>
      <c r="HM9" s="260"/>
    </row>
    <row r="10" spans="1:221" ht="20.100000000000001" customHeight="1">
      <c r="A10" s="219" t="s">
        <v>1696</v>
      </c>
      <c r="B10" s="201">
        <f>SUM(B9:C9)</f>
        <v>179182.97</v>
      </c>
      <c r="C10" s="202"/>
      <c r="D10" s="202">
        <f t="shared" ref="D10:J10" si="2">SUM(D9:E9)</f>
        <v>168789.43</v>
      </c>
      <c r="E10" s="202"/>
      <c r="F10" s="202">
        <f t="shared" si="2"/>
        <v>143591.70000000001</v>
      </c>
      <c r="G10" s="202"/>
      <c r="H10" s="202">
        <f t="shared" si="2"/>
        <v>138076.58000000002</v>
      </c>
      <c r="I10" s="202"/>
      <c r="J10" s="202">
        <f t="shared" si="2"/>
        <v>153792</v>
      </c>
      <c r="K10" s="272"/>
      <c r="L10" s="267"/>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c r="FL10" s="283"/>
      <c r="FM10" s="283"/>
      <c r="FN10" s="283"/>
      <c r="FO10" s="283"/>
      <c r="FP10" s="283"/>
      <c r="FQ10" s="283"/>
      <c r="FR10" s="283"/>
      <c r="FS10" s="283"/>
      <c r="FT10" s="283"/>
      <c r="FU10" s="283"/>
      <c r="FV10" s="283"/>
      <c r="FW10" s="283"/>
      <c r="FX10" s="283"/>
      <c r="FY10" s="283"/>
      <c r="FZ10" s="283"/>
      <c r="GA10" s="283"/>
      <c r="GB10" s="283"/>
      <c r="GC10" s="283"/>
      <c r="GD10" s="283"/>
      <c r="GE10" s="283"/>
      <c r="GF10" s="283"/>
      <c r="GG10" s="283"/>
      <c r="GH10" s="283"/>
      <c r="GI10" s="283"/>
      <c r="GJ10" s="283"/>
      <c r="GK10" s="283"/>
      <c r="GL10" s="283"/>
      <c r="GM10" s="283"/>
      <c r="GN10" s="283"/>
      <c r="GO10" s="283"/>
      <c r="GP10" s="283"/>
      <c r="GQ10" s="283"/>
      <c r="GR10" s="283"/>
      <c r="GS10" s="283"/>
      <c r="GT10" s="283"/>
      <c r="GU10" s="283"/>
      <c r="GV10" s="283"/>
      <c r="GW10" s="283"/>
      <c r="GX10" s="283"/>
      <c r="GY10" s="283"/>
      <c r="GZ10" s="283"/>
      <c r="HA10" s="283"/>
      <c r="HB10" s="283"/>
      <c r="HC10" s="283"/>
      <c r="HD10" s="283"/>
      <c r="HE10" s="283"/>
      <c r="HF10" s="283"/>
      <c r="HG10" s="283"/>
      <c r="HH10" s="283"/>
      <c r="HI10" s="283"/>
      <c r="HJ10" s="283"/>
      <c r="HK10" s="283"/>
      <c r="HL10" s="283"/>
      <c r="HM10" s="260"/>
    </row>
    <row r="11" spans="1:221" s="214" customFormat="1" ht="20.100000000000001" customHeight="1">
      <c r="A11" s="220" t="s">
        <v>4468</v>
      </c>
      <c r="B11" s="204">
        <f>B10/B28</f>
        <v>0.64085335301855728</v>
      </c>
      <c r="C11" s="204"/>
      <c r="D11" s="204">
        <f>D10/D28</f>
        <v>0.61322126255178466</v>
      </c>
      <c r="E11" s="204"/>
      <c r="F11" s="204">
        <f>F10/F28</f>
        <v>0.59940791688720507</v>
      </c>
      <c r="G11" s="204"/>
      <c r="H11" s="204">
        <f>H10/H28</f>
        <v>0.61376183531780448</v>
      </c>
      <c r="I11" s="204"/>
      <c r="J11" s="204">
        <f>J10/J28</f>
        <v>0.61966902795142798</v>
      </c>
      <c r="K11" s="204"/>
      <c r="L11" s="267"/>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c r="DO11" s="284"/>
      <c r="DP11" s="284"/>
      <c r="DQ11" s="284"/>
      <c r="DR11" s="284"/>
      <c r="DS11" s="284"/>
      <c r="DT11" s="284"/>
      <c r="DU11" s="284"/>
      <c r="DV11" s="284"/>
      <c r="DW11" s="284"/>
      <c r="DX11" s="284"/>
      <c r="DY11" s="284"/>
      <c r="DZ11" s="284"/>
      <c r="EA11" s="284"/>
      <c r="EB11" s="284"/>
      <c r="EC11" s="284"/>
      <c r="ED11" s="284"/>
      <c r="EE11" s="284"/>
      <c r="EF11" s="284"/>
      <c r="EG11" s="284"/>
      <c r="EH11" s="284"/>
      <c r="EI11" s="284"/>
      <c r="EJ11" s="284"/>
      <c r="EK11" s="284"/>
      <c r="EL11" s="284"/>
      <c r="EM11" s="284"/>
      <c r="EN11" s="284"/>
      <c r="EO11" s="284"/>
      <c r="EP11" s="284"/>
      <c r="EQ11" s="284"/>
      <c r="ER11" s="284"/>
      <c r="ES11" s="284"/>
      <c r="ET11" s="284"/>
      <c r="EU11" s="284"/>
      <c r="EV11" s="284"/>
      <c r="EW11" s="284"/>
      <c r="EX11" s="284"/>
      <c r="EY11" s="284"/>
      <c r="EZ11" s="284"/>
      <c r="FA11" s="284"/>
      <c r="FB11" s="284"/>
      <c r="FC11" s="284"/>
      <c r="FD11" s="284"/>
      <c r="FE11" s="284"/>
      <c r="FF11" s="284"/>
      <c r="FG11" s="284"/>
      <c r="FH11" s="284"/>
      <c r="FI11" s="284"/>
      <c r="FJ11" s="284"/>
      <c r="FK11" s="284"/>
      <c r="FL11" s="284"/>
      <c r="FM11" s="284"/>
      <c r="FN11" s="284"/>
      <c r="FO11" s="284"/>
      <c r="FP11" s="284"/>
      <c r="FQ11" s="284"/>
      <c r="FR11" s="284"/>
      <c r="FS11" s="284"/>
      <c r="FT11" s="284"/>
      <c r="FU11" s="284"/>
      <c r="FV11" s="284"/>
      <c r="FW11" s="284"/>
      <c r="FX11" s="284"/>
      <c r="FY11" s="284"/>
      <c r="FZ11" s="284"/>
      <c r="GA11" s="284"/>
      <c r="GB11" s="284"/>
      <c r="GC11" s="284"/>
      <c r="GD11" s="284"/>
      <c r="GE11" s="284"/>
      <c r="GF11" s="284"/>
      <c r="GG11" s="284"/>
      <c r="GH11" s="284"/>
      <c r="GI11" s="284"/>
      <c r="GJ11" s="284"/>
      <c r="GK11" s="284"/>
      <c r="GL11" s="284"/>
      <c r="GM11" s="284"/>
      <c r="GN11" s="284"/>
      <c r="GO11" s="284"/>
      <c r="GP11" s="284"/>
      <c r="GQ11" s="284"/>
      <c r="GR11" s="284"/>
      <c r="GS11" s="284"/>
      <c r="GT11" s="284"/>
      <c r="GU11" s="284"/>
      <c r="GV11" s="284"/>
      <c r="GW11" s="284"/>
      <c r="GX11" s="284"/>
      <c r="GY11" s="284"/>
      <c r="GZ11" s="284"/>
      <c r="HA11" s="284"/>
      <c r="HB11" s="284"/>
      <c r="HC11" s="284"/>
      <c r="HD11" s="284"/>
      <c r="HE11" s="284"/>
      <c r="HF11" s="284"/>
      <c r="HG11" s="284"/>
      <c r="HH11" s="284"/>
      <c r="HI11" s="284"/>
      <c r="HJ11" s="284"/>
      <c r="HK11" s="284"/>
      <c r="HL11" s="284"/>
      <c r="HM11" s="279"/>
    </row>
    <row r="12" spans="1:221" ht="20.100000000000001" customHeight="1">
      <c r="A12" s="206" t="s">
        <v>267</v>
      </c>
      <c r="B12" s="208">
        <v>70465.070000000007</v>
      </c>
      <c r="C12" s="203">
        <v>67304.67</v>
      </c>
      <c r="D12" s="203">
        <v>75916.94</v>
      </c>
      <c r="E12" s="203">
        <v>64054.7</v>
      </c>
      <c r="F12" s="203">
        <v>64253.440000000002</v>
      </c>
      <c r="G12" s="203">
        <v>45998.400000000001</v>
      </c>
      <c r="H12" s="203">
        <v>54523.38</v>
      </c>
      <c r="I12" s="203">
        <v>41755.96</v>
      </c>
      <c r="J12" s="203">
        <v>56679</v>
      </c>
      <c r="K12" s="271">
        <v>47800</v>
      </c>
      <c r="L12" s="270"/>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c r="DY12" s="283"/>
      <c r="DZ12" s="283"/>
      <c r="EA12" s="283"/>
      <c r="EB12" s="283"/>
      <c r="EC12" s="283"/>
      <c r="ED12" s="283"/>
      <c r="EE12" s="283"/>
      <c r="EF12" s="283"/>
      <c r="EG12" s="283"/>
      <c r="EH12" s="283"/>
      <c r="EI12" s="283"/>
      <c r="EJ12" s="283"/>
      <c r="EK12" s="283"/>
      <c r="EL12" s="283"/>
      <c r="EM12" s="283"/>
      <c r="EN12" s="283"/>
      <c r="EO12" s="283"/>
      <c r="EP12" s="283"/>
      <c r="EQ12" s="283"/>
      <c r="ER12" s="283"/>
      <c r="ES12" s="283"/>
      <c r="ET12" s="283"/>
      <c r="EU12" s="283"/>
      <c r="EV12" s="283"/>
      <c r="EW12" s="283"/>
      <c r="EX12" s="283"/>
      <c r="EY12" s="283"/>
      <c r="EZ12" s="283"/>
      <c r="FA12" s="283"/>
      <c r="FB12" s="283"/>
      <c r="FC12" s="283"/>
      <c r="FD12" s="283"/>
      <c r="FE12" s="283"/>
      <c r="FF12" s="283"/>
      <c r="FG12" s="283"/>
      <c r="FH12" s="283"/>
      <c r="FI12" s="283"/>
      <c r="FJ12" s="283"/>
      <c r="FK12" s="283"/>
      <c r="FL12" s="283"/>
      <c r="FM12" s="283"/>
      <c r="FN12" s="283"/>
      <c r="FO12" s="283"/>
      <c r="FP12" s="283"/>
      <c r="FQ12" s="283"/>
      <c r="FR12" s="283"/>
      <c r="FS12" s="283"/>
      <c r="FT12" s="283"/>
      <c r="FU12" s="283"/>
      <c r="FV12" s="283"/>
      <c r="FW12" s="283"/>
      <c r="FX12" s="283"/>
      <c r="FY12" s="283"/>
      <c r="FZ12" s="283"/>
      <c r="GA12" s="283"/>
      <c r="GB12" s="283"/>
      <c r="GC12" s="283"/>
      <c r="GD12" s="283"/>
      <c r="GE12" s="283"/>
      <c r="GF12" s="283"/>
      <c r="GG12" s="283"/>
      <c r="GH12" s="283"/>
      <c r="GI12" s="283"/>
      <c r="GJ12" s="283"/>
      <c r="GK12" s="283"/>
      <c r="GL12" s="283"/>
      <c r="GM12" s="283"/>
      <c r="GN12" s="283"/>
      <c r="GO12" s="283"/>
      <c r="GP12" s="283"/>
      <c r="GQ12" s="283"/>
      <c r="GR12" s="283"/>
      <c r="GS12" s="283"/>
      <c r="GT12" s="283"/>
      <c r="GU12" s="283"/>
      <c r="GV12" s="283"/>
      <c r="GW12" s="283"/>
      <c r="GX12" s="283"/>
      <c r="GY12" s="283"/>
      <c r="GZ12" s="283"/>
      <c r="HA12" s="283"/>
      <c r="HB12" s="283"/>
      <c r="HC12" s="283"/>
      <c r="HD12" s="283"/>
      <c r="HE12" s="283"/>
      <c r="HF12" s="283"/>
      <c r="HG12" s="283"/>
      <c r="HH12" s="283"/>
      <c r="HI12" s="283"/>
      <c r="HJ12" s="283"/>
      <c r="HK12" s="283"/>
      <c r="HL12" s="283"/>
      <c r="HM12" s="260"/>
    </row>
    <row r="13" spans="1:221" ht="20.100000000000001" customHeight="1">
      <c r="A13" s="221" t="s">
        <v>1696</v>
      </c>
      <c r="B13" s="199">
        <f>SUM(B12:C12)</f>
        <v>137769.74</v>
      </c>
      <c r="C13" s="197"/>
      <c r="D13" s="197">
        <f t="shared" ref="D13:J13" si="3">SUM(D12:E12)</f>
        <v>139971.64000000001</v>
      </c>
      <c r="E13" s="197"/>
      <c r="F13" s="197">
        <f t="shared" si="3"/>
        <v>110251.84</v>
      </c>
      <c r="G13" s="197"/>
      <c r="H13" s="197">
        <f t="shared" si="3"/>
        <v>96279.34</v>
      </c>
      <c r="I13" s="197"/>
      <c r="J13" s="197">
        <f t="shared" si="3"/>
        <v>104479</v>
      </c>
      <c r="K13" s="273"/>
      <c r="L13" s="270"/>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c r="DJ13" s="283"/>
      <c r="DK13" s="283"/>
      <c r="DL13" s="283"/>
      <c r="DM13" s="283"/>
      <c r="DN13" s="283"/>
      <c r="DO13" s="283"/>
      <c r="DP13" s="283"/>
      <c r="DQ13" s="283"/>
      <c r="DR13" s="283"/>
      <c r="DS13" s="283"/>
      <c r="DT13" s="283"/>
      <c r="DU13" s="283"/>
      <c r="DV13" s="283"/>
      <c r="DW13" s="283"/>
      <c r="DX13" s="283"/>
      <c r="DY13" s="283"/>
      <c r="DZ13" s="283"/>
      <c r="EA13" s="283"/>
      <c r="EB13" s="283"/>
      <c r="EC13" s="283"/>
      <c r="ED13" s="283"/>
      <c r="EE13" s="283"/>
      <c r="EF13" s="283"/>
      <c r="EG13" s="283"/>
      <c r="EH13" s="283"/>
      <c r="EI13" s="283"/>
      <c r="EJ13" s="283"/>
      <c r="EK13" s="283"/>
      <c r="EL13" s="283"/>
      <c r="EM13" s="283"/>
      <c r="EN13" s="283"/>
      <c r="EO13" s="283"/>
      <c r="EP13" s="283"/>
      <c r="EQ13" s="283"/>
      <c r="ER13" s="283"/>
      <c r="ES13" s="283"/>
      <c r="ET13" s="283"/>
      <c r="EU13" s="283"/>
      <c r="EV13" s="283"/>
      <c r="EW13" s="283"/>
      <c r="EX13" s="283"/>
      <c r="EY13" s="283"/>
      <c r="EZ13" s="283"/>
      <c r="FA13" s="283"/>
      <c r="FB13" s="283"/>
      <c r="FC13" s="283"/>
      <c r="FD13" s="283"/>
      <c r="FE13" s="283"/>
      <c r="FF13" s="283"/>
      <c r="FG13" s="283"/>
      <c r="FH13" s="283"/>
      <c r="FI13" s="283"/>
      <c r="FJ13" s="283"/>
      <c r="FK13" s="283"/>
      <c r="FL13" s="283"/>
      <c r="FM13" s="283"/>
      <c r="FN13" s="283"/>
      <c r="FO13" s="283"/>
      <c r="FP13" s="283"/>
      <c r="FQ13" s="283"/>
      <c r="FR13" s="283"/>
      <c r="FS13" s="283"/>
      <c r="FT13" s="283"/>
      <c r="FU13" s="283"/>
      <c r="FV13" s="283"/>
      <c r="FW13" s="283"/>
      <c r="FX13" s="283"/>
      <c r="FY13" s="283"/>
      <c r="FZ13" s="283"/>
      <c r="GA13" s="283"/>
      <c r="GB13" s="283"/>
      <c r="GC13" s="283"/>
      <c r="GD13" s="283"/>
      <c r="GE13" s="283"/>
      <c r="GF13" s="283"/>
      <c r="GG13" s="283"/>
      <c r="GH13" s="283"/>
      <c r="GI13" s="283"/>
      <c r="GJ13" s="283"/>
      <c r="GK13" s="283"/>
      <c r="GL13" s="283"/>
      <c r="GM13" s="283"/>
      <c r="GN13" s="283"/>
      <c r="GO13" s="283"/>
      <c r="GP13" s="283"/>
      <c r="GQ13" s="283"/>
      <c r="GR13" s="283"/>
      <c r="GS13" s="283"/>
      <c r="GT13" s="283"/>
      <c r="GU13" s="283"/>
      <c r="GV13" s="283"/>
      <c r="GW13" s="283"/>
      <c r="GX13" s="283"/>
      <c r="GY13" s="283"/>
      <c r="GZ13" s="283"/>
      <c r="HA13" s="283"/>
      <c r="HB13" s="283"/>
      <c r="HC13" s="283"/>
      <c r="HD13" s="283"/>
      <c r="HE13" s="283"/>
      <c r="HF13" s="283"/>
      <c r="HG13" s="283"/>
      <c r="HH13" s="283"/>
      <c r="HI13" s="283"/>
      <c r="HJ13" s="283"/>
      <c r="HK13" s="283"/>
      <c r="HL13" s="283"/>
      <c r="HM13" s="260"/>
    </row>
    <row r="14" spans="1:221" ht="20.100000000000001" customHeight="1">
      <c r="A14" s="222" t="s">
        <v>4468</v>
      </c>
      <c r="B14" s="198">
        <f>B13/B28</f>
        <v>0.49273767380624867</v>
      </c>
      <c r="C14" s="198"/>
      <c r="D14" s="198">
        <f>D13/D28</f>
        <v>0.50852464992768731</v>
      </c>
      <c r="E14" s="198"/>
      <c r="F14" s="198">
        <f>F13/F28</f>
        <v>0.46023430147690592</v>
      </c>
      <c r="G14" s="198"/>
      <c r="H14" s="198">
        <f>H13/H28</f>
        <v>0.42796964135110316</v>
      </c>
      <c r="I14" s="198"/>
      <c r="J14" s="198">
        <f>J13/J28</f>
        <v>0.42097378518607759</v>
      </c>
      <c r="K14" s="274"/>
      <c r="L14" s="270"/>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3"/>
      <c r="AP14" s="283"/>
      <c r="AQ14" s="283"/>
      <c r="AR14" s="283"/>
      <c r="AS14" s="283"/>
      <c r="AT14" s="283"/>
      <c r="AU14" s="283"/>
      <c r="AV14" s="283"/>
      <c r="AW14" s="283"/>
      <c r="AX14" s="283"/>
      <c r="AY14" s="283"/>
      <c r="AZ14" s="283"/>
      <c r="BA14" s="283"/>
      <c r="BB14" s="283"/>
      <c r="BC14" s="283"/>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c r="CA14" s="283"/>
      <c r="CB14" s="283"/>
      <c r="CC14" s="283"/>
      <c r="CD14" s="283"/>
      <c r="CE14" s="283"/>
      <c r="CF14" s="283"/>
      <c r="CG14" s="283"/>
      <c r="CH14" s="283"/>
      <c r="CI14" s="283"/>
      <c r="CJ14" s="283"/>
      <c r="CK14" s="283"/>
      <c r="CL14" s="283"/>
      <c r="CM14" s="283"/>
      <c r="CN14" s="283"/>
      <c r="CO14" s="283"/>
      <c r="CP14" s="283"/>
      <c r="CQ14" s="283"/>
      <c r="CR14" s="283"/>
      <c r="CS14" s="283"/>
      <c r="CT14" s="283"/>
      <c r="CU14" s="283"/>
      <c r="CV14" s="283"/>
      <c r="CW14" s="283"/>
      <c r="CX14" s="283"/>
      <c r="CY14" s="283"/>
      <c r="CZ14" s="283"/>
      <c r="DA14" s="283"/>
      <c r="DB14" s="283"/>
      <c r="DC14" s="283"/>
      <c r="DD14" s="283"/>
      <c r="DE14" s="283"/>
      <c r="DF14" s="283"/>
      <c r="DG14" s="283"/>
      <c r="DH14" s="283"/>
      <c r="DI14" s="283"/>
      <c r="DJ14" s="283"/>
      <c r="DK14" s="283"/>
      <c r="DL14" s="283"/>
      <c r="DM14" s="283"/>
      <c r="DN14" s="283"/>
      <c r="DO14" s="283"/>
      <c r="DP14" s="283"/>
      <c r="DQ14" s="283"/>
      <c r="DR14" s="283"/>
      <c r="DS14" s="283"/>
      <c r="DT14" s="283"/>
      <c r="DU14" s="283"/>
      <c r="DV14" s="283"/>
      <c r="DW14" s="283"/>
      <c r="DX14" s="283"/>
      <c r="DY14" s="283"/>
      <c r="DZ14" s="283"/>
      <c r="EA14" s="283"/>
      <c r="EB14" s="283"/>
      <c r="EC14" s="283"/>
      <c r="ED14" s="283"/>
      <c r="EE14" s="283"/>
      <c r="EF14" s="283"/>
      <c r="EG14" s="283"/>
      <c r="EH14" s="283"/>
      <c r="EI14" s="283"/>
      <c r="EJ14" s="283"/>
      <c r="EK14" s="283"/>
      <c r="EL14" s="283"/>
      <c r="EM14" s="283"/>
      <c r="EN14" s="283"/>
      <c r="EO14" s="283"/>
      <c r="EP14" s="283"/>
      <c r="EQ14" s="283"/>
      <c r="ER14" s="283"/>
      <c r="ES14" s="283"/>
      <c r="ET14" s="283"/>
      <c r="EU14" s="283"/>
      <c r="EV14" s="283"/>
      <c r="EW14" s="283"/>
      <c r="EX14" s="283"/>
      <c r="EY14" s="283"/>
      <c r="EZ14" s="283"/>
      <c r="FA14" s="283"/>
      <c r="FB14" s="283"/>
      <c r="FC14" s="283"/>
      <c r="FD14" s="283"/>
      <c r="FE14" s="283"/>
      <c r="FF14" s="283"/>
      <c r="FG14" s="283"/>
      <c r="FH14" s="283"/>
      <c r="FI14" s="283"/>
      <c r="FJ14" s="283"/>
      <c r="FK14" s="283"/>
      <c r="FL14" s="283"/>
      <c r="FM14" s="283"/>
      <c r="FN14" s="283"/>
      <c r="FO14" s="283"/>
      <c r="FP14" s="283"/>
      <c r="FQ14" s="283"/>
      <c r="FR14" s="283"/>
      <c r="FS14" s="283"/>
      <c r="FT14" s="283"/>
      <c r="FU14" s="283"/>
      <c r="FV14" s="283"/>
      <c r="FW14" s="283"/>
      <c r="FX14" s="283"/>
      <c r="FY14" s="283"/>
      <c r="FZ14" s="283"/>
      <c r="GA14" s="283"/>
      <c r="GB14" s="283"/>
      <c r="GC14" s="283"/>
      <c r="GD14" s="283"/>
      <c r="GE14" s="283"/>
      <c r="GF14" s="283"/>
      <c r="GG14" s="283"/>
      <c r="GH14" s="283"/>
      <c r="GI14" s="283"/>
      <c r="GJ14" s="283"/>
      <c r="GK14" s="283"/>
      <c r="GL14" s="283"/>
      <c r="GM14" s="283"/>
      <c r="GN14" s="283"/>
      <c r="GO14" s="283"/>
      <c r="GP14" s="283"/>
      <c r="GQ14" s="283"/>
      <c r="GR14" s="283"/>
      <c r="GS14" s="283"/>
      <c r="GT14" s="283"/>
      <c r="GU14" s="283"/>
      <c r="GV14" s="283"/>
      <c r="GW14" s="283"/>
      <c r="GX14" s="283"/>
      <c r="GY14" s="283"/>
      <c r="GZ14" s="283"/>
      <c r="HA14" s="283"/>
      <c r="HB14" s="283"/>
      <c r="HC14" s="283"/>
      <c r="HD14" s="283"/>
      <c r="HE14" s="283"/>
      <c r="HF14" s="283"/>
      <c r="HG14" s="283"/>
      <c r="HH14" s="283"/>
      <c r="HI14" s="283"/>
      <c r="HJ14" s="283"/>
      <c r="HK14" s="283"/>
      <c r="HL14" s="283"/>
      <c r="HM14" s="260"/>
    </row>
    <row r="15" spans="1:221" ht="20.100000000000001" customHeight="1">
      <c r="A15" s="200" t="s">
        <v>266</v>
      </c>
      <c r="B15" s="199">
        <v>29576.26</v>
      </c>
      <c r="C15" s="197">
        <v>27628.16</v>
      </c>
      <c r="D15" s="197">
        <v>30176.94</v>
      </c>
      <c r="E15" s="197">
        <v>28942.77</v>
      </c>
      <c r="F15" s="197">
        <v>23895.1</v>
      </c>
      <c r="G15" s="197">
        <v>21440.06</v>
      </c>
      <c r="H15" s="197">
        <v>19052.39</v>
      </c>
      <c r="I15" s="197">
        <v>19565.23</v>
      </c>
      <c r="J15" s="197">
        <v>22594.2</v>
      </c>
      <c r="K15" s="273">
        <v>21920.6</v>
      </c>
      <c r="L15" s="270"/>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83"/>
      <c r="AV15" s="283"/>
      <c r="AW15" s="283"/>
      <c r="AX15" s="283"/>
      <c r="AY15" s="283"/>
      <c r="AZ15" s="283"/>
      <c r="BA15" s="283"/>
      <c r="BB15" s="283"/>
      <c r="BC15" s="283"/>
      <c r="BD15" s="283"/>
      <c r="BE15" s="283"/>
      <c r="BF15" s="283"/>
      <c r="BG15" s="283"/>
      <c r="BH15" s="283"/>
      <c r="BI15" s="283"/>
      <c r="BJ15" s="283"/>
      <c r="BK15" s="283"/>
      <c r="BL15" s="283"/>
      <c r="BM15" s="283"/>
      <c r="BN15" s="283"/>
      <c r="BO15" s="283"/>
      <c r="BP15" s="283"/>
      <c r="BQ15" s="283"/>
      <c r="BR15" s="283"/>
      <c r="BS15" s="283"/>
      <c r="BT15" s="283"/>
      <c r="BU15" s="283"/>
      <c r="BV15" s="283"/>
      <c r="BW15" s="283"/>
      <c r="BX15" s="283"/>
      <c r="BY15" s="283"/>
      <c r="BZ15" s="283"/>
      <c r="CA15" s="283"/>
      <c r="CB15" s="283"/>
      <c r="CC15" s="283"/>
      <c r="CD15" s="283"/>
      <c r="CE15" s="283"/>
      <c r="CF15" s="283"/>
      <c r="CG15" s="283"/>
      <c r="CH15" s="283"/>
      <c r="CI15" s="283"/>
      <c r="CJ15" s="283"/>
      <c r="CK15" s="283"/>
      <c r="CL15" s="283"/>
      <c r="CM15" s="283"/>
      <c r="CN15" s="283"/>
      <c r="CO15" s="283"/>
      <c r="CP15" s="283"/>
      <c r="CQ15" s="283"/>
      <c r="CR15" s="283"/>
      <c r="CS15" s="283"/>
      <c r="CT15" s="283"/>
      <c r="CU15" s="283"/>
      <c r="CV15" s="283"/>
      <c r="CW15" s="283"/>
      <c r="CX15" s="283"/>
      <c r="CY15" s="283"/>
      <c r="CZ15" s="283"/>
      <c r="DA15" s="283"/>
      <c r="DB15" s="283"/>
      <c r="DC15" s="283"/>
      <c r="DD15" s="283"/>
      <c r="DE15" s="283"/>
      <c r="DF15" s="283"/>
      <c r="DG15" s="283"/>
      <c r="DH15" s="283"/>
      <c r="DI15" s="283"/>
      <c r="DJ15" s="283"/>
      <c r="DK15" s="283"/>
      <c r="DL15" s="283"/>
      <c r="DM15" s="283"/>
      <c r="DN15" s="283"/>
      <c r="DO15" s="283"/>
      <c r="DP15" s="283"/>
      <c r="DQ15" s="283"/>
      <c r="DR15" s="283"/>
      <c r="DS15" s="283"/>
      <c r="DT15" s="283"/>
      <c r="DU15" s="283"/>
      <c r="DV15" s="283"/>
      <c r="DW15" s="283"/>
      <c r="DX15" s="283"/>
      <c r="DY15" s="283"/>
      <c r="DZ15" s="283"/>
      <c r="EA15" s="283"/>
      <c r="EB15" s="283"/>
      <c r="EC15" s="283"/>
      <c r="ED15" s="283"/>
      <c r="EE15" s="283"/>
      <c r="EF15" s="283"/>
      <c r="EG15" s="283"/>
      <c r="EH15" s="283"/>
      <c r="EI15" s="283"/>
      <c r="EJ15" s="283"/>
      <c r="EK15" s="283"/>
      <c r="EL15" s="283"/>
      <c r="EM15" s="283"/>
      <c r="EN15" s="283"/>
      <c r="EO15" s="283"/>
      <c r="EP15" s="283"/>
      <c r="EQ15" s="283"/>
      <c r="ER15" s="283"/>
      <c r="ES15" s="283"/>
      <c r="ET15" s="283"/>
      <c r="EU15" s="283"/>
      <c r="EV15" s="283"/>
      <c r="EW15" s="283"/>
      <c r="EX15" s="283"/>
      <c r="EY15" s="283"/>
      <c r="EZ15" s="283"/>
      <c r="FA15" s="283"/>
      <c r="FB15" s="283"/>
      <c r="FC15" s="283"/>
      <c r="FD15" s="283"/>
      <c r="FE15" s="283"/>
      <c r="FF15" s="283"/>
      <c r="FG15" s="283"/>
      <c r="FH15" s="283"/>
      <c r="FI15" s="283"/>
      <c r="FJ15" s="283"/>
      <c r="FK15" s="283"/>
      <c r="FL15" s="283"/>
      <c r="FM15" s="283"/>
      <c r="FN15" s="283"/>
      <c r="FO15" s="283"/>
      <c r="FP15" s="283"/>
      <c r="FQ15" s="283"/>
      <c r="FR15" s="283"/>
      <c r="FS15" s="283"/>
      <c r="FT15" s="283"/>
      <c r="FU15" s="283"/>
      <c r="FV15" s="283"/>
      <c r="FW15" s="283"/>
      <c r="FX15" s="283"/>
      <c r="FY15" s="283"/>
      <c r="FZ15" s="283"/>
      <c r="GA15" s="283"/>
      <c r="GB15" s="283"/>
      <c r="GC15" s="283"/>
      <c r="GD15" s="283"/>
      <c r="GE15" s="283"/>
      <c r="GF15" s="283"/>
      <c r="GG15" s="283"/>
      <c r="GH15" s="283"/>
      <c r="GI15" s="283"/>
      <c r="GJ15" s="283"/>
      <c r="GK15" s="283"/>
      <c r="GL15" s="283"/>
      <c r="GM15" s="283"/>
      <c r="GN15" s="283"/>
      <c r="GO15" s="283"/>
      <c r="GP15" s="283"/>
      <c r="GQ15" s="283"/>
      <c r="GR15" s="283"/>
      <c r="GS15" s="283"/>
      <c r="GT15" s="283"/>
      <c r="GU15" s="283"/>
      <c r="GV15" s="283"/>
      <c r="GW15" s="283"/>
      <c r="GX15" s="283"/>
      <c r="GY15" s="283"/>
      <c r="GZ15" s="283"/>
      <c r="HA15" s="283"/>
      <c r="HB15" s="283"/>
      <c r="HC15" s="283"/>
      <c r="HD15" s="283"/>
      <c r="HE15" s="283"/>
      <c r="HF15" s="283"/>
      <c r="HG15" s="283"/>
      <c r="HH15" s="283"/>
      <c r="HI15" s="283"/>
      <c r="HJ15" s="283"/>
      <c r="HK15" s="283"/>
      <c r="HL15" s="283"/>
      <c r="HM15" s="260"/>
    </row>
    <row r="16" spans="1:221" ht="20.100000000000001" customHeight="1">
      <c r="A16" s="219" t="s">
        <v>1696</v>
      </c>
      <c r="B16" s="201">
        <f>SUM(B15:C15)</f>
        <v>57204.42</v>
      </c>
      <c r="C16" s="202"/>
      <c r="D16" s="202">
        <f t="shared" ref="D16:J16" si="4">SUM(D15:E15)</f>
        <v>59119.71</v>
      </c>
      <c r="E16" s="202"/>
      <c r="F16" s="202">
        <f t="shared" si="4"/>
        <v>45335.16</v>
      </c>
      <c r="G16" s="202"/>
      <c r="H16" s="202">
        <f t="shared" si="4"/>
        <v>38617.619999999995</v>
      </c>
      <c r="I16" s="202"/>
      <c r="J16" s="202">
        <f t="shared" si="4"/>
        <v>44514.8</v>
      </c>
      <c r="K16" s="272"/>
      <c r="L16" s="270"/>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60"/>
    </row>
    <row r="17" spans="1:221" ht="20.100000000000001" customHeight="1">
      <c r="A17" s="220" t="s">
        <v>4468</v>
      </c>
      <c r="B17" s="204">
        <f>B16/B28</f>
        <v>0.20459335150255525</v>
      </c>
      <c r="C17" s="204"/>
      <c r="D17" s="204">
        <f>D16/D28</f>
        <v>0.21478515098898887</v>
      </c>
      <c r="E17" s="204"/>
      <c r="F17" s="204">
        <f>F16/F28</f>
        <v>0.18924668917039178</v>
      </c>
      <c r="G17" s="204"/>
      <c r="H17" s="204">
        <f>H16/H28</f>
        <v>0.1716585196910696</v>
      </c>
      <c r="I17" s="204"/>
      <c r="J17" s="204">
        <f>J16/J28</f>
        <v>0.17936201392434084</v>
      </c>
      <c r="K17" s="204"/>
      <c r="L17" s="270"/>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3"/>
      <c r="AQ17" s="283"/>
      <c r="AR17" s="283"/>
      <c r="AS17" s="283"/>
      <c r="AT17" s="283"/>
      <c r="AU17" s="283"/>
      <c r="AV17" s="283"/>
      <c r="AW17" s="283"/>
      <c r="AX17" s="283"/>
      <c r="AY17" s="283"/>
      <c r="AZ17" s="283"/>
      <c r="BA17" s="283"/>
      <c r="BB17" s="283"/>
      <c r="BC17" s="283"/>
      <c r="BD17" s="283"/>
      <c r="BE17" s="283"/>
      <c r="BF17" s="283"/>
      <c r="BG17" s="283"/>
      <c r="BH17" s="283"/>
      <c r="BI17" s="283"/>
      <c r="BJ17" s="283"/>
      <c r="BK17" s="283"/>
      <c r="BL17" s="283"/>
      <c r="BM17" s="283"/>
      <c r="BN17" s="283"/>
      <c r="BO17" s="283"/>
      <c r="BP17" s="283"/>
      <c r="BQ17" s="283"/>
      <c r="BR17" s="283"/>
      <c r="BS17" s="283"/>
      <c r="BT17" s="283"/>
      <c r="BU17" s="283"/>
      <c r="BV17" s="283"/>
      <c r="BW17" s="283"/>
      <c r="BX17" s="283"/>
      <c r="BY17" s="283"/>
      <c r="BZ17" s="283"/>
      <c r="CA17" s="283"/>
      <c r="CB17" s="283"/>
      <c r="CC17" s="283"/>
      <c r="CD17" s="283"/>
      <c r="CE17" s="283"/>
      <c r="CF17" s="283"/>
      <c r="CG17" s="283"/>
      <c r="CH17" s="283"/>
      <c r="CI17" s="283"/>
      <c r="CJ17" s="283"/>
      <c r="CK17" s="283"/>
      <c r="CL17" s="283"/>
      <c r="CM17" s="283"/>
      <c r="CN17" s="283"/>
      <c r="CO17" s="283"/>
      <c r="CP17" s="283"/>
      <c r="CQ17" s="283"/>
      <c r="CR17" s="283"/>
      <c r="CS17" s="283"/>
      <c r="CT17" s="283"/>
      <c r="CU17" s="283"/>
      <c r="CV17" s="283"/>
      <c r="CW17" s="283"/>
      <c r="CX17" s="283"/>
      <c r="CY17" s="283"/>
      <c r="CZ17" s="283"/>
      <c r="DA17" s="283"/>
      <c r="DB17" s="283"/>
      <c r="DC17" s="283"/>
      <c r="DD17" s="283"/>
      <c r="DE17" s="283"/>
      <c r="DF17" s="283"/>
      <c r="DG17" s="283"/>
      <c r="DH17" s="283"/>
      <c r="DI17" s="283"/>
      <c r="DJ17" s="283"/>
      <c r="DK17" s="283"/>
      <c r="DL17" s="283"/>
      <c r="DM17" s="283"/>
      <c r="DN17" s="283"/>
      <c r="DO17" s="283"/>
      <c r="DP17" s="283"/>
      <c r="DQ17" s="283"/>
      <c r="DR17" s="283"/>
      <c r="DS17" s="283"/>
      <c r="DT17" s="283"/>
      <c r="DU17" s="283"/>
      <c r="DV17" s="283"/>
      <c r="DW17" s="283"/>
      <c r="DX17" s="283"/>
      <c r="DY17" s="283"/>
      <c r="DZ17" s="283"/>
      <c r="EA17" s="283"/>
      <c r="EB17" s="283"/>
      <c r="EC17" s="283"/>
      <c r="ED17" s="283"/>
      <c r="EE17" s="283"/>
      <c r="EF17" s="283"/>
      <c r="EG17" s="283"/>
      <c r="EH17" s="283"/>
      <c r="EI17" s="283"/>
      <c r="EJ17" s="283"/>
      <c r="EK17" s="283"/>
      <c r="EL17" s="283"/>
      <c r="EM17" s="283"/>
      <c r="EN17" s="283"/>
      <c r="EO17" s="283"/>
      <c r="EP17" s="283"/>
      <c r="EQ17" s="283"/>
      <c r="ER17" s="283"/>
      <c r="ES17" s="283"/>
      <c r="ET17" s="283"/>
      <c r="EU17" s="283"/>
      <c r="EV17" s="283"/>
      <c r="EW17" s="283"/>
      <c r="EX17" s="283"/>
      <c r="EY17" s="283"/>
      <c r="EZ17" s="283"/>
      <c r="FA17" s="283"/>
      <c r="FB17" s="283"/>
      <c r="FC17" s="283"/>
      <c r="FD17" s="283"/>
      <c r="FE17" s="283"/>
      <c r="FF17" s="283"/>
      <c r="FG17" s="283"/>
      <c r="FH17" s="283"/>
      <c r="FI17" s="283"/>
      <c r="FJ17" s="283"/>
      <c r="FK17" s="283"/>
      <c r="FL17" s="283"/>
      <c r="FM17" s="283"/>
      <c r="FN17" s="283"/>
      <c r="FO17" s="283"/>
      <c r="FP17" s="283"/>
      <c r="FQ17" s="283"/>
      <c r="FR17" s="283"/>
      <c r="FS17" s="283"/>
      <c r="FT17" s="283"/>
      <c r="FU17" s="283"/>
      <c r="FV17" s="283"/>
      <c r="FW17" s="283"/>
      <c r="FX17" s="283"/>
      <c r="FY17" s="283"/>
      <c r="FZ17" s="283"/>
      <c r="GA17" s="283"/>
      <c r="GB17" s="283"/>
      <c r="GC17" s="283"/>
      <c r="GD17" s="283"/>
      <c r="GE17" s="283"/>
      <c r="GF17" s="283"/>
      <c r="GG17" s="283"/>
      <c r="GH17" s="283"/>
      <c r="GI17" s="283"/>
      <c r="GJ17" s="283"/>
      <c r="GK17" s="283"/>
      <c r="GL17" s="283"/>
      <c r="GM17" s="283"/>
      <c r="GN17" s="283"/>
      <c r="GO17" s="283"/>
      <c r="GP17" s="283"/>
      <c r="GQ17" s="283"/>
      <c r="GR17" s="283"/>
      <c r="GS17" s="283"/>
      <c r="GT17" s="283"/>
      <c r="GU17" s="283"/>
      <c r="GV17" s="283"/>
      <c r="GW17" s="283"/>
      <c r="GX17" s="283"/>
      <c r="GY17" s="283"/>
      <c r="GZ17" s="283"/>
      <c r="HA17" s="283"/>
      <c r="HB17" s="283"/>
      <c r="HC17" s="283"/>
      <c r="HD17" s="283"/>
      <c r="HE17" s="283"/>
      <c r="HF17" s="283"/>
      <c r="HG17" s="283"/>
      <c r="HH17" s="283"/>
      <c r="HI17" s="283"/>
      <c r="HJ17" s="283"/>
      <c r="HK17" s="283"/>
      <c r="HL17" s="283"/>
      <c r="HM17" s="260"/>
    </row>
    <row r="18" spans="1:221" ht="20.100000000000001" customHeight="1">
      <c r="A18" s="205" t="s">
        <v>265</v>
      </c>
      <c r="B18" s="203">
        <v>413788.26</v>
      </c>
      <c r="C18" s="203">
        <v>398822.71</v>
      </c>
      <c r="D18" s="203">
        <v>434905.21</v>
      </c>
      <c r="E18" s="203">
        <v>418831.82</v>
      </c>
      <c r="F18" s="203">
        <v>428230.85</v>
      </c>
      <c r="G18" s="203">
        <v>403879.49</v>
      </c>
      <c r="H18" s="203">
        <v>420918.01</v>
      </c>
      <c r="I18" s="203">
        <v>398892.84</v>
      </c>
      <c r="J18" s="203">
        <v>457633</v>
      </c>
      <c r="K18" s="271">
        <v>436939</v>
      </c>
      <c r="L18" s="270"/>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3"/>
      <c r="BA18" s="283"/>
      <c r="BB18" s="283"/>
      <c r="BC18" s="283"/>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c r="CA18" s="283"/>
      <c r="CB18" s="283"/>
      <c r="CC18" s="283"/>
      <c r="CD18" s="283"/>
      <c r="CE18" s="283"/>
      <c r="CF18" s="283"/>
      <c r="CG18" s="283"/>
      <c r="CH18" s="283"/>
      <c r="CI18" s="283"/>
      <c r="CJ18" s="283"/>
      <c r="CK18" s="283"/>
      <c r="CL18" s="283"/>
      <c r="CM18" s="283"/>
      <c r="CN18" s="283"/>
      <c r="CO18" s="283"/>
      <c r="CP18" s="283"/>
      <c r="CQ18" s="283"/>
      <c r="CR18" s="283"/>
      <c r="CS18" s="283"/>
      <c r="CT18" s="283"/>
      <c r="CU18" s="283"/>
      <c r="CV18" s="283"/>
      <c r="CW18" s="283"/>
      <c r="CX18" s="283"/>
      <c r="CY18" s="283"/>
      <c r="CZ18" s="283"/>
      <c r="DA18" s="283"/>
      <c r="DB18" s="283"/>
      <c r="DC18" s="283"/>
      <c r="DD18" s="283"/>
      <c r="DE18" s="283"/>
      <c r="DF18" s="283"/>
      <c r="DG18" s="283"/>
      <c r="DH18" s="283"/>
      <c r="DI18" s="283"/>
      <c r="DJ18" s="283"/>
      <c r="DK18" s="283"/>
      <c r="DL18" s="283"/>
      <c r="DM18" s="283"/>
      <c r="DN18" s="283"/>
      <c r="DO18" s="283"/>
      <c r="DP18" s="283"/>
      <c r="DQ18" s="283"/>
      <c r="DR18" s="283"/>
      <c r="DS18" s="283"/>
      <c r="DT18" s="283"/>
      <c r="DU18" s="283"/>
      <c r="DV18" s="283"/>
      <c r="DW18" s="283"/>
      <c r="DX18" s="283"/>
      <c r="DY18" s="283"/>
      <c r="DZ18" s="283"/>
      <c r="EA18" s="283"/>
      <c r="EB18" s="283"/>
      <c r="EC18" s="283"/>
      <c r="ED18" s="283"/>
      <c r="EE18" s="283"/>
      <c r="EF18" s="283"/>
      <c r="EG18" s="283"/>
      <c r="EH18" s="283"/>
      <c r="EI18" s="283"/>
      <c r="EJ18" s="283"/>
      <c r="EK18" s="283"/>
      <c r="EL18" s="283"/>
      <c r="EM18" s="283"/>
      <c r="EN18" s="283"/>
      <c r="EO18" s="283"/>
      <c r="EP18" s="283"/>
      <c r="EQ18" s="283"/>
      <c r="ER18" s="283"/>
      <c r="ES18" s="283"/>
      <c r="ET18" s="283"/>
      <c r="EU18" s="283"/>
      <c r="EV18" s="283"/>
      <c r="EW18" s="283"/>
      <c r="EX18" s="283"/>
      <c r="EY18" s="283"/>
      <c r="EZ18" s="283"/>
      <c r="FA18" s="283"/>
      <c r="FB18" s="283"/>
      <c r="FC18" s="283"/>
      <c r="FD18" s="283"/>
      <c r="FE18" s="283"/>
      <c r="FF18" s="283"/>
      <c r="FG18" s="283"/>
      <c r="FH18" s="283"/>
      <c r="FI18" s="283"/>
      <c r="FJ18" s="283"/>
      <c r="FK18" s="283"/>
      <c r="FL18" s="283"/>
      <c r="FM18" s="283"/>
      <c r="FN18" s="283"/>
      <c r="FO18" s="283"/>
      <c r="FP18" s="283"/>
      <c r="FQ18" s="283"/>
      <c r="FR18" s="283"/>
      <c r="FS18" s="283"/>
      <c r="FT18" s="283"/>
      <c r="FU18" s="283"/>
      <c r="FV18" s="283"/>
      <c r="FW18" s="283"/>
      <c r="FX18" s="283"/>
      <c r="FY18" s="283"/>
      <c r="FZ18" s="283"/>
      <c r="GA18" s="283"/>
      <c r="GB18" s="283"/>
      <c r="GC18" s="283"/>
      <c r="GD18" s="283"/>
      <c r="GE18" s="283"/>
      <c r="GF18" s="283"/>
      <c r="GG18" s="283"/>
      <c r="GH18" s="283"/>
      <c r="GI18" s="283"/>
      <c r="GJ18" s="283"/>
      <c r="GK18" s="283"/>
      <c r="GL18" s="283"/>
      <c r="GM18" s="283"/>
      <c r="GN18" s="283"/>
      <c r="GO18" s="283"/>
      <c r="GP18" s="283"/>
      <c r="GQ18" s="283"/>
      <c r="GR18" s="283"/>
      <c r="GS18" s="283"/>
      <c r="GT18" s="283"/>
      <c r="GU18" s="283"/>
      <c r="GV18" s="283"/>
      <c r="GW18" s="283"/>
      <c r="GX18" s="283"/>
      <c r="GY18" s="283"/>
      <c r="GZ18" s="283"/>
      <c r="HA18" s="283"/>
      <c r="HB18" s="283"/>
      <c r="HC18" s="283"/>
      <c r="HD18" s="283"/>
      <c r="HE18" s="283"/>
      <c r="HF18" s="283"/>
      <c r="HG18" s="283"/>
      <c r="HH18" s="283"/>
      <c r="HI18" s="283"/>
      <c r="HJ18" s="283"/>
      <c r="HK18" s="283"/>
      <c r="HL18" s="283"/>
      <c r="HM18" s="260"/>
    </row>
    <row r="19" spans="1:221" ht="20.100000000000001" customHeight="1">
      <c r="A19" s="222" t="s">
        <v>1696</v>
      </c>
      <c r="B19" s="197">
        <f>SUM(B18:C18)</f>
        <v>812610.97</v>
      </c>
      <c r="C19" s="197"/>
      <c r="D19" s="197">
        <f t="shared" ref="D19:J19" si="5">SUM(D18:E18)</f>
        <v>853737.03</v>
      </c>
      <c r="E19" s="197"/>
      <c r="F19" s="197">
        <f t="shared" si="5"/>
        <v>832110.34</v>
      </c>
      <c r="G19" s="197"/>
      <c r="H19" s="197">
        <f t="shared" si="5"/>
        <v>819810.85000000009</v>
      </c>
      <c r="I19" s="197"/>
      <c r="J19" s="197">
        <f t="shared" si="5"/>
        <v>894572</v>
      </c>
      <c r="K19" s="273"/>
      <c r="L19" s="270"/>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c r="AR19" s="283"/>
      <c r="AS19" s="283"/>
      <c r="AT19" s="283"/>
      <c r="AU19" s="283"/>
      <c r="AV19" s="283"/>
      <c r="AW19" s="283"/>
      <c r="AX19" s="283"/>
      <c r="AY19" s="283"/>
      <c r="AZ19" s="283"/>
      <c r="BA19" s="283"/>
      <c r="BB19" s="283"/>
      <c r="BC19" s="283"/>
      <c r="BD19" s="283"/>
      <c r="BE19" s="283"/>
      <c r="BF19" s="283"/>
      <c r="BG19" s="283"/>
      <c r="BH19" s="283"/>
      <c r="BI19" s="283"/>
      <c r="BJ19" s="283"/>
      <c r="BK19" s="283"/>
      <c r="BL19" s="283"/>
      <c r="BM19" s="283"/>
      <c r="BN19" s="283"/>
      <c r="BO19" s="283"/>
      <c r="BP19" s="283"/>
      <c r="BQ19" s="283"/>
      <c r="BR19" s="283"/>
      <c r="BS19" s="283"/>
      <c r="BT19" s="283"/>
      <c r="BU19" s="283"/>
      <c r="BV19" s="283"/>
      <c r="BW19" s="283"/>
      <c r="BX19" s="283"/>
      <c r="BY19" s="283"/>
      <c r="BZ19" s="283"/>
      <c r="CA19" s="283"/>
      <c r="CB19" s="283"/>
      <c r="CC19" s="283"/>
      <c r="CD19" s="283"/>
      <c r="CE19" s="283"/>
      <c r="CF19" s="283"/>
      <c r="CG19" s="283"/>
      <c r="CH19" s="283"/>
      <c r="CI19" s="283"/>
      <c r="CJ19" s="283"/>
      <c r="CK19" s="283"/>
      <c r="CL19" s="283"/>
      <c r="CM19" s="283"/>
      <c r="CN19" s="283"/>
      <c r="CO19" s="283"/>
      <c r="CP19" s="283"/>
      <c r="CQ19" s="283"/>
      <c r="CR19" s="283"/>
      <c r="CS19" s="283"/>
      <c r="CT19" s="283"/>
      <c r="CU19" s="283"/>
      <c r="CV19" s="283"/>
      <c r="CW19" s="283"/>
      <c r="CX19" s="283"/>
      <c r="CY19" s="283"/>
      <c r="CZ19" s="283"/>
      <c r="DA19" s="283"/>
      <c r="DB19" s="283"/>
      <c r="DC19" s="283"/>
      <c r="DD19" s="283"/>
      <c r="DE19" s="283"/>
      <c r="DF19" s="283"/>
      <c r="DG19" s="283"/>
      <c r="DH19" s="283"/>
      <c r="DI19" s="283"/>
      <c r="DJ19" s="283"/>
      <c r="DK19" s="283"/>
      <c r="DL19" s="283"/>
      <c r="DM19" s="283"/>
      <c r="DN19" s="283"/>
      <c r="DO19" s="283"/>
      <c r="DP19" s="283"/>
      <c r="DQ19" s="283"/>
      <c r="DR19" s="283"/>
      <c r="DS19" s="283"/>
      <c r="DT19" s="283"/>
      <c r="DU19" s="283"/>
      <c r="DV19" s="283"/>
      <c r="DW19" s="283"/>
      <c r="DX19" s="283"/>
      <c r="DY19" s="283"/>
      <c r="DZ19" s="283"/>
      <c r="EA19" s="283"/>
      <c r="EB19" s="283"/>
      <c r="EC19" s="283"/>
      <c r="ED19" s="283"/>
      <c r="EE19" s="283"/>
      <c r="EF19" s="283"/>
      <c r="EG19" s="283"/>
      <c r="EH19" s="283"/>
      <c r="EI19" s="283"/>
      <c r="EJ19" s="283"/>
      <c r="EK19" s="283"/>
      <c r="EL19" s="283"/>
      <c r="EM19" s="283"/>
      <c r="EN19" s="283"/>
      <c r="EO19" s="283"/>
      <c r="EP19" s="283"/>
      <c r="EQ19" s="283"/>
      <c r="ER19" s="283"/>
      <c r="ES19" s="283"/>
      <c r="ET19" s="283"/>
      <c r="EU19" s="283"/>
      <c r="EV19" s="283"/>
      <c r="EW19" s="283"/>
      <c r="EX19" s="283"/>
      <c r="EY19" s="283"/>
      <c r="EZ19" s="283"/>
      <c r="FA19" s="283"/>
      <c r="FB19" s="283"/>
      <c r="FC19" s="283"/>
      <c r="FD19" s="283"/>
      <c r="FE19" s="283"/>
      <c r="FF19" s="283"/>
      <c r="FG19" s="283"/>
      <c r="FH19" s="283"/>
      <c r="FI19" s="283"/>
      <c r="FJ19" s="283"/>
      <c r="FK19" s="283"/>
      <c r="FL19" s="283"/>
      <c r="FM19" s="283"/>
      <c r="FN19" s="283"/>
      <c r="FO19" s="283"/>
      <c r="FP19" s="283"/>
      <c r="FQ19" s="283"/>
      <c r="FR19" s="283"/>
      <c r="FS19" s="283"/>
      <c r="FT19" s="283"/>
      <c r="FU19" s="283"/>
      <c r="FV19" s="283"/>
      <c r="FW19" s="283"/>
      <c r="FX19" s="283"/>
      <c r="FY19" s="283"/>
      <c r="FZ19" s="283"/>
      <c r="GA19" s="283"/>
      <c r="GB19" s="283"/>
      <c r="GC19" s="283"/>
      <c r="GD19" s="283"/>
      <c r="GE19" s="283"/>
      <c r="GF19" s="283"/>
      <c r="GG19" s="283"/>
      <c r="GH19" s="283"/>
      <c r="GI19" s="283"/>
      <c r="GJ19" s="283"/>
      <c r="GK19" s="283"/>
      <c r="GL19" s="283"/>
      <c r="GM19" s="283"/>
      <c r="GN19" s="283"/>
      <c r="GO19" s="283"/>
      <c r="GP19" s="283"/>
      <c r="GQ19" s="283"/>
      <c r="GR19" s="283"/>
      <c r="GS19" s="283"/>
      <c r="GT19" s="283"/>
      <c r="GU19" s="283"/>
      <c r="GV19" s="283"/>
      <c r="GW19" s="283"/>
      <c r="GX19" s="283"/>
      <c r="GY19" s="283"/>
      <c r="GZ19" s="283"/>
      <c r="HA19" s="283"/>
      <c r="HB19" s="283"/>
      <c r="HC19" s="283"/>
      <c r="HD19" s="283"/>
      <c r="HE19" s="283"/>
      <c r="HF19" s="283"/>
      <c r="HG19" s="283"/>
      <c r="HH19" s="283"/>
      <c r="HI19" s="283"/>
      <c r="HJ19" s="283"/>
      <c r="HK19" s="283"/>
      <c r="HL19" s="283"/>
      <c r="HM19" s="260"/>
    </row>
    <row r="20" spans="1:221" ht="20.100000000000001" customHeight="1">
      <c r="A20" s="222" t="s">
        <v>4468</v>
      </c>
      <c r="B20" s="198">
        <f>B19/B28</f>
        <v>2.906327899488228</v>
      </c>
      <c r="C20" s="198"/>
      <c r="D20" s="198">
        <f t="shared" ref="D20:J20" si="6">D19/D28</f>
        <v>3.1016734840790141</v>
      </c>
      <c r="E20" s="198"/>
      <c r="F20" s="198">
        <f t="shared" si="6"/>
        <v>3.4735540112673915</v>
      </c>
      <c r="G20" s="198"/>
      <c r="H20" s="198">
        <f t="shared" si="6"/>
        <v>3.6441271351698408</v>
      </c>
      <c r="I20" s="198"/>
      <c r="J20" s="198">
        <f t="shared" si="6"/>
        <v>3.6044694241089577</v>
      </c>
      <c r="K20" s="274"/>
      <c r="L20" s="270"/>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3"/>
      <c r="AQ20" s="283"/>
      <c r="AR20" s="283"/>
      <c r="AS20" s="283"/>
      <c r="AT20" s="283"/>
      <c r="AU20" s="283"/>
      <c r="AV20" s="283"/>
      <c r="AW20" s="283"/>
      <c r="AX20" s="283"/>
      <c r="AY20" s="283"/>
      <c r="AZ20" s="283"/>
      <c r="BA20" s="283"/>
      <c r="BB20" s="283"/>
      <c r="BC20" s="283"/>
      <c r="BD20" s="283"/>
      <c r="BE20" s="283"/>
      <c r="BF20" s="283"/>
      <c r="BG20" s="283"/>
      <c r="BH20" s="283"/>
      <c r="BI20" s="283"/>
      <c r="BJ20" s="283"/>
      <c r="BK20" s="283"/>
      <c r="BL20" s="283"/>
      <c r="BM20" s="283"/>
      <c r="BN20" s="283"/>
      <c r="BO20" s="283"/>
      <c r="BP20" s="283"/>
      <c r="BQ20" s="283"/>
      <c r="BR20" s="283"/>
      <c r="BS20" s="283"/>
      <c r="BT20" s="283"/>
      <c r="BU20" s="283"/>
      <c r="BV20" s="283"/>
      <c r="BW20" s="283"/>
      <c r="BX20" s="283"/>
      <c r="BY20" s="283"/>
      <c r="BZ20" s="283"/>
      <c r="CA20" s="283"/>
      <c r="CB20" s="283"/>
      <c r="CC20" s="283"/>
      <c r="CD20" s="283"/>
      <c r="CE20" s="283"/>
      <c r="CF20" s="283"/>
      <c r="CG20" s="283"/>
      <c r="CH20" s="283"/>
      <c r="CI20" s="283"/>
      <c r="CJ20" s="283"/>
      <c r="CK20" s="283"/>
      <c r="CL20" s="283"/>
      <c r="CM20" s="283"/>
      <c r="CN20" s="283"/>
      <c r="CO20" s="283"/>
      <c r="CP20" s="283"/>
      <c r="CQ20" s="283"/>
      <c r="CR20" s="283"/>
      <c r="CS20" s="283"/>
      <c r="CT20" s="283"/>
      <c r="CU20" s="283"/>
      <c r="CV20" s="283"/>
      <c r="CW20" s="283"/>
      <c r="CX20" s="283"/>
      <c r="CY20" s="283"/>
      <c r="CZ20" s="283"/>
      <c r="DA20" s="283"/>
      <c r="DB20" s="283"/>
      <c r="DC20" s="283"/>
      <c r="DD20" s="283"/>
      <c r="DE20" s="283"/>
      <c r="DF20" s="283"/>
      <c r="DG20" s="283"/>
      <c r="DH20" s="283"/>
      <c r="DI20" s="283"/>
      <c r="DJ20" s="283"/>
      <c r="DK20" s="283"/>
      <c r="DL20" s="283"/>
      <c r="DM20" s="283"/>
      <c r="DN20" s="283"/>
      <c r="DO20" s="283"/>
      <c r="DP20" s="283"/>
      <c r="DQ20" s="283"/>
      <c r="DR20" s="283"/>
      <c r="DS20" s="283"/>
      <c r="DT20" s="283"/>
      <c r="DU20" s="283"/>
      <c r="DV20" s="283"/>
      <c r="DW20" s="283"/>
      <c r="DX20" s="283"/>
      <c r="DY20" s="283"/>
      <c r="DZ20" s="283"/>
      <c r="EA20" s="283"/>
      <c r="EB20" s="283"/>
      <c r="EC20" s="283"/>
      <c r="ED20" s="283"/>
      <c r="EE20" s="283"/>
      <c r="EF20" s="283"/>
      <c r="EG20" s="283"/>
      <c r="EH20" s="283"/>
      <c r="EI20" s="283"/>
      <c r="EJ20" s="283"/>
      <c r="EK20" s="283"/>
      <c r="EL20" s="283"/>
      <c r="EM20" s="283"/>
      <c r="EN20" s="283"/>
      <c r="EO20" s="283"/>
      <c r="EP20" s="283"/>
      <c r="EQ20" s="283"/>
      <c r="ER20" s="283"/>
      <c r="ES20" s="283"/>
      <c r="ET20" s="283"/>
      <c r="EU20" s="283"/>
      <c r="EV20" s="283"/>
      <c r="EW20" s="283"/>
      <c r="EX20" s="283"/>
      <c r="EY20" s="283"/>
      <c r="EZ20" s="283"/>
      <c r="FA20" s="283"/>
      <c r="FB20" s="283"/>
      <c r="FC20" s="283"/>
      <c r="FD20" s="283"/>
      <c r="FE20" s="283"/>
      <c r="FF20" s="283"/>
      <c r="FG20" s="283"/>
      <c r="FH20" s="283"/>
      <c r="FI20" s="283"/>
      <c r="FJ20" s="283"/>
      <c r="FK20" s="283"/>
      <c r="FL20" s="283"/>
      <c r="FM20" s="283"/>
      <c r="FN20" s="283"/>
      <c r="FO20" s="283"/>
      <c r="FP20" s="283"/>
      <c r="FQ20" s="283"/>
      <c r="FR20" s="283"/>
      <c r="FS20" s="283"/>
      <c r="FT20" s="283"/>
      <c r="FU20" s="283"/>
      <c r="FV20" s="283"/>
      <c r="FW20" s="283"/>
      <c r="FX20" s="283"/>
      <c r="FY20" s="283"/>
      <c r="FZ20" s="283"/>
      <c r="GA20" s="283"/>
      <c r="GB20" s="283"/>
      <c r="GC20" s="283"/>
      <c r="GD20" s="283"/>
      <c r="GE20" s="283"/>
      <c r="GF20" s="283"/>
      <c r="GG20" s="283"/>
      <c r="GH20" s="283"/>
      <c r="GI20" s="283"/>
      <c r="GJ20" s="283"/>
      <c r="GK20" s="283"/>
      <c r="GL20" s="283"/>
      <c r="GM20" s="283"/>
      <c r="GN20" s="283"/>
      <c r="GO20" s="283"/>
      <c r="GP20" s="283"/>
      <c r="GQ20" s="283"/>
      <c r="GR20" s="283"/>
      <c r="GS20" s="283"/>
      <c r="GT20" s="283"/>
      <c r="GU20" s="283"/>
      <c r="GV20" s="283"/>
      <c r="GW20" s="283"/>
      <c r="GX20" s="283"/>
      <c r="GY20" s="283"/>
      <c r="GZ20" s="283"/>
      <c r="HA20" s="283"/>
      <c r="HB20" s="283"/>
      <c r="HC20" s="283"/>
      <c r="HD20" s="283"/>
      <c r="HE20" s="283"/>
      <c r="HF20" s="283"/>
      <c r="HG20" s="283"/>
      <c r="HH20" s="283"/>
      <c r="HI20" s="283"/>
      <c r="HJ20" s="283"/>
      <c r="HK20" s="283"/>
      <c r="HL20" s="283"/>
      <c r="HM20" s="260"/>
    </row>
    <row r="21" spans="1:221" ht="20.100000000000001" customHeight="1">
      <c r="A21" s="200" t="s">
        <v>264</v>
      </c>
      <c r="B21" s="199">
        <v>49542.42</v>
      </c>
      <c r="C21" s="197">
        <v>48024.04</v>
      </c>
      <c r="D21" s="197">
        <v>48550.59</v>
      </c>
      <c r="E21" s="197">
        <v>45146.53</v>
      </c>
      <c r="F21" s="197">
        <v>45242.59</v>
      </c>
      <c r="G21" s="197">
        <v>40286.019999999997</v>
      </c>
      <c r="H21" s="197">
        <v>43202.559999999998</v>
      </c>
      <c r="I21" s="197">
        <v>43116.42</v>
      </c>
      <c r="J21" s="197">
        <v>47480</v>
      </c>
      <c r="K21" s="273">
        <v>52312</v>
      </c>
      <c r="L21" s="270"/>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283"/>
      <c r="AR21" s="283"/>
      <c r="AS21" s="283"/>
      <c r="AT21" s="283"/>
      <c r="AU21" s="283"/>
      <c r="AV21" s="283"/>
      <c r="AW21" s="283"/>
      <c r="AX21" s="283"/>
      <c r="AY21" s="283"/>
      <c r="AZ21" s="283"/>
      <c r="BA21" s="283"/>
      <c r="BB21" s="283"/>
      <c r="BC21" s="283"/>
      <c r="BD21" s="283"/>
      <c r="BE21" s="283"/>
      <c r="BF21" s="283"/>
      <c r="BG21" s="283"/>
      <c r="BH21" s="283"/>
      <c r="BI21" s="283"/>
      <c r="BJ21" s="283"/>
      <c r="BK21" s="283"/>
      <c r="BL21" s="283"/>
      <c r="BM21" s="283"/>
      <c r="BN21" s="283"/>
      <c r="BO21" s="283"/>
      <c r="BP21" s="283"/>
      <c r="BQ21" s="283"/>
      <c r="BR21" s="283"/>
      <c r="BS21" s="283"/>
      <c r="BT21" s="283"/>
      <c r="BU21" s="283"/>
      <c r="BV21" s="283"/>
      <c r="BW21" s="283"/>
      <c r="BX21" s="283"/>
      <c r="BY21" s="283"/>
      <c r="BZ21" s="283"/>
      <c r="CA21" s="283"/>
      <c r="CB21" s="283"/>
      <c r="CC21" s="283"/>
      <c r="CD21" s="283"/>
      <c r="CE21" s="283"/>
      <c r="CF21" s="283"/>
      <c r="CG21" s="283"/>
      <c r="CH21" s="283"/>
      <c r="CI21" s="283"/>
      <c r="CJ21" s="283"/>
      <c r="CK21" s="283"/>
      <c r="CL21" s="283"/>
      <c r="CM21" s="283"/>
      <c r="CN21" s="283"/>
      <c r="CO21" s="283"/>
      <c r="CP21" s="283"/>
      <c r="CQ21" s="283"/>
      <c r="CR21" s="283"/>
      <c r="CS21" s="283"/>
      <c r="CT21" s="283"/>
      <c r="CU21" s="283"/>
      <c r="CV21" s="283"/>
      <c r="CW21" s="283"/>
      <c r="CX21" s="283"/>
      <c r="CY21" s="283"/>
      <c r="CZ21" s="283"/>
      <c r="DA21" s="283"/>
      <c r="DB21" s="283"/>
      <c r="DC21" s="283"/>
      <c r="DD21" s="283"/>
      <c r="DE21" s="283"/>
      <c r="DF21" s="283"/>
      <c r="DG21" s="283"/>
      <c r="DH21" s="283"/>
      <c r="DI21" s="283"/>
      <c r="DJ21" s="283"/>
      <c r="DK21" s="283"/>
      <c r="DL21" s="283"/>
      <c r="DM21" s="283"/>
      <c r="DN21" s="283"/>
      <c r="DO21" s="283"/>
      <c r="DP21" s="283"/>
      <c r="DQ21" s="283"/>
      <c r="DR21" s="283"/>
      <c r="DS21" s="283"/>
      <c r="DT21" s="283"/>
      <c r="DU21" s="283"/>
      <c r="DV21" s="283"/>
      <c r="DW21" s="283"/>
      <c r="DX21" s="283"/>
      <c r="DY21" s="283"/>
      <c r="DZ21" s="283"/>
      <c r="EA21" s="283"/>
      <c r="EB21" s="283"/>
      <c r="EC21" s="283"/>
      <c r="ED21" s="283"/>
      <c r="EE21" s="283"/>
      <c r="EF21" s="283"/>
      <c r="EG21" s="283"/>
      <c r="EH21" s="283"/>
      <c r="EI21" s="283"/>
      <c r="EJ21" s="283"/>
      <c r="EK21" s="283"/>
      <c r="EL21" s="283"/>
      <c r="EM21" s="283"/>
      <c r="EN21" s="283"/>
      <c r="EO21" s="283"/>
      <c r="EP21" s="283"/>
      <c r="EQ21" s="283"/>
      <c r="ER21" s="283"/>
      <c r="ES21" s="283"/>
      <c r="ET21" s="283"/>
      <c r="EU21" s="283"/>
      <c r="EV21" s="283"/>
      <c r="EW21" s="283"/>
      <c r="EX21" s="283"/>
      <c r="EY21" s="283"/>
      <c r="EZ21" s="283"/>
      <c r="FA21" s="283"/>
      <c r="FB21" s="283"/>
      <c r="FC21" s="283"/>
      <c r="FD21" s="283"/>
      <c r="FE21" s="283"/>
      <c r="FF21" s="283"/>
      <c r="FG21" s="283"/>
      <c r="FH21" s="283"/>
      <c r="FI21" s="283"/>
      <c r="FJ21" s="283"/>
      <c r="FK21" s="283"/>
      <c r="FL21" s="283"/>
      <c r="FM21" s="283"/>
      <c r="FN21" s="283"/>
      <c r="FO21" s="283"/>
      <c r="FP21" s="283"/>
      <c r="FQ21" s="283"/>
      <c r="FR21" s="283"/>
      <c r="FS21" s="283"/>
      <c r="FT21" s="283"/>
      <c r="FU21" s="283"/>
      <c r="FV21" s="283"/>
      <c r="FW21" s="283"/>
      <c r="FX21" s="283"/>
      <c r="FY21" s="283"/>
      <c r="FZ21" s="283"/>
      <c r="GA21" s="283"/>
      <c r="GB21" s="283"/>
      <c r="GC21" s="283"/>
      <c r="GD21" s="283"/>
      <c r="GE21" s="283"/>
      <c r="GF21" s="283"/>
      <c r="GG21" s="283"/>
      <c r="GH21" s="283"/>
      <c r="GI21" s="283"/>
      <c r="GJ21" s="283"/>
      <c r="GK21" s="283"/>
      <c r="GL21" s="283"/>
      <c r="GM21" s="283"/>
      <c r="GN21" s="283"/>
      <c r="GO21" s="283"/>
      <c r="GP21" s="283"/>
      <c r="GQ21" s="283"/>
      <c r="GR21" s="283"/>
      <c r="GS21" s="283"/>
      <c r="GT21" s="283"/>
      <c r="GU21" s="283"/>
      <c r="GV21" s="283"/>
      <c r="GW21" s="283"/>
      <c r="GX21" s="283"/>
      <c r="GY21" s="283"/>
      <c r="GZ21" s="283"/>
      <c r="HA21" s="283"/>
      <c r="HB21" s="283"/>
      <c r="HC21" s="283"/>
      <c r="HD21" s="283"/>
      <c r="HE21" s="283"/>
      <c r="HF21" s="283"/>
      <c r="HG21" s="283"/>
      <c r="HH21" s="283"/>
      <c r="HI21" s="283"/>
      <c r="HJ21" s="283"/>
      <c r="HK21" s="283"/>
      <c r="HL21" s="283"/>
      <c r="HM21" s="260"/>
    </row>
    <row r="22" spans="1:221" ht="20.100000000000001" customHeight="1">
      <c r="A22" s="219" t="s">
        <v>1696</v>
      </c>
      <c r="B22" s="201">
        <f>SUM(B21+C21)</f>
        <v>97566.459999999992</v>
      </c>
      <c r="C22" s="202"/>
      <c r="D22" s="202">
        <f t="shared" ref="D22:J22" si="7">SUM(D21+E21)</f>
        <v>93697.12</v>
      </c>
      <c r="E22" s="202"/>
      <c r="F22" s="202">
        <f t="shared" si="7"/>
        <v>85528.609999999986</v>
      </c>
      <c r="G22" s="202"/>
      <c r="H22" s="202">
        <f t="shared" si="7"/>
        <v>86318.98</v>
      </c>
      <c r="I22" s="202"/>
      <c r="J22" s="202">
        <f t="shared" si="7"/>
        <v>99792</v>
      </c>
      <c r="K22" s="272"/>
      <c r="L22" s="270"/>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D22" s="283"/>
      <c r="BE22" s="283"/>
      <c r="BF22" s="283"/>
      <c r="BG22" s="283"/>
      <c r="BH22" s="283"/>
      <c r="BI22" s="283"/>
      <c r="BJ22" s="283"/>
      <c r="BK22" s="283"/>
      <c r="BL22" s="283"/>
      <c r="BM22" s="283"/>
      <c r="BN22" s="283"/>
      <c r="BO22" s="283"/>
      <c r="BP22" s="283"/>
      <c r="BQ22" s="283"/>
      <c r="BR22" s="283"/>
      <c r="BS22" s="283"/>
      <c r="BT22" s="283"/>
      <c r="BU22" s="283"/>
      <c r="BV22" s="283"/>
      <c r="BW22" s="283"/>
      <c r="BX22" s="283"/>
      <c r="BY22" s="283"/>
      <c r="BZ22" s="283"/>
      <c r="CA22" s="283"/>
      <c r="CB22" s="283"/>
      <c r="CC22" s="283"/>
      <c r="CD22" s="283"/>
      <c r="CE22" s="283"/>
      <c r="CF22" s="283"/>
      <c r="CG22" s="283"/>
      <c r="CH22" s="283"/>
      <c r="CI22" s="283"/>
      <c r="CJ22" s="283"/>
      <c r="CK22" s="283"/>
      <c r="CL22" s="283"/>
      <c r="CM22" s="283"/>
      <c r="CN22" s="283"/>
      <c r="CO22" s="283"/>
      <c r="CP22" s="283"/>
      <c r="CQ22" s="283"/>
      <c r="CR22" s="283"/>
      <c r="CS22" s="283"/>
      <c r="CT22" s="283"/>
      <c r="CU22" s="283"/>
      <c r="CV22" s="283"/>
      <c r="CW22" s="283"/>
      <c r="CX22" s="283"/>
      <c r="CY22" s="283"/>
      <c r="CZ22" s="283"/>
      <c r="DA22" s="283"/>
      <c r="DB22" s="283"/>
      <c r="DC22" s="283"/>
      <c r="DD22" s="283"/>
      <c r="DE22" s="283"/>
      <c r="DF22" s="283"/>
      <c r="DG22" s="283"/>
      <c r="DH22" s="283"/>
      <c r="DI22" s="283"/>
      <c r="DJ22" s="283"/>
      <c r="DK22" s="283"/>
      <c r="DL22" s="283"/>
      <c r="DM22" s="283"/>
      <c r="DN22" s="283"/>
      <c r="DO22" s="283"/>
      <c r="DP22" s="283"/>
      <c r="DQ22" s="283"/>
      <c r="DR22" s="283"/>
      <c r="DS22" s="283"/>
      <c r="DT22" s="283"/>
      <c r="DU22" s="283"/>
      <c r="DV22" s="283"/>
      <c r="DW22" s="283"/>
      <c r="DX22" s="283"/>
      <c r="DY22" s="283"/>
      <c r="DZ22" s="283"/>
      <c r="EA22" s="283"/>
      <c r="EB22" s="283"/>
      <c r="EC22" s="283"/>
      <c r="ED22" s="283"/>
      <c r="EE22" s="283"/>
      <c r="EF22" s="283"/>
      <c r="EG22" s="283"/>
      <c r="EH22" s="283"/>
      <c r="EI22" s="283"/>
      <c r="EJ22" s="283"/>
      <c r="EK22" s="283"/>
      <c r="EL22" s="283"/>
      <c r="EM22" s="283"/>
      <c r="EN22" s="283"/>
      <c r="EO22" s="283"/>
      <c r="EP22" s="283"/>
      <c r="EQ22" s="283"/>
      <c r="ER22" s="283"/>
      <c r="ES22" s="283"/>
      <c r="ET22" s="283"/>
      <c r="EU22" s="283"/>
      <c r="EV22" s="283"/>
      <c r="EW22" s="283"/>
      <c r="EX22" s="283"/>
      <c r="EY22" s="283"/>
      <c r="EZ22" s="283"/>
      <c r="FA22" s="283"/>
      <c r="FB22" s="283"/>
      <c r="FC22" s="283"/>
      <c r="FD22" s="283"/>
      <c r="FE22" s="283"/>
      <c r="FF22" s="283"/>
      <c r="FG22" s="283"/>
      <c r="FH22" s="283"/>
      <c r="FI22" s="283"/>
      <c r="FJ22" s="283"/>
      <c r="FK22" s="283"/>
      <c r="FL22" s="283"/>
      <c r="FM22" s="283"/>
      <c r="FN22" s="283"/>
      <c r="FO22" s="283"/>
      <c r="FP22" s="283"/>
      <c r="FQ22" s="283"/>
      <c r="FR22" s="283"/>
      <c r="FS22" s="283"/>
      <c r="FT22" s="283"/>
      <c r="FU22" s="283"/>
      <c r="FV22" s="283"/>
      <c r="FW22" s="283"/>
      <c r="FX22" s="283"/>
      <c r="FY22" s="283"/>
      <c r="FZ22" s="283"/>
      <c r="GA22" s="283"/>
      <c r="GB22" s="283"/>
      <c r="GC22" s="283"/>
      <c r="GD22" s="283"/>
      <c r="GE22" s="283"/>
      <c r="GF22" s="283"/>
      <c r="GG22" s="283"/>
      <c r="GH22" s="283"/>
      <c r="GI22" s="283"/>
      <c r="GJ22" s="283"/>
      <c r="GK22" s="283"/>
      <c r="GL22" s="283"/>
      <c r="GM22" s="283"/>
      <c r="GN22" s="283"/>
      <c r="GO22" s="283"/>
      <c r="GP22" s="283"/>
      <c r="GQ22" s="283"/>
      <c r="GR22" s="283"/>
      <c r="GS22" s="283"/>
      <c r="GT22" s="283"/>
      <c r="GU22" s="283"/>
      <c r="GV22" s="283"/>
      <c r="GW22" s="283"/>
      <c r="GX22" s="283"/>
      <c r="GY22" s="283"/>
      <c r="GZ22" s="283"/>
      <c r="HA22" s="283"/>
      <c r="HB22" s="283"/>
      <c r="HC22" s="283"/>
      <c r="HD22" s="283"/>
      <c r="HE22" s="283"/>
      <c r="HF22" s="283"/>
      <c r="HG22" s="283"/>
      <c r="HH22" s="283"/>
      <c r="HI22" s="283"/>
      <c r="HJ22" s="283"/>
      <c r="HK22" s="283"/>
      <c r="HL22" s="283"/>
      <c r="HM22" s="260"/>
    </row>
    <row r="23" spans="1:221" ht="20.100000000000001" customHeight="1">
      <c r="A23" s="219" t="s">
        <v>4468</v>
      </c>
      <c r="B23" s="204">
        <f>B22/B28</f>
        <v>0.3489494176436016</v>
      </c>
      <c r="C23" s="204"/>
      <c r="D23" s="204">
        <f>D22/D28</f>
        <v>0.34040677916778361</v>
      </c>
      <c r="E23" s="204"/>
      <c r="F23" s="204">
        <f>F22/F28</f>
        <v>0.35702986979301843</v>
      </c>
      <c r="G23" s="204"/>
      <c r="H23" s="204">
        <f>H22/H28</f>
        <v>0.38369501611034146</v>
      </c>
      <c r="I23" s="204"/>
      <c r="J23" s="204">
        <f>J22/J28</f>
        <v>0.40208861083365133</v>
      </c>
      <c r="K23" s="204"/>
      <c r="L23" s="270"/>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3"/>
      <c r="AP23" s="283"/>
      <c r="AQ23" s="283"/>
      <c r="AR23" s="283"/>
      <c r="AS23" s="283"/>
      <c r="AT23" s="283"/>
      <c r="AU23" s="283"/>
      <c r="AV23" s="283"/>
      <c r="AW23" s="283"/>
      <c r="AX23" s="283"/>
      <c r="AY23" s="283"/>
      <c r="AZ23" s="283"/>
      <c r="BA23" s="283"/>
      <c r="BB23" s="283"/>
      <c r="BC23" s="283"/>
      <c r="BD23" s="283"/>
      <c r="BE23" s="283"/>
      <c r="BF23" s="283"/>
      <c r="BG23" s="283"/>
      <c r="BH23" s="283"/>
      <c r="BI23" s="283"/>
      <c r="BJ23" s="283"/>
      <c r="BK23" s="283"/>
      <c r="BL23" s="283"/>
      <c r="BM23" s="283"/>
      <c r="BN23" s="283"/>
      <c r="BO23" s="283"/>
      <c r="BP23" s="283"/>
      <c r="BQ23" s="283"/>
      <c r="BR23" s="283"/>
      <c r="BS23" s="283"/>
      <c r="BT23" s="283"/>
      <c r="BU23" s="283"/>
      <c r="BV23" s="283"/>
      <c r="BW23" s="283"/>
      <c r="BX23" s="283"/>
      <c r="BY23" s="283"/>
      <c r="BZ23" s="283"/>
      <c r="CA23" s="283"/>
      <c r="CB23" s="283"/>
      <c r="CC23" s="283"/>
      <c r="CD23" s="283"/>
      <c r="CE23" s="283"/>
      <c r="CF23" s="283"/>
      <c r="CG23" s="283"/>
      <c r="CH23" s="283"/>
      <c r="CI23" s="283"/>
      <c r="CJ23" s="283"/>
      <c r="CK23" s="283"/>
      <c r="CL23" s="283"/>
      <c r="CM23" s="283"/>
      <c r="CN23" s="283"/>
      <c r="CO23" s="283"/>
      <c r="CP23" s="283"/>
      <c r="CQ23" s="283"/>
      <c r="CR23" s="283"/>
      <c r="CS23" s="283"/>
      <c r="CT23" s="283"/>
      <c r="CU23" s="283"/>
      <c r="CV23" s="283"/>
      <c r="CW23" s="283"/>
      <c r="CX23" s="283"/>
      <c r="CY23" s="283"/>
      <c r="CZ23" s="283"/>
      <c r="DA23" s="283"/>
      <c r="DB23" s="283"/>
      <c r="DC23" s="283"/>
      <c r="DD23" s="283"/>
      <c r="DE23" s="283"/>
      <c r="DF23" s="283"/>
      <c r="DG23" s="283"/>
      <c r="DH23" s="283"/>
      <c r="DI23" s="283"/>
      <c r="DJ23" s="283"/>
      <c r="DK23" s="283"/>
      <c r="DL23" s="283"/>
      <c r="DM23" s="283"/>
      <c r="DN23" s="283"/>
      <c r="DO23" s="283"/>
      <c r="DP23" s="283"/>
      <c r="DQ23" s="283"/>
      <c r="DR23" s="283"/>
      <c r="DS23" s="283"/>
      <c r="DT23" s="283"/>
      <c r="DU23" s="283"/>
      <c r="DV23" s="283"/>
      <c r="DW23" s="283"/>
      <c r="DX23" s="283"/>
      <c r="DY23" s="283"/>
      <c r="DZ23" s="283"/>
      <c r="EA23" s="283"/>
      <c r="EB23" s="283"/>
      <c r="EC23" s="283"/>
      <c r="ED23" s="283"/>
      <c r="EE23" s="283"/>
      <c r="EF23" s="283"/>
      <c r="EG23" s="283"/>
      <c r="EH23" s="283"/>
      <c r="EI23" s="283"/>
      <c r="EJ23" s="283"/>
      <c r="EK23" s="283"/>
      <c r="EL23" s="283"/>
      <c r="EM23" s="283"/>
      <c r="EN23" s="283"/>
      <c r="EO23" s="283"/>
      <c r="EP23" s="283"/>
      <c r="EQ23" s="283"/>
      <c r="ER23" s="283"/>
      <c r="ES23" s="283"/>
      <c r="ET23" s="283"/>
      <c r="EU23" s="283"/>
      <c r="EV23" s="283"/>
      <c r="EW23" s="283"/>
      <c r="EX23" s="283"/>
      <c r="EY23" s="283"/>
      <c r="EZ23" s="283"/>
      <c r="FA23" s="283"/>
      <c r="FB23" s="283"/>
      <c r="FC23" s="283"/>
      <c r="FD23" s="283"/>
      <c r="FE23" s="283"/>
      <c r="FF23" s="283"/>
      <c r="FG23" s="283"/>
      <c r="FH23" s="283"/>
      <c r="FI23" s="283"/>
      <c r="FJ23" s="283"/>
      <c r="FK23" s="283"/>
      <c r="FL23" s="283"/>
      <c r="FM23" s="283"/>
      <c r="FN23" s="283"/>
      <c r="FO23" s="283"/>
      <c r="FP23" s="283"/>
      <c r="FQ23" s="283"/>
      <c r="FR23" s="283"/>
      <c r="FS23" s="283"/>
      <c r="FT23" s="283"/>
      <c r="FU23" s="283"/>
      <c r="FV23" s="283"/>
      <c r="FW23" s="283"/>
      <c r="FX23" s="283"/>
      <c r="FY23" s="283"/>
      <c r="FZ23" s="283"/>
      <c r="GA23" s="283"/>
      <c r="GB23" s="283"/>
      <c r="GC23" s="283"/>
      <c r="GD23" s="283"/>
      <c r="GE23" s="283"/>
      <c r="GF23" s="283"/>
      <c r="GG23" s="283"/>
      <c r="GH23" s="283"/>
      <c r="GI23" s="283"/>
      <c r="GJ23" s="283"/>
      <c r="GK23" s="283"/>
      <c r="GL23" s="283"/>
      <c r="GM23" s="283"/>
      <c r="GN23" s="283"/>
      <c r="GO23" s="283"/>
      <c r="GP23" s="283"/>
      <c r="GQ23" s="283"/>
      <c r="GR23" s="283"/>
      <c r="GS23" s="283"/>
      <c r="GT23" s="283"/>
      <c r="GU23" s="283"/>
      <c r="GV23" s="283"/>
      <c r="GW23" s="283"/>
      <c r="GX23" s="283"/>
      <c r="GY23" s="283"/>
      <c r="GZ23" s="283"/>
      <c r="HA23" s="283"/>
      <c r="HB23" s="283"/>
      <c r="HC23" s="283"/>
      <c r="HD23" s="283"/>
      <c r="HE23" s="283"/>
      <c r="HF23" s="283"/>
      <c r="HG23" s="283"/>
      <c r="HH23" s="283"/>
      <c r="HI23" s="283"/>
      <c r="HJ23" s="283"/>
      <c r="HK23" s="283"/>
      <c r="HL23" s="283"/>
      <c r="HM23" s="260"/>
    </row>
    <row r="24" spans="1:221" ht="20.100000000000001" customHeight="1">
      <c r="A24" s="206" t="s">
        <v>263</v>
      </c>
      <c r="B24" s="208">
        <v>76436</v>
      </c>
      <c r="C24" s="203">
        <v>90965</v>
      </c>
      <c r="D24" s="203">
        <v>64251</v>
      </c>
      <c r="E24" s="203">
        <v>76802</v>
      </c>
      <c r="F24" s="203">
        <v>47102</v>
      </c>
      <c r="G24" s="203">
        <v>38867</v>
      </c>
      <c r="H24" s="203">
        <v>25810</v>
      </c>
      <c r="I24" s="203">
        <v>28684</v>
      </c>
      <c r="J24" s="207">
        <f>H24</f>
        <v>25810</v>
      </c>
      <c r="K24" s="275">
        <f>I24</f>
        <v>28684</v>
      </c>
      <c r="L24" s="270"/>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3"/>
      <c r="BH24" s="283"/>
      <c r="BI24" s="283"/>
      <c r="BJ24" s="283"/>
      <c r="BK24" s="283"/>
      <c r="BL24" s="283"/>
      <c r="BM24" s="283"/>
      <c r="BN24" s="283"/>
      <c r="BO24" s="283"/>
      <c r="BP24" s="283"/>
      <c r="BQ24" s="283"/>
      <c r="BR24" s="283"/>
      <c r="BS24" s="283"/>
      <c r="BT24" s="283"/>
      <c r="BU24" s="283"/>
      <c r="BV24" s="283"/>
      <c r="BW24" s="283"/>
      <c r="BX24" s="283"/>
      <c r="BY24" s="283"/>
      <c r="BZ24" s="283"/>
      <c r="CA24" s="283"/>
      <c r="CB24" s="283"/>
      <c r="CC24" s="283"/>
      <c r="CD24" s="283"/>
      <c r="CE24" s="283"/>
      <c r="CF24" s="283"/>
      <c r="CG24" s="283"/>
      <c r="CH24" s="283"/>
      <c r="CI24" s="283"/>
      <c r="CJ24" s="283"/>
      <c r="CK24" s="283"/>
      <c r="CL24" s="283"/>
      <c r="CM24" s="283"/>
      <c r="CN24" s="283"/>
      <c r="CO24" s="283"/>
      <c r="CP24" s="283"/>
      <c r="CQ24" s="283"/>
      <c r="CR24" s="283"/>
      <c r="CS24" s="283"/>
      <c r="CT24" s="283"/>
      <c r="CU24" s="283"/>
      <c r="CV24" s="283"/>
      <c r="CW24" s="283"/>
      <c r="CX24" s="283"/>
      <c r="CY24" s="283"/>
      <c r="CZ24" s="283"/>
      <c r="DA24" s="283"/>
      <c r="DB24" s="283"/>
      <c r="DC24" s="283"/>
      <c r="DD24" s="283"/>
      <c r="DE24" s="283"/>
      <c r="DF24" s="283"/>
      <c r="DG24" s="283"/>
      <c r="DH24" s="283"/>
      <c r="DI24" s="283"/>
      <c r="DJ24" s="283"/>
      <c r="DK24" s="283"/>
      <c r="DL24" s="283"/>
      <c r="DM24" s="283"/>
      <c r="DN24" s="283"/>
      <c r="DO24" s="283"/>
      <c r="DP24" s="283"/>
      <c r="DQ24" s="283"/>
      <c r="DR24" s="283"/>
      <c r="DS24" s="283"/>
      <c r="DT24" s="283"/>
      <c r="DU24" s="283"/>
      <c r="DV24" s="283"/>
      <c r="DW24" s="283"/>
      <c r="DX24" s="283"/>
      <c r="DY24" s="283"/>
      <c r="DZ24" s="283"/>
      <c r="EA24" s="283"/>
      <c r="EB24" s="283"/>
      <c r="EC24" s="283"/>
      <c r="ED24" s="283"/>
      <c r="EE24" s="283"/>
      <c r="EF24" s="283"/>
      <c r="EG24" s="283"/>
      <c r="EH24" s="283"/>
      <c r="EI24" s="283"/>
      <c r="EJ24" s="283"/>
      <c r="EK24" s="283"/>
      <c r="EL24" s="283"/>
      <c r="EM24" s="283"/>
      <c r="EN24" s="283"/>
      <c r="EO24" s="283"/>
      <c r="EP24" s="283"/>
      <c r="EQ24" s="283"/>
      <c r="ER24" s="283"/>
      <c r="ES24" s="283"/>
      <c r="ET24" s="283"/>
      <c r="EU24" s="283"/>
      <c r="EV24" s="283"/>
      <c r="EW24" s="283"/>
      <c r="EX24" s="283"/>
      <c r="EY24" s="283"/>
      <c r="EZ24" s="283"/>
      <c r="FA24" s="283"/>
      <c r="FB24" s="283"/>
      <c r="FC24" s="283"/>
      <c r="FD24" s="283"/>
      <c r="FE24" s="283"/>
      <c r="FF24" s="283"/>
      <c r="FG24" s="283"/>
      <c r="FH24" s="283"/>
      <c r="FI24" s="283"/>
      <c r="FJ24" s="283"/>
      <c r="FK24" s="283"/>
      <c r="FL24" s="283"/>
      <c r="FM24" s="283"/>
      <c r="FN24" s="283"/>
      <c r="FO24" s="283"/>
      <c r="FP24" s="283"/>
      <c r="FQ24" s="283"/>
      <c r="FR24" s="283"/>
      <c r="FS24" s="283"/>
      <c r="FT24" s="283"/>
      <c r="FU24" s="283"/>
      <c r="FV24" s="283"/>
      <c r="FW24" s="283"/>
      <c r="FX24" s="283"/>
      <c r="FY24" s="283"/>
      <c r="FZ24" s="283"/>
      <c r="GA24" s="283"/>
      <c r="GB24" s="283"/>
      <c r="GC24" s="283"/>
      <c r="GD24" s="283"/>
      <c r="GE24" s="283"/>
      <c r="GF24" s="283"/>
      <c r="GG24" s="283"/>
      <c r="GH24" s="283"/>
      <c r="GI24" s="283"/>
      <c r="GJ24" s="283"/>
      <c r="GK24" s="283"/>
      <c r="GL24" s="283"/>
      <c r="GM24" s="283"/>
      <c r="GN24" s="283"/>
      <c r="GO24" s="283"/>
      <c r="GP24" s="283"/>
      <c r="GQ24" s="283"/>
      <c r="GR24" s="283"/>
      <c r="GS24" s="283"/>
      <c r="GT24" s="283"/>
      <c r="GU24" s="283"/>
      <c r="GV24" s="283"/>
      <c r="GW24" s="283"/>
      <c r="GX24" s="283"/>
      <c r="GY24" s="283"/>
      <c r="GZ24" s="283"/>
      <c r="HA24" s="283"/>
      <c r="HB24" s="283"/>
      <c r="HC24" s="283"/>
      <c r="HD24" s="283"/>
      <c r="HE24" s="283"/>
      <c r="HF24" s="283"/>
      <c r="HG24" s="283"/>
      <c r="HH24" s="283"/>
      <c r="HI24" s="283"/>
      <c r="HJ24" s="283"/>
      <c r="HK24" s="283"/>
      <c r="HL24" s="283"/>
      <c r="HM24" s="260"/>
    </row>
    <row r="25" spans="1:221" ht="20.100000000000001" customHeight="1">
      <c r="A25" s="221" t="s">
        <v>1696</v>
      </c>
      <c r="B25" s="201">
        <f>SUM(B24+C24)</f>
        <v>167401</v>
      </c>
      <c r="C25" s="202"/>
      <c r="D25" s="202">
        <f t="shared" ref="D25:J25" si="8">SUM(D24+E24)</f>
        <v>141053</v>
      </c>
      <c r="E25" s="202"/>
      <c r="F25" s="202">
        <f t="shared" si="8"/>
        <v>85969</v>
      </c>
      <c r="G25" s="202"/>
      <c r="H25" s="202">
        <f t="shared" si="8"/>
        <v>54494</v>
      </c>
      <c r="I25" s="202"/>
      <c r="J25" s="202">
        <f t="shared" si="8"/>
        <v>54494</v>
      </c>
      <c r="K25" s="276"/>
      <c r="L25" s="267"/>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c r="DK25" s="283"/>
      <c r="DL25" s="283"/>
      <c r="DM25" s="283"/>
      <c r="DN25" s="283"/>
      <c r="DO25" s="283"/>
      <c r="DP25" s="283"/>
      <c r="DQ25" s="283"/>
      <c r="DR25" s="283"/>
      <c r="DS25" s="283"/>
      <c r="DT25" s="283"/>
      <c r="DU25" s="283"/>
      <c r="DV25" s="283"/>
      <c r="DW25" s="283"/>
      <c r="DX25" s="283"/>
      <c r="DY25" s="283"/>
      <c r="DZ25" s="283"/>
      <c r="EA25" s="283"/>
      <c r="EB25" s="283"/>
      <c r="EC25" s="283"/>
      <c r="ED25" s="283"/>
      <c r="EE25" s="283"/>
      <c r="EF25" s="283"/>
      <c r="EG25" s="283"/>
      <c r="EH25" s="283"/>
      <c r="EI25" s="283"/>
      <c r="EJ25" s="283"/>
      <c r="EK25" s="283"/>
      <c r="EL25" s="283"/>
      <c r="EM25" s="283"/>
      <c r="EN25" s="283"/>
      <c r="EO25" s="283"/>
      <c r="EP25" s="283"/>
      <c r="EQ25" s="283"/>
      <c r="ER25" s="283"/>
      <c r="ES25" s="283"/>
      <c r="ET25" s="283"/>
      <c r="EU25" s="283"/>
      <c r="EV25" s="283"/>
      <c r="EW25" s="283"/>
      <c r="EX25" s="283"/>
      <c r="EY25" s="283"/>
      <c r="EZ25" s="283"/>
      <c r="FA25" s="283"/>
      <c r="FB25" s="283"/>
      <c r="FC25" s="283"/>
      <c r="FD25" s="283"/>
      <c r="FE25" s="283"/>
      <c r="FF25" s="283"/>
      <c r="FG25" s="283"/>
      <c r="FH25" s="283"/>
      <c r="FI25" s="283"/>
      <c r="FJ25" s="283"/>
      <c r="FK25" s="283"/>
      <c r="FL25" s="283"/>
      <c r="FM25" s="283"/>
      <c r="FN25" s="283"/>
      <c r="FO25" s="283"/>
      <c r="FP25" s="283"/>
      <c r="FQ25" s="283"/>
      <c r="FR25" s="283"/>
      <c r="FS25" s="283"/>
      <c r="FT25" s="283"/>
      <c r="FU25" s="283"/>
      <c r="FV25" s="283"/>
      <c r="FW25" s="283"/>
      <c r="FX25" s="283"/>
      <c r="FY25" s="283"/>
      <c r="FZ25" s="283"/>
      <c r="GA25" s="283"/>
      <c r="GB25" s="283"/>
      <c r="GC25" s="283"/>
      <c r="GD25" s="283"/>
      <c r="GE25" s="283"/>
      <c r="GF25" s="283"/>
      <c r="GG25" s="283"/>
      <c r="GH25" s="283"/>
      <c r="GI25" s="283"/>
      <c r="GJ25" s="283"/>
      <c r="GK25" s="283"/>
      <c r="GL25" s="283"/>
      <c r="GM25" s="283"/>
      <c r="GN25" s="283"/>
      <c r="GO25" s="283"/>
      <c r="GP25" s="283"/>
      <c r="GQ25" s="283"/>
      <c r="GR25" s="283"/>
      <c r="GS25" s="283"/>
      <c r="GT25" s="283"/>
      <c r="GU25" s="283"/>
      <c r="GV25" s="283"/>
      <c r="GW25" s="283"/>
      <c r="GX25" s="283"/>
      <c r="GY25" s="283"/>
      <c r="GZ25" s="283"/>
      <c r="HA25" s="283"/>
      <c r="HB25" s="283"/>
      <c r="HC25" s="283"/>
      <c r="HD25" s="283"/>
      <c r="HE25" s="283"/>
      <c r="HF25" s="283"/>
      <c r="HG25" s="283"/>
      <c r="HH25" s="283"/>
      <c r="HI25" s="283"/>
      <c r="HJ25" s="283"/>
      <c r="HK25" s="283"/>
      <c r="HL25" s="283"/>
      <c r="HM25" s="260"/>
    </row>
    <row r="26" spans="1:221" ht="20.100000000000001" customHeight="1">
      <c r="A26" s="221" t="s">
        <v>4468</v>
      </c>
      <c r="B26" s="209">
        <f>B25/B28</f>
        <v>0.59871477824404573</v>
      </c>
      <c r="C26" s="210"/>
      <c r="D26" s="209">
        <f>D25/D28</f>
        <v>0.51245329015399177</v>
      </c>
      <c r="E26" s="210"/>
      <c r="F26" s="209">
        <f>F25/F28</f>
        <v>0.35886822989682643</v>
      </c>
      <c r="G26" s="210"/>
      <c r="H26" s="209">
        <f>H25/H28</f>
        <v>0.24223034387010769</v>
      </c>
      <c r="I26" s="210"/>
      <c r="J26" s="209">
        <f>J25/J28</f>
        <v>0.21957087500770597</v>
      </c>
      <c r="K26" s="210"/>
      <c r="L26" s="267"/>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3"/>
      <c r="AQ26" s="283"/>
      <c r="AR26" s="283"/>
      <c r="AS26" s="283"/>
      <c r="AT26" s="283"/>
      <c r="AU26" s="283"/>
      <c r="AV26" s="283"/>
      <c r="AW26" s="283"/>
      <c r="AX26" s="283"/>
      <c r="AY26" s="283"/>
      <c r="AZ26" s="283"/>
      <c r="BA26" s="283"/>
      <c r="BB26" s="283"/>
      <c r="BC26" s="283"/>
      <c r="BD26" s="283"/>
      <c r="BE26" s="283"/>
      <c r="BF26" s="283"/>
      <c r="BG26" s="283"/>
      <c r="BH26" s="283"/>
      <c r="BI26" s="283"/>
      <c r="BJ26" s="283"/>
      <c r="BK26" s="283"/>
      <c r="BL26" s="283"/>
      <c r="BM26" s="283"/>
      <c r="BN26" s="283"/>
      <c r="BO26" s="283"/>
      <c r="BP26" s="283"/>
      <c r="BQ26" s="283"/>
      <c r="BR26" s="283"/>
      <c r="BS26" s="283"/>
      <c r="BT26" s="283"/>
      <c r="BU26" s="283"/>
      <c r="BV26" s="283"/>
      <c r="BW26" s="283"/>
      <c r="BX26" s="283"/>
      <c r="BY26" s="283"/>
      <c r="BZ26" s="283"/>
      <c r="CA26" s="283"/>
      <c r="CB26" s="283"/>
      <c r="CC26" s="283"/>
      <c r="CD26" s="283"/>
      <c r="CE26" s="283"/>
      <c r="CF26" s="283"/>
      <c r="CG26" s="283"/>
      <c r="CH26" s="283"/>
      <c r="CI26" s="283"/>
      <c r="CJ26" s="283"/>
      <c r="CK26" s="283"/>
      <c r="CL26" s="283"/>
      <c r="CM26" s="283"/>
      <c r="CN26" s="283"/>
      <c r="CO26" s="283"/>
      <c r="CP26" s="283"/>
      <c r="CQ26" s="283"/>
      <c r="CR26" s="283"/>
      <c r="CS26" s="283"/>
      <c r="CT26" s="283"/>
      <c r="CU26" s="283"/>
      <c r="CV26" s="283"/>
      <c r="CW26" s="283"/>
      <c r="CX26" s="283"/>
      <c r="CY26" s="283"/>
      <c r="CZ26" s="283"/>
      <c r="DA26" s="283"/>
      <c r="DB26" s="283"/>
      <c r="DC26" s="283"/>
      <c r="DD26" s="283"/>
      <c r="DE26" s="283"/>
      <c r="DF26" s="283"/>
      <c r="DG26" s="283"/>
      <c r="DH26" s="283"/>
      <c r="DI26" s="283"/>
      <c r="DJ26" s="283"/>
      <c r="DK26" s="283"/>
      <c r="DL26" s="283"/>
      <c r="DM26" s="283"/>
      <c r="DN26" s="283"/>
      <c r="DO26" s="283"/>
      <c r="DP26" s="283"/>
      <c r="DQ26" s="283"/>
      <c r="DR26" s="283"/>
      <c r="DS26" s="283"/>
      <c r="DT26" s="283"/>
      <c r="DU26" s="283"/>
      <c r="DV26" s="283"/>
      <c r="DW26" s="283"/>
      <c r="DX26" s="283"/>
      <c r="DY26" s="283"/>
      <c r="DZ26" s="283"/>
      <c r="EA26" s="283"/>
      <c r="EB26" s="283"/>
      <c r="EC26" s="283"/>
      <c r="ED26" s="283"/>
      <c r="EE26" s="283"/>
      <c r="EF26" s="283"/>
      <c r="EG26" s="283"/>
      <c r="EH26" s="283"/>
      <c r="EI26" s="283"/>
      <c r="EJ26" s="283"/>
      <c r="EK26" s="283"/>
      <c r="EL26" s="283"/>
      <c r="EM26" s="283"/>
      <c r="EN26" s="283"/>
      <c r="EO26" s="283"/>
      <c r="EP26" s="283"/>
      <c r="EQ26" s="283"/>
      <c r="ER26" s="283"/>
      <c r="ES26" s="283"/>
      <c r="ET26" s="283"/>
      <c r="EU26" s="283"/>
      <c r="EV26" s="283"/>
      <c r="EW26" s="283"/>
      <c r="EX26" s="283"/>
      <c r="EY26" s="283"/>
      <c r="EZ26" s="283"/>
      <c r="FA26" s="283"/>
      <c r="FB26" s="283"/>
      <c r="FC26" s="283"/>
      <c r="FD26" s="283"/>
      <c r="FE26" s="283"/>
      <c r="FF26" s="283"/>
      <c r="FG26" s="283"/>
      <c r="FH26" s="283"/>
      <c r="FI26" s="283"/>
      <c r="FJ26" s="283"/>
      <c r="FK26" s="283"/>
      <c r="FL26" s="283"/>
      <c r="FM26" s="283"/>
      <c r="FN26" s="283"/>
      <c r="FO26" s="283"/>
      <c r="FP26" s="283"/>
      <c r="FQ26" s="283"/>
      <c r="FR26" s="283"/>
      <c r="FS26" s="283"/>
      <c r="FT26" s="283"/>
      <c r="FU26" s="283"/>
      <c r="FV26" s="283"/>
      <c r="FW26" s="283"/>
      <c r="FX26" s="283"/>
      <c r="FY26" s="283"/>
      <c r="FZ26" s="283"/>
      <c r="GA26" s="283"/>
      <c r="GB26" s="283"/>
      <c r="GC26" s="283"/>
      <c r="GD26" s="283"/>
      <c r="GE26" s="283"/>
      <c r="GF26" s="283"/>
      <c r="GG26" s="283"/>
      <c r="GH26" s="283"/>
      <c r="GI26" s="283"/>
      <c r="GJ26" s="283"/>
      <c r="GK26" s="283"/>
      <c r="GL26" s="283"/>
      <c r="GM26" s="283"/>
      <c r="GN26" s="283"/>
      <c r="GO26" s="283"/>
      <c r="GP26" s="283"/>
      <c r="GQ26" s="283"/>
      <c r="GR26" s="283"/>
      <c r="GS26" s="283"/>
      <c r="GT26" s="283"/>
      <c r="GU26" s="283"/>
      <c r="GV26" s="283"/>
      <c r="GW26" s="283"/>
      <c r="GX26" s="283"/>
      <c r="GY26" s="283"/>
      <c r="GZ26" s="283"/>
      <c r="HA26" s="283"/>
      <c r="HB26" s="283"/>
      <c r="HC26" s="283"/>
      <c r="HD26" s="283"/>
      <c r="HE26" s="283"/>
      <c r="HF26" s="283"/>
      <c r="HG26" s="283"/>
      <c r="HH26" s="283"/>
      <c r="HI26" s="283"/>
      <c r="HJ26" s="283"/>
      <c r="HK26" s="283"/>
      <c r="HL26" s="283"/>
      <c r="HM26" s="260"/>
    </row>
    <row r="27" spans="1:221" ht="20.100000000000001" customHeight="1">
      <c r="A27" s="223"/>
      <c r="B27" s="215"/>
      <c r="C27" s="215"/>
      <c r="D27" s="215"/>
      <c r="E27" s="215"/>
      <c r="F27" s="215"/>
      <c r="G27" s="215"/>
      <c r="H27" s="215"/>
      <c r="I27" s="215"/>
      <c r="J27" s="215"/>
      <c r="K27" s="277"/>
      <c r="L27" s="267"/>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3"/>
      <c r="AP27" s="283"/>
      <c r="AQ27" s="283"/>
      <c r="AR27" s="283"/>
      <c r="AS27" s="283"/>
      <c r="AT27" s="283"/>
      <c r="AU27" s="283"/>
      <c r="AV27" s="283"/>
      <c r="AW27" s="283"/>
      <c r="AX27" s="283"/>
      <c r="AY27" s="283"/>
      <c r="AZ27" s="283"/>
      <c r="BA27" s="283"/>
      <c r="BB27" s="283"/>
      <c r="BC27" s="283"/>
      <c r="BD27" s="283"/>
      <c r="BE27" s="283"/>
      <c r="BF27" s="283"/>
      <c r="BG27" s="283"/>
      <c r="BH27" s="283"/>
      <c r="BI27" s="283"/>
      <c r="BJ27" s="283"/>
      <c r="BK27" s="283"/>
      <c r="BL27" s="283"/>
      <c r="BM27" s="283"/>
      <c r="BN27" s="283"/>
      <c r="BO27" s="283"/>
      <c r="BP27" s="283"/>
      <c r="BQ27" s="283"/>
      <c r="BR27" s="283"/>
      <c r="BS27" s="283"/>
      <c r="BT27" s="283"/>
      <c r="BU27" s="283"/>
      <c r="BV27" s="283"/>
      <c r="BW27" s="283"/>
      <c r="BX27" s="283"/>
      <c r="BY27" s="283"/>
      <c r="BZ27" s="283"/>
      <c r="CA27" s="283"/>
      <c r="CB27" s="283"/>
      <c r="CC27" s="283"/>
      <c r="CD27" s="283"/>
      <c r="CE27" s="283"/>
      <c r="CF27" s="283"/>
      <c r="CG27" s="283"/>
      <c r="CH27" s="283"/>
      <c r="CI27" s="283"/>
      <c r="CJ27" s="283"/>
      <c r="CK27" s="283"/>
      <c r="CL27" s="283"/>
      <c r="CM27" s="283"/>
      <c r="CN27" s="283"/>
      <c r="CO27" s="283"/>
      <c r="CP27" s="283"/>
      <c r="CQ27" s="283"/>
      <c r="CR27" s="283"/>
      <c r="CS27" s="283"/>
      <c r="CT27" s="283"/>
      <c r="CU27" s="283"/>
      <c r="CV27" s="283"/>
      <c r="CW27" s="283"/>
      <c r="CX27" s="283"/>
      <c r="CY27" s="283"/>
      <c r="CZ27" s="283"/>
      <c r="DA27" s="283"/>
      <c r="DB27" s="283"/>
      <c r="DC27" s="283"/>
      <c r="DD27" s="283"/>
      <c r="DE27" s="283"/>
      <c r="DF27" s="283"/>
      <c r="DG27" s="283"/>
      <c r="DH27" s="283"/>
      <c r="DI27" s="283"/>
      <c r="DJ27" s="283"/>
      <c r="DK27" s="283"/>
      <c r="DL27" s="283"/>
      <c r="DM27" s="283"/>
      <c r="DN27" s="283"/>
      <c r="DO27" s="283"/>
      <c r="DP27" s="283"/>
      <c r="DQ27" s="283"/>
      <c r="DR27" s="283"/>
      <c r="DS27" s="283"/>
      <c r="DT27" s="283"/>
      <c r="DU27" s="283"/>
      <c r="DV27" s="283"/>
      <c r="DW27" s="283"/>
      <c r="DX27" s="283"/>
      <c r="DY27" s="283"/>
      <c r="DZ27" s="283"/>
      <c r="EA27" s="283"/>
      <c r="EB27" s="283"/>
      <c r="EC27" s="283"/>
      <c r="ED27" s="283"/>
      <c r="EE27" s="283"/>
      <c r="EF27" s="283"/>
      <c r="EG27" s="283"/>
      <c r="EH27" s="283"/>
      <c r="EI27" s="283"/>
      <c r="EJ27" s="283"/>
      <c r="EK27" s="283"/>
      <c r="EL27" s="283"/>
      <c r="EM27" s="283"/>
      <c r="EN27" s="283"/>
      <c r="EO27" s="283"/>
      <c r="EP27" s="283"/>
      <c r="EQ27" s="283"/>
      <c r="ER27" s="283"/>
      <c r="ES27" s="283"/>
      <c r="ET27" s="283"/>
      <c r="EU27" s="283"/>
      <c r="EV27" s="283"/>
      <c r="EW27" s="283"/>
      <c r="EX27" s="283"/>
      <c r="EY27" s="283"/>
      <c r="EZ27" s="283"/>
      <c r="FA27" s="283"/>
      <c r="FB27" s="283"/>
      <c r="FC27" s="283"/>
      <c r="FD27" s="283"/>
      <c r="FE27" s="283"/>
      <c r="FF27" s="283"/>
      <c r="FG27" s="283"/>
      <c r="FH27" s="283"/>
      <c r="FI27" s="283"/>
      <c r="FJ27" s="283"/>
      <c r="FK27" s="283"/>
      <c r="FL27" s="283"/>
      <c r="FM27" s="283"/>
      <c r="FN27" s="283"/>
      <c r="FO27" s="283"/>
      <c r="FP27" s="283"/>
      <c r="FQ27" s="283"/>
      <c r="FR27" s="283"/>
      <c r="FS27" s="283"/>
      <c r="FT27" s="283"/>
      <c r="FU27" s="283"/>
      <c r="FV27" s="283"/>
      <c r="FW27" s="283"/>
      <c r="FX27" s="283"/>
      <c r="FY27" s="283"/>
      <c r="FZ27" s="283"/>
      <c r="GA27" s="283"/>
      <c r="GB27" s="283"/>
      <c r="GC27" s="283"/>
      <c r="GD27" s="283"/>
      <c r="GE27" s="283"/>
      <c r="GF27" s="283"/>
      <c r="GG27" s="283"/>
      <c r="GH27" s="283"/>
      <c r="GI27" s="283"/>
      <c r="GJ27" s="283"/>
      <c r="GK27" s="283"/>
      <c r="GL27" s="283"/>
      <c r="GM27" s="283"/>
      <c r="GN27" s="283"/>
      <c r="GO27" s="283"/>
      <c r="GP27" s="283"/>
      <c r="GQ27" s="283"/>
      <c r="GR27" s="283"/>
      <c r="GS27" s="283"/>
      <c r="GT27" s="283"/>
      <c r="GU27" s="283"/>
      <c r="GV27" s="283"/>
      <c r="GW27" s="283"/>
      <c r="GX27" s="283"/>
      <c r="GY27" s="283"/>
      <c r="GZ27" s="283"/>
      <c r="HA27" s="283"/>
      <c r="HB27" s="283"/>
      <c r="HC27" s="283"/>
      <c r="HD27" s="283"/>
      <c r="HE27" s="283"/>
      <c r="HF27" s="283"/>
      <c r="HG27" s="283"/>
      <c r="HH27" s="283"/>
      <c r="HI27" s="283"/>
      <c r="HJ27" s="283"/>
      <c r="HK27" s="283"/>
      <c r="HL27" s="283"/>
      <c r="HM27" s="260"/>
    </row>
    <row r="28" spans="1:221" ht="20.100000000000001" customHeight="1">
      <c r="A28" s="216" t="s">
        <v>1695</v>
      </c>
      <c r="B28" s="217">
        <f>AVERAGE(B4,B7,B10,B13,B16,B19,B22,B25)</f>
        <v>279600.58124999993</v>
      </c>
      <c r="C28" s="217"/>
      <c r="D28" s="217">
        <f t="shared" ref="D28:J28" si="9">AVERAGE(D4,D7,D10,D13,D16,D19,D22,D25)</f>
        <v>275250.45249999996</v>
      </c>
      <c r="E28" s="217"/>
      <c r="F28" s="217">
        <f t="shared" si="9"/>
        <v>239555.89499999996</v>
      </c>
      <c r="G28" s="217"/>
      <c r="H28" s="217">
        <f t="shared" si="9"/>
        <v>224967.68625</v>
      </c>
      <c r="I28" s="217"/>
      <c r="J28" s="217">
        <f t="shared" si="9"/>
        <v>248184.1</v>
      </c>
      <c r="K28" s="217"/>
      <c r="L28" s="267"/>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3"/>
      <c r="AP28" s="283"/>
      <c r="AQ28" s="283"/>
      <c r="AR28" s="283"/>
      <c r="AS28" s="283"/>
      <c r="AT28" s="283"/>
      <c r="AU28" s="283"/>
      <c r="AV28" s="283"/>
      <c r="AW28" s="283"/>
      <c r="AX28" s="283"/>
      <c r="AY28" s="283"/>
      <c r="AZ28" s="283"/>
      <c r="BA28" s="283"/>
      <c r="BB28" s="283"/>
      <c r="BC28" s="283"/>
      <c r="BD28" s="283"/>
      <c r="BE28" s="283"/>
      <c r="BF28" s="283"/>
      <c r="BG28" s="283"/>
      <c r="BH28" s="283"/>
      <c r="BI28" s="283"/>
      <c r="BJ28" s="283"/>
      <c r="BK28" s="283"/>
      <c r="BL28" s="283"/>
      <c r="BM28" s="283"/>
      <c r="BN28" s="283"/>
      <c r="BO28" s="283"/>
      <c r="BP28" s="283"/>
      <c r="BQ28" s="283"/>
      <c r="BR28" s="283"/>
      <c r="BS28" s="283"/>
      <c r="BT28" s="283"/>
      <c r="BU28" s="283"/>
      <c r="BV28" s="283"/>
      <c r="BW28" s="283"/>
      <c r="BX28" s="283"/>
      <c r="BY28" s="283"/>
      <c r="BZ28" s="283"/>
      <c r="CA28" s="283"/>
      <c r="CB28" s="283"/>
      <c r="CC28" s="283"/>
      <c r="CD28" s="283"/>
      <c r="CE28" s="283"/>
      <c r="CF28" s="283"/>
      <c r="CG28" s="283"/>
      <c r="CH28" s="283"/>
      <c r="CI28" s="283"/>
      <c r="CJ28" s="283"/>
      <c r="CK28" s="283"/>
      <c r="CL28" s="283"/>
      <c r="CM28" s="283"/>
      <c r="CN28" s="283"/>
      <c r="CO28" s="283"/>
      <c r="CP28" s="283"/>
      <c r="CQ28" s="283"/>
      <c r="CR28" s="283"/>
      <c r="CS28" s="283"/>
      <c r="CT28" s="283"/>
      <c r="CU28" s="283"/>
      <c r="CV28" s="283"/>
      <c r="CW28" s="283"/>
      <c r="CX28" s="283"/>
      <c r="CY28" s="283"/>
      <c r="CZ28" s="283"/>
      <c r="DA28" s="283"/>
      <c r="DB28" s="283"/>
      <c r="DC28" s="283"/>
      <c r="DD28" s="283"/>
      <c r="DE28" s="283"/>
      <c r="DF28" s="283"/>
      <c r="DG28" s="283"/>
      <c r="DH28" s="283"/>
      <c r="DI28" s="283"/>
      <c r="DJ28" s="283"/>
      <c r="DK28" s="283"/>
      <c r="DL28" s="283"/>
      <c r="DM28" s="283"/>
      <c r="DN28" s="283"/>
      <c r="DO28" s="283"/>
      <c r="DP28" s="283"/>
      <c r="DQ28" s="283"/>
      <c r="DR28" s="283"/>
      <c r="DS28" s="283"/>
      <c r="DT28" s="283"/>
      <c r="DU28" s="283"/>
      <c r="DV28" s="283"/>
      <c r="DW28" s="283"/>
      <c r="DX28" s="283"/>
      <c r="DY28" s="283"/>
      <c r="DZ28" s="283"/>
      <c r="EA28" s="283"/>
      <c r="EB28" s="283"/>
      <c r="EC28" s="283"/>
      <c r="ED28" s="283"/>
      <c r="EE28" s="283"/>
      <c r="EF28" s="283"/>
      <c r="EG28" s="283"/>
      <c r="EH28" s="283"/>
      <c r="EI28" s="283"/>
      <c r="EJ28" s="283"/>
      <c r="EK28" s="283"/>
      <c r="EL28" s="283"/>
      <c r="EM28" s="283"/>
      <c r="EN28" s="283"/>
      <c r="EO28" s="283"/>
      <c r="EP28" s="283"/>
      <c r="EQ28" s="283"/>
      <c r="ER28" s="283"/>
      <c r="ES28" s="283"/>
      <c r="ET28" s="283"/>
      <c r="EU28" s="283"/>
      <c r="EV28" s="283"/>
      <c r="EW28" s="283"/>
      <c r="EX28" s="283"/>
      <c r="EY28" s="283"/>
      <c r="EZ28" s="283"/>
      <c r="FA28" s="283"/>
      <c r="FB28" s="283"/>
      <c r="FC28" s="283"/>
      <c r="FD28" s="283"/>
      <c r="FE28" s="283"/>
      <c r="FF28" s="283"/>
      <c r="FG28" s="283"/>
      <c r="FH28" s="283"/>
      <c r="FI28" s="283"/>
      <c r="FJ28" s="283"/>
      <c r="FK28" s="283"/>
      <c r="FL28" s="283"/>
      <c r="FM28" s="283"/>
      <c r="FN28" s="283"/>
      <c r="FO28" s="283"/>
      <c r="FP28" s="283"/>
      <c r="FQ28" s="283"/>
      <c r="FR28" s="283"/>
      <c r="FS28" s="283"/>
      <c r="FT28" s="283"/>
      <c r="FU28" s="283"/>
      <c r="FV28" s="283"/>
      <c r="FW28" s="283"/>
      <c r="FX28" s="283"/>
      <c r="FY28" s="283"/>
      <c r="FZ28" s="283"/>
      <c r="GA28" s="283"/>
      <c r="GB28" s="283"/>
      <c r="GC28" s="283"/>
      <c r="GD28" s="283"/>
      <c r="GE28" s="283"/>
      <c r="GF28" s="283"/>
      <c r="GG28" s="283"/>
      <c r="GH28" s="283"/>
      <c r="GI28" s="283"/>
      <c r="GJ28" s="283"/>
      <c r="GK28" s="283"/>
      <c r="GL28" s="283"/>
      <c r="GM28" s="283"/>
      <c r="GN28" s="283"/>
      <c r="GO28" s="283"/>
      <c r="GP28" s="283"/>
      <c r="GQ28" s="283"/>
      <c r="GR28" s="283"/>
      <c r="GS28" s="283"/>
      <c r="GT28" s="283"/>
      <c r="GU28" s="283"/>
      <c r="GV28" s="283"/>
      <c r="GW28" s="283"/>
      <c r="GX28" s="283"/>
      <c r="GY28" s="283"/>
      <c r="GZ28" s="283"/>
      <c r="HA28" s="283"/>
      <c r="HB28" s="283"/>
      <c r="HC28" s="283"/>
      <c r="HD28" s="283"/>
      <c r="HE28" s="283"/>
      <c r="HF28" s="283"/>
      <c r="HG28" s="283"/>
      <c r="HH28" s="283"/>
      <c r="HI28" s="283"/>
      <c r="HJ28" s="283"/>
      <c r="HK28" s="283"/>
      <c r="HL28" s="283"/>
      <c r="HM28" s="260"/>
    </row>
    <row r="29" spans="1:221" s="218" customFormat="1" ht="20.100000000000001" customHeight="1">
      <c r="A29" s="236"/>
      <c r="B29" s="237"/>
      <c r="C29" s="237"/>
      <c r="D29" s="237"/>
      <c r="E29" s="237"/>
      <c r="F29" s="237"/>
      <c r="G29" s="237"/>
      <c r="H29" s="237"/>
      <c r="I29" s="237"/>
      <c r="J29" s="237"/>
      <c r="K29" s="237"/>
      <c r="L29" s="267"/>
      <c r="M29" s="266"/>
      <c r="N29" s="266"/>
      <c r="O29" s="266"/>
      <c r="P29" s="266"/>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c r="DM29" s="266"/>
      <c r="DN29" s="266"/>
      <c r="DO29" s="266"/>
      <c r="DP29" s="266"/>
      <c r="DQ29" s="266"/>
      <c r="DR29" s="266"/>
      <c r="DS29" s="266"/>
      <c r="DT29" s="266"/>
      <c r="DU29" s="266"/>
      <c r="DV29" s="266"/>
      <c r="DW29" s="266"/>
      <c r="DX29" s="266"/>
      <c r="DY29" s="266"/>
      <c r="DZ29" s="266"/>
      <c r="EA29" s="266"/>
      <c r="EB29" s="266"/>
      <c r="EC29" s="266"/>
      <c r="ED29" s="266"/>
      <c r="EE29" s="266"/>
      <c r="EF29" s="266"/>
      <c r="EG29" s="266"/>
      <c r="EH29" s="266"/>
      <c r="EI29" s="266"/>
      <c r="EJ29" s="266"/>
      <c r="EK29" s="266"/>
      <c r="EL29" s="266"/>
      <c r="EM29" s="266"/>
      <c r="EN29" s="266"/>
      <c r="EO29" s="266"/>
      <c r="EP29" s="266"/>
      <c r="EQ29" s="266"/>
      <c r="ER29" s="266"/>
      <c r="ES29" s="266"/>
      <c r="ET29" s="266"/>
      <c r="EU29" s="266"/>
      <c r="EV29" s="266"/>
      <c r="EW29" s="266"/>
      <c r="EX29" s="266"/>
      <c r="EY29" s="266"/>
      <c r="EZ29" s="266"/>
      <c r="FA29" s="266"/>
      <c r="FB29" s="266"/>
      <c r="FC29" s="266"/>
      <c r="FD29" s="266"/>
      <c r="FE29" s="266"/>
      <c r="FF29" s="266"/>
      <c r="FG29" s="266"/>
      <c r="FH29" s="266"/>
      <c r="FI29" s="266"/>
      <c r="FJ29" s="266"/>
      <c r="FK29" s="266"/>
      <c r="FL29" s="266"/>
      <c r="FM29" s="266"/>
      <c r="FN29" s="266"/>
      <c r="FO29" s="266"/>
      <c r="FP29" s="266"/>
      <c r="FQ29" s="266"/>
      <c r="FR29" s="266"/>
      <c r="FS29" s="266"/>
      <c r="FT29" s="266"/>
      <c r="FU29" s="266"/>
      <c r="FV29" s="266"/>
      <c r="FW29" s="266"/>
      <c r="FX29" s="266"/>
      <c r="FY29" s="266"/>
      <c r="FZ29" s="266"/>
      <c r="GA29" s="266"/>
      <c r="GB29" s="266"/>
      <c r="GC29" s="266"/>
      <c r="GD29" s="266"/>
      <c r="GE29" s="266"/>
      <c r="GF29" s="266"/>
      <c r="GG29" s="266"/>
      <c r="GH29" s="266"/>
      <c r="GI29" s="266"/>
      <c r="GJ29" s="266"/>
      <c r="GK29" s="266"/>
      <c r="GL29" s="266"/>
      <c r="GM29" s="266"/>
      <c r="GN29" s="266"/>
      <c r="GO29" s="266"/>
      <c r="GP29" s="266"/>
      <c r="GQ29" s="266"/>
      <c r="GR29" s="266"/>
      <c r="GS29" s="266"/>
      <c r="GT29" s="266"/>
      <c r="GU29" s="266"/>
      <c r="GV29" s="266"/>
      <c r="GW29" s="266"/>
      <c r="GX29" s="266"/>
      <c r="GY29" s="266"/>
      <c r="GZ29" s="266"/>
      <c r="HA29" s="266"/>
      <c r="HB29" s="266"/>
      <c r="HC29" s="266"/>
      <c r="HD29" s="266"/>
      <c r="HE29" s="266"/>
      <c r="HF29" s="266"/>
      <c r="HG29" s="266"/>
      <c r="HH29" s="266"/>
      <c r="HI29" s="266"/>
      <c r="HJ29" s="266"/>
      <c r="HK29" s="266"/>
      <c r="HL29" s="266"/>
      <c r="HM29" s="280"/>
    </row>
    <row r="30" spans="1:221" ht="20.100000000000001" customHeight="1">
      <c r="A30" s="365" t="s">
        <v>4485</v>
      </c>
      <c r="B30" s="261"/>
      <c r="C30" s="261"/>
      <c r="D30" s="261"/>
      <c r="E30" s="261"/>
      <c r="F30" s="261"/>
      <c r="G30" s="261"/>
      <c r="H30" s="261"/>
      <c r="I30" s="261"/>
      <c r="J30" s="261"/>
      <c r="K30" s="278"/>
      <c r="L30" s="267"/>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c r="DK30" s="283"/>
      <c r="DL30" s="283"/>
      <c r="DM30" s="283"/>
      <c r="DN30" s="283"/>
      <c r="DO30" s="283"/>
      <c r="DP30" s="283"/>
      <c r="DQ30" s="283"/>
      <c r="DR30" s="283"/>
      <c r="DS30" s="283"/>
      <c r="DT30" s="283"/>
      <c r="DU30" s="283"/>
      <c r="DV30" s="283"/>
      <c r="DW30" s="283"/>
      <c r="DX30" s="283"/>
      <c r="DY30" s="283"/>
      <c r="DZ30" s="283"/>
      <c r="EA30" s="283"/>
      <c r="EB30" s="283"/>
      <c r="EC30" s="283"/>
      <c r="ED30" s="283"/>
      <c r="EE30" s="283"/>
      <c r="EF30" s="283"/>
      <c r="EG30" s="283"/>
      <c r="EH30" s="283"/>
      <c r="EI30" s="283"/>
      <c r="EJ30" s="283"/>
      <c r="EK30" s="283"/>
      <c r="EL30" s="283"/>
      <c r="EM30" s="283"/>
      <c r="EN30" s="283"/>
      <c r="EO30" s="283"/>
      <c r="EP30" s="283"/>
      <c r="EQ30" s="283"/>
      <c r="ER30" s="283"/>
      <c r="ES30" s="283"/>
      <c r="ET30" s="283"/>
      <c r="EU30" s="283"/>
      <c r="EV30" s="283"/>
      <c r="EW30" s="283"/>
      <c r="EX30" s="283"/>
      <c r="EY30" s="283"/>
      <c r="EZ30" s="283"/>
      <c r="FA30" s="283"/>
      <c r="FB30" s="283"/>
      <c r="FC30" s="283"/>
      <c r="FD30" s="283"/>
      <c r="FE30" s="283"/>
      <c r="FF30" s="283"/>
      <c r="FG30" s="283"/>
      <c r="FH30" s="283"/>
      <c r="FI30" s="283"/>
      <c r="FJ30" s="283"/>
      <c r="FK30" s="283"/>
      <c r="FL30" s="283"/>
      <c r="FM30" s="283"/>
      <c r="FN30" s="283"/>
      <c r="FO30" s="283"/>
      <c r="FP30" s="283"/>
      <c r="FQ30" s="283"/>
      <c r="FR30" s="283"/>
      <c r="FS30" s="283"/>
      <c r="FT30" s="283"/>
      <c r="FU30" s="283"/>
      <c r="FV30" s="283"/>
      <c r="FW30" s="283"/>
      <c r="FX30" s="283"/>
      <c r="FY30" s="283"/>
      <c r="FZ30" s="283"/>
      <c r="GA30" s="283"/>
      <c r="GB30" s="283"/>
      <c r="GC30" s="283"/>
      <c r="GD30" s="283"/>
      <c r="GE30" s="283"/>
      <c r="GF30" s="283"/>
      <c r="GG30" s="283"/>
      <c r="GH30" s="283"/>
      <c r="GI30" s="283"/>
      <c r="GJ30" s="283"/>
      <c r="GK30" s="283"/>
      <c r="GL30" s="283"/>
      <c r="GM30" s="283"/>
      <c r="GN30" s="283"/>
      <c r="GO30" s="283"/>
      <c r="GP30" s="283"/>
      <c r="GQ30" s="283"/>
      <c r="GR30" s="283"/>
      <c r="GS30" s="283"/>
      <c r="GT30" s="283"/>
      <c r="GU30" s="283"/>
      <c r="GV30" s="283"/>
      <c r="GW30" s="283"/>
      <c r="GX30" s="283"/>
      <c r="GY30" s="283"/>
      <c r="GZ30" s="283"/>
      <c r="HA30" s="283"/>
      <c r="HB30" s="283"/>
      <c r="HC30" s="283"/>
      <c r="HD30" s="283"/>
      <c r="HE30" s="283"/>
      <c r="HF30" s="283"/>
      <c r="HG30" s="283"/>
      <c r="HH30" s="283"/>
      <c r="HI30" s="283"/>
      <c r="HJ30" s="283"/>
      <c r="HK30" s="283"/>
      <c r="HL30" s="283"/>
      <c r="HM30" s="260"/>
    </row>
    <row r="31" spans="1:221" ht="126.95" customHeight="1">
      <c r="A31" s="264"/>
      <c r="B31" s="265"/>
      <c r="C31" s="266"/>
      <c r="D31" s="266"/>
      <c r="E31" s="266"/>
      <c r="F31" s="266"/>
      <c r="G31" s="266"/>
      <c r="H31" s="266"/>
      <c r="I31" s="266"/>
      <c r="J31" s="266"/>
      <c r="K31" s="266"/>
      <c r="L31" s="267"/>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3"/>
      <c r="AP31" s="283"/>
      <c r="AQ31" s="283"/>
      <c r="AR31" s="283"/>
      <c r="AS31" s="283"/>
      <c r="AT31" s="283"/>
      <c r="AU31" s="283"/>
      <c r="AV31" s="283"/>
      <c r="AW31" s="283"/>
      <c r="AX31" s="283"/>
      <c r="AY31" s="283"/>
      <c r="AZ31" s="283"/>
      <c r="BA31" s="283"/>
      <c r="BB31" s="283"/>
      <c r="BC31" s="283"/>
      <c r="BD31" s="283"/>
      <c r="BE31" s="283"/>
      <c r="BF31" s="283"/>
      <c r="BG31" s="283"/>
      <c r="BH31" s="283"/>
      <c r="BI31" s="283"/>
      <c r="BJ31" s="283"/>
      <c r="BK31" s="283"/>
      <c r="BL31" s="283"/>
      <c r="BM31" s="283"/>
      <c r="BN31" s="283"/>
      <c r="BO31" s="283"/>
      <c r="BP31" s="283"/>
      <c r="BQ31" s="283"/>
      <c r="BR31" s="283"/>
      <c r="BS31" s="283"/>
      <c r="BT31" s="283"/>
      <c r="BU31" s="283"/>
      <c r="BV31" s="283"/>
      <c r="BW31" s="283"/>
      <c r="BX31" s="283"/>
      <c r="BY31" s="283"/>
      <c r="BZ31" s="283"/>
      <c r="CA31" s="283"/>
      <c r="CB31" s="283"/>
      <c r="CC31" s="283"/>
      <c r="CD31" s="283"/>
      <c r="CE31" s="283"/>
      <c r="CF31" s="283"/>
      <c r="CG31" s="283"/>
      <c r="CH31" s="283"/>
      <c r="CI31" s="283"/>
      <c r="CJ31" s="283"/>
      <c r="CK31" s="283"/>
      <c r="CL31" s="283"/>
      <c r="CM31" s="283"/>
      <c r="CN31" s="283"/>
      <c r="CO31" s="283"/>
      <c r="CP31" s="283"/>
      <c r="CQ31" s="283"/>
      <c r="CR31" s="283"/>
      <c r="CS31" s="283"/>
      <c r="CT31" s="283"/>
      <c r="CU31" s="283"/>
      <c r="CV31" s="283"/>
      <c r="CW31" s="283"/>
      <c r="CX31" s="283"/>
      <c r="CY31" s="283"/>
      <c r="CZ31" s="283"/>
      <c r="DA31" s="283"/>
      <c r="DB31" s="283"/>
      <c r="DC31" s="283"/>
      <c r="DD31" s="283"/>
      <c r="DE31" s="283"/>
      <c r="DF31" s="283"/>
      <c r="DG31" s="283"/>
      <c r="DH31" s="283"/>
      <c r="DI31" s="283"/>
      <c r="DJ31" s="283"/>
      <c r="DK31" s="283"/>
      <c r="DL31" s="283"/>
      <c r="DM31" s="283"/>
      <c r="DN31" s="283"/>
      <c r="DO31" s="283"/>
      <c r="DP31" s="283"/>
      <c r="DQ31" s="283"/>
      <c r="DR31" s="283"/>
      <c r="DS31" s="283"/>
      <c r="DT31" s="283"/>
      <c r="DU31" s="283"/>
      <c r="DV31" s="283"/>
      <c r="DW31" s="283"/>
      <c r="DX31" s="283"/>
      <c r="DY31" s="283"/>
      <c r="DZ31" s="283"/>
      <c r="EA31" s="283"/>
      <c r="EB31" s="283"/>
      <c r="EC31" s="283"/>
      <c r="ED31" s="283"/>
      <c r="EE31" s="283"/>
      <c r="EF31" s="283"/>
      <c r="EG31" s="283"/>
      <c r="EH31" s="283"/>
      <c r="EI31" s="283"/>
      <c r="EJ31" s="283"/>
      <c r="EK31" s="283"/>
      <c r="EL31" s="283"/>
      <c r="EM31" s="283"/>
      <c r="EN31" s="283"/>
      <c r="EO31" s="283"/>
      <c r="EP31" s="283"/>
      <c r="EQ31" s="283"/>
      <c r="ER31" s="283"/>
      <c r="ES31" s="283"/>
      <c r="ET31" s="283"/>
      <c r="EU31" s="283"/>
      <c r="EV31" s="283"/>
      <c r="EW31" s="283"/>
      <c r="EX31" s="283"/>
      <c r="EY31" s="283"/>
      <c r="EZ31" s="283"/>
      <c r="FA31" s="283"/>
      <c r="FB31" s="283"/>
      <c r="FC31" s="283"/>
      <c r="FD31" s="283"/>
      <c r="FE31" s="283"/>
      <c r="FF31" s="283"/>
      <c r="FG31" s="283"/>
      <c r="FH31" s="283"/>
      <c r="FI31" s="283"/>
      <c r="FJ31" s="283"/>
      <c r="FK31" s="283"/>
      <c r="FL31" s="283"/>
      <c r="FM31" s="283"/>
      <c r="FN31" s="283"/>
      <c r="FO31" s="283"/>
      <c r="FP31" s="283"/>
      <c r="FQ31" s="283"/>
      <c r="FR31" s="283"/>
      <c r="FS31" s="283"/>
      <c r="FT31" s="283"/>
      <c r="FU31" s="283"/>
      <c r="FV31" s="283"/>
      <c r="FW31" s="283"/>
      <c r="FX31" s="283"/>
      <c r="FY31" s="283"/>
      <c r="FZ31" s="283"/>
      <c r="GA31" s="283"/>
      <c r="GB31" s="283"/>
      <c r="GC31" s="283"/>
      <c r="GD31" s="283"/>
      <c r="GE31" s="283"/>
      <c r="GF31" s="283"/>
      <c r="GG31" s="283"/>
      <c r="GH31" s="283"/>
      <c r="GI31" s="283"/>
      <c r="GJ31" s="283"/>
      <c r="GK31" s="283"/>
      <c r="GL31" s="283"/>
      <c r="GM31" s="283"/>
      <c r="GN31" s="283"/>
      <c r="GO31" s="283"/>
      <c r="GP31" s="283"/>
      <c r="GQ31" s="283"/>
      <c r="GR31" s="283"/>
      <c r="GS31" s="283"/>
      <c r="GT31" s="283"/>
      <c r="GU31" s="283"/>
      <c r="GV31" s="283"/>
      <c r="GW31" s="283"/>
      <c r="GX31" s="283"/>
      <c r="GY31" s="283"/>
      <c r="GZ31" s="283"/>
      <c r="HA31" s="283"/>
      <c r="HB31" s="283"/>
      <c r="HC31" s="283"/>
      <c r="HD31" s="283"/>
      <c r="HE31" s="283"/>
      <c r="HF31" s="283"/>
      <c r="HG31" s="283"/>
      <c r="HH31" s="283"/>
      <c r="HI31" s="283"/>
      <c r="HJ31" s="283"/>
      <c r="HK31" s="283"/>
      <c r="HL31" s="283"/>
      <c r="HM31" s="260"/>
    </row>
    <row r="32" spans="1:221" ht="20.100000000000001" customHeight="1">
      <c r="A32" s="268"/>
      <c r="B32" s="266"/>
      <c r="C32" s="266"/>
      <c r="D32" s="266"/>
      <c r="E32" s="266"/>
      <c r="F32" s="266"/>
      <c r="G32" s="266"/>
      <c r="H32" s="266"/>
      <c r="I32" s="266"/>
      <c r="J32" s="266"/>
      <c r="K32" s="266"/>
      <c r="L32" s="267"/>
      <c r="M32" s="281"/>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row>
    <row r="33" spans="1:13" ht="20.100000000000001" customHeight="1">
      <c r="A33" s="268"/>
      <c r="B33" s="266"/>
      <c r="C33" s="266"/>
      <c r="D33" s="266"/>
      <c r="E33" s="266"/>
      <c r="F33" s="266"/>
      <c r="G33" s="266"/>
      <c r="H33" s="266"/>
      <c r="I33" s="266"/>
      <c r="J33" s="266"/>
      <c r="K33" s="266"/>
      <c r="L33" s="267"/>
      <c r="M33" s="260"/>
    </row>
    <row r="34" spans="1:13" ht="20.100000000000001" customHeight="1">
      <c r="A34" s="268"/>
      <c r="B34" s="266"/>
      <c r="C34" s="266"/>
      <c r="D34" s="266"/>
      <c r="E34" s="266"/>
      <c r="F34" s="266"/>
      <c r="G34" s="266"/>
      <c r="H34" s="266"/>
      <c r="I34" s="266"/>
      <c r="J34" s="266"/>
      <c r="K34" s="266"/>
      <c r="L34" s="267"/>
      <c r="M34" s="260"/>
    </row>
    <row r="35" spans="1:13" ht="20.100000000000001" customHeight="1">
      <c r="A35" s="268"/>
      <c r="B35" s="266"/>
      <c r="C35" s="266"/>
      <c r="D35" s="266"/>
      <c r="E35" s="266"/>
      <c r="F35" s="266"/>
      <c r="G35" s="266"/>
      <c r="H35" s="266"/>
      <c r="I35" s="266"/>
      <c r="J35" s="266"/>
      <c r="K35" s="266"/>
      <c r="L35" s="267"/>
      <c r="M35" s="260"/>
    </row>
    <row r="36" spans="1:13" ht="20.100000000000001" customHeight="1">
      <c r="A36" s="268"/>
      <c r="B36" s="266"/>
      <c r="C36" s="266"/>
      <c r="D36" s="266"/>
      <c r="E36" s="266"/>
      <c r="F36" s="266"/>
      <c r="G36" s="266"/>
      <c r="H36" s="266"/>
      <c r="I36" s="266"/>
      <c r="J36" s="266"/>
      <c r="K36" s="266"/>
      <c r="L36" s="267"/>
      <c r="M36" s="260"/>
    </row>
    <row r="37" spans="1:13" ht="20.100000000000001" customHeight="1">
      <c r="A37" s="268"/>
      <c r="B37" s="266"/>
      <c r="C37" s="266"/>
      <c r="D37" s="266"/>
      <c r="E37" s="266"/>
      <c r="F37" s="266"/>
      <c r="G37" s="266"/>
      <c r="H37" s="266"/>
      <c r="I37" s="266"/>
      <c r="J37" s="266"/>
      <c r="K37" s="266"/>
      <c r="L37" s="267"/>
      <c r="M37" s="260"/>
    </row>
    <row r="38" spans="1:13" ht="20.100000000000001" customHeight="1">
      <c r="A38" s="268"/>
      <c r="B38" s="266"/>
      <c r="C38" s="266"/>
      <c r="D38" s="266"/>
      <c r="E38" s="266"/>
      <c r="F38" s="266"/>
      <c r="G38" s="266"/>
      <c r="H38" s="266"/>
      <c r="I38" s="266"/>
      <c r="J38" s="266"/>
      <c r="K38" s="266"/>
      <c r="L38" s="267"/>
      <c r="M38" s="260"/>
    </row>
    <row r="39" spans="1:13" ht="20.100000000000001" customHeight="1">
      <c r="A39" s="268"/>
      <c r="B39" s="266"/>
      <c r="C39" s="266"/>
      <c r="D39" s="266"/>
      <c r="E39" s="266"/>
      <c r="F39" s="266"/>
      <c r="G39" s="266"/>
      <c r="H39" s="266"/>
      <c r="I39" s="266"/>
      <c r="J39" s="266"/>
      <c r="K39" s="266"/>
      <c r="L39" s="267"/>
      <c r="M39" s="260"/>
    </row>
    <row r="40" spans="1:13" ht="20.100000000000001" customHeight="1">
      <c r="A40" s="268"/>
      <c r="B40" s="266"/>
      <c r="C40" s="266"/>
      <c r="D40" s="266"/>
      <c r="E40" s="266"/>
      <c r="F40" s="266"/>
      <c r="G40" s="266"/>
      <c r="H40" s="266"/>
      <c r="I40" s="266"/>
      <c r="J40" s="266"/>
      <c r="K40" s="266"/>
      <c r="L40" s="267"/>
      <c r="M40" s="260"/>
    </row>
    <row r="41" spans="1:13" ht="20.100000000000001" customHeight="1">
      <c r="A41" s="268"/>
      <c r="B41" s="266"/>
      <c r="C41" s="266"/>
      <c r="D41" s="266"/>
      <c r="E41" s="266"/>
      <c r="F41" s="266"/>
      <c r="G41" s="266"/>
      <c r="H41" s="266"/>
      <c r="I41" s="266"/>
      <c r="J41" s="266"/>
      <c r="K41" s="266"/>
      <c r="L41" s="267"/>
      <c r="M41" s="260"/>
    </row>
    <row r="42" spans="1:13" ht="20.100000000000001" customHeight="1">
      <c r="A42" s="269"/>
      <c r="B42" s="267"/>
      <c r="C42" s="267"/>
      <c r="D42" s="267"/>
      <c r="E42" s="267"/>
      <c r="F42" s="267"/>
      <c r="G42" s="267"/>
      <c r="H42" s="267"/>
      <c r="I42" s="267"/>
      <c r="J42" s="267"/>
      <c r="K42" s="267"/>
      <c r="L42" s="267"/>
      <c r="M42" s="260"/>
    </row>
    <row r="43" spans="1:13" ht="20.100000000000001" customHeight="1">
      <c r="A43" s="269"/>
      <c r="B43" s="267"/>
      <c r="C43" s="267"/>
      <c r="D43" s="267"/>
      <c r="E43" s="267"/>
      <c r="F43" s="267"/>
      <c r="G43" s="267"/>
      <c r="H43" s="267"/>
      <c r="I43" s="267"/>
      <c r="J43" s="267"/>
      <c r="K43" s="267"/>
      <c r="L43" s="267"/>
      <c r="M43" s="260"/>
    </row>
    <row r="44" spans="1:13" ht="20.100000000000001" customHeight="1">
      <c r="A44" s="269"/>
      <c r="B44" s="267"/>
      <c r="C44" s="267"/>
      <c r="D44" s="267"/>
      <c r="E44" s="267"/>
      <c r="F44" s="267"/>
      <c r="G44" s="267"/>
      <c r="H44" s="267"/>
      <c r="I44" s="267"/>
      <c r="J44" s="267"/>
      <c r="K44" s="267"/>
      <c r="L44" s="267"/>
      <c r="M44" s="260"/>
    </row>
    <row r="45" spans="1:13" ht="20.100000000000001" customHeight="1">
      <c r="A45" s="269"/>
      <c r="B45" s="267"/>
      <c r="C45" s="267"/>
      <c r="D45" s="267"/>
      <c r="E45" s="267"/>
      <c r="F45" s="267"/>
      <c r="G45" s="267"/>
      <c r="H45" s="267"/>
      <c r="I45" s="267"/>
      <c r="J45" s="267"/>
      <c r="K45" s="267"/>
      <c r="L45" s="267"/>
      <c r="M45" s="260"/>
    </row>
    <row r="46" spans="1:13" ht="20.100000000000001" customHeight="1">
      <c r="A46" s="269"/>
      <c r="B46" s="267"/>
      <c r="C46" s="267"/>
      <c r="D46" s="267"/>
      <c r="E46" s="267"/>
      <c r="F46" s="267"/>
      <c r="G46" s="267"/>
      <c r="H46" s="267"/>
      <c r="I46" s="267"/>
      <c r="J46" s="267"/>
      <c r="K46" s="267"/>
      <c r="L46" s="267"/>
      <c r="M46" s="260"/>
    </row>
    <row r="47" spans="1:13" ht="20.100000000000001" customHeight="1">
      <c r="A47" s="269"/>
      <c r="B47" s="267"/>
      <c r="C47" s="267"/>
      <c r="D47" s="267"/>
      <c r="E47" s="267"/>
      <c r="F47" s="267"/>
      <c r="G47" s="267"/>
      <c r="H47" s="267"/>
      <c r="I47" s="267"/>
      <c r="J47" s="267"/>
      <c r="K47" s="267"/>
      <c r="L47" s="267"/>
      <c r="M47" s="260"/>
    </row>
    <row r="48" spans="1:13" ht="20.100000000000001" customHeight="1">
      <c r="A48" s="269"/>
      <c r="B48" s="267"/>
      <c r="C48" s="267"/>
      <c r="D48" s="267"/>
      <c r="E48" s="267"/>
      <c r="F48" s="267"/>
      <c r="G48" s="267"/>
      <c r="H48" s="267"/>
      <c r="I48" s="267"/>
      <c r="J48" s="267"/>
      <c r="K48" s="267"/>
      <c r="L48" s="267"/>
      <c r="M48" s="260"/>
    </row>
    <row r="49" spans="1:13" ht="20.100000000000001" customHeight="1">
      <c r="A49" s="269"/>
      <c r="B49" s="267"/>
      <c r="C49" s="267"/>
      <c r="D49" s="267"/>
      <c r="E49" s="267"/>
      <c r="F49" s="267"/>
      <c r="G49" s="267"/>
      <c r="H49" s="267"/>
      <c r="I49" s="267"/>
      <c r="J49" s="267"/>
      <c r="K49" s="267"/>
      <c r="L49" s="267"/>
      <c r="M49" s="260"/>
    </row>
    <row r="50" spans="1:13" ht="20.100000000000001" customHeight="1">
      <c r="A50" s="269"/>
      <c r="B50" s="267"/>
      <c r="C50" s="267"/>
      <c r="D50" s="267"/>
      <c r="E50" s="267"/>
      <c r="F50" s="267"/>
      <c r="G50" s="267"/>
      <c r="H50" s="267"/>
      <c r="I50" s="267"/>
      <c r="J50" s="267"/>
      <c r="K50" s="267"/>
      <c r="L50" s="267"/>
      <c r="M50" s="260"/>
    </row>
    <row r="51" spans="1:13" ht="20.100000000000001" customHeight="1">
      <c r="A51" s="269"/>
      <c r="B51" s="267"/>
      <c r="C51" s="267"/>
      <c r="D51" s="267"/>
      <c r="E51" s="267"/>
      <c r="F51" s="267"/>
      <c r="G51" s="267"/>
      <c r="H51" s="267"/>
      <c r="I51" s="267"/>
      <c r="J51" s="267"/>
      <c r="K51" s="267"/>
      <c r="L51" s="267"/>
      <c r="M51" s="260"/>
    </row>
    <row r="52" spans="1:13" ht="20.100000000000001" customHeight="1">
      <c r="A52" s="269"/>
      <c r="B52" s="267"/>
      <c r="C52" s="267"/>
      <c r="D52" s="267"/>
      <c r="E52" s="267"/>
      <c r="F52" s="267"/>
      <c r="G52" s="267"/>
      <c r="H52" s="267"/>
      <c r="I52" s="267"/>
      <c r="J52" s="267"/>
      <c r="K52" s="267"/>
      <c r="L52" s="267"/>
      <c r="M52" s="260"/>
    </row>
    <row r="53" spans="1:13" ht="20.100000000000001" customHeight="1">
      <c r="A53" s="269"/>
      <c r="B53" s="267"/>
      <c r="C53" s="267"/>
      <c r="D53" s="267"/>
      <c r="E53" s="267"/>
      <c r="F53" s="267"/>
      <c r="G53" s="267"/>
      <c r="H53" s="267"/>
      <c r="I53" s="267"/>
      <c r="J53" s="267"/>
      <c r="K53" s="267"/>
      <c r="L53" s="267"/>
      <c r="M53" s="260"/>
    </row>
    <row r="54" spans="1:13" ht="20.100000000000001" customHeight="1">
      <c r="A54" s="269"/>
      <c r="B54" s="267"/>
      <c r="C54" s="267"/>
      <c r="D54" s="267"/>
      <c r="E54" s="267"/>
      <c r="F54" s="267"/>
      <c r="G54" s="267"/>
      <c r="H54" s="267"/>
      <c r="I54" s="267"/>
      <c r="J54" s="267"/>
      <c r="K54" s="267"/>
      <c r="L54" s="267"/>
      <c r="M54" s="260"/>
    </row>
    <row r="55" spans="1:13" ht="20.100000000000001" customHeight="1">
      <c r="A55" s="269"/>
      <c r="B55" s="267"/>
      <c r="C55" s="267"/>
      <c r="D55" s="267"/>
      <c r="E55" s="267"/>
      <c r="F55" s="267"/>
      <c r="G55" s="267"/>
      <c r="H55" s="267"/>
      <c r="I55" s="267"/>
      <c r="J55" s="267"/>
      <c r="K55" s="267"/>
      <c r="L55" s="267"/>
      <c r="M55" s="260"/>
    </row>
    <row r="56" spans="1:13" ht="20.100000000000001" customHeight="1">
      <c r="A56" s="269"/>
      <c r="B56" s="267"/>
      <c r="C56" s="267"/>
      <c r="D56" s="267"/>
      <c r="E56" s="267"/>
      <c r="F56" s="267"/>
      <c r="G56" s="267"/>
      <c r="H56" s="267"/>
      <c r="I56" s="267"/>
      <c r="J56" s="267"/>
      <c r="K56" s="267"/>
      <c r="L56" s="267"/>
      <c r="M56" s="260"/>
    </row>
    <row r="57" spans="1:13" ht="20.100000000000001" customHeight="1">
      <c r="A57" s="269"/>
      <c r="B57" s="267"/>
      <c r="C57" s="267"/>
      <c r="D57" s="267"/>
      <c r="E57" s="267"/>
      <c r="F57" s="267"/>
      <c r="G57" s="267"/>
      <c r="H57" s="267"/>
      <c r="I57" s="267"/>
      <c r="J57" s="267"/>
      <c r="K57" s="267"/>
      <c r="L57" s="267"/>
      <c r="M57" s="260"/>
    </row>
    <row r="58" spans="1:13" ht="20.100000000000001" customHeight="1">
      <c r="A58" s="269"/>
      <c r="B58" s="267"/>
      <c r="C58" s="267"/>
      <c r="D58" s="267"/>
      <c r="E58" s="267"/>
      <c r="F58" s="267"/>
      <c r="G58" s="267"/>
      <c r="H58" s="267"/>
      <c r="I58" s="267"/>
      <c r="J58" s="267"/>
      <c r="K58" s="267"/>
      <c r="L58" s="267"/>
      <c r="M58" s="260"/>
    </row>
    <row r="59" spans="1:13" ht="20.100000000000001" customHeight="1">
      <c r="A59" s="269"/>
      <c r="B59" s="267"/>
      <c r="C59" s="267"/>
      <c r="D59" s="267"/>
      <c r="E59" s="267"/>
      <c r="F59" s="267"/>
      <c r="G59" s="267"/>
      <c r="H59" s="267"/>
      <c r="I59" s="267"/>
      <c r="J59" s="267"/>
      <c r="K59" s="267"/>
      <c r="L59" s="267"/>
      <c r="M59" s="260"/>
    </row>
    <row r="60" spans="1:13" ht="20.100000000000001" customHeight="1">
      <c r="A60" s="269"/>
      <c r="B60" s="267"/>
      <c r="C60" s="267"/>
      <c r="D60" s="267"/>
      <c r="E60" s="267"/>
      <c r="F60" s="267"/>
      <c r="G60" s="267"/>
      <c r="H60" s="267"/>
      <c r="I60" s="267"/>
      <c r="J60" s="267"/>
      <c r="K60" s="267"/>
      <c r="L60" s="267"/>
      <c r="M60" s="260"/>
    </row>
    <row r="61" spans="1:13" ht="20.100000000000001" customHeight="1">
      <c r="A61" s="269"/>
      <c r="B61" s="267"/>
      <c r="C61" s="267"/>
      <c r="D61" s="267"/>
      <c r="E61" s="267"/>
      <c r="F61" s="267"/>
      <c r="G61" s="267"/>
      <c r="H61" s="267"/>
      <c r="I61" s="267"/>
      <c r="J61" s="267"/>
      <c r="K61" s="267"/>
      <c r="L61" s="267"/>
      <c r="M61" s="260"/>
    </row>
    <row r="62" spans="1:13" ht="20.100000000000001" customHeight="1">
      <c r="A62" s="269"/>
      <c r="B62" s="267"/>
      <c r="C62" s="267"/>
      <c r="D62" s="267"/>
      <c r="E62" s="267"/>
      <c r="F62" s="267"/>
      <c r="G62" s="267"/>
      <c r="H62" s="267"/>
      <c r="I62" s="267"/>
      <c r="J62" s="267"/>
      <c r="K62" s="267"/>
      <c r="L62" s="267"/>
      <c r="M62" s="260"/>
    </row>
    <row r="63" spans="1:13" ht="20.100000000000001" customHeight="1">
      <c r="A63" s="269"/>
      <c r="B63" s="267"/>
      <c r="C63" s="267"/>
      <c r="D63" s="267"/>
      <c r="E63" s="267"/>
      <c r="F63" s="267"/>
      <c r="G63" s="267"/>
      <c r="H63" s="267"/>
      <c r="I63" s="267"/>
      <c r="J63" s="267"/>
      <c r="K63" s="267"/>
      <c r="L63" s="267"/>
      <c r="M63" s="260"/>
    </row>
    <row r="64" spans="1:13" ht="20.100000000000001" customHeight="1">
      <c r="A64" s="269"/>
      <c r="B64" s="267"/>
      <c r="C64" s="267"/>
      <c r="D64" s="267"/>
      <c r="E64" s="267"/>
      <c r="F64" s="267"/>
      <c r="G64" s="267"/>
      <c r="H64" s="267"/>
      <c r="I64" s="267"/>
      <c r="J64" s="267"/>
      <c r="K64" s="267"/>
      <c r="L64" s="267"/>
      <c r="M64" s="260"/>
    </row>
    <row r="65" spans="1:13" ht="20.100000000000001" customHeight="1">
      <c r="A65" s="269"/>
      <c r="B65" s="267"/>
      <c r="C65" s="267"/>
      <c r="D65" s="267"/>
      <c r="E65" s="267"/>
      <c r="F65" s="267"/>
      <c r="G65" s="267"/>
      <c r="H65" s="267"/>
      <c r="I65" s="267"/>
      <c r="J65" s="267"/>
      <c r="K65" s="267"/>
      <c r="L65" s="267"/>
      <c r="M65" s="260"/>
    </row>
    <row r="66" spans="1:13" ht="20.100000000000001" customHeight="1">
      <c r="A66" s="269"/>
      <c r="B66" s="267"/>
      <c r="C66" s="267"/>
      <c r="D66" s="267"/>
      <c r="E66" s="267"/>
      <c r="F66" s="267"/>
      <c r="G66" s="267"/>
      <c r="H66" s="267"/>
      <c r="I66" s="267"/>
      <c r="J66" s="267"/>
      <c r="K66" s="267"/>
      <c r="L66" s="267"/>
      <c r="M66" s="260"/>
    </row>
    <row r="67" spans="1:13" ht="20.100000000000001" customHeight="1">
      <c r="A67" s="269"/>
      <c r="B67" s="267"/>
      <c r="C67" s="267"/>
      <c r="D67" s="267"/>
      <c r="E67" s="267"/>
      <c r="F67" s="267"/>
      <c r="G67" s="267"/>
      <c r="H67" s="267"/>
      <c r="I67" s="267"/>
      <c r="J67" s="267"/>
      <c r="K67" s="267"/>
      <c r="L67" s="267"/>
      <c r="M67" s="260"/>
    </row>
    <row r="68" spans="1:13" ht="20.100000000000001" customHeight="1">
      <c r="A68" s="269"/>
      <c r="B68" s="267"/>
      <c r="C68" s="267"/>
      <c r="D68" s="267"/>
      <c r="E68" s="267"/>
      <c r="F68" s="267"/>
      <c r="G68" s="267"/>
      <c r="H68" s="267"/>
      <c r="I68" s="267"/>
      <c r="J68" s="267"/>
      <c r="K68" s="267"/>
      <c r="L68" s="267"/>
      <c r="M68" s="260"/>
    </row>
    <row r="69" spans="1:13" ht="20.100000000000001" customHeight="1">
      <c r="A69" s="269"/>
      <c r="B69" s="267"/>
      <c r="C69" s="267"/>
      <c r="D69" s="267"/>
      <c r="E69" s="267"/>
      <c r="F69" s="267"/>
      <c r="G69" s="267"/>
      <c r="H69" s="267"/>
      <c r="I69" s="267"/>
      <c r="J69" s="267"/>
      <c r="K69" s="267"/>
      <c r="L69" s="267"/>
      <c r="M69" s="260"/>
    </row>
    <row r="70" spans="1:13" ht="20.100000000000001" customHeight="1">
      <c r="A70" s="269"/>
      <c r="B70" s="267"/>
      <c r="C70" s="267"/>
      <c r="D70" s="267"/>
      <c r="E70" s="267"/>
      <c r="F70" s="267"/>
      <c r="G70" s="267"/>
      <c r="H70" s="267"/>
      <c r="I70" s="267"/>
      <c r="J70" s="267"/>
      <c r="K70" s="267"/>
      <c r="L70" s="267"/>
      <c r="M70" s="260"/>
    </row>
    <row r="71" spans="1:13" ht="20.100000000000001" customHeight="1">
      <c r="A71" s="269"/>
      <c r="B71" s="267"/>
      <c r="C71" s="267"/>
      <c r="D71" s="267"/>
      <c r="E71" s="267"/>
      <c r="F71" s="267"/>
      <c r="G71" s="267"/>
      <c r="H71" s="267"/>
      <c r="I71" s="267"/>
      <c r="J71" s="267"/>
      <c r="K71" s="267"/>
      <c r="L71" s="267"/>
      <c r="M71" s="260"/>
    </row>
    <row r="72" spans="1:13" ht="20.100000000000001" customHeight="1">
      <c r="A72" s="269"/>
      <c r="B72" s="267"/>
      <c r="C72" s="267"/>
      <c r="D72" s="267"/>
      <c r="E72" s="267"/>
      <c r="F72" s="267"/>
      <c r="G72" s="267"/>
      <c r="H72" s="267"/>
      <c r="I72" s="267"/>
      <c r="J72" s="267"/>
      <c r="K72" s="267"/>
      <c r="L72" s="267"/>
      <c r="M72" s="260"/>
    </row>
    <row r="73" spans="1:13" ht="20.100000000000001" customHeight="1">
      <c r="A73" s="269"/>
      <c r="B73" s="267"/>
      <c r="C73" s="267"/>
      <c r="D73" s="267"/>
      <c r="E73" s="267"/>
      <c r="F73" s="267"/>
      <c r="G73" s="267"/>
      <c r="H73" s="267"/>
      <c r="I73" s="267"/>
      <c r="J73" s="267"/>
      <c r="K73" s="267"/>
      <c r="L73" s="267"/>
      <c r="M73" s="260"/>
    </row>
    <row r="74" spans="1:13" ht="20.100000000000001" customHeight="1">
      <c r="A74" s="269"/>
      <c r="B74" s="267"/>
      <c r="C74" s="267"/>
      <c r="D74" s="267"/>
      <c r="E74" s="267"/>
      <c r="F74" s="267"/>
      <c r="G74" s="267"/>
      <c r="H74" s="267"/>
      <c r="I74" s="267"/>
      <c r="J74" s="267"/>
      <c r="K74" s="267"/>
      <c r="L74" s="267"/>
      <c r="M74" s="260"/>
    </row>
    <row r="75" spans="1:13" ht="20.100000000000001" customHeight="1">
      <c r="A75" s="269"/>
      <c r="B75" s="267"/>
      <c r="C75" s="267"/>
      <c r="D75" s="267"/>
      <c r="E75" s="267"/>
      <c r="F75" s="267"/>
      <c r="G75" s="267"/>
      <c r="H75" s="267"/>
      <c r="I75" s="267"/>
      <c r="J75" s="267"/>
      <c r="K75" s="267"/>
      <c r="L75" s="267"/>
      <c r="M75" s="260"/>
    </row>
    <row r="76" spans="1:13" ht="20.100000000000001" customHeight="1">
      <c r="A76" s="269"/>
      <c r="B76" s="267"/>
      <c r="C76" s="267"/>
      <c r="D76" s="267"/>
      <c r="E76" s="267"/>
      <c r="F76" s="267"/>
      <c r="G76" s="267"/>
      <c r="H76" s="267"/>
      <c r="I76" s="267"/>
      <c r="J76" s="267"/>
      <c r="K76" s="267"/>
      <c r="L76" s="267"/>
      <c r="M76" s="260"/>
    </row>
    <row r="77" spans="1:13" ht="20.100000000000001" customHeight="1">
      <c r="A77" s="269"/>
      <c r="B77" s="267"/>
      <c r="C77" s="267"/>
      <c r="D77" s="267"/>
      <c r="E77" s="267"/>
      <c r="F77" s="267"/>
      <c r="G77" s="267"/>
      <c r="H77" s="267"/>
      <c r="I77" s="267"/>
      <c r="J77" s="267"/>
      <c r="K77" s="267"/>
      <c r="L77" s="267"/>
      <c r="M77" s="260"/>
    </row>
    <row r="78" spans="1:13" ht="20.100000000000001" customHeight="1">
      <c r="A78" s="269"/>
      <c r="B78" s="267"/>
      <c r="C78" s="267"/>
      <c r="D78" s="267"/>
      <c r="E78" s="267"/>
      <c r="F78" s="267"/>
      <c r="G78" s="267"/>
      <c r="H78" s="267"/>
      <c r="I78" s="267"/>
      <c r="J78" s="267"/>
      <c r="K78" s="267"/>
      <c r="L78" s="267"/>
      <c r="M78" s="260"/>
    </row>
    <row r="79" spans="1:13" ht="20.100000000000001" customHeight="1">
      <c r="A79" s="269"/>
      <c r="B79" s="267"/>
      <c r="C79" s="267"/>
      <c r="D79" s="267"/>
      <c r="E79" s="267"/>
      <c r="F79" s="267"/>
      <c r="G79" s="267"/>
      <c r="H79" s="267"/>
      <c r="I79" s="267"/>
      <c r="J79" s="267"/>
      <c r="K79" s="267"/>
      <c r="L79" s="267"/>
      <c r="M79" s="260"/>
    </row>
    <row r="80" spans="1:13" ht="20.100000000000001" customHeight="1">
      <c r="A80" s="269"/>
      <c r="B80" s="267"/>
      <c r="C80" s="267"/>
      <c r="D80" s="267"/>
      <c r="E80" s="267"/>
      <c r="F80" s="267"/>
      <c r="G80" s="267"/>
      <c r="H80" s="267"/>
      <c r="I80" s="267"/>
      <c r="J80" s="267"/>
      <c r="K80" s="267"/>
      <c r="L80" s="267"/>
      <c r="M80" s="260"/>
    </row>
    <row r="81" spans="1:13" ht="20.100000000000001" customHeight="1">
      <c r="A81" s="269"/>
      <c r="B81" s="267"/>
      <c r="C81" s="267"/>
      <c r="D81" s="267"/>
      <c r="E81" s="267"/>
      <c r="F81" s="267"/>
      <c r="G81" s="267"/>
      <c r="H81" s="267"/>
      <c r="I81" s="267"/>
      <c r="J81" s="267"/>
      <c r="K81" s="267"/>
      <c r="L81" s="267"/>
      <c r="M81" s="260"/>
    </row>
    <row r="82" spans="1:13" ht="20.100000000000001" customHeight="1">
      <c r="A82" s="269"/>
      <c r="B82" s="267"/>
      <c r="C82" s="267"/>
      <c r="D82" s="267"/>
      <c r="E82" s="267"/>
      <c r="F82" s="267"/>
      <c r="G82" s="267"/>
      <c r="H82" s="267"/>
      <c r="I82" s="267"/>
      <c r="J82" s="267"/>
      <c r="K82" s="267"/>
      <c r="L82" s="267"/>
      <c r="M82" s="260"/>
    </row>
    <row r="83" spans="1:13" ht="20.100000000000001" customHeight="1">
      <c r="A83" s="269"/>
      <c r="B83" s="267"/>
      <c r="C83" s="267"/>
      <c r="D83" s="267"/>
      <c r="E83" s="267"/>
      <c r="F83" s="267"/>
      <c r="G83" s="267"/>
      <c r="H83" s="267"/>
      <c r="I83" s="267"/>
      <c r="J83" s="267"/>
      <c r="K83" s="267"/>
      <c r="L83" s="267"/>
      <c r="M83" s="260"/>
    </row>
    <row r="84" spans="1:13" ht="20.100000000000001" customHeight="1">
      <c r="A84" s="269"/>
      <c r="B84" s="267"/>
      <c r="C84" s="267"/>
      <c r="D84" s="267"/>
      <c r="E84" s="267"/>
      <c r="F84" s="267"/>
      <c r="G84" s="267"/>
      <c r="H84" s="267"/>
      <c r="I84" s="267"/>
      <c r="J84" s="267"/>
      <c r="K84" s="267"/>
      <c r="L84" s="267"/>
      <c r="M84" s="260"/>
    </row>
    <row r="85" spans="1:13" ht="20.100000000000001" customHeight="1">
      <c r="A85" s="269"/>
      <c r="B85" s="267"/>
      <c r="C85" s="267"/>
      <c r="D85" s="267"/>
      <c r="E85" s="267"/>
      <c r="F85" s="267"/>
      <c r="G85" s="267"/>
      <c r="H85" s="267"/>
      <c r="I85" s="267"/>
      <c r="J85" s="267"/>
      <c r="K85" s="267"/>
      <c r="L85" s="267"/>
      <c r="M85" s="260"/>
    </row>
    <row r="86" spans="1:13" ht="20.100000000000001" customHeight="1">
      <c r="A86" s="269"/>
      <c r="B86" s="267"/>
      <c r="C86" s="267"/>
      <c r="D86" s="267"/>
      <c r="E86" s="267"/>
      <c r="F86" s="267"/>
      <c r="G86" s="267"/>
      <c r="H86" s="267"/>
      <c r="I86" s="267"/>
      <c r="J86" s="267"/>
      <c r="K86" s="267"/>
      <c r="L86" s="267"/>
      <c r="M86" s="260"/>
    </row>
    <row r="87" spans="1:13" ht="20.100000000000001" customHeight="1">
      <c r="A87" s="269"/>
      <c r="B87" s="267"/>
      <c r="C87" s="267"/>
      <c r="D87" s="267"/>
      <c r="E87" s="267"/>
      <c r="F87" s="267"/>
      <c r="G87" s="267"/>
      <c r="H87" s="267"/>
      <c r="I87" s="267"/>
      <c r="J87" s="267"/>
      <c r="K87" s="267"/>
      <c r="L87" s="267"/>
      <c r="M87" s="260"/>
    </row>
    <row r="88" spans="1:13" ht="20.100000000000001" customHeight="1">
      <c r="A88" s="269"/>
      <c r="B88" s="267"/>
      <c r="C88" s="267"/>
      <c r="D88" s="267"/>
      <c r="E88" s="267"/>
      <c r="F88" s="267"/>
      <c r="G88" s="267"/>
      <c r="H88" s="267"/>
      <c r="I88" s="267"/>
      <c r="J88" s="267"/>
      <c r="K88" s="267"/>
      <c r="L88" s="267"/>
      <c r="M88" s="260"/>
    </row>
    <row r="89" spans="1:13" ht="20.100000000000001" customHeight="1">
      <c r="A89" s="269"/>
      <c r="B89" s="267"/>
      <c r="C89" s="267"/>
      <c r="D89" s="267"/>
      <c r="E89" s="267"/>
      <c r="F89" s="267"/>
      <c r="G89" s="267"/>
      <c r="H89" s="267"/>
      <c r="I89" s="267"/>
      <c r="J89" s="267"/>
      <c r="K89" s="267"/>
      <c r="L89" s="267"/>
      <c r="M89" s="260"/>
    </row>
    <row r="90" spans="1:13" ht="20.100000000000001" customHeight="1">
      <c r="A90" s="269"/>
      <c r="B90" s="267"/>
      <c r="C90" s="267"/>
      <c r="D90" s="267"/>
      <c r="E90" s="267"/>
      <c r="F90" s="267"/>
      <c r="G90" s="267"/>
      <c r="H90" s="267"/>
      <c r="I90" s="267"/>
      <c r="J90" s="267"/>
      <c r="K90" s="267"/>
      <c r="L90" s="267"/>
      <c r="M90" s="260"/>
    </row>
    <row r="91" spans="1:13" ht="20.100000000000001" customHeight="1">
      <c r="A91" s="269"/>
      <c r="B91" s="267"/>
      <c r="C91" s="267"/>
      <c r="D91" s="267"/>
      <c r="E91" s="267"/>
      <c r="F91" s="267"/>
      <c r="G91" s="267"/>
      <c r="H91" s="267"/>
      <c r="I91" s="267"/>
      <c r="J91" s="267"/>
      <c r="K91" s="267"/>
      <c r="L91" s="267"/>
      <c r="M91" s="260"/>
    </row>
    <row r="92" spans="1:13" ht="20.100000000000001" customHeight="1">
      <c r="A92" s="269"/>
      <c r="B92" s="267"/>
      <c r="C92" s="267"/>
      <c r="D92" s="267"/>
      <c r="E92" s="267"/>
      <c r="F92" s="267"/>
      <c r="G92" s="267"/>
      <c r="H92" s="267"/>
      <c r="I92" s="267"/>
      <c r="J92" s="267"/>
      <c r="K92" s="267"/>
      <c r="L92" s="267"/>
      <c r="M92" s="260"/>
    </row>
    <row r="93" spans="1:13" ht="20.100000000000001" customHeight="1">
      <c r="A93" s="269"/>
      <c r="B93" s="267"/>
      <c r="C93" s="267"/>
      <c r="D93" s="267"/>
      <c r="E93" s="267"/>
      <c r="F93" s="267"/>
      <c r="G93" s="267"/>
      <c r="H93" s="267"/>
      <c r="I93" s="267"/>
      <c r="J93" s="267"/>
      <c r="K93" s="267"/>
      <c r="L93" s="267"/>
      <c r="M93" s="260"/>
    </row>
    <row r="94" spans="1:13" ht="20.100000000000001" customHeight="1">
      <c r="A94" s="269"/>
      <c r="B94" s="267"/>
      <c r="C94" s="267"/>
      <c r="D94" s="267"/>
      <c r="E94" s="267"/>
      <c r="F94" s="267"/>
      <c r="G94" s="267"/>
      <c r="H94" s="267"/>
      <c r="I94" s="267"/>
      <c r="J94" s="267"/>
      <c r="K94" s="267"/>
      <c r="L94" s="267"/>
      <c r="M94" s="260"/>
    </row>
    <row r="95" spans="1:13" ht="20.100000000000001" customHeight="1">
      <c r="A95" s="269"/>
      <c r="B95" s="267"/>
      <c r="C95" s="267"/>
      <c r="D95" s="267"/>
      <c r="E95" s="267"/>
      <c r="F95" s="267"/>
      <c r="G95" s="267"/>
      <c r="H95" s="267"/>
      <c r="I95" s="267"/>
      <c r="J95" s="267"/>
      <c r="K95" s="267"/>
      <c r="L95" s="267"/>
      <c r="M95" s="260"/>
    </row>
    <row r="96" spans="1:13" ht="20.100000000000001" customHeight="1">
      <c r="A96" s="269"/>
      <c r="B96" s="267"/>
      <c r="C96" s="267"/>
      <c r="D96" s="267"/>
      <c r="E96" s="267"/>
      <c r="F96" s="267"/>
      <c r="G96" s="267"/>
      <c r="H96" s="267"/>
      <c r="I96" s="267"/>
      <c r="J96" s="267"/>
      <c r="K96" s="267"/>
      <c r="L96" s="267"/>
      <c r="M96" s="260"/>
    </row>
    <row r="97" spans="1:13" ht="20.100000000000001" customHeight="1">
      <c r="A97" s="269"/>
      <c r="B97" s="270"/>
      <c r="C97" s="270"/>
      <c r="D97" s="270"/>
      <c r="E97" s="270"/>
      <c r="F97" s="270"/>
      <c r="G97" s="270"/>
      <c r="H97" s="270"/>
      <c r="I97" s="270"/>
      <c r="J97" s="270"/>
      <c r="K97" s="270"/>
      <c r="L97" s="270"/>
      <c r="M97" s="260"/>
    </row>
    <row r="98" spans="1:13" ht="20.100000000000001" customHeight="1">
      <c r="A98" s="269"/>
      <c r="B98" s="270"/>
      <c r="C98" s="270"/>
      <c r="D98" s="270"/>
      <c r="E98" s="270"/>
      <c r="F98" s="270"/>
      <c r="G98" s="270"/>
      <c r="H98" s="270"/>
      <c r="I98" s="270"/>
      <c r="J98" s="270"/>
      <c r="K98" s="270"/>
      <c r="L98" s="270"/>
      <c r="M98" s="260"/>
    </row>
    <row r="99" spans="1:13" ht="20.100000000000001" customHeight="1">
      <c r="A99" s="269"/>
      <c r="B99" s="270"/>
      <c r="C99" s="270"/>
      <c r="D99" s="270"/>
      <c r="E99" s="270"/>
      <c r="F99" s="270"/>
      <c r="G99" s="270"/>
      <c r="H99" s="270"/>
      <c r="I99" s="270"/>
      <c r="J99" s="270"/>
      <c r="K99" s="270"/>
      <c r="L99" s="270"/>
      <c r="M99" s="260"/>
    </row>
    <row r="100" spans="1:13" ht="20.100000000000001" customHeight="1">
      <c r="A100" s="269"/>
      <c r="B100" s="270"/>
      <c r="C100" s="270"/>
      <c r="D100" s="270"/>
      <c r="E100" s="270"/>
      <c r="F100" s="270"/>
      <c r="G100" s="270"/>
      <c r="H100" s="270"/>
      <c r="I100" s="270"/>
      <c r="J100" s="270"/>
      <c r="K100" s="270"/>
      <c r="L100" s="270"/>
      <c r="M100" s="260"/>
    </row>
    <row r="101" spans="1:13" ht="20.100000000000001" customHeight="1">
      <c r="A101" s="269"/>
      <c r="B101" s="270"/>
      <c r="C101" s="270"/>
      <c r="D101" s="270"/>
      <c r="E101" s="270"/>
      <c r="F101" s="270"/>
      <c r="G101" s="270"/>
      <c r="H101" s="270"/>
      <c r="I101" s="270"/>
      <c r="J101" s="270"/>
      <c r="K101" s="270"/>
      <c r="L101" s="270"/>
      <c r="M101" s="260"/>
    </row>
    <row r="102" spans="1:13" ht="20.100000000000001" customHeight="1">
      <c r="A102" s="269"/>
      <c r="B102" s="270"/>
      <c r="C102" s="270"/>
      <c r="D102" s="270"/>
      <c r="E102" s="270"/>
      <c r="F102" s="270"/>
      <c r="G102" s="270"/>
      <c r="H102" s="270"/>
      <c r="I102" s="270"/>
      <c r="J102" s="270"/>
      <c r="K102" s="270"/>
      <c r="L102" s="270"/>
      <c r="M102" s="260"/>
    </row>
    <row r="103" spans="1:13" ht="20.100000000000001" customHeight="1">
      <c r="A103" s="269"/>
      <c r="B103" s="270"/>
      <c r="C103" s="270"/>
      <c r="D103" s="270"/>
      <c r="E103" s="270"/>
      <c r="F103" s="270"/>
      <c r="G103" s="270"/>
      <c r="H103" s="270"/>
      <c r="I103" s="270"/>
      <c r="J103" s="270"/>
      <c r="K103" s="270"/>
      <c r="L103" s="270"/>
      <c r="M103" s="260"/>
    </row>
    <row r="104" spans="1:13" ht="20.100000000000001" customHeight="1">
      <c r="A104" s="269"/>
      <c r="B104" s="270"/>
      <c r="C104" s="270"/>
      <c r="D104" s="270"/>
      <c r="E104" s="270"/>
      <c r="F104" s="270"/>
      <c r="G104" s="270"/>
      <c r="H104" s="270"/>
      <c r="I104" s="270"/>
      <c r="J104" s="270"/>
      <c r="K104" s="270"/>
      <c r="L104" s="270"/>
      <c r="M104" s="260"/>
    </row>
    <row r="105" spans="1:13" ht="20.100000000000001" customHeight="1">
      <c r="A105" s="269"/>
      <c r="B105" s="270"/>
      <c r="C105" s="270"/>
      <c r="D105" s="270"/>
      <c r="E105" s="270"/>
      <c r="F105" s="270"/>
      <c r="G105" s="270"/>
      <c r="H105" s="270"/>
      <c r="I105" s="270"/>
      <c r="J105" s="270"/>
      <c r="K105" s="270"/>
      <c r="L105" s="270"/>
      <c r="M105" s="260"/>
    </row>
    <row r="106" spans="1:13" ht="20.100000000000001" customHeight="1">
      <c r="A106" s="269"/>
      <c r="B106" s="270"/>
      <c r="C106" s="270"/>
      <c r="D106" s="270"/>
      <c r="E106" s="270"/>
      <c r="F106" s="270"/>
      <c r="G106" s="270"/>
      <c r="H106" s="270"/>
      <c r="I106" s="270"/>
      <c r="J106" s="270"/>
      <c r="K106" s="270"/>
      <c r="L106" s="270"/>
      <c r="M106" s="260"/>
    </row>
    <row r="107" spans="1:13" ht="20.100000000000001" customHeight="1">
      <c r="A107" s="269"/>
      <c r="B107" s="270"/>
      <c r="C107" s="270"/>
      <c r="D107" s="270"/>
      <c r="E107" s="270"/>
      <c r="F107" s="270"/>
      <c r="G107" s="270"/>
      <c r="H107" s="270"/>
      <c r="I107" s="270"/>
      <c r="J107" s="270"/>
      <c r="K107" s="270"/>
      <c r="L107" s="270"/>
      <c r="M107" s="260"/>
    </row>
    <row r="108" spans="1:13" ht="20.100000000000001" customHeight="1">
      <c r="A108" s="269"/>
      <c r="B108" s="270"/>
      <c r="C108" s="270"/>
      <c r="D108" s="270"/>
      <c r="E108" s="270"/>
      <c r="F108" s="270"/>
      <c r="G108" s="270"/>
      <c r="H108" s="270"/>
      <c r="I108" s="270"/>
      <c r="J108" s="270"/>
      <c r="K108" s="270"/>
      <c r="L108" s="270"/>
      <c r="M108" s="260"/>
    </row>
    <row r="109" spans="1:13" ht="20.100000000000001" customHeight="1">
      <c r="A109" s="269"/>
      <c r="B109" s="270"/>
      <c r="C109" s="270"/>
      <c r="D109" s="270"/>
      <c r="E109" s="270"/>
      <c r="F109" s="270"/>
      <c r="G109" s="270"/>
      <c r="H109" s="270"/>
      <c r="I109" s="270"/>
      <c r="J109" s="270"/>
      <c r="K109" s="270"/>
      <c r="L109" s="270"/>
      <c r="M109" s="260"/>
    </row>
    <row r="110" spans="1:13" ht="20.100000000000001" customHeight="1">
      <c r="A110" s="269"/>
      <c r="B110" s="270"/>
      <c r="C110" s="270"/>
      <c r="D110" s="270"/>
      <c r="E110" s="270"/>
      <c r="F110" s="270"/>
      <c r="G110" s="270"/>
      <c r="H110" s="270"/>
      <c r="I110" s="270"/>
      <c r="J110" s="270"/>
      <c r="K110" s="270"/>
      <c r="L110" s="270"/>
      <c r="M110" s="260"/>
    </row>
    <row r="111" spans="1:13" ht="20.100000000000001" customHeight="1">
      <c r="A111" s="269"/>
      <c r="B111" s="270"/>
      <c r="C111" s="270"/>
      <c r="D111" s="270"/>
      <c r="E111" s="270"/>
      <c r="F111" s="270"/>
      <c r="G111" s="270"/>
      <c r="H111" s="270"/>
      <c r="I111" s="270"/>
      <c r="J111" s="270"/>
      <c r="K111" s="270"/>
      <c r="L111" s="270"/>
      <c r="M111" s="260"/>
    </row>
    <row r="112" spans="1:13" ht="20.100000000000001" customHeight="1">
      <c r="A112" s="269"/>
      <c r="B112" s="270"/>
      <c r="C112" s="270"/>
      <c r="D112" s="270"/>
      <c r="E112" s="270"/>
      <c r="F112" s="270"/>
      <c r="G112" s="270"/>
      <c r="H112" s="270"/>
      <c r="I112" s="270"/>
      <c r="J112" s="270"/>
      <c r="K112" s="270"/>
      <c r="L112" s="270"/>
      <c r="M112" s="260"/>
    </row>
    <row r="113" spans="1:13" ht="20.100000000000001" customHeight="1">
      <c r="A113" s="269"/>
      <c r="B113" s="270"/>
      <c r="C113" s="270"/>
      <c r="D113" s="270"/>
      <c r="E113" s="270"/>
      <c r="F113" s="270"/>
      <c r="G113" s="270"/>
      <c r="H113" s="270"/>
      <c r="I113" s="270"/>
      <c r="J113" s="270"/>
      <c r="K113" s="270"/>
      <c r="L113" s="270"/>
      <c r="M113" s="260"/>
    </row>
    <row r="114" spans="1:13" ht="20.100000000000001" customHeight="1">
      <c r="A114" s="269"/>
      <c r="B114" s="270"/>
      <c r="C114" s="270"/>
      <c r="D114" s="270"/>
      <c r="E114" s="270"/>
      <c r="F114" s="270"/>
      <c r="G114" s="270"/>
      <c r="H114" s="270"/>
      <c r="I114" s="270"/>
      <c r="J114" s="270"/>
      <c r="K114" s="270"/>
      <c r="L114" s="270"/>
      <c r="M114" s="260"/>
    </row>
    <row r="115" spans="1:13" ht="20.100000000000001" customHeight="1">
      <c r="A115" s="269"/>
      <c r="B115" s="270"/>
      <c r="C115" s="270"/>
      <c r="D115" s="270"/>
      <c r="E115" s="270"/>
      <c r="F115" s="270"/>
      <c r="G115" s="270"/>
      <c r="H115" s="270"/>
      <c r="I115" s="270"/>
      <c r="J115" s="270"/>
      <c r="K115" s="270"/>
      <c r="L115" s="270"/>
      <c r="M115" s="260"/>
    </row>
    <row r="116" spans="1:13" ht="20.100000000000001" customHeight="1">
      <c r="A116" s="269"/>
      <c r="B116" s="270"/>
      <c r="C116" s="270"/>
      <c r="D116" s="270"/>
      <c r="E116" s="270"/>
      <c r="F116" s="270"/>
      <c r="G116" s="270"/>
      <c r="H116" s="270"/>
      <c r="I116" s="270"/>
      <c r="J116" s="270"/>
      <c r="K116" s="270"/>
      <c r="L116" s="270"/>
      <c r="M116" s="260"/>
    </row>
    <row r="117" spans="1:13" ht="20.100000000000001" customHeight="1">
      <c r="A117" s="269"/>
      <c r="B117" s="270"/>
      <c r="C117" s="270"/>
      <c r="D117" s="270"/>
      <c r="E117" s="270"/>
      <c r="F117" s="270"/>
      <c r="G117" s="270"/>
      <c r="H117" s="270"/>
      <c r="I117" s="270"/>
      <c r="J117" s="270"/>
      <c r="K117" s="270"/>
      <c r="L117" s="270"/>
      <c r="M117" s="260"/>
    </row>
    <row r="118" spans="1:13" ht="20.100000000000001" customHeight="1">
      <c r="A118" s="269"/>
      <c r="B118" s="270"/>
      <c r="C118" s="270"/>
      <c r="D118" s="270"/>
      <c r="E118" s="270"/>
      <c r="F118" s="270"/>
      <c r="G118" s="270"/>
      <c r="H118" s="270"/>
      <c r="I118" s="270"/>
      <c r="J118" s="270"/>
      <c r="K118" s="270"/>
      <c r="L118" s="270"/>
      <c r="M118" s="260"/>
    </row>
    <row r="119" spans="1:13" ht="20.100000000000001" customHeight="1">
      <c r="A119" s="269"/>
      <c r="B119" s="270"/>
      <c r="C119" s="270"/>
      <c r="D119" s="270"/>
      <c r="E119" s="270"/>
      <c r="F119" s="270"/>
      <c r="G119" s="270"/>
      <c r="H119" s="270"/>
      <c r="I119" s="270"/>
      <c r="J119" s="270"/>
      <c r="K119" s="270"/>
      <c r="L119" s="270"/>
      <c r="M119" s="260"/>
    </row>
    <row r="120" spans="1:13" ht="20.100000000000001" customHeight="1">
      <c r="A120" s="269"/>
      <c r="B120" s="270"/>
      <c r="C120" s="270"/>
      <c r="D120" s="270"/>
      <c r="E120" s="270"/>
      <c r="F120" s="270"/>
      <c r="G120" s="270"/>
      <c r="H120" s="270"/>
      <c r="I120" s="270"/>
      <c r="J120" s="270"/>
      <c r="K120" s="270"/>
      <c r="L120" s="270"/>
      <c r="M120" s="260"/>
    </row>
    <row r="121" spans="1:13" ht="20.100000000000001" customHeight="1">
      <c r="A121" s="269"/>
      <c r="B121" s="270"/>
      <c r="C121" s="270"/>
      <c r="D121" s="270"/>
      <c r="E121" s="270"/>
      <c r="F121" s="270"/>
      <c r="G121" s="270"/>
      <c r="H121" s="270"/>
      <c r="I121" s="270"/>
      <c r="J121" s="270"/>
      <c r="K121" s="270"/>
      <c r="L121" s="270"/>
      <c r="M121" s="260"/>
    </row>
    <row r="122" spans="1:13" ht="20.100000000000001" customHeight="1">
      <c r="A122" s="269"/>
      <c r="B122" s="270"/>
      <c r="C122" s="270"/>
      <c r="D122" s="270"/>
      <c r="E122" s="270"/>
      <c r="F122" s="270"/>
      <c r="G122" s="270"/>
      <c r="H122" s="270"/>
      <c r="I122" s="270"/>
      <c r="J122" s="270"/>
      <c r="K122" s="270"/>
      <c r="L122" s="270"/>
      <c r="M122" s="260"/>
    </row>
    <row r="123" spans="1:13" ht="20.100000000000001" customHeight="1">
      <c r="A123" s="269"/>
      <c r="B123" s="270"/>
      <c r="C123" s="270"/>
      <c r="D123" s="270"/>
      <c r="E123" s="270"/>
      <c r="F123" s="270"/>
      <c r="G123" s="270"/>
      <c r="H123" s="270"/>
      <c r="I123" s="270"/>
      <c r="J123" s="270"/>
      <c r="K123" s="270"/>
      <c r="L123" s="270"/>
      <c r="M123" s="260"/>
    </row>
    <row r="124" spans="1:13" ht="20.100000000000001" customHeight="1">
      <c r="A124" s="269"/>
      <c r="B124" s="270"/>
      <c r="C124" s="270"/>
      <c r="D124" s="270"/>
      <c r="E124" s="270"/>
      <c r="F124" s="270"/>
      <c r="G124" s="270"/>
      <c r="H124" s="270"/>
      <c r="I124" s="270"/>
      <c r="J124" s="270"/>
      <c r="K124" s="270"/>
      <c r="L124" s="270"/>
      <c r="M124" s="260"/>
    </row>
    <row r="125" spans="1:13" ht="20.100000000000001" customHeight="1">
      <c r="A125" s="269"/>
      <c r="B125" s="270"/>
      <c r="C125" s="270"/>
      <c r="D125" s="270"/>
      <c r="E125" s="270"/>
      <c r="F125" s="270"/>
      <c r="G125" s="270"/>
      <c r="H125" s="270"/>
      <c r="I125" s="270"/>
      <c r="J125" s="270"/>
      <c r="K125" s="270"/>
      <c r="L125" s="270"/>
      <c r="M125" s="260"/>
    </row>
    <row r="126" spans="1:13" ht="20.100000000000001" customHeight="1">
      <c r="A126" s="269"/>
      <c r="B126" s="270"/>
      <c r="C126" s="270"/>
      <c r="D126" s="270"/>
      <c r="E126" s="270"/>
      <c r="F126" s="270"/>
      <c r="G126" s="270"/>
      <c r="H126" s="270"/>
      <c r="I126" s="270"/>
      <c r="J126" s="270"/>
      <c r="K126" s="270"/>
      <c r="L126" s="270"/>
      <c r="M126" s="260"/>
    </row>
    <row r="127" spans="1:13" ht="20.100000000000001" customHeight="1">
      <c r="A127" s="269"/>
      <c r="B127" s="270"/>
      <c r="C127" s="270"/>
      <c r="D127" s="270"/>
      <c r="E127" s="270"/>
      <c r="F127" s="270"/>
      <c r="G127" s="270"/>
      <c r="H127" s="270"/>
      <c r="I127" s="270"/>
      <c r="J127" s="270"/>
      <c r="K127" s="270"/>
      <c r="L127" s="270"/>
      <c r="M127" s="260"/>
    </row>
    <row r="128" spans="1:13" ht="20.100000000000001" customHeight="1">
      <c r="A128" s="269"/>
      <c r="B128" s="270"/>
      <c r="C128" s="270"/>
      <c r="D128" s="270"/>
      <c r="E128" s="270"/>
      <c r="F128" s="270"/>
      <c r="G128" s="270"/>
      <c r="H128" s="270"/>
      <c r="I128" s="270"/>
      <c r="J128" s="270"/>
      <c r="K128" s="270"/>
      <c r="L128" s="270"/>
      <c r="M128" s="260"/>
    </row>
    <row r="129" spans="1:13" ht="20.100000000000001" customHeight="1">
      <c r="A129" s="269"/>
      <c r="B129" s="270"/>
      <c r="C129" s="270"/>
      <c r="D129" s="270"/>
      <c r="E129" s="270"/>
      <c r="F129" s="270"/>
      <c r="G129" s="270"/>
      <c r="H129" s="270"/>
      <c r="I129" s="270"/>
      <c r="J129" s="270"/>
      <c r="K129" s="270"/>
      <c r="L129" s="270"/>
      <c r="M129" s="260"/>
    </row>
    <row r="130" spans="1:13" ht="20.100000000000001" customHeight="1">
      <c r="A130" s="269"/>
      <c r="B130" s="270"/>
      <c r="C130" s="270"/>
      <c r="D130" s="270"/>
      <c r="E130" s="270"/>
      <c r="F130" s="270"/>
      <c r="G130" s="270"/>
      <c r="H130" s="270"/>
      <c r="I130" s="270"/>
      <c r="J130" s="270"/>
      <c r="K130" s="270"/>
      <c r="L130" s="270"/>
      <c r="M130" s="260"/>
    </row>
    <row r="131" spans="1:13" ht="20.100000000000001" customHeight="1">
      <c r="A131" s="269"/>
      <c r="B131" s="270"/>
      <c r="C131" s="270"/>
      <c r="D131" s="270"/>
      <c r="E131" s="270"/>
      <c r="F131" s="270"/>
      <c r="G131" s="270"/>
      <c r="H131" s="270"/>
      <c r="I131" s="270"/>
      <c r="J131" s="270"/>
      <c r="K131" s="270"/>
      <c r="L131" s="270"/>
      <c r="M131" s="260"/>
    </row>
    <row r="132" spans="1:13" ht="20.100000000000001" customHeight="1">
      <c r="A132" s="269"/>
      <c r="B132" s="270"/>
      <c r="C132" s="270"/>
      <c r="D132" s="270"/>
      <c r="E132" s="270"/>
      <c r="F132" s="270"/>
      <c r="G132" s="270"/>
      <c r="H132" s="270"/>
      <c r="I132" s="270"/>
      <c r="J132" s="270"/>
      <c r="K132" s="270"/>
      <c r="L132" s="270"/>
      <c r="M132" s="260"/>
    </row>
    <row r="133" spans="1:13" ht="20.100000000000001" customHeight="1">
      <c r="A133" s="269"/>
      <c r="B133" s="270"/>
      <c r="C133" s="270"/>
      <c r="D133" s="270"/>
      <c r="E133" s="270"/>
      <c r="F133" s="270"/>
      <c r="G133" s="270"/>
      <c r="H133" s="270"/>
      <c r="I133" s="270"/>
      <c r="J133" s="270"/>
      <c r="K133" s="270"/>
      <c r="L133" s="270"/>
      <c r="M133" s="260"/>
    </row>
    <row r="134" spans="1:13" ht="20.100000000000001" customHeight="1">
      <c r="A134" s="269"/>
      <c r="B134" s="270"/>
      <c r="C134" s="270"/>
      <c r="D134" s="270"/>
      <c r="E134" s="270"/>
      <c r="F134" s="270"/>
      <c r="G134" s="270"/>
      <c r="H134" s="270"/>
      <c r="I134" s="270"/>
      <c r="J134" s="270"/>
      <c r="K134" s="270"/>
      <c r="L134" s="270"/>
      <c r="M134" s="260"/>
    </row>
    <row r="135" spans="1:13" ht="20.100000000000001" customHeight="1">
      <c r="A135" s="269"/>
      <c r="B135" s="270"/>
      <c r="C135" s="270"/>
      <c r="D135" s="270"/>
      <c r="E135" s="270"/>
      <c r="F135" s="270"/>
      <c r="G135" s="270"/>
      <c r="H135" s="270"/>
      <c r="I135" s="270"/>
      <c r="J135" s="270"/>
      <c r="K135" s="270"/>
      <c r="L135" s="270"/>
      <c r="M135" s="260"/>
    </row>
    <row r="136" spans="1:13" ht="20.100000000000001" customHeight="1">
      <c r="A136" s="269"/>
      <c r="B136" s="270"/>
      <c r="C136" s="270"/>
      <c r="D136" s="270"/>
      <c r="E136" s="270"/>
      <c r="F136" s="270"/>
      <c r="G136" s="270"/>
      <c r="H136" s="270"/>
      <c r="I136" s="270"/>
      <c r="J136" s="270"/>
      <c r="K136" s="270"/>
      <c r="L136" s="270"/>
      <c r="M136" s="260"/>
    </row>
    <row r="137" spans="1:13" ht="20.100000000000001" customHeight="1">
      <c r="A137" s="269"/>
      <c r="B137" s="270"/>
      <c r="C137" s="270"/>
      <c r="D137" s="270"/>
      <c r="E137" s="270"/>
      <c r="F137" s="270"/>
      <c r="G137" s="270"/>
      <c r="H137" s="270"/>
      <c r="I137" s="270"/>
      <c r="J137" s="270"/>
      <c r="K137" s="270"/>
      <c r="L137" s="270"/>
      <c r="M137" s="260"/>
    </row>
    <row r="138" spans="1:13" ht="20.100000000000001" customHeight="1">
      <c r="A138" s="269"/>
      <c r="B138" s="270"/>
      <c r="C138" s="270"/>
      <c r="D138" s="270"/>
      <c r="E138" s="270"/>
      <c r="F138" s="270"/>
      <c r="G138" s="270"/>
      <c r="H138" s="270"/>
      <c r="I138" s="270"/>
      <c r="J138" s="270"/>
      <c r="K138" s="270"/>
      <c r="L138" s="270"/>
      <c r="M138" s="260"/>
    </row>
    <row r="139" spans="1:13" ht="20.100000000000001" customHeight="1">
      <c r="A139" s="269"/>
      <c r="B139" s="270"/>
      <c r="C139" s="270"/>
      <c r="D139" s="270"/>
      <c r="E139" s="270"/>
      <c r="F139" s="270"/>
      <c r="G139" s="270"/>
      <c r="H139" s="270"/>
      <c r="I139" s="270"/>
      <c r="J139" s="270"/>
      <c r="K139" s="270"/>
      <c r="L139" s="270"/>
      <c r="M139" s="260"/>
    </row>
    <row r="140" spans="1:13" ht="20.100000000000001" customHeight="1">
      <c r="A140" s="269"/>
      <c r="B140" s="270"/>
      <c r="C140" s="270"/>
      <c r="D140" s="270"/>
      <c r="E140" s="270"/>
      <c r="F140" s="270"/>
      <c r="G140" s="270"/>
      <c r="H140" s="270"/>
      <c r="I140" s="270"/>
      <c r="J140" s="270"/>
      <c r="K140" s="270"/>
      <c r="L140" s="270"/>
      <c r="M140" s="260"/>
    </row>
    <row r="141" spans="1:13" ht="20.100000000000001" customHeight="1">
      <c r="A141" s="269"/>
      <c r="B141" s="270"/>
      <c r="C141" s="270"/>
      <c r="D141" s="270"/>
      <c r="E141" s="270"/>
      <c r="F141" s="270"/>
      <c r="G141" s="270"/>
      <c r="H141" s="270"/>
      <c r="I141" s="270"/>
      <c r="J141" s="270"/>
      <c r="K141" s="270"/>
      <c r="L141" s="270"/>
      <c r="M141" s="260"/>
    </row>
    <row r="142" spans="1:13" ht="20.100000000000001" customHeight="1">
      <c r="A142" s="269"/>
      <c r="B142" s="270"/>
      <c r="C142" s="270"/>
      <c r="D142" s="270"/>
      <c r="E142" s="270"/>
      <c r="F142" s="270"/>
      <c r="G142" s="270"/>
      <c r="H142" s="270"/>
      <c r="I142" s="270"/>
      <c r="J142" s="270"/>
      <c r="K142" s="270"/>
      <c r="L142" s="270"/>
      <c r="M142" s="260"/>
    </row>
    <row r="143" spans="1:13" ht="20.100000000000001" customHeight="1">
      <c r="A143" s="269"/>
      <c r="B143" s="270"/>
      <c r="C143" s="270"/>
      <c r="D143" s="270"/>
      <c r="E143" s="270"/>
      <c r="F143" s="270"/>
      <c r="G143" s="270"/>
      <c r="H143" s="270"/>
      <c r="I143" s="270"/>
      <c r="J143" s="270"/>
      <c r="K143" s="270"/>
      <c r="L143" s="270"/>
      <c r="M143" s="260"/>
    </row>
    <row r="144" spans="1:13" ht="20.100000000000001" customHeight="1">
      <c r="A144" s="269"/>
      <c r="B144" s="270"/>
      <c r="C144" s="270"/>
      <c r="D144" s="270"/>
      <c r="E144" s="270"/>
      <c r="F144" s="270"/>
      <c r="G144" s="270"/>
      <c r="H144" s="270"/>
      <c r="I144" s="270"/>
      <c r="J144" s="270"/>
      <c r="K144" s="270"/>
      <c r="L144" s="270"/>
      <c r="M144" s="260"/>
    </row>
    <row r="145" spans="1:13" ht="20.100000000000001" customHeight="1">
      <c r="A145" s="269"/>
      <c r="B145" s="270"/>
      <c r="C145" s="270"/>
      <c r="D145" s="270"/>
      <c r="E145" s="270"/>
      <c r="F145" s="270"/>
      <c r="G145" s="270"/>
      <c r="H145" s="270"/>
      <c r="I145" s="270"/>
      <c r="J145" s="270"/>
      <c r="K145" s="270"/>
      <c r="L145" s="270"/>
      <c r="M145" s="260"/>
    </row>
    <row r="146" spans="1:13" ht="20.100000000000001" customHeight="1">
      <c r="A146" s="269"/>
      <c r="B146" s="270"/>
      <c r="C146" s="270"/>
      <c r="D146" s="270"/>
      <c r="E146" s="270"/>
      <c r="F146" s="270"/>
      <c r="G146" s="270"/>
      <c r="H146" s="270"/>
      <c r="I146" s="270"/>
      <c r="J146" s="270"/>
      <c r="K146" s="270"/>
      <c r="L146" s="270"/>
      <c r="M146" s="260"/>
    </row>
    <row r="147" spans="1:13" ht="20.100000000000001" customHeight="1">
      <c r="A147" s="269"/>
      <c r="B147" s="270"/>
      <c r="C147" s="270"/>
      <c r="D147" s="270"/>
      <c r="E147" s="270"/>
      <c r="F147" s="270"/>
      <c r="G147" s="270"/>
      <c r="H147" s="270"/>
      <c r="I147" s="270"/>
      <c r="J147" s="270"/>
      <c r="K147" s="270"/>
      <c r="L147" s="270"/>
      <c r="M147" s="260"/>
    </row>
    <row r="148" spans="1:13" ht="20.100000000000001" customHeight="1">
      <c r="A148" s="269"/>
      <c r="B148" s="270"/>
      <c r="C148" s="270"/>
      <c r="D148" s="270"/>
      <c r="E148" s="270"/>
      <c r="F148" s="270"/>
      <c r="G148" s="270"/>
      <c r="H148" s="270"/>
      <c r="I148" s="270"/>
      <c r="J148" s="270"/>
      <c r="K148" s="270"/>
      <c r="L148" s="270"/>
      <c r="M148" s="260"/>
    </row>
    <row r="149" spans="1:13" ht="20.100000000000001" customHeight="1">
      <c r="A149" s="269"/>
      <c r="B149" s="270"/>
      <c r="C149" s="270"/>
      <c r="D149" s="270"/>
      <c r="E149" s="270"/>
      <c r="F149" s="270"/>
      <c r="G149" s="270"/>
      <c r="H149" s="270"/>
      <c r="I149" s="270"/>
      <c r="J149" s="270"/>
      <c r="K149" s="270"/>
      <c r="L149" s="270"/>
      <c r="M149" s="260"/>
    </row>
    <row r="150" spans="1:13" ht="20.100000000000001" customHeight="1">
      <c r="A150" s="269"/>
      <c r="B150" s="270"/>
      <c r="C150" s="270"/>
      <c r="D150" s="270"/>
      <c r="E150" s="270"/>
      <c r="F150" s="270"/>
      <c r="G150" s="270"/>
      <c r="H150" s="270"/>
      <c r="I150" s="270"/>
      <c r="J150" s="270"/>
      <c r="K150" s="270"/>
      <c r="L150" s="270"/>
      <c r="M150" s="260"/>
    </row>
    <row r="151" spans="1:13" ht="20.100000000000001" customHeight="1">
      <c r="A151" s="269"/>
      <c r="B151" s="270"/>
      <c r="C151" s="270"/>
      <c r="D151" s="270"/>
      <c r="E151" s="270"/>
      <c r="F151" s="270"/>
      <c r="G151" s="270"/>
      <c r="H151" s="270"/>
      <c r="I151" s="270"/>
      <c r="J151" s="270"/>
      <c r="K151" s="270"/>
      <c r="L151" s="270"/>
      <c r="M151" s="260"/>
    </row>
    <row r="152" spans="1:13" ht="20.100000000000001" customHeight="1">
      <c r="A152" s="269"/>
      <c r="B152" s="270"/>
      <c r="C152" s="270"/>
      <c r="D152" s="270"/>
      <c r="E152" s="270"/>
      <c r="F152" s="270"/>
      <c r="G152" s="270"/>
      <c r="H152" s="270"/>
      <c r="I152" s="270"/>
      <c r="J152" s="270"/>
      <c r="K152" s="270"/>
      <c r="L152" s="270"/>
      <c r="M152" s="260"/>
    </row>
    <row r="153" spans="1:13" ht="20.100000000000001" customHeight="1">
      <c r="A153" s="269"/>
      <c r="B153" s="270"/>
      <c r="C153" s="270"/>
      <c r="D153" s="270"/>
      <c r="E153" s="270"/>
      <c r="F153" s="270"/>
      <c r="G153" s="270"/>
      <c r="H153" s="270"/>
      <c r="I153" s="270"/>
      <c r="J153" s="270"/>
      <c r="K153" s="270"/>
      <c r="L153" s="270"/>
      <c r="M153" s="260"/>
    </row>
    <row r="154" spans="1:13" ht="20.100000000000001" customHeight="1">
      <c r="A154" s="269"/>
      <c r="B154" s="270"/>
      <c r="C154" s="270"/>
      <c r="D154" s="270"/>
      <c r="E154" s="270"/>
      <c r="F154" s="270"/>
      <c r="G154" s="270"/>
      <c r="H154" s="270"/>
      <c r="I154" s="270"/>
      <c r="J154" s="270"/>
      <c r="K154" s="270"/>
      <c r="L154" s="270"/>
      <c r="M154" s="260"/>
    </row>
    <row r="155" spans="1:13" ht="20.100000000000001" customHeight="1">
      <c r="A155" s="269"/>
      <c r="B155" s="270"/>
      <c r="C155" s="270"/>
      <c r="D155" s="270"/>
      <c r="E155" s="270"/>
      <c r="F155" s="270"/>
      <c r="G155" s="270"/>
      <c r="H155" s="270"/>
      <c r="I155" s="270"/>
      <c r="J155" s="270"/>
      <c r="K155" s="270"/>
      <c r="L155" s="270"/>
      <c r="M155" s="260"/>
    </row>
    <row r="156" spans="1:13" ht="20.100000000000001" customHeight="1">
      <c r="A156" s="269"/>
      <c r="B156" s="270"/>
      <c r="C156" s="270"/>
      <c r="D156" s="270"/>
      <c r="E156" s="270"/>
      <c r="F156" s="270"/>
      <c r="G156" s="270"/>
      <c r="H156" s="270"/>
      <c r="I156" s="270"/>
      <c r="J156" s="270"/>
      <c r="K156" s="270"/>
      <c r="L156" s="270"/>
      <c r="M156" s="260"/>
    </row>
    <row r="157" spans="1:13" ht="20.100000000000001" customHeight="1">
      <c r="A157" s="269"/>
      <c r="B157" s="270"/>
      <c r="C157" s="270"/>
      <c r="D157" s="270"/>
      <c r="E157" s="270"/>
      <c r="F157" s="270"/>
      <c r="G157" s="270"/>
      <c r="H157" s="270"/>
      <c r="I157" s="270"/>
      <c r="J157" s="270"/>
      <c r="K157" s="270"/>
      <c r="L157" s="270"/>
      <c r="M157" s="260"/>
    </row>
    <row r="158" spans="1:13" ht="20.100000000000001" customHeight="1">
      <c r="A158" s="269"/>
      <c r="B158" s="270"/>
      <c r="C158" s="270"/>
      <c r="D158" s="270"/>
      <c r="E158" s="270"/>
      <c r="F158" s="270"/>
      <c r="G158" s="270"/>
      <c r="H158" s="270"/>
      <c r="I158" s="270"/>
      <c r="J158" s="270"/>
      <c r="K158" s="270"/>
      <c r="L158" s="270"/>
      <c r="M158" s="260"/>
    </row>
    <row r="159" spans="1:13" ht="20.100000000000001" customHeight="1">
      <c r="A159" s="269"/>
      <c r="B159" s="270"/>
      <c r="C159" s="270"/>
      <c r="D159" s="270"/>
      <c r="E159" s="270"/>
      <c r="F159" s="270"/>
      <c r="G159" s="270"/>
      <c r="H159" s="270"/>
      <c r="I159" s="270"/>
      <c r="J159" s="270"/>
      <c r="K159" s="270"/>
      <c r="L159" s="270"/>
      <c r="M159" s="260"/>
    </row>
    <row r="160" spans="1:13" ht="20.100000000000001" customHeight="1">
      <c r="A160" s="269"/>
      <c r="B160" s="270"/>
      <c r="C160" s="270"/>
      <c r="D160" s="270"/>
      <c r="E160" s="270"/>
      <c r="F160" s="270"/>
      <c r="G160" s="270"/>
      <c r="H160" s="270"/>
      <c r="I160" s="270"/>
      <c r="J160" s="270"/>
      <c r="K160" s="270"/>
      <c r="L160" s="270"/>
      <c r="M160" s="260"/>
    </row>
    <row r="161" spans="1:13" ht="20.100000000000001" customHeight="1">
      <c r="A161" s="269"/>
      <c r="B161" s="270"/>
      <c r="C161" s="270"/>
      <c r="D161" s="270"/>
      <c r="E161" s="270"/>
      <c r="F161" s="270"/>
      <c r="G161" s="270"/>
      <c r="H161" s="270"/>
      <c r="I161" s="270"/>
      <c r="J161" s="270"/>
      <c r="K161" s="270"/>
      <c r="L161" s="270"/>
      <c r="M161" s="260"/>
    </row>
    <row r="162" spans="1:13" ht="20.100000000000001" customHeight="1">
      <c r="A162" s="269"/>
      <c r="B162" s="270"/>
      <c r="C162" s="270"/>
      <c r="D162" s="270"/>
      <c r="E162" s="270"/>
      <c r="F162" s="270"/>
      <c r="G162" s="270"/>
      <c r="H162" s="270"/>
      <c r="I162" s="270"/>
      <c r="J162" s="270"/>
      <c r="K162" s="270"/>
      <c r="L162" s="270"/>
      <c r="M162" s="260"/>
    </row>
    <row r="163" spans="1:13" ht="20.100000000000001" customHeight="1">
      <c r="A163" s="269"/>
      <c r="B163" s="270"/>
      <c r="C163" s="270"/>
      <c r="D163" s="270"/>
      <c r="E163" s="270"/>
      <c r="F163" s="270"/>
      <c r="G163" s="270"/>
      <c r="H163" s="270"/>
      <c r="I163" s="270"/>
      <c r="J163" s="270"/>
      <c r="K163" s="270"/>
      <c r="L163" s="270"/>
      <c r="M163" s="260"/>
    </row>
    <row r="164" spans="1:13" ht="20.100000000000001" customHeight="1">
      <c r="A164" s="269"/>
      <c r="B164" s="270"/>
      <c r="C164" s="270"/>
      <c r="D164" s="270"/>
      <c r="E164" s="270"/>
      <c r="F164" s="270"/>
      <c r="G164" s="270"/>
      <c r="H164" s="270"/>
      <c r="I164" s="270"/>
      <c r="J164" s="270"/>
      <c r="K164" s="270"/>
      <c r="L164" s="270"/>
      <c r="M164" s="260"/>
    </row>
    <row r="165" spans="1:13" ht="20.100000000000001" customHeight="1">
      <c r="A165" s="269"/>
      <c r="B165" s="270"/>
      <c r="C165" s="270"/>
      <c r="D165" s="270"/>
      <c r="E165" s="270"/>
      <c r="F165" s="270"/>
      <c r="G165" s="270"/>
      <c r="H165" s="270"/>
      <c r="I165" s="270"/>
      <c r="J165" s="270"/>
      <c r="K165" s="270"/>
      <c r="L165" s="270"/>
      <c r="M165" s="260"/>
    </row>
    <row r="166" spans="1:13" ht="20.100000000000001" customHeight="1">
      <c r="A166" s="269"/>
      <c r="B166" s="270"/>
      <c r="C166" s="270"/>
      <c r="D166" s="270"/>
      <c r="E166" s="270"/>
      <c r="F166" s="270"/>
      <c r="G166" s="270"/>
      <c r="H166" s="270"/>
      <c r="I166" s="270"/>
      <c r="J166" s="270"/>
      <c r="K166" s="270"/>
      <c r="L166" s="270"/>
      <c r="M166" s="260"/>
    </row>
    <row r="167" spans="1:13" ht="20.100000000000001" customHeight="1">
      <c r="A167" s="269"/>
      <c r="B167" s="270"/>
      <c r="C167" s="270"/>
      <c r="D167" s="270"/>
      <c r="E167" s="270"/>
      <c r="F167" s="270"/>
      <c r="G167" s="270"/>
      <c r="H167" s="270"/>
      <c r="I167" s="270"/>
      <c r="J167" s="270"/>
      <c r="K167" s="270"/>
      <c r="L167" s="270"/>
      <c r="M167" s="260"/>
    </row>
    <row r="168" spans="1:13" ht="20.100000000000001" customHeight="1">
      <c r="A168" s="269"/>
      <c r="B168" s="270"/>
      <c r="C168" s="270"/>
      <c r="D168" s="270"/>
      <c r="E168" s="270"/>
      <c r="F168" s="270"/>
      <c r="G168" s="270"/>
      <c r="H168" s="270"/>
      <c r="I168" s="270"/>
      <c r="J168" s="270"/>
      <c r="K168" s="270"/>
      <c r="L168" s="270"/>
      <c r="M168" s="260"/>
    </row>
    <row r="169" spans="1:13" ht="20.100000000000001" customHeight="1">
      <c r="A169" s="269"/>
      <c r="B169" s="270"/>
      <c r="C169" s="270"/>
      <c r="D169" s="270"/>
      <c r="E169" s="270"/>
      <c r="F169" s="270"/>
      <c r="G169" s="270"/>
      <c r="H169" s="270"/>
      <c r="I169" s="270"/>
      <c r="J169" s="270"/>
      <c r="K169" s="270"/>
      <c r="L169" s="270"/>
      <c r="M169" s="260"/>
    </row>
    <row r="170" spans="1:13" ht="20.100000000000001" customHeight="1">
      <c r="A170" s="269"/>
      <c r="B170" s="270"/>
      <c r="C170" s="270"/>
      <c r="D170" s="270"/>
      <c r="E170" s="270"/>
      <c r="F170" s="270"/>
      <c r="G170" s="270"/>
      <c r="H170" s="270"/>
      <c r="I170" s="270"/>
      <c r="J170" s="270"/>
      <c r="K170" s="270"/>
      <c r="L170" s="270"/>
      <c r="M170" s="260"/>
    </row>
    <row r="171" spans="1:13" ht="20.100000000000001" customHeight="1">
      <c r="A171" s="269"/>
      <c r="B171" s="270"/>
      <c r="C171" s="270"/>
      <c r="D171" s="270"/>
      <c r="E171" s="270"/>
      <c r="F171" s="270"/>
      <c r="G171" s="270"/>
      <c r="H171" s="270"/>
      <c r="I171" s="270"/>
      <c r="J171" s="270"/>
      <c r="K171" s="270"/>
      <c r="L171" s="270"/>
      <c r="M171" s="260"/>
    </row>
    <row r="172" spans="1:13" ht="20.100000000000001" customHeight="1">
      <c r="A172" s="269"/>
      <c r="B172" s="270"/>
      <c r="C172" s="270"/>
      <c r="D172" s="270"/>
      <c r="E172" s="270"/>
      <c r="F172" s="270"/>
      <c r="G172" s="270"/>
      <c r="H172" s="270"/>
      <c r="I172" s="270"/>
      <c r="J172" s="270"/>
      <c r="K172" s="270"/>
      <c r="L172" s="270"/>
      <c r="M172" s="260"/>
    </row>
    <row r="173" spans="1:13" ht="20.100000000000001" customHeight="1">
      <c r="A173" s="269"/>
      <c r="B173" s="270"/>
      <c r="C173" s="270"/>
      <c r="D173" s="270"/>
      <c r="E173" s="270"/>
      <c r="F173" s="270"/>
      <c r="G173" s="270"/>
      <c r="H173" s="270"/>
      <c r="I173" s="270"/>
      <c r="J173" s="270"/>
      <c r="K173" s="270"/>
      <c r="L173" s="270"/>
      <c r="M173" s="260"/>
    </row>
    <row r="174" spans="1:13" ht="20.100000000000001" customHeight="1">
      <c r="A174" s="269"/>
      <c r="B174" s="270"/>
      <c r="C174" s="270"/>
      <c r="D174" s="270"/>
      <c r="E174" s="270"/>
      <c r="F174" s="270"/>
      <c r="G174" s="270"/>
      <c r="H174" s="270"/>
      <c r="I174" s="270"/>
      <c r="J174" s="270"/>
      <c r="K174" s="270"/>
      <c r="L174" s="270"/>
      <c r="M174" s="260"/>
    </row>
    <row r="175" spans="1:13" ht="20.100000000000001" customHeight="1">
      <c r="A175" s="269"/>
      <c r="B175" s="270"/>
      <c r="C175" s="270"/>
      <c r="D175" s="270"/>
      <c r="E175" s="270"/>
      <c r="F175" s="270"/>
      <c r="G175" s="270"/>
      <c r="H175" s="270"/>
      <c r="I175" s="270"/>
      <c r="J175" s="270"/>
      <c r="K175" s="270"/>
      <c r="L175" s="270"/>
      <c r="M175" s="260"/>
    </row>
    <row r="176" spans="1:13" ht="20.100000000000001" customHeight="1">
      <c r="A176" s="269"/>
      <c r="B176" s="270"/>
      <c r="C176" s="270"/>
      <c r="D176" s="270"/>
      <c r="E176" s="270"/>
      <c r="F176" s="270"/>
      <c r="G176" s="270"/>
      <c r="H176" s="270"/>
      <c r="I176" s="270"/>
      <c r="J176" s="270"/>
      <c r="K176" s="270"/>
      <c r="L176" s="270"/>
      <c r="M176" s="260"/>
    </row>
    <row r="177" spans="1:13" ht="20.100000000000001" customHeight="1">
      <c r="A177" s="269"/>
      <c r="B177" s="270"/>
      <c r="C177" s="270"/>
      <c r="D177" s="270"/>
      <c r="E177" s="270"/>
      <c r="F177" s="270"/>
      <c r="G177" s="270"/>
      <c r="H177" s="270"/>
      <c r="I177" s="270"/>
      <c r="J177" s="270"/>
      <c r="K177" s="270"/>
      <c r="L177" s="270"/>
      <c r="M177" s="260"/>
    </row>
    <row r="178" spans="1:13" ht="20.100000000000001" customHeight="1">
      <c r="A178" s="269"/>
      <c r="B178" s="270"/>
      <c r="C178" s="270"/>
      <c r="D178" s="270"/>
      <c r="E178" s="270"/>
      <c r="F178" s="270"/>
      <c r="G178" s="270"/>
      <c r="H178" s="270"/>
      <c r="I178" s="270"/>
      <c r="J178" s="270"/>
      <c r="K178" s="270"/>
      <c r="L178" s="270"/>
      <c r="M178" s="260"/>
    </row>
    <row r="179" spans="1:13" ht="20.100000000000001" customHeight="1">
      <c r="A179" s="269"/>
      <c r="B179" s="270"/>
      <c r="C179" s="270"/>
      <c r="D179" s="270"/>
      <c r="E179" s="270"/>
      <c r="F179" s="270"/>
      <c r="G179" s="270"/>
      <c r="H179" s="270"/>
      <c r="I179" s="270"/>
      <c r="J179" s="270"/>
      <c r="K179" s="270"/>
      <c r="L179" s="270"/>
      <c r="M179" s="260"/>
    </row>
    <row r="180" spans="1:13" ht="20.100000000000001" customHeight="1">
      <c r="A180" s="269"/>
      <c r="B180" s="270"/>
      <c r="C180" s="270"/>
      <c r="D180" s="270"/>
      <c r="E180" s="270"/>
      <c r="F180" s="270"/>
      <c r="G180" s="270"/>
      <c r="H180" s="270"/>
      <c r="I180" s="270"/>
      <c r="J180" s="270"/>
      <c r="K180" s="270"/>
      <c r="L180" s="270"/>
      <c r="M180" s="260"/>
    </row>
    <row r="181" spans="1:13" ht="20.100000000000001" customHeight="1">
      <c r="A181" s="269"/>
      <c r="B181" s="270"/>
      <c r="C181" s="270"/>
      <c r="D181" s="270"/>
      <c r="E181" s="270"/>
      <c r="F181" s="270"/>
      <c r="G181" s="270"/>
      <c r="H181" s="270"/>
      <c r="I181" s="270"/>
      <c r="J181" s="270"/>
      <c r="K181" s="270"/>
      <c r="L181" s="270"/>
      <c r="M181" s="260"/>
    </row>
    <row r="182" spans="1:13" ht="20.100000000000001" customHeight="1">
      <c r="A182" s="269"/>
      <c r="B182" s="270"/>
      <c r="C182" s="270"/>
      <c r="D182" s="270"/>
      <c r="E182" s="270"/>
      <c r="F182" s="270"/>
      <c r="G182" s="270"/>
      <c r="H182" s="270"/>
      <c r="I182" s="270"/>
      <c r="J182" s="270"/>
      <c r="K182" s="270"/>
      <c r="L182" s="270"/>
      <c r="M182" s="260"/>
    </row>
    <row r="183" spans="1:13" ht="20.100000000000001" customHeight="1">
      <c r="A183" s="269"/>
      <c r="B183" s="270"/>
      <c r="C183" s="270"/>
      <c r="D183" s="270"/>
      <c r="E183" s="270"/>
      <c r="F183" s="270"/>
      <c r="G183" s="270"/>
      <c r="H183" s="270"/>
      <c r="I183" s="270"/>
      <c r="J183" s="270"/>
      <c r="K183" s="270"/>
      <c r="L183" s="270"/>
      <c r="M183" s="260"/>
    </row>
    <row r="184" spans="1:13" ht="20.100000000000001" customHeight="1">
      <c r="A184" s="269"/>
      <c r="B184" s="270"/>
      <c r="C184" s="270"/>
      <c r="D184" s="270"/>
      <c r="E184" s="270"/>
      <c r="F184" s="270"/>
      <c r="G184" s="270"/>
      <c r="H184" s="270"/>
      <c r="I184" s="270"/>
      <c r="J184" s="270"/>
      <c r="K184" s="270"/>
      <c r="L184" s="270"/>
      <c r="M184" s="260"/>
    </row>
    <row r="185" spans="1:13" ht="20.100000000000001" customHeight="1">
      <c r="A185" s="269"/>
      <c r="B185" s="270"/>
      <c r="C185" s="270"/>
      <c r="D185" s="270"/>
      <c r="E185" s="270"/>
      <c r="F185" s="270"/>
      <c r="G185" s="270"/>
      <c r="H185" s="270"/>
      <c r="I185" s="270"/>
      <c r="J185" s="270"/>
      <c r="K185" s="270"/>
      <c r="L185" s="270"/>
      <c r="M185" s="260"/>
    </row>
    <row r="186" spans="1:13" ht="20.100000000000001" customHeight="1">
      <c r="A186" s="269"/>
      <c r="B186" s="270"/>
      <c r="C186" s="270"/>
      <c r="D186" s="270"/>
      <c r="E186" s="270"/>
      <c r="F186" s="270"/>
      <c r="G186" s="270"/>
      <c r="H186" s="270"/>
      <c r="I186" s="270"/>
      <c r="J186" s="270"/>
      <c r="K186" s="270"/>
      <c r="L186" s="270"/>
      <c r="M186" s="260"/>
    </row>
    <row r="187" spans="1:13" ht="20.100000000000001" customHeight="1">
      <c r="A187" s="269"/>
      <c r="B187" s="270"/>
      <c r="C187" s="270"/>
      <c r="D187" s="270"/>
      <c r="E187" s="270"/>
      <c r="F187" s="270"/>
      <c r="G187" s="270"/>
      <c r="H187" s="270"/>
      <c r="I187" s="270"/>
      <c r="J187" s="270"/>
      <c r="K187" s="270"/>
      <c r="L187" s="270"/>
      <c r="M187" s="260"/>
    </row>
    <row r="188" spans="1:13" ht="20.100000000000001" customHeight="1">
      <c r="A188" s="269"/>
      <c r="B188" s="270"/>
      <c r="C188" s="270"/>
      <c r="D188" s="270"/>
      <c r="E188" s="270"/>
      <c r="F188" s="270"/>
      <c r="G188" s="270"/>
      <c r="H188" s="270"/>
      <c r="I188" s="270"/>
      <c r="J188" s="270"/>
      <c r="K188" s="270"/>
      <c r="L188" s="270"/>
      <c r="M188" s="260"/>
    </row>
    <row r="189" spans="1:13" ht="20.100000000000001" customHeight="1">
      <c r="A189" s="269"/>
      <c r="B189" s="270"/>
      <c r="C189" s="270"/>
      <c r="D189" s="270"/>
      <c r="E189" s="270"/>
      <c r="F189" s="270"/>
      <c r="G189" s="270"/>
      <c r="H189" s="270"/>
      <c r="I189" s="270"/>
      <c r="J189" s="270"/>
      <c r="K189" s="270"/>
      <c r="L189" s="270"/>
      <c r="M189" s="260"/>
    </row>
    <row r="190" spans="1:13" ht="20.100000000000001" customHeight="1">
      <c r="A190" s="269"/>
      <c r="B190" s="270"/>
      <c r="C190" s="270"/>
      <c r="D190" s="270"/>
      <c r="E190" s="270"/>
      <c r="F190" s="270"/>
      <c r="G190" s="270"/>
      <c r="H190" s="270"/>
      <c r="I190" s="270"/>
      <c r="J190" s="270"/>
      <c r="K190" s="270"/>
      <c r="L190" s="270"/>
      <c r="M190" s="260"/>
    </row>
    <row r="191" spans="1:13" ht="20.100000000000001" customHeight="1">
      <c r="A191" s="269"/>
      <c r="B191" s="270"/>
      <c r="C191" s="270"/>
      <c r="D191" s="270"/>
      <c r="E191" s="270"/>
      <c r="F191" s="270"/>
      <c r="G191" s="270"/>
      <c r="H191" s="270"/>
      <c r="I191" s="270"/>
      <c r="J191" s="270"/>
      <c r="K191" s="270"/>
      <c r="L191" s="270"/>
      <c r="M191" s="260"/>
    </row>
    <row r="192" spans="1:13" ht="20.100000000000001" customHeight="1">
      <c r="A192" s="269"/>
      <c r="B192" s="270"/>
      <c r="C192" s="270"/>
      <c r="D192" s="270"/>
      <c r="E192" s="270"/>
      <c r="F192" s="270"/>
      <c r="G192" s="270"/>
      <c r="H192" s="270"/>
      <c r="I192" s="270"/>
      <c r="J192" s="270"/>
      <c r="K192" s="270"/>
      <c r="L192" s="270"/>
      <c r="M192" s="260"/>
    </row>
    <row r="193" spans="1:13" ht="20.100000000000001" customHeight="1">
      <c r="A193" s="269"/>
      <c r="B193" s="270"/>
      <c r="C193" s="270"/>
      <c r="D193" s="270"/>
      <c r="E193" s="270"/>
      <c r="F193" s="270"/>
      <c r="G193" s="270"/>
      <c r="H193" s="270"/>
      <c r="I193" s="270"/>
      <c r="J193" s="270"/>
      <c r="K193" s="270"/>
      <c r="L193" s="270"/>
      <c r="M193" s="260"/>
    </row>
    <row r="194" spans="1:13" ht="20.100000000000001" customHeight="1">
      <c r="A194" s="269"/>
      <c r="B194" s="270"/>
      <c r="C194" s="270"/>
      <c r="D194" s="270"/>
      <c r="E194" s="270"/>
      <c r="F194" s="270"/>
      <c r="G194" s="270"/>
      <c r="H194" s="270"/>
      <c r="I194" s="270"/>
      <c r="J194" s="270"/>
      <c r="K194" s="270"/>
      <c r="L194" s="270"/>
      <c r="M194" s="260"/>
    </row>
    <row r="195" spans="1:13" ht="20.100000000000001" customHeight="1">
      <c r="A195" s="269"/>
      <c r="B195" s="270"/>
      <c r="C195" s="270"/>
      <c r="D195" s="270"/>
      <c r="E195" s="270"/>
      <c r="F195" s="270"/>
      <c r="G195" s="270"/>
      <c r="H195" s="270"/>
      <c r="I195" s="270"/>
      <c r="J195" s="270"/>
      <c r="K195" s="270"/>
      <c r="L195" s="270"/>
      <c r="M195" s="260"/>
    </row>
    <row r="196" spans="1:13" ht="20.100000000000001" customHeight="1">
      <c r="A196" s="269"/>
      <c r="B196" s="270"/>
      <c r="C196" s="270"/>
      <c r="D196" s="270"/>
      <c r="E196" s="270"/>
      <c r="F196" s="270"/>
      <c r="G196" s="270"/>
      <c r="H196" s="270"/>
      <c r="I196" s="270"/>
      <c r="J196" s="270"/>
      <c r="K196" s="270"/>
      <c r="L196" s="270"/>
      <c r="M196" s="260"/>
    </row>
    <row r="197" spans="1:13" ht="20.100000000000001" customHeight="1">
      <c r="A197" s="269"/>
      <c r="B197" s="270"/>
      <c r="C197" s="270"/>
      <c r="D197" s="270"/>
      <c r="E197" s="270"/>
      <c r="F197" s="270"/>
      <c r="G197" s="270"/>
      <c r="H197" s="270"/>
      <c r="I197" s="270"/>
      <c r="J197" s="270"/>
      <c r="K197" s="270"/>
      <c r="L197" s="270"/>
      <c r="M197" s="260"/>
    </row>
    <row r="198" spans="1:13" ht="20.100000000000001" customHeight="1">
      <c r="A198" s="269"/>
      <c r="B198" s="270"/>
      <c r="C198" s="270"/>
      <c r="D198" s="270"/>
      <c r="E198" s="270"/>
      <c r="F198" s="270"/>
      <c r="G198" s="270"/>
      <c r="H198" s="270"/>
      <c r="I198" s="270"/>
      <c r="J198" s="270"/>
      <c r="K198" s="270"/>
      <c r="L198" s="270"/>
      <c r="M198" s="260"/>
    </row>
    <row r="199" spans="1:13" ht="20.100000000000001" customHeight="1">
      <c r="A199" s="269"/>
      <c r="B199" s="270"/>
      <c r="C199" s="270"/>
      <c r="D199" s="270"/>
      <c r="E199" s="270"/>
      <c r="F199" s="270"/>
      <c r="G199" s="270"/>
      <c r="H199" s="270"/>
      <c r="I199" s="270"/>
      <c r="J199" s="270"/>
      <c r="K199" s="270"/>
      <c r="L199" s="270"/>
      <c r="M199" s="260"/>
    </row>
    <row r="200" spans="1:13" ht="20.100000000000001" customHeight="1">
      <c r="A200" s="269"/>
      <c r="B200" s="270"/>
      <c r="C200" s="270"/>
      <c r="D200" s="270"/>
      <c r="E200" s="270"/>
      <c r="F200" s="270"/>
      <c r="G200" s="270"/>
      <c r="H200" s="270"/>
      <c r="I200" s="270"/>
      <c r="J200" s="270"/>
      <c r="K200" s="270"/>
      <c r="L200" s="270"/>
      <c r="M200" s="260"/>
    </row>
    <row r="201" spans="1:13" ht="20.100000000000001" customHeight="1">
      <c r="A201" s="269"/>
      <c r="B201" s="270"/>
      <c r="C201" s="270"/>
      <c r="D201" s="270"/>
      <c r="E201" s="270"/>
      <c r="F201" s="270"/>
      <c r="G201" s="270"/>
      <c r="H201" s="270"/>
      <c r="I201" s="270"/>
      <c r="J201" s="270"/>
      <c r="K201" s="270"/>
      <c r="L201" s="270"/>
      <c r="M201" s="260"/>
    </row>
    <row r="202" spans="1:13" ht="20.100000000000001" customHeight="1">
      <c r="A202" s="269"/>
      <c r="B202" s="270"/>
      <c r="C202" s="270"/>
      <c r="D202" s="270"/>
      <c r="E202" s="270"/>
      <c r="F202" s="270"/>
      <c r="G202" s="270"/>
      <c r="H202" s="270"/>
      <c r="I202" s="270"/>
      <c r="J202" s="270"/>
      <c r="K202" s="270"/>
      <c r="L202" s="270"/>
      <c r="M202" s="260"/>
    </row>
    <row r="203" spans="1:13" ht="20.100000000000001" customHeight="1">
      <c r="A203" s="269"/>
      <c r="B203" s="270"/>
      <c r="C203" s="270"/>
      <c r="D203" s="270"/>
      <c r="E203" s="270"/>
      <c r="F203" s="270"/>
      <c r="G203" s="270"/>
      <c r="H203" s="270"/>
      <c r="I203" s="270"/>
      <c r="J203" s="270"/>
      <c r="K203" s="270"/>
      <c r="L203" s="270"/>
      <c r="M203" s="260"/>
    </row>
    <row r="204" spans="1:13" ht="20.100000000000001" customHeight="1">
      <c r="A204" s="269"/>
      <c r="B204" s="270"/>
      <c r="C204" s="270"/>
      <c r="D204" s="270"/>
      <c r="E204" s="270"/>
      <c r="F204" s="270"/>
      <c r="G204" s="270"/>
      <c r="H204" s="270"/>
      <c r="I204" s="270"/>
      <c r="J204" s="270"/>
      <c r="K204" s="270"/>
      <c r="L204" s="270"/>
      <c r="M204" s="260"/>
    </row>
    <row r="205" spans="1:13" ht="20.100000000000001" customHeight="1">
      <c r="A205" s="269"/>
      <c r="B205" s="270"/>
      <c r="C205" s="270"/>
      <c r="D205" s="270"/>
      <c r="E205" s="270"/>
      <c r="F205" s="270"/>
      <c r="G205" s="270"/>
      <c r="H205" s="270"/>
      <c r="I205" s="270"/>
      <c r="J205" s="270"/>
      <c r="K205" s="270"/>
      <c r="L205" s="270"/>
      <c r="M205" s="260"/>
    </row>
    <row r="206" spans="1:13" ht="20.100000000000001" customHeight="1">
      <c r="A206" s="269"/>
      <c r="B206" s="270"/>
      <c r="C206" s="270"/>
      <c r="D206" s="270"/>
      <c r="E206" s="270"/>
      <c r="F206" s="270"/>
      <c r="G206" s="270"/>
      <c r="H206" s="270"/>
      <c r="I206" s="270"/>
      <c r="J206" s="270"/>
      <c r="K206" s="270"/>
      <c r="L206" s="270"/>
      <c r="M206" s="260"/>
    </row>
    <row r="207" spans="1:13" ht="20.100000000000001" customHeight="1">
      <c r="A207" s="269"/>
      <c r="B207" s="270"/>
      <c r="C207" s="270"/>
      <c r="D207" s="270"/>
      <c r="E207" s="270"/>
      <c r="F207" s="270"/>
      <c r="G207" s="270"/>
      <c r="H207" s="270"/>
      <c r="I207" s="270"/>
      <c r="J207" s="270"/>
      <c r="K207" s="270"/>
      <c r="L207" s="270"/>
      <c r="M207" s="260"/>
    </row>
    <row r="208" spans="1:13" ht="20.100000000000001" customHeight="1">
      <c r="A208" s="269"/>
      <c r="B208" s="270"/>
      <c r="C208" s="270"/>
      <c r="D208" s="270"/>
      <c r="E208" s="270"/>
      <c r="F208" s="270"/>
      <c r="G208" s="270"/>
      <c r="H208" s="270"/>
      <c r="I208" s="270"/>
      <c r="J208" s="270"/>
      <c r="K208" s="270"/>
      <c r="L208" s="270"/>
      <c r="M208" s="260"/>
    </row>
    <row r="209" spans="1:13" ht="20.100000000000001" customHeight="1">
      <c r="A209" s="269"/>
      <c r="B209" s="270"/>
      <c r="C209" s="270"/>
      <c r="D209" s="270"/>
      <c r="E209" s="270"/>
      <c r="F209" s="270"/>
      <c r="G209" s="270"/>
      <c r="H209" s="270"/>
      <c r="I209" s="270"/>
      <c r="J209" s="270"/>
      <c r="K209" s="270"/>
      <c r="L209" s="270"/>
      <c r="M209" s="260"/>
    </row>
    <row r="210" spans="1:13" ht="20.100000000000001" customHeight="1">
      <c r="A210" s="269"/>
      <c r="B210" s="270"/>
      <c r="C210" s="270"/>
      <c r="D210" s="270"/>
      <c r="E210" s="270"/>
      <c r="F210" s="270"/>
      <c r="G210" s="270"/>
      <c r="H210" s="270"/>
      <c r="I210" s="270"/>
      <c r="J210" s="270"/>
      <c r="K210" s="270"/>
      <c r="L210" s="270"/>
      <c r="M210" s="260"/>
    </row>
    <row r="211" spans="1:13" ht="20.100000000000001" customHeight="1">
      <c r="A211" s="269"/>
      <c r="B211" s="270"/>
      <c r="C211" s="270"/>
      <c r="D211" s="270"/>
      <c r="E211" s="270"/>
      <c r="F211" s="270"/>
      <c r="G211" s="270"/>
      <c r="H211" s="270"/>
      <c r="I211" s="270"/>
      <c r="J211" s="270"/>
      <c r="K211" s="270"/>
      <c r="L211" s="270"/>
      <c r="M211" s="260"/>
    </row>
    <row r="212" spans="1:13" ht="20.100000000000001" customHeight="1">
      <c r="A212" s="269"/>
      <c r="B212" s="270"/>
      <c r="C212" s="270"/>
      <c r="D212" s="270"/>
      <c r="E212" s="270"/>
      <c r="F212" s="270"/>
      <c r="G212" s="270"/>
      <c r="H212" s="270"/>
      <c r="I212" s="270"/>
      <c r="J212" s="270"/>
      <c r="K212" s="270"/>
      <c r="L212" s="270"/>
      <c r="M212" s="260"/>
    </row>
    <row r="213" spans="1:13" ht="20.100000000000001" customHeight="1">
      <c r="A213" s="269"/>
      <c r="B213" s="270"/>
      <c r="C213" s="270"/>
      <c r="D213" s="270"/>
      <c r="E213" s="270"/>
      <c r="F213" s="270"/>
      <c r="G213" s="270"/>
      <c r="H213" s="270"/>
      <c r="I213" s="270"/>
      <c r="J213" s="270"/>
      <c r="K213" s="270"/>
      <c r="L213" s="270"/>
      <c r="M213" s="260"/>
    </row>
    <row r="214" spans="1:13" ht="20.100000000000001" customHeight="1">
      <c r="A214" s="269"/>
      <c r="B214" s="270"/>
      <c r="C214" s="270"/>
      <c r="D214" s="270"/>
      <c r="E214" s="270"/>
      <c r="F214" s="270"/>
      <c r="G214" s="270"/>
      <c r="H214" s="270"/>
      <c r="I214" s="270"/>
      <c r="J214" s="270"/>
      <c r="K214" s="270"/>
      <c r="L214" s="270"/>
      <c r="M214" s="260"/>
    </row>
    <row r="215" spans="1:13" ht="20.100000000000001" customHeight="1">
      <c r="A215" s="269"/>
      <c r="B215" s="270"/>
      <c r="C215" s="270"/>
      <c r="D215" s="270"/>
      <c r="E215" s="270"/>
      <c r="F215" s="270"/>
      <c r="G215" s="270"/>
      <c r="H215" s="270"/>
      <c r="I215" s="270"/>
      <c r="J215" s="270"/>
      <c r="K215" s="270"/>
      <c r="L215" s="270"/>
      <c r="M215" s="260"/>
    </row>
    <row r="216" spans="1:13" ht="20.100000000000001" customHeight="1">
      <c r="A216" s="269"/>
      <c r="B216" s="270"/>
      <c r="C216" s="270"/>
      <c r="D216" s="270"/>
      <c r="E216" s="270"/>
      <c r="F216" s="270"/>
      <c r="G216" s="270"/>
      <c r="H216" s="270"/>
      <c r="I216" s="270"/>
      <c r="J216" s="270"/>
      <c r="K216" s="270"/>
      <c r="L216" s="270"/>
      <c r="M216" s="260"/>
    </row>
    <row r="217" spans="1:13" ht="20.100000000000001" customHeight="1">
      <c r="A217" s="269"/>
      <c r="B217" s="270"/>
      <c r="C217" s="270"/>
      <c r="D217" s="270"/>
      <c r="E217" s="270"/>
      <c r="F217" s="270"/>
      <c r="G217" s="270"/>
      <c r="H217" s="270"/>
      <c r="I217" s="270"/>
      <c r="J217" s="270"/>
      <c r="K217" s="270"/>
      <c r="L217" s="270"/>
      <c r="M217" s="260"/>
    </row>
    <row r="218" spans="1:13" ht="20.100000000000001" customHeight="1">
      <c r="A218" s="269"/>
      <c r="B218" s="270"/>
      <c r="C218" s="270"/>
      <c r="D218" s="270"/>
      <c r="E218" s="270"/>
      <c r="F218" s="270"/>
      <c r="G218" s="270"/>
      <c r="H218" s="270"/>
      <c r="I218" s="270"/>
      <c r="J218" s="270"/>
      <c r="K218" s="270"/>
      <c r="L218" s="270"/>
      <c r="M218" s="260"/>
    </row>
    <row r="219" spans="1:13" ht="20.100000000000001" customHeight="1">
      <c r="A219" s="269"/>
      <c r="B219" s="270"/>
      <c r="C219" s="270"/>
      <c r="D219" s="270"/>
      <c r="E219" s="270"/>
      <c r="F219" s="270"/>
      <c r="G219" s="270"/>
      <c r="H219" s="270"/>
      <c r="I219" s="270"/>
      <c r="J219" s="270"/>
      <c r="K219" s="270"/>
      <c r="L219" s="270"/>
      <c r="M219" s="260"/>
    </row>
    <row r="220" spans="1:13" ht="20.100000000000001" customHeight="1">
      <c r="A220" s="269"/>
      <c r="B220" s="270"/>
      <c r="C220" s="270"/>
      <c r="D220" s="270"/>
      <c r="E220" s="270"/>
      <c r="F220" s="270"/>
      <c r="G220" s="270"/>
      <c r="H220" s="270"/>
      <c r="I220" s="270"/>
      <c r="J220" s="270"/>
      <c r="K220" s="270"/>
      <c r="L220" s="270"/>
      <c r="M220" s="260"/>
    </row>
    <row r="221" spans="1:13" ht="20.100000000000001" customHeight="1">
      <c r="A221" s="269"/>
      <c r="B221" s="270"/>
      <c r="C221" s="270"/>
      <c r="D221" s="270"/>
      <c r="E221" s="270"/>
      <c r="F221" s="270"/>
      <c r="G221" s="270"/>
      <c r="H221" s="270"/>
      <c r="I221" s="270"/>
      <c r="J221" s="270"/>
      <c r="K221" s="270"/>
      <c r="L221" s="270"/>
      <c r="M221" s="260"/>
    </row>
    <row r="222" spans="1:13" ht="20.100000000000001" customHeight="1">
      <c r="A222" s="269"/>
      <c r="B222" s="270"/>
      <c r="C222" s="270"/>
      <c r="D222" s="270"/>
      <c r="E222" s="270"/>
      <c r="F222" s="270"/>
      <c r="G222" s="270"/>
      <c r="H222" s="270"/>
      <c r="I222" s="270"/>
      <c r="J222" s="270"/>
      <c r="K222" s="270"/>
      <c r="L222" s="270"/>
      <c r="M222" s="260"/>
    </row>
    <row r="223" spans="1:13" ht="20.100000000000001" customHeight="1">
      <c r="A223" s="269"/>
      <c r="B223" s="270"/>
      <c r="C223" s="270"/>
      <c r="D223" s="270"/>
      <c r="E223" s="270"/>
      <c r="F223" s="270"/>
      <c r="G223" s="270"/>
      <c r="H223" s="270"/>
      <c r="I223" s="270"/>
      <c r="J223" s="270"/>
      <c r="K223" s="270"/>
      <c r="L223" s="270"/>
      <c r="M223" s="260"/>
    </row>
    <row r="224" spans="1:13" ht="20.100000000000001" customHeight="1">
      <c r="A224" s="269"/>
      <c r="B224" s="270"/>
      <c r="C224" s="270"/>
      <c r="D224" s="270"/>
      <c r="E224" s="270"/>
      <c r="F224" s="270"/>
      <c r="G224" s="270"/>
      <c r="H224" s="270"/>
      <c r="I224" s="270"/>
      <c r="J224" s="270"/>
      <c r="K224" s="270"/>
      <c r="L224" s="270"/>
      <c r="M224" s="260"/>
    </row>
    <row r="225" spans="1:13" ht="20.100000000000001" customHeight="1">
      <c r="A225" s="269"/>
      <c r="B225" s="270"/>
      <c r="C225" s="270"/>
      <c r="D225" s="270"/>
      <c r="E225" s="270"/>
      <c r="F225" s="270"/>
      <c r="G225" s="270"/>
      <c r="H225" s="270"/>
      <c r="I225" s="270"/>
      <c r="J225" s="270"/>
      <c r="K225" s="270"/>
      <c r="L225" s="270"/>
      <c r="M225" s="260"/>
    </row>
    <row r="226" spans="1:13" ht="20.100000000000001" customHeight="1">
      <c r="A226" s="269"/>
      <c r="B226" s="270"/>
      <c r="C226" s="270"/>
      <c r="D226" s="270"/>
      <c r="E226" s="270"/>
      <c r="F226" s="270"/>
      <c r="G226" s="270"/>
      <c r="H226" s="270"/>
      <c r="I226" s="270"/>
      <c r="J226" s="270"/>
      <c r="K226" s="270"/>
      <c r="L226" s="270"/>
      <c r="M226" s="260"/>
    </row>
    <row r="227" spans="1:13" ht="20.100000000000001" customHeight="1">
      <c r="A227" s="269"/>
      <c r="B227" s="270"/>
      <c r="C227" s="270"/>
      <c r="D227" s="270"/>
      <c r="E227" s="270"/>
      <c r="F227" s="270"/>
      <c r="G227" s="270"/>
      <c r="H227" s="270"/>
      <c r="I227" s="270"/>
      <c r="J227" s="270"/>
      <c r="K227" s="270"/>
      <c r="L227" s="270"/>
      <c r="M227" s="260"/>
    </row>
    <row r="228" spans="1:13" ht="20.100000000000001" customHeight="1">
      <c r="A228" s="269"/>
      <c r="B228" s="270"/>
      <c r="C228" s="270"/>
      <c r="D228" s="270"/>
      <c r="E228" s="270"/>
      <c r="F228" s="270"/>
      <c r="G228" s="270"/>
      <c r="H228" s="270"/>
      <c r="I228" s="270"/>
      <c r="J228" s="270"/>
      <c r="K228" s="270"/>
      <c r="L228" s="270"/>
      <c r="M228" s="260"/>
    </row>
    <row r="229" spans="1:13" ht="20.100000000000001" customHeight="1">
      <c r="A229" s="269"/>
      <c r="B229" s="270"/>
      <c r="C229" s="270"/>
      <c r="D229" s="270"/>
      <c r="E229" s="270"/>
      <c r="F229" s="270"/>
      <c r="G229" s="270"/>
      <c r="H229" s="270"/>
      <c r="I229" s="270"/>
      <c r="J229" s="270"/>
      <c r="K229" s="270"/>
      <c r="L229" s="270"/>
      <c r="M229" s="260"/>
    </row>
    <row r="230" spans="1:13" ht="20.100000000000001" customHeight="1">
      <c r="A230" s="269"/>
      <c r="B230" s="270"/>
      <c r="C230" s="270"/>
      <c r="D230" s="270"/>
      <c r="E230" s="270"/>
      <c r="F230" s="270"/>
      <c r="G230" s="270"/>
      <c r="H230" s="270"/>
      <c r="I230" s="270"/>
      <c r="J230" s="270"/>
      <c r="K230" s="270"/>
      <c r="L230" s="270"/>
      <c r="M230" s="260"/>
    </row>
    <row r="231" spans="1:13" ht="20.100000000000001" customHeight="1">
      <c r="A231" s="269"/>
      <c r="B231" s="270"/>
      <c r="C231" s="270"/>
      <c r="D231" s="270"/>
      <c r="E231" s="270"/>
      <c r="F231" s="270"/>
      <c r="G231" s="270"/>
      <c r="H231" s="270"/>
      <c r="I231" s="270"/>
      <c r="J231" s="270"/>
      <c r="K231" s="270"/>
      <c r="L231" s="270"/>
      <c r="M231" s="260"/>
    </row>
    <row r="232" spans="1:13" ht="20.100000000000001" customHeight="1">
      <c r="A232" s="269"/>
      <c r="B232" s="270"/>
      <c r="C232" s="270"/>
      <c r="D232" s="270"/>
      <c r="E232" s="270"/>
      <c r="F232" s="270"/>
      <c r="G232" s="270"/>
      <c r="H232" s="270"/>
      <c r="I232" s="270"/>
      <c r="J232" s="270"/>
      <c r="K232" s="270"/>
      <c r="L232" s="270"/>
      <c r="M232" s="260"/>
    </row>
    <row r="233" spans="1:13" ht="20.100000000000001" customHeight="1">
      <c r="A233" s="269"/>
      <c r="B233" s="270"/>
      <c r="C233" s="270"/>
      <c r="D233" s="270"/>
      <c r="E233" s="270"/>
      <c r="F233" s="270"/>
      <c r="G233" s="270"/>
      <c r="H233" s="270"/>
      <c r="I233" s="270"/>
      <c r="J233" s="270"/>
      <c r="K233" s="270"/>
      <c r="L233" s="270"/>
      <c r="M233" s="260"/>
    </row>
    <row r="234" spans="1:13" ht="20.100000000000001" customHeight="1">
      <c r="A234" s="269"/>
      <c r="B234" s="270"/>
      <c r="C234" s="270"/>
      <c r="D234" s="270"/>
      <c r="E234" s="270"/>
      <c r="F234" s="270"/>
      <c r="G234" s="270"/>
      <c r="H234" s="270"/>
      <c r="I234" s="270"/>
      <c r="J234" s="270"/>
      <c r="K234" s="270"/>
      <c r="L234" s="270"/>
      <c r="M234" s="260"/>
    </row>
    <row r="235" spans="1:13" ht="20.100000000000001" customHeight="1">
      <c r="A235" s="269"/>
      <c r="B235" s="270"/>
      <c r="C235" s="270"/>
      <c r="D235" s="270"/>
      <c r="E235" s="270"/>
      <c r="F235" s="270"/>
      <c r="G235" s="270"/>
      <c r="H235" s="270"/>
      <c r="I235" s="270"/>
      <c r="J235" s="270"/>
      <c r="K235" s="270"/>
      <c r="L235" s="270"/>
      <c r="M235" s="260"/>
    </row>
    <row r="236" spans="1:13" ht="20.100000000000001" customHeight="1">
      <c r="A236" s="269"/>
      <c r="B236" s="270"/>
      <c r="C236" s="270"/>
      <c r="D236" s="270"/>
      <c r="E236" s="270"/>
      <c r="F236" s="270"/>
      <c r="G236" s="270"/>
      <c r="H236" s="270"/>
      <c r="I236" s="270"/>
      <c r="J236" s="270"/>
      <c r="K236" s="270"/>
      <c r="L236" s="270"/>
      <c r="M236" s="260"/>
    </row>
    <row r="237" spans="1:13" ht="20.100000000000001" customHeight="1">
      <c r="A237" s="269"/>
      <c r="B237" s="270"/>
      <c r="C237" s="270"/>
      <c r="D237" s="270"/>
      <c r="E237" s="270"/>
      <c r="F237" s="270"/>
      <c r="G237" s="270"/>
      <c r="H237" s="270"/>
      <c r="I237" s="270"/>
      <c r="J237" s="270"/>
      <c r="K237" s="270"/>
      <c r="L237" s="270"/>
      <c r="M237" s="260"/>
    </row>
    <row r="238" spans="1:13" ht="20.100000000000001" customHeight="1">
      <c r="A238" s="269"/>
      <c r="B238" s="270"/>
      <c r="C238" s="270"/>
      <c r="D238" s="270"/>
      <c r="E238" s="270"/>
      <c r="F238" s="270"/>
      <c r="G238" s="270"/>
      <c r="H238" s="270"/>
      <c r="I238" s="270"/>
      <c r="J238" s="270"/>
      <c r="K238" s="270"/>
      <c r="L238" s="270"/>
      <c r="M238" s="260"/>
    </row>
    <row r="239" spans="1:13" ht="20.100000000000001" customHeight="1">
      <c r="A239" s="269"/>
      <c r="B239" s="270"/>
      <c r="C239" s="270"/>
      <c r="D239" s="270"/>
      <c r="E239" s="270"/>
      <c r="F239" s="270"/>
      <c r="G239" s="270"/>
      <c r="H239" s="270"/>
      <c r="I239" s="270"/>
      <c r="J239" s="270"/>
      <c r="K239" s="270"/>
      <c r="L239" s="270"/>
      <c r="M239" s="260"/>
    </row>
    <row r="240" spans="1:13" ht="20.100000000000001" customHeight="1">
      <c r="A240" s="269"/>
      <c r="B240" s="270"/>
      <c r="C240" s="270"/>
      <c r="D240" s="270"/>
      <c r="E240" s="270"/>
      <c r="F240" s="270"/>
      <c r="G240" s="270"/>
      <c r="H240" s="270"/>
      <c r="I240" s="270"/>
      <c r="J240" s="270"/>
      <c r="K240" s="270"/>
      <c r="L240" s="270"/>
      <c r="M240" s="260"/>
    </row>
    <row r="241" spans="1:13" ht="20.100000000000001" customHeight="1">
      <c r="A241" s="269"/>
      <c r="B241" s="270"/>
      <c r="C241" s="270"/>
      <c r="D241" s="270"/>
      <c r="E241" s="270"/>
      <c r="F241" s="270"/>
      <c r="G241" s="270"/>
      <c r="H241" s="270"/>
      <c r="I241" s="270"/>
      <c r="J241" s="270"/>
      <c r="K241" s="270"/>
      <c r="L241" s="270"/>
      <c r="M241" s="260"/>
    </row>
    <row r="242" spans="1:13" ht="20.100000000000001" customHeight="1">
      <c r="A242" s="269"/>
      <c r="B242" s="270"/>
      <c r="C242" s="270"/>
      <c r="D242" s="270"/>
      <c r="E242" s="270"/>
      <c r="F242" s="270"/>
      <c r="G242" s="270"/>
      <c r="H242" s="270"/>
      <c r="I242" s="270"/>
      <c r="J242" s="270"/>
      <c r="K242" s="270"/>
      <c r="L242" s="270"/>
      <c r="M242" s="260"/>
    </row>
    <row r="243" spans="1:13" ht="20.100000000000001" customHeight="1">
      <c r="A243" s="269"/>
      <c r="B243" s="270"/>
      <c r="C243" s="270"/>
      <c r="D243" s="270"/>
      <c r="E243" s="270"/>
      <c r="F243" s="270"/>
      <c r="G243" s="270"/>
      <c r="H243" s="270"/>
      <c r="I243" s="270"/>
      <c r="J243" s="270"/>
      <c r="K243" s="270"/>
      <c r="L243" s="270"/>
      <c r="M243" s="260"/>
    </row>
    <row r="244" spans="1:13" ht="20.100000000000001" customHeight="1">
      <c r="A244" s="269"/>
      <c r="B244" s="270"/>
      <c r="C244" s="270"/>
      <c r="D244" s="270"/>
      <c r="E244" s="270"/>
      <c r="F244" s="270"/>
      <c r="G244" s="270"/>
      <c r="H244" s="270"/>
      <c r="I244" s="270"/>
      <c r="J244" s="270"/>
      <c r="K244" s="270"/>
      <c r="L244" s="270"/>
      <c r="M244" s="260"/>
    </row>
    <row r="245" spans="1:13" ht="20.100000000000001" customHeight="1">
      <c r="A245" s="269"/>
      <c r="B245" s="270"/>
      <c r="C245" s="270"/>
      <c r="D245" s="270"/>
      <c r="E245" s="270"/>
      <c r="F245" s="270"/>
      <c r="G245" s="270"/>
      <c r="H245" s="270"/>
      <c r="I245" s="270"/>
      <c r="J245" s="270"/>
      <c r="K245" s="270"/>
      <c r="L245" s="270"/>
      <c r="M245" s="260"/>
    </row>
    <row r="246" spans="1:13" ht="20.100000000000001" customHeight="1">
      <c r="A246" s="269"/>
      <c r="B246" s="270"/>
      <c r="C246" s="270"/>
      <c r="D246" s="270"/>
      <c r="E246" s="270"/>
      <c r="F246" s="270"/>
      <c r="G246" s="270"/>
      <c r="H246" s="270"/>
      <c r="I246" s="270"/>
      <c r="J246" s="270"/>
      <c r="K246" s="270"/>
      <c r="L246" s="270"/>
      <c r="M246" s="260"/>
    </row>
    <row r="247" spans="1:13" ht="20.100000000000001" customHeight="1">
      <c r="A247" s="269"/>
      <c r="B247" s="270"/>
      <c r="C247" s="270"/>
      <c r="D247" s="270"/>
      <c r="E247" s="270"/>
      <c r="F247" s="270"/>
      <c r="G247" s="270"/>
      <c r="H247" s="270"/>
      <c r="I247" s="270"/>
      <c r="J247" s="270"/>
      <c r="K247" s="270"/>
      <c r="L247" s="270"/>
      <c r="M247" s="260"/>
    </row>
    <row r="248" spans="1:13" ht="20.100000000000001" customHeight="1">
      <c r="A248" s="269"/>
      <c r="B248" s="270"/>
      <c r="C248" s="270"/>
      <c r="D248" s="270"/>
      <c r="E248" s="270"/>
      <c r="F248" s="270"/>
      <c r="G248" s="270"/>
      <c r="H248" s="270"/>
      <c r="I248" s="270"/>
      <c r="J248" s="270"/>
      <c r="K248" s="270"/>
      <c r="L248" s="270"/>
      <c r="M248" s="260"/>
    </row>
    <row r="249" spans="1:13" ht="20.100000000000001" customHeight="1">
      <c r="A249" s="269"/>
      <c r="B249" s="270"/>
      <c r="C249" s="270"/>
      <c r="D249" s="270"/>
      <c r="E249" s="270"/>
      <c r="F249" s="270"/>
      <c r="G249" s="270"/>
      <c r="H249" s="270"/>
      <c r="I249" s="270"/>
      <c r="J249" s="270"/>
      <c r="K249" s="270"/>
      <c r="L249" s="270"/>
      <c r="M249" s="260"/>
    </row>
    <row r="250" spans="1:13" ht="20.100000000000001" customHeight="1">
      <c r="A250" s="269"/>
      <c r="B250" s="270"/>
      <c r="C250" s="270"/>
      <c r="D250" s="270"/>
      <c r="E250" s="270"/>
      <c r="F250" s="270"/>
      <c r="G250" s="270"/>
      <c r="H250" s="270"/>
      <c r="I250" s="270"/>
      <c r="J250" s="270"/>
      <c r="K250" s="270"/>
      <c r="L250" s="270"/>
      <c r="M250" s="260"/>
    </row>
    <row r="251" spans="1:13" ht="20.100000000000001" customHeight="1">
      <c r="A251" s="269"/>
      <c r="B251" s="270"/>
      <c r="C251" s="270"/>
      <c r="D251" s="270"/>
      <c r="E251" s="270"/>
      <c r="F251" s="270"/>
      <c r="G251" s="270"/>
      <c r="H251" s="270"/>
      <c r="I251" s="270"/>
      <c r="J251" s="270"/>
      <c r="K251" s="270"/>
      <c r="L251" s="270"/>
      <c r="M251" s="260"/>
    </row>
    <row r="252" spans="1:13" ht="20.100000000000001" customHeight="1">
      <c r="A252" s="269"/>
      <c r="B252" s="270"/>
      <c r="C252" s="270"/>
      <c r="D252" s="270"/>
      <c r="E252" s="270"/>
      <c r="F252" s="270"/>
      <c r="G252" s="270"/>
      <c r="H252" s="270"/>
      <c r="I252" s="270"/>
      <c r="J252" s="270"/>
      <c r="K252" s="270"/>
      <c r="L252" s="270"/>
      <c r="M252" s="260"/>
    </row>
    <row r="253" spans="1:13" ht="20.100000000000001" customHeight="1">
      <c r="A253" s="269"/>
      <c r="B253" s="270"/>
      <c r="C253" s="270"/>
      <c r="D253" s="270"/>
      <c r="E253" s="270"/>
      <c r="F253" s="270"/>
      <c r="G253" s="270"/>
      <c r="H253" s="270"/>
      <c r="I253" s="270"/>
      <c r="J253" s="270"/>
      <c r="K253" s="270"/>
      <c r="L253" s="270"/>
      <c r="M253" s="260"/>
    </row>
    <row r="254" spans="1:13" ht="20.100000000000001" customHeight="1">
      <c r="A254" s="269"/>
      <c r="B254" s="270"/>
      <c r="C254" s="270"/>
      <c r="D254" s="270"/>
      <c r="E254" s="270"/>
      <c r="F254" s="270"/>
      <c r="G254" s="270"/>
      <c r="H254" s="270"/>
      <c r="I254" s="270"/>
      <c r="J254" s="270"/>
      <c r="K254" s="270"/>
      <c r="L254" s="270"/>
      <c r="M254" s="260"/>
    </row>
    <row r="255" spans="1:13" ht="20.100000000000001" customHeight="1">
      <c r="A255" s="269"/>
      <c r="B255" s="270"/>
      <c r="C255" s="270"/>
      <c r="D255" s="270"/>
      <c r="E255" s="270"/>
      <c r="F255" s="270"/>
      <c r="G255" s="270"/>
      <c r="H255" s="270"/>
      <c r="I255" s="270"/>
      <c r="J255" s="270"/>
      <c r="K255" s="270"/>
      <c r="L255" s="270"/>
      <c r="M255" s="260"/>
    </row>
    <row r="256" spans="1:13" ht="20.100000000000001" customHeight="1">
      <c r="A256" s="269"/>
      <c r="B256" s="270"/>
      <c r="C256" s="270"/>
      <c r="D256" s="270"/>
      <c r="E256" s="270"/>
      <c r="F256" s="270"/>
      <c r="G256" s="270"/>
      <c r="H256" s="270"/>
      <c r="I256" s="270"/>
      <c r="J256" s="270"/>
      <c r="K256" s="270"/>
      <c r="L256" s="270"/>
      <c r="M256" s="260"/>
    </row>
    <row r="257" spans="1:13" ht="20.100000000000001" customHeight="1">
      <c r="A257" s="269"/>
      <c r="B257" s="270"/>
      <c r="C257" s="270"/>
      <c r="D257" s="270"/>
      <c r="E257" s="270"/>
      <c r="F257" s="270"/>
      <c r="G257" s="270"/>
      <c r="H257" s="270"/>
      <c r="I257" s="270"/>
      <c r="J257" s="270"/>
      <c r="K257" s="270"/>
      <c r="L257" s="270"/>
      <c r="M257" s="260"/>
    </row>
    <row r="258" spans="1:13" ht="20.100000000000001" customHeight="1">
      <c r="A258" s="269"/>
      <c r="B258" s="270"/>
      <c r="C258" s="270"/>
      <c r="D258" s="270"/>
      <c r="E258" s="270"/>
      <c r="F258" s="270"/>
      <c r="G258" s="270"/>
      <c r="H258" s="270"/>
      <c r="I258" s="270"/>
      <c r="J258" s="270"/>
      <c r="K258" s="270"/>
      <c r="L258" s="270"/>
      <c r="M258" s="260"/>
    </row>
    <row r="259" spans="1:13" ht="20.100000000000001" customHeight="1">
      <c r="A259" s="269"/>
      <c r="B259" s="270"/>
      <c r="C259" s="270"/>
      <c r="D259" s="270"/>
      <c r="E259" s="270"/>
      <c r="F259" s="270"/>
      <c r="G259" s="270"/>
      <c r="H259" s="270"/>
      <c r="I259" s="270"/>
      <c r="J259" s="270"/>
      <c r="K259" s="270"/>
      <c r="L259" s="270"/>
      <c r="M259" s="260"/>
    </row>
    <row r="260" spans="1:13" ht="20.100000000000001" customHeight="1">
      <c r="A260" s="269"/>
      <c r="B260" s="270"/>
      <c r="C260" s="270"/>
      <c r="D260" s="270"/>
      <c r="E260" s="270"/>
      <c r="F260" s="270"/>
      <c r="G260" s="270"/>
      <c r="H260" s="270"/>
      <c r="I260" s="270"/>
      <c r="J260" s="270"/>
      <c r="K260" s="270"/>
      <c r="L260" s="270"/>
      <c r="M260" s="260"/>
    </row>
    <row r="261" spans="1:13" ht="20.100000000000001" customHeight="1">
      <c r="A261" s="269"/>
      <c r="B261" s="270"/>
      <c r="C261" s="270"/>
      <c r="D261" s="270"/>
      <c r="E261" s="270"/>
      <c r="F261" s="270"/>
      <c r="G261" s="270"/>
      <c r="H261" s="270"/>
      <c r="I261" s="270"/>
      <c r="J261" s="270"/>
      <c r="K261" s="270"/>
      <c r="L261" s="270"/>
      <c r="M261" s="260"/>
    </row>
    <row r="262" spans="1:13" ht="20.100000000000001" customHeight="1">
      <c r="A262" s="269"/>
      <c r="B262" s="270"/>
      <c r="C262" s="270"/>
      <c r="D262" s="270"/>
      <c r="E262" s="270"/>
      <c r="F262" s="270"/>
      <c r="G262" s="270"/>
      <c r="H262" s="270"/>
      <c r="I262" s="270"/>
      <c r="J262" s="270"/>
      <c r="K262" s="270"/>
      <c r="L262" s="270"/>
      <c r="M262" s="260"/>
    </row>
    <row r="263" spans="1:13" ht="20.100000000000001" customHeight="1">
      <c r="A263" s="269"/>
      <c r="B263" s="270"/>
      <c r="C263" s="270"/>
      <c r="D263" s="270"/>
      <c r="E263" s="270"/>
      <c r="F263" s="270"/>
      <c r="G263" s="270"/>
      <c r="H263" s="270"/>
      <c r="I263" s="270"/>
      <c r="J263" s="270"/>
      <c r="K263" s="270"/>
      <c r="L263" s="270"/>
      <c r="M263" s="260"/>
    </row>
    <row r="264" spans="1:13" ht="20.100000000000001" customHeight="1">
      <c r="A264" s="269"/>
      <c r="B264" s="270"/>
      <c r="C264" s="270"/>
      <c r="D264" s="270"/>
      <c r="E264" s="270"/>
      <c r="F264" s="270"/>
      <c r="G264" s="270"/>
      <c r="H264" s="270"/>
      <c r="I264" s="270"/>
      <c r="J264" s="270"/>
      <c r="K264" s="270"/>
      <c r="L264" s="270"/>
      <c r="M264" s="260"/>
    </row>
    <row r="265" spans="1:13" ht="20.100000000000001" customHeight="1">
      <c r="A265" s="269"/>
      <c r="B265" s="270"/>
      <c r="C265" s="270"/>
      <c r="D265" s="270"/>
      <c r="E265" s="270"/>
      <c r="F265" s="270"/>
      <c r="G265" s="270"/>
      <c r="H265" s="270"/>
      <c r="I265" s="270"/>
      <c r="J265" s="270"/>
      <c r="K265" s="270"/>
      <c r="L265" s="270"/>
      <c r="M265" s="260"/>
    </row>
    <row r="266" spans="1:13" ht="20.100000000000001" customHeight="1">
      <c r="A266" s="269"/>
      <c r="B266" s="270"/>
      <c r="C266" s="270"/>
      <c r="D266" s="270"/>
      <c r="E266" s="270"/>
      <c r="F266" s="270"/>
      <c r="G266" s="270"/>
      <c r="H266" s="270"/>
      <c r="I266" s="270"/>
      <c r="J266" s="270"/>
      <c r="K266" s="270"/>
      <c r="L266" s="270"/>
      <c r="M266" s="260"/>
    </row>
    <row r="267" spans="1:13" ht="20.100000000000001" customHeight="1">
      <c r="A267" s="269"/>
      <c r="B267" s="270"/>
      <c r="C267" s="270"/>
      <c r="D267" s="270"/>
      <c r="E267" s="270"/>
      <c r="F267" s="270"/>
      <c r="G267" s="270"/>
      <c r="H267" s="270"/>
      <c r="I267" s="270"/>
      <c r="J267" s="270"/>
      <c r="K267" s="270"/>
      <c r="L267" s="270"/>
      <c r="M267" s="260"/>
    </row>
    <row r="268" spans="1:13" ht="20.100000000000001" customHeight="1">
      <c r="A268" s="269"/>
      <c r="B268" s="270"/>
      <c r="C268" s="270"/>
      <c r="D268" s="270"/>
      <c r="E268" s="270"/>
      <c r="F268" s="270"/>
      <c r="G268" s="270"/>
      <c r="H268" s="270"/>
      <c r="I268" s="270"/>
      <c r="J268" s="270"/>
      <c r="K268" s="270"/>
      <c r="L268" s="270"/>
      <c r="M268" s="260"/>
    </row>
    <row r="269" spans="1:13" ht="20.100000000000001" customHeight="1">
      <c r="A269" s="269"/>
      <c r="B269" s="270"/>
      <c r="C269" s="270"/>
      <c r="D269" s="270"/>
      <c r="E269" s="270"/>
      <c r="F269" s="270"/>
      <c r="G269" s="270"/>
      <c r="H269" s="270"/>
      <c r="I269" s="270"/>
      <c r="J269" s="270"/>
      <c r="K269" s="270"/>
      <c r="L269" s="270"/>
      <c r="M269" s="260"/>
    </row>
    <row r="270" spans="1:13" ht="20.100000000000001" customHeight="1">
      <c r="A270" s="269"/>
      <c r="B270" s="270"/>
      <c r="C270" s="270"/>
      <c r="D270" s="270"/>
      <c r="E270" s="270"/>
      <c r="F270" s="270"/>
      <c r="G270" s="270"/>
      <c r="H270" s="270"/>
      <c r="I270" s="270"/>
      <c r="J270" s="270"/>
      <c r="K270" s="270"/>
      <c r="L270" s="270"/>
      <c r="M270" s="260"/>
    </row>
    <row r="271" spans="1:13" ht="20.100000000000001" customHeight="1">
      <c r="A271" s="269"/>
      <c r="B271" s="270"/>
      <c r="C271" s="270"/>
      <c r="D271" s="270"/>
      <c r="E271" s="270"/>
      <c r="F271" s="270"/>
      <c r="G271" s="270"/>
      <c r="H271" s="270"/>
      <c r="I271" s="270"/>
      <c r="J271" s="270"/>
      <c r="K271" s="270"/>
      <c r="L271" s="270"/>
      <c r="M271" s="260"/>
    </row>
    <row r="272" spans="1:13" ht="20.100000000000001" customHeight="1">
      <c r="A272" s="269"/>
      <c r="B272" s="270"/>
      <c r="C272" s="270"/>
      <c r="D272" s="270"/>
      <c r="E272" s="270"/>
      <c r="F272" s="270"/>
      <c r="G272" s="270"/>
      <c r="H272" s="270"/>
      <c r="I272" s="270"/>
      <c r="J272" s="270"/>
      <c r="K272" s="270"/>
      <c r="L272" s="270"/>
      <c r="M272" s="260"/>
    </row>
    <row r="273" spans="1:13" ht="20.100000000000001" customHeight="1">
      <c r="A273" s="269"/>
      <c r="B273" s="270"/>
      <c r="C273" s="270"/>
      <c r="D273" s="270"/>
      <c r="E273" s="270"/>
      <c r="F273" s="270"/>
      <c r="G273" s="270"/>
      <c r="H273" s="270"/>
      <c r="I273" s="270"/>
      <c r="J273" s="270"/>
      <c r="K273" s="270"/>
      <c r="L273" s="270"/>
      <c r="M273" s="260"/>
    </row>
    <row r="274" spans="1:13" ht="20.100000000000001" customHeight="1">
      <c r="A274" s="269"/>
      <c r="B274" s="270"/>
      <c r="C274" s="270"/>
      <c r="D274" s="270"/>
      <c r="E274" s="270"/>
      <c r="F274" s="270"/>
      <c r="G274" s="270"/>
      <c r="H274" s="270"/>
      <c r="I274" s="270"/>
      <c r="J274" s="270"/>
      <c r="K274" s="270"/>
      <c r="L274" s="270"/>
      <c r="M274" s="260"/>
    </row>
    <row r="275" spans="1:13" ht="20.100000000000001" customHeight="1">
      <c r="A275" s="269"/>
      <c r="B275" s="270"/>
      <c r="C275" s="270"/>
      <c r="D275" s="270"/>
      <c r="E275" s="270"/>
      <c r="F275" s="270"/>
      <c r="G275" s="270"/>
      <c r="H275" s="270"/>
      <c r="I275" s="270"/>
      <c r="J275" s="270"/>
      <c r="K275" s="270"/>
      <c r="L275" s="270"/>
      <c r="M275" s="260"/>
    </row>
    <row r="276" spans="1:13" ht="20.100000000000001" customHeight="1">
      <c r="A276" s="269"/>
      <c r="B276" s="270"/>
      <c r="C276" s="270"/>
      <c r="D276" s="270"/>
      <c r="E276" s="270"/>
      <c r="F276" s="270"/>
      <c r="G276" s="270"/>
      <c r="H276" s="270"/>
      <c r="I276" s="270"/>
      <c r="J276" s="270"/>
      <c r="K276" s="270"/>
      <c r="L276" s="270"/>
      <c r="M276" s="260"/>
    </row>
    <row r="277" spans="1:13" ht="20.100000000000001" customHeight="1">
      <c r="A277" s="269"/>
      <c r="B277" s="270"/>
      <c r="C277" s="270"/>
      <c r="D277" s="270"/>
      <c r="E277" s="270"/>
      <c r="F277" s="270"/>
      <c r="G277" s="270"/>
      <c r="H277" s="270"/>
      <c r="I277" s="270"/>
      <c r="J277" s="270"/>
      <c r="K277" s="270"/>
      <c r="L277" s="270"/>
      <c r="M277" s="260"/>
    </row>
    <row r="278" spans="1:13" ht="20.100000000000001" customHeight="1">
      <c r="A278" s="269"/>
      <c r="B278" s="270"/>
      <c r="C278" s="270"/>
      <c r="D278" s="270"/>
      <c r="E278" s="270"/>
      <c r="F278" s="270"/>
      <c r="G278" s="270"/>
      <c r="H278" s="270"/>
      <c r="I278" s="270"/>
      <c r="J278" s="270"/>
      <c r="K278" s="270"/>
      <c r="L278" s="270"/>
      <c r="M278" s="260"/>
    </row>
    <row r="279" spans="1:13" ht="20.100000000000001" customHeight="1">
      <c r="A279" s="269"/>
      <c r="B279" s="270"/>
      <c r="C279" s="270"/>
      <c r="D279" s="270"/>
      <c r="E279" s="270"/>
      <c r="F279" s="270"/>
      <c r="G279" s="270"/>
      <c r="H279" s="270"/>
      <c r="I279" s="270"/>
      <c r="J279" s="270"/>
      <c r="K279" s="270"/>
      <c r="L279" s="270"/>
      <c r="M279" s="260"/>
    </row>
    <row r="280" spans="1:13" ht="20.100000000000001" customHeight="1">
      <c r="A280" s="269"/>
      <c r="B280" s="270"/>
      <c r="C280" s="270"/>
      <c r="D280" s="270"/>
      <c r="E280" s="270"/>
      <c r="F280" s="270"/>
      <c r="G280" s="270"/>
      <c r="H280" s="270"/>
      <c r="I280" s="270"/>
      <c r="J280" s="270"/>
      <c r="K280" s="270"/>
      <c r="L280" s="270"/>
      <c r="M280" s="260"/>
    </row>
    <row r="281" spans="1:13" ht="20.100000000000001" customHeight="1">
      <c r="A281" s="269"/>
      <c r="B281" s="270"/>
      <c r="C281" s="270"/>
      <c r="D281" s="270"/>
      <c r="E281" s="270"/>
      <c r="F281" s="270"/>
      <c r="G281" s="270"/>
      <c r="H281" s="270"/>
      <c r="I281" s="270"/>
      <c r="J281" s="270"/>
      <c r="K281" s="270"/>
      <c r="L281" s="270"/>
      <c r="M281" s="260"/>
    </row>
    <row r="282" spans="1:13" ht="20.100000000000001" customHeight="1">
      <c r="A282" s="269"/>
      <c r="B282" s="270"/>
      <c r="C282" s="270"/>
      <c r="D282" s="270"/>
      <c r="E282" s="270"/>
      <c r="F282" s="270"/>
      <c r="G282" s="270"/>
      <c r="H282" s="270"/>
      <c r="I282" s="270"/>
      <c r="J282" s="270"/>
      <c r="K282" s="270"/>
      <c r="L282" s="270"/>
      <c r="M282" s="260"/>
    </row>
    <row r="283" spans="1:13" ht="20.100000000000001" customHeight="1">
      <c r="A283" s="269"/>
      <c r="B283" s="270"/>
      <c r="C283" s="270"/>
      <c r="D283" s="270"/>
      <c r="E283" s="270"/>
      <c r="F283" s="270"/>
      <c r="G283" s="270"/>
      <c r="H283" s="270"/>
      <c r="I283" s="270"/>
      <c r="J283" s="270"/>
      <c r="K283" s="270"/>
      <c r="L283" s="270"/>
      <c r="M283" s="260"/>
    </row>
    <row r="284" spans="1:13" ht="20.100000000000001" customHeight="1">
      <c r="A284" s="269"/>
      <c r="B284" s="270"/>
      <c r="C284" s="270"/>
      <c r="D284" s="270"/>
      <c r="E284" s="270"/>
      <c r="F284" s="270"/>
      <c r="G284" s="270"/>
      <c r="H284" s="270"/>
      <c r="I284" s="270"/>
      <c r="J284" s="270"/>
      <c r="K284" s="270"/>
      <c r="L284" s="270"/>
      <c r="M284" s="260"/>
    </row>
    <row r="285" spans="1:13" ht="20.100000000000001" customHeight="1">
      <c r="A285" s="269"/>
      <c r="B285" s="270"/>
      <c r="C285" s="270"/>
      <c r="D285" s="270"/>
      <c r="E285" s="270"/>
      <c r="F285" s="270"/>
      <c r="G285" s="270"/>
      <c r="H285" s="270"/>
      <c r="I285" s="270"/>
      <c r="J285" s="270"/>
      <c r="K285" s="270"/>
      <c r="L285" s="270"/>
      <c r="M285" s="260"/>
    </row>
    <row r="286" spans="1:13" ht="20.100000000000001" customHeight="1">
      <c r="A286" s="269"/>
      <c r="B286" s="270"/>
      <c r="C286" s="270"/>
      <c r="D286" s="270"/>
      <c r="E286" s="270"/>
      <c r="F286" s="270"/>
      <c r="G286" s="270"/>
      <c r="H286" s="270"/>
      <c r="I286" s="270"/>
      <c r="J286" s="270"/>
      <c r="K286" s="270"/>
      <c r="L286" s="270"/>
      <c r="M286" s="260"/>
    </row>
    <row r="287" spans="1:13" ht="20.100000000000001" customHeight="1">
      <c r="A287" s="269"/>
      <c r="B287" s="270"/>
      <c r="C287" s="270"/>
      <c r="D287" s="270"/>
      <c r="E287" s="270"/>
      <c r="F287" s="270"/>
      <c r="G287" s="270"/>
      <c r="H287" s="270"/>
      <c r="I287" s="270"/>
      <c r="J287" s="270"/>
      <c r="K287" s="270"/>
      <c r="L287" s="270"/>
      <c r="M287" s="260"/>
    </row>
    <row r="288" spans="1:13" ht="20.100000000000001" customHeight="1">
      <c r="A288" s="269"/>
      <c r="B288" s="270"/>
      <c r="C288" s="270"/>
      <c r="D288" s="270"/>
      <c r="E288" s="270"/>
      <c r="F288" s="270"/>
      <c r="G288" s="270"/>
      <c r="H288" s="270"/>
      <c r="I288" s="270"/>
      <c r="J288" s="270"/>
      <c r="K288" s="270"/>
      <c r="L288" s="270"/>
      <c r="M288" s="260"/>
    </row>
    <row r="289" spans="1:13" ht="20.100000000000001" customHeight="1">
      <c r="A289" s="269"/>
      <c r="B289" s="270"/>
      <c r="C289" s="270"/>
      <c r="D289" s="270"/>
      <c r="E289" s="270"/>
      <c r="F289" s="270"/>
      <c r="G289" s="270"/>
      <c r="H289" s="270"/>
      <c r="I289" s="270"/>
      <c r="J289" s="270"/>
      <c r="K289" s="270"/>
      <c r="L289" s="270"/>
      <c r="M289" s="260"/>
    </row>
    <row r="290" spans="1:13" ht="20.100000000000001" customHeight="1">
      <c r="A290" s="269"/>
      <c r="B290" s="270"/>
      <c r="C290" s="270"/>
      <c r="D290" s="270"/>
      <c r="E290" s="270"/>
      <c r="F290" s="270"/>
      <c r="G290" s="270"/>
      <c r="H290" s="270"/>
      <c r="I290" s="270"/>
      <c r="J290" s="270"/>
      <c r="K290" s="270"/>
      <c r="L290" s="270"/>
      <c r="M290" s="260"/>
    </row>
    <row r="291" spans="1:13" ht="20.100000000000001" customHeight="1">
      <c r="A291" s="269"/>
      <c r="B291" s="270"/>
      <c r="C291" s="270"/>
      <c r="D291" s="270"/>
      <c r="E291" s="270"/>
      <c r="F291" s="270"/>
      <c r="G291" s="270"/>
      <c r="H291" s="270"/>
      <c r="I291" s="270"/>
      <c r="J291" s="270"/>
      <c r="K291" s="270"/>
      <c r="L291" s="270"/>
      <c r="M291" s="260"/>
    </row>
    <row r="292" spans="1:13" ht="20.100000000000001" customHeight="1">
      <c r="A292" s="269"/>
      <c r="B292" s="270"/>
      <c r="C292" s="270"/>
      <c r="D292" s="270"/>
      <c r="E292" s="270"/>
      <c r="F292" s="270"/>
      <c r="G292" s="270"/>
      <c r="H292" s="270"/>
      <c r="I292" s="270"/>
      <c r="J292" s="270"/>
      <c r="K292" s="270"/>
      <c r="L292" s="270"/>
      <c r="M292" s="260"/>
    </row>
    <row r="293" spans="1:13" ht="20.100000000000001" customHeight="1">
      <c r="A293" s="269"/>
      <c r="B293" s="270"/>
      <c r="C293" s="270"/>
      <c r="D293" s="270"/>
      <c r="E293" s="270"/>
      <c r="F293" s="270"/>
      <c r="G293" s="270"/>
      <c r="H293" s="270"/>
      <c r="I293" s="270"/>
      <c r="J293" s="270"/>
      <c r="K293" s="270"/>
      <c r="L293" s="270"/>
      <c r="M293" s="260"/>
    </row>
    <row r="294" spans="1:13" ht="20.100000000000001" customHeight="1">
      <c r="A294" s="269"/>
      <c r="B294" s="270"/>
      <c r="C294" s="270"/>
      <c r="D294" s="270"/>
      <c r="E294" s="270"/>
      <c r="F294" s="270"/>
      <c r="G294" s="270"/>
      <c r="H294" s="270"/>
      <c r="I294" s="270"/>
      <c r="J294" s="270"/>
      <c r="K294" s="270"/>
      <c r="L294" s="270"/>
      <c r="M294" s="260"/>
    </row>
    <row r="295" spans="1:13" ht="20.100000000000001" customHeight="1">
      <c r="A295" s="269"/>
      <c r="B295" s="270"/>
      <c r="C295" s="270"/>
      <c r="D295" s="270"/>
      <c r="E295" s="270"/>
      <c r="F295" s="270"/>
      <c r="G295" s="270"/>
      <c r="H295" s="270"/>
      <c r="I295" s="270"/>
      <c r="J295" s="270"/>
      <c r="K295" s="270"/>
      <c r="L295" s="270"/>
      <c r="M295" s="260"/>
    </row>
    <row r="296" spans="1:13" ht="20.100000000000001" customHeight="1">
      <c r="A296" s="269"/>
      <c r="B296" s="270"/>
      <c r="C296" s="270"/>
      <c r="D296" s="270"/>
      <c r="E296" s="270"/>
      <c r="F296" s="270"/>
      <c r="G296" s="270"/>
      <c r="H296" s="270"/>
      <c r="I296" s="270"/>
      <c r="J296" s="270"/>
      <c r="K296" s="270"/>
      <c r="L296" s="270"/>
      <c r="M296" s="260"/>
    </row>
    <row r="297" spans="1:13" ht="20.100000000000001" customHeight="1">
      <c r="A297" s="269"/>
      <c r="B297" s="270"/>
      <c r="C297" s="270"/>
      <c r="D297" s="270"/>
      <c r="E297" s="270"/>
      <c r="F297" s="270"/>
      <c r="G297" s="270"/>
      <c r="H297" s="270"/>
      <c r="I297" s="270"/>
      <c r="J297" s="270"/>
      <c r="K297" s="270"/>
      <c r="L297" s="270"/>
      <c r="M297" s="260"/>
    </row>
    <row r="298" spans="1:13" ht="20.100000000000001" customHeight="1">
      <c r="A298" s="269"/>
      <c r="B298" s="270"/>
      <c r="C298" s="270"/>
      <c r="D298" s="270"/>
      <c r="E298" s="270"/>
      <c r="F298" s="270"/>
      <c r="G298" s="270"/>
      <c r="H298" s="270"/>
      <c r="I298" s="270"/>
      <c r="J298" s="270"/>
      <c r="K298" s="270"/>
      <c r="L298" s="270"/>
      <c r="M298" s="260"/>
    </row>
    <row r="299" spans="1:13" ht="20.100000000000001" customHeight="1">
      <c r="A299" s="269"/>
      <c r="B299" s="270"/>
      <c r="C299" s="270"/>
      <c r="D299" s="270"/>
      <c r="E299" s="270"/>
      <c r="F299" s="270"/>
      <c r="G299" s="270"/>
      <c r="H299" s="270"/>
      <c r="I299" s="270"/>
      <c r="J299" s="270"/>
      <c r="K299" s="270"/>
      <c r="L299" s="270"/>
      <c r="M299" s="260"/>
    </row>
    <row r="300" spans="1:13" ht="20.100000000000001" customHeight="1">
      <c r="A300" s="269"/>
      <c r="B300" s="270"/>
      <c r="C300" s="270"/>
      <c r="D300" s="270"/>
      <c r="E300" s="270"/>
      <c r="F300" s="270"/>
      <c r="G300" s="270"/>
      <c r="H300" s="270"/>
      <c r="I300" s="270"/>
      <c r="J300" s="270"/>
      <c r="K300" s="270"/>
      <c r="L300" s="270"/>
      <c r="M300" s="260"/>
    </row>
    <row r="301" spans="1:13" ht="20.100000000000001" customHeight="1">
      <c r="A301" s="269"/>
      <c r="B301" s="270"/>
      <c r="C301" s="270"/>
      <c r="D301" s="270"/>
      <c r="E301" s="270"/>
      <c r="F301" s="270"/>
      <c r="G301" s="270"/>
      <c r="H301" s="270"/>
      <c r="I301" s="270"/>
      <c r="J301" s="270"/>
      <c r="K301" s="270"/>
      <c r="L301" s="270"/>
      <c r="M301" s="260"/>
    </row>
    <row r="302" spans="1:13" ht="20.100000000000001" customHeight="1">
      <c r="A302" s="269"/>
      <c r="B302" s="270"/>
      <c r="C302" s="270"/>
      <c r="D302" s="270"/>
      <c r="E302" s="270"/>
      <c r="F302" s="270"/>
      <c r="G302" s="270"/>
      <c r="H302" s="270"/>
      <c r="I302" s="270"/>
      <c r="J302" s="270"/>
      <c r="K302" s="270"/>
      <c r="L302" s="270"/>
      <c r="M302" s="260"/>
    </row>
    <row r="303" spans="1:13" ht="20.100000000000001" customHeight="1">
      <c r="A303" s="269"/>
      <c r="B303" s="270"/>
      <c r="C303" s="270"/>
      <c r="D303" s="270"/>
      <c r="E303" s="270"/>
      <c r="F303" s="270"/>
      <c r="G303" s="270"/>
      <c r="H303" s="270"/>
      <c r="I303" s="270"/>
      <c r="J303" s="270"/>
      <c r="K303" s="270"/>
      <c r="L303" s="270"/>
      <c r="M303" s="260"/>
    </row>
    <row r="304" spans="1:13" ht="20.100000000000001" customHeight="1">
      <c r="A304" s="269"/>
      <c r="B304" s="270"/>
      <c r="C304" s="270"/>
      <c r="D304" s="270"/>
      <c r="E304" s="270"/>
      <c r="F304" s="270"/>
      <c r="G304" s="270"/>
      <c r="H304" s="270"/>
      <c r="I304" s="270"/>
      <c r="J304" s="270"/>
      <c r="K304" s="270"/>
      <c r="L304" s="270"/>
      <c r="M304" s="260"/>
    </row>
    <row r="305" spans="1:13" ht="20.100000000000001" customHeight="1">
      <c r="A305" s="269"/>
      <c r="B305" s="270"/>
      <c r="C305" s="270"/>
      <c r="D305" s="270"/>
      <c r="E305" s="270"/>
      <c r="F305" s="270"/>
      <c r="G305" s="270"/>
      <c r="H305" s="270"/>
      <c r="I305" s="270"/>
      <c r="J305" s="270"/>
      <c r="K305" s="270"/>
      <c r="L305" s="270"/>
      <c r="M305" s="260"/>
    </row>
    <row r="306" spans="1:13" ht="20.100000000000001" customHeight="1">
      <c r="A306" s="269"/>
      <c r="B306" s="270"/>
      <c r="C306" s="270"/>
      <c r="D306" s="270"/>
      <c r="E306" s="270"/>
      <c r="F306" s="270"/>
      <c r="G306" s="270"/>
      <c r="H306" s="270"/>
      <c r="I306" s="270"/>
      <c r="J306" s="270"/>
      <c r="K306" s="270"/>
      <c r="L306" s="270"/>
      <c r="M306" s="260"/>
    </row>
    <row r="307" spans="1:13" ht="20.100000000000001" customHeight="1">
      <c r="A307" s="269"/>
      <c r="B307" s="270"/>
      <c r="C307" s="270"/>
      <c r="D307" s="270"/>
      <c r="E307" s="270"/>
      <c r="F307" s="270"/>
      <c r="G307" s="270"/>
      <c r="H307" s="270"/>
      <c r="I307" s="270"/>
      <c r="J307" s="270"/>
      <c r="K307" s="270"/>
      <c r="L307" s="270"/>
      <c r="M307" s="260"/>
    </row>
    <row r="308" spans="1:13" ht="20.100000000000001" customHeight="1">
      <c r="A308" s="269"/>
      <c r="B308" s="270"/>
      <c r="C308" s="270"/>
      <c r="D308" s="270"/>
      <c r="E308" s="270"/>
      <c r="F308" s="270"/>
      <c r="G308" s="270"/>
      <c r="H308" s="270"/>
      <c r="I308" s="270"/>
      <c r="J308" s="270"/>
      <c r="K308" s="270"/>
      <c r="L308" s="270"/>
      <c r="M308" s="260"/>
    </row>
    <row r="309" spans="1:13" ht="20.100000000000001" customHeight="1">
      <c r="A309" s="269"/>
      <c r="B309" s="270"/>
      <c r="C309" s="270"/>
      <c r="D309" s="270"/>
      <c r="E309" s="270"/>
      <c r="F309" s="270"/>
      <c r="G309" s="270"/>
      <c r="H309" s="270"/>
      <c r="I309" s="270"/>
      <c r="J309" s="270"/>
      <c r="K309" s="270"/>
      <c r="L309" s="270"/>
      <c r="M309" s="260"/>
    </row>
    <row r="310" spans="1:13" ht="20.100000000000001" customHeight="1">
      <c r="A310" s="269"/>
      <c r="B310" s="270"/>
      <c r="C310" s="270"/>
      <c r="D310" s="270"/>
      <c r="E310" s="270"/>
      <c r="F310" s="270"/>
      <c r="G310" s="270"/>
      <c r="H310" s="270"/>
      <c r="I310" s="270"/>
      <c r="J310" s="270"/>
      <c r="K310" s="270"/>
      <c r="L310" s="270"/>
      <c r="M310" s="260"/>
    </row>
    <row r="311" spans="1:13" ht="20.100000000000001" customHeight="1">
      <c r="A311" s="269"/>
      <c r="B311" s="270"/>
      <c r="C311" s="270"/>
      <c r="D311" s="270"/>
      <c r="E311" s="270"/>
      <c r="F311" s="270"/>
      <c r="G311" s="270"/>
      <c r="H311" s="270"/>
      <c r="I311" s="270"/>
      <c r="J311" s="270"/>
      <c r="K311" s="270"/>
      <c r="L311" s="270"/>
      <c r="M311" s="260"/>
    </row>
    <row r="312" spans="1:13" ht="20.100000000000001" customHeight="1">
      <c r="A312" s="269"/>
      <c r="B312" s="270"/>
      <c r="C312" s="270"/>
      <c r="D312" s="270"/>
      <c r="E312" s="270"/>
      <c r="F312" s="270"/>
      <c r="G312" s="270"/>
      <c r="H312" s="270"/>
      <c r="I312" s="270"/>
      <c r="J312" s="270"/>
      <c r="K312" s="270"/>
      <c r="L312" s="270"/>
      <c r="M312" s="260"/>
    </row>
    <row r="313" spans="1:13" ht="20.100000000000001" customHeight="1">
      <c r="A313" s="269"/>
      <c r="B313" s="270"/>
      <c r="C313" s="270"/>
      <c r="D313" s="270"/>
      <c r="E313" s="270"/>
      <c r="F313" s="270"/>
      <c r="G313" s="270"/>
      <c r="H313" s="270"/>
      <c r="I313" s="270"/>
      <c r="J313" s="270"/>
      <c r="K313" s="270"/>
      <c r="L313" s="270"/>
      <c r="M313" s="260"/>
    </row>
    <row r="314" spans="1:13" ht="20.100000000000001" customHeight="1">
      <c r="A314" s="269"/>
      <c r="B314" s="270"/>
      <c r="C314" s="270"/>
      <c r="D314" s="270"/>
      <c r="E314" s="270"/>
      <c r="F314" s="270"/>
      <c r="G314" s="270"/>
      <c r="H314" s="270"/>
      <c r="I314" s="270"/>
      <c r="J314" s="270"/>
      <c r="K314" s="270"/>
      <c r="L314" s="270"/>
      <c r="M314" s="260"/>
    </row>
    <row r="315" spans="1:13" ht="20.100000000000001" customHeight="1">
      <c r="A315" s="269"/>
      <c r="B315" s="270"/>
      <c r="C315" s="270"/>
      <c r="D315" s="270"/>
      <c r="E315" s="270"/>
      <c r="F315" s="270"/>
      <c r="G315" s="270"/>
      <c r="H315" s="270"/>
      <c r="I315" s="270"/>
      <c r="J315" s="270"/>
      <c r="K315" s="270"/>
      <c r="L315" s="270"/>
      <c r="M315" s="260"/>
    </row>
    <row r="316" spans="1:13" ht="20.100000000000001" customHeight="1">
      <c r="A316" s="269"/>
      <c r="B316" s="270"/>
      <c r="C316" s="270"/>
      <c r="D316" s="270"/>
      <c r="E316" s="270"/>
      <c r="F316" s="270"/>
      <c r="G316" s="270"/>
      <c r="H316" s="270"/>
      <c r="I316" s="270"/>
      <c r="J316" s="270"/>
      <c r="K316" s="270"/>
      <c r="L316" s="270"/>
      <c r="M316" s="260"/>
    </row>
    <row r="317" spans="1:13" ht="20.100000000000001" customHeight="1">
      <c r="A317" s="269"/>
      <c r="B317" s="270"/>
      <c r="C317" s="270"/>
      <c r="D317" s="270"/>
      <c r="E317" s="270"/>
      <c r="F317" s="270"/>
      <c r="G317" s="270"/>
      <c r="H317" s="270"/>
      <c r="I317" s="270"/>
      <c r="J317" s="270"/>
      <c r="K317" s="270"/>
      <c r="L317" s="270"/>
      <c r="M317" s="260"/>
    </row>
    <row r="318" spans="1:13" ht="20.100000000000001" customHeight="1">
      <c r="A318" s="269"/>
      <c r="B318" s="270"/>
      <c r="C318" s="270"/>
      <c r="D318" s="270"/>
      <c r="E318" s="270"/>
      <c r="F318" s="270"/>
      <c r="G318" s="270"/>
      <c r="H318" s="270"/>
      <c r="I318" s="270"/>
      <c r="J318" s="270"/>
      <c r="K318" s="270"/>
      <c r="L318" s="270"/>
      <c r="M318" s="260"/>
    </row>
    <row r="319" spans="1:13" ht="20.100000000000001" customHeight="1">
      <c r="A319" s="269"/>
      <c r="B319" s="270"/>
      <c r="C319" s="270"/>
      <c r="D319" s="270"/>
      <c r="E319" s="270"/>
      <c r="F319" s="270"/>
      <c r="G319" s="270"/>
      <c r="H319" s="270"/>
      <c r="I319" s="270"/>
      <c r="J319" s="270"/>
      <c r="K319" s="270"/>
      <c r="L319" s="270"/>
      <c r="M319" s="260"/>
    </row>
    <row r="320" spans="1:13" ht="20.100000000000001" customHeight="1">
      <c r="A320" s="269"/>
      <c r="B320" s="270"/>
      <c r="C320" s="270"/>
      <c r="D320" s="270"/>
      <c r="E320" s="270"/>
      <c r="F320" s="270"/>
      <c r="G320" s="270"/>
      <c r="H320" s="270"/>
      <c r="I320" s="270"/>
      <c r="J320" s="270"/>
      <c r="K320" s="270"/>
      <c r="L320" s="270"/>
      <c r="M320" s="260"/>
    </row>
    <row r="321" spans="1:13" ht="20.100000000000001" customHeight="1">
      <c r="A321" s="269"/>
      <c r="B321" s="270"/>
      <c r="C321" s="270"/>
      <c r="D321" s="270"/>
      <c r="E321" s="270"/>
      <c r="F321" s="270"/>
      <c r="G321" s="270"/>
      <c r="H321" s="270"/>
      <c r="I321" s="270"/>
      <c r="J321" s="270"/>
      <c r="K321" s="270"/>
      <c r="L321" s="270"/>
      <c r="M321" s="260"/>
    </row>
    <row r="322" spans="1:13" ht="20.100000000000001" customHeight="1">
      <c r="A322" s="269"/>
      <c r="B322" s="270"/>
      <c r="C322" s="270"/>
      <c r="D322" s="270"/>
      <c r="E322" s="270"/>
      <c r="F322" s="270"/>
      <c r="G322" s="270"/>
      <c r="H322" s="270"/>
      <c r="I322" s="270"/>
      <c r="J322" s="270"/>
      <c r="K322" s="270"/>
      <c r="L322" s="270"/>
      <c r="M322" s="260"/>
    </row>
    <row r="323" spans="1:13" ht="20.100000000000001" customHeight="1">
      <c r="A323" s="269"/>
      <c r="B323" s="270"/>
      <c r="C323" s="270"/>
      <c r="D323" s="270"/>
      <c r="E323" s="270"/>
      <c r="F323" s="270"/>
      <c r="G323" s="270"/>
      <c r="H323" s="270"/>
      <c r="I323" s="270"/>
      <c r="J323" s="270"/>
      <c r="K323" s="270"/>
      <c r="L323" s="270"/>
      <c r="M323" s="260"/>
    </row>
    <row r="324" spans="1:13" ht="20.100000000000001" customHeight="1">
      <c r="A324" s="269"/>
      <c r="B324" s="270"/>
      <c r="C324" s="270"/>
      <c r="D324" s="270"/>
      <c r="E324" s="270"/>
      <c r="F324" s="270"/>
      <c r="G324" s="270"/>
      <c r="H324" s="270"/>
      <c r="I324" s="270"/>
      <c r="J324" s="270"/>
      <c r="K324" s="270"/>
      <c r="L324" s="270"/>
      <c r="M324" s="260"/>
    </row>
    <row r="325" spans="1:13" ht="20.100000000000001" customHeight="1">
      <c r="A325" s="269"/>
      <c r="B325" s="270"/>
      <c r="C325" s="270"/>
      <c r="D325" s="270"/>
      <c r="E325" s="270"/>
      <c r="F325" s="270"/>
      <c r="G325" s="270"/>
      <c r="H325" s="270"/>
      <c r="I325" s="270"/>
      <c r="J325" s="270"/>
      <c r="K325" s="270"/>
      <c r="L325" s="270"/>
      <c r="M325" s="260"/>
    </row>
    <row r="326" spans="1:13" ht="20.100000000000001" customHeight="1">
      <c r="A326" s="269"/>
      <c r="B326" s="270"/>
      <c r="C326" s="270"/>
      <c r="D326" s="270"/>
      <c r="E326" s="270"/>
      <c r="F326" s="270"/>
      <c r="G326" s="270"/>
      <c r="H326" s="270"/>
      <c r="I326" s="270"/>
      <c r="J326" s="270"/>
      <c r="K326" s="270"/>
      <c r="L326" s="270"/>
      <c r="M326" s="260"/>
    </row>
    <row r="327" spans="1:13" ht="20.100000000000001" customHeight="1">
      <c r="A327" s="269"/>
      <c r="B327" s="270"/>
      <c r="C327" s="270"/>
      <c r="D327" s="270"/>
      <c r="E327" s="270"/>
      <c r="F327" s="270"/>
      <c r="G327" s="270"/>
      <c r="H327" s="270"/>
      <c r="I327" s="270"/>
      <c r="J327" s="270"/>
      <c r="K327" s="270"/>
      <c r="L327" s="270"/>
      <c r="M327" s="260"/>
    </row>
    <row r="328" spans="1:13" ht="20.100000000000001" customHeight="1">
      <c r="A328" s="269"/>
      <c r="B328" s="270"/>
      <c r="C328" s="270"/>
      <c r="D328" s="270"/>
      <c r="E328" s="270"/>
      <c r="F328" s="270"/>
      <c r="G328" s="270"/>
      <c r="H328" s="270"/>
      <c r="I328" s="270"/>
      <c r="J328" s="270"/>
      <c r="K328" s="270"/>
      <c r="L328" s="270"/>
      <c r="M328" s="260"/>
    </row>
    <row r="329" spans="1:13" ht="20.100000000000001" customHeight="1">
      <c r="A329" s="269"/>
      <c r="B329" s="270"/>
      <c r="C329" s="270"/>
      <c r="D329" s="270"/>
      <c r="E329" s="270"/>
      <c r="F329" s="270"/>
      <c r="G329" s="270"/>
      <c r="H329" s="270"/>
      <c r="I329" s="270"/>
      <c r="J329" s="270"/>
      <c r="K329" s="270"/>
      <c r="L329" s="270"/>
      <c r="M329" s="260"/>
    </row>
    <row r="330" spans="1:13" ht="20.100000000000001" customHeight="1">
      <c r="A330" s="269"/>
      <c r="B330" s="270"/>
      <c r="C330" s="270"/>
      <c r="D330" s="270"/>
      <c r="E330" s="270"/>
      <c r="F330" s="270"/>
      <c r="G330" s="270"/>
      <c r="H330" s="270"/>
      <c r="I330" s="270"/>
      <c r="J330" s="270"/>
      <c r="K330" s="270"/>
      <c r="L330" s="270"/>
      <c r="M330" s="260"/>
    </row>
    <row r="331" spans="1:13" ht="20.100000000000001" customHeight="1">
      <c r="A331" s="269"/>
      <c r="B331" s="270"/>
      <c r="C331" s="270"/>
      <c r="D331" s="270"/>
      <c r="E331" s="270"/>
      <c r="F331" s="270"/>
      <c r="G331" s="270"/>
      <c r="H331" s="270"/>
      <c r="I331" s="270"/>
      <c r="J331" s="270"/>
      <c r="K331" s="270"/>
      <c r="L331" s="270"/>
      <c r="M331" s="260"/>
    </row>
    <row r="332" spans="1:13" ht="20.100000000000001" customHeight="1">
      <c r="A332" s="269"/>
      <c r="B332" s="270"/>
      <c r="C332" s="270"/>
      <c r="D332" s="270"/>
      <c r="E332" s="270"/>
      <c r="F332" s="270"/>
      <c r="G332" s="270"/>
      <c r="H332" s="270"/>
      <c r="I332" s="270"/>
      <c r="J332" s="270"/>
      <c r="K332" s="270"/>
      <c r="L332" s="270"/>
      <c r="M332" s="260"/>
    </row>
    <row r="333" spans="1:13" ht="20.100000000000001" customHeight="1">
      <c r="A333" s="269"/>
      <c r="B333" s="270"/>
      <c r="C333" s="270"/>
      <c r="D333" s="270"/>
      <c r="E333" s="270"/>
      <c r="F333" s="270"/>
      <c r="G333" s="270"/>
      <c r="H333" s="270"/>
      <c r="I333" s="270"/>
      <c r="J333" s="270"/>
      <c r="K333" s="270"/>
      <c r="L333" s="270"/>
      <c r="M333" s="260"/>
    </row>
    <row r="334" spans="1:13" ht="20.100000000000001" customHeight="1">
      <c r="A334" s="269"/>
      <c r="B334" s="270"/>
      <c r="C334" s="270"/>
      <c r="D334" s="270"/>
      <c r="E334" s="270"/>
      <c r="F334" s="270"/>
      <c r="G334" s="270"/>
      <c r="H334" s="270"/>
      <c r="I334" s="270"/>
      <c r="J334" s="270"/>
      <c r="K334" s="270"/>
      <c r="L334" s="270"/>
      <c r="M334" s="260"/>
    </row>
    <row r="335" spans="1:13" ht="20.100000000000001" customHeight="1">
      <c r="A335" s="269"/>
      <c r="B335" s="270"/>
      <c r="C335" s="270"/>
      <c r="D335" s="270"/>
      <c r="E335" s="270"/>
      <c r="F335" s="270"/>
      <c r="G335" s="270"/>
      <c r="H335" s="270"/>
      <c r="I335" s="270"/>
      <c r="J335" s="270"/>
      <c r="K335" s="270"/>
      <c r="L335" s="270"/>
      <c r="M335" s="260"/>
    </row>
    <row r="336" spans="1:13" ht="20.100000000000001" customHeight="1">
      <c r="A336" s="269"/>
      <c r="B336" s="270"/>
      <c r="C336" s="270"/>
      <c r="D336" s="270"/>
      <c r="E336" s="270"/>
      <c r="F336" s="270"/>
      <c r="G336" s="270"/>
      <c r="H336" s="270"/>
      <c r="I336" s="270"/>
      <c r="J336" s="270"/>
      <c r="K336" s="270"/>
      <c r="L336" s="270"/>
      <c r="M336" s="260"/>
    </row>
    <row r="337" spans="1:13" ht="20.100000000000001" customHeight="1">
      <c r="A337" s="269"/>
      <c r="B337" s="270"/>
      <c r="C337" s="270"/>
      <c r="D337" s="270"/>
      <c r="E337" s="270"/>
      <c r="F337" s="270"/>
      <c r="G337" s="270"/>
      <c r="H337" s="270"/>
      <c r="I337" s="270"/>
      <c r="J337" s="270"/>
      <c r="K337" s="270"/>
      <c r="L337" s="270"/>
      <c r="M337" s="260"/>
    </row>
    <row r="338" spans="1:13" ht="20.100000000000001" customHeight="1">
      <c r="A338" s="269"/>
      <c r="B338" s="270"/>
      <c r="C338" s="270"/>
      <c r="D338" s="270"/>
      <c r="E338" s="270"/>
      <c r="F338" s="270"/>
      <c r="G338" s="270"/>
      <c r="H338" s="270"/>
      <c r="I338" s="270"/>
      <c r="J338" s="270"/>
      <c r="K338" s="270"/>
      <c r="L338" s="270"/>
      <c r="M338" s="260"/>
    </row>
    <row r="339" spans="1:13" ht="20.100000000000001" customHeight="1">
      <c r="A339" s="269"/>
      <c r="B339" s="270"/>
      <c r="C339" s="270"/>
      <c r="D339" s="270"/>
      <c r="E339" s="270"/>
      <c r="F339" s="270"/>
      <c r="G339" s="270"/>
      <c r="H339" s="270"/>
      <c r="I339" s="270"/>
      <c r="J339" s="270"/>
      <c r="K339" s="270"/>
      <c r="L339" s="270"/>
      <c r="M339" s="260"/>
    </row>
    <row r="340" spans="1:13" ht="20.100000000000001" customHeight="1">
      <c r="A340" s="269"/>
      <c r="B340" s="270"/>
      <c r="C340" s="270"/>
      <c r="D340" s="270"/>
      <c r="E340" s="270"/>
      <c r="F340" s="270"/>
      <c r="G340" s="270"/>
      <c r="H340" s="270"/>
      <c r="I340" s="270"/>
      <c r="J340" s="270"/>
      <c r="K340" s="270"/>
      <c r="L340" s="270"/>
      <c r="M340" s="260"/>
    </row>
    <row r="341" spans="1:13" ht="20.100000000000001" customHeight="1">
      <c r="A341" s="269"/>
      <c r="B341" s="270"/>
      <c r="C341" s="270"/>
      <c r="D341" s="270"/>
      <c r="E341" s="270"/>
      <c r="F341" s="270"/>
      <c r="G341" s="270"/>
      <c r="H341" s="270"/>
      <c r="I341" s="270"/>
      <c r="J341" s="270"/>
      <c r="K341" s="270"/>
      <c r="L341" s="270"/>
      <c r="M341" s="260"/>
    </row>
    <row r="342" spans="1:13" ht="20.100000000000001" customHeight="1">
      <c r="A342" s="269"/>
      <c r="B342" s="270"/>
      <c r="C342" s="270"/>
      <c r="D342" s="270"/>
      <c r="E342" s="270"/>
      <c r="F342" s="270"/>
      <c r="G342" s="270"/>
      <c r="H342" s="270"/>
      <c r="I342" s="270"/>
      <c r="J342" s="270"/>
      <c r="K342" s="270"/>
      <c r="L342" s="270"/>
      <c r="M342" s="260"/>
    </row>
    <row r="343" spans="1:13" ht="20.100000000000001" customHeight="1">
      <c r="A343" s="269"/>
      <c r="B343" s="270"/>
      <c r="C343" s="270"/>
      <c r="D343" s="270"/>
      <c r="E343" s="270"/>
      <c r="F343" s="270"/>
      <c r="G343" s="270"/>
      <c r="H343" s="270"/>
      <c r="I343" s="270"/>
      <c r="J343" s="270"/>
      <c r="K343" s="270"/>
      <c r="L343" s="270"/>
      <c r="M343" s="260"/>
    </row>
    <row r="344" spans="1:13" ht="20.100000000000001" customHeight="1">
      <c r="A344" s="269"/>
      <c r="B344" s="270"/>
      <c r="C344" s="270"/>
      <c r="D344" s="270"/>
      <c r="E344" s="270"/>
      <c r="F344" s="270"/>
      <c r="G344" s="270"/>
      <c r="H344" s="270"/>
      <c r="I344" s="270"/>
      <c r="J344" s="270"/>
      <c r="K344" s="270"/>
      <c r="L344" s="270"/>
      <c r="M344" s="260"/>
    </row>
    <row r="345" spans="1:13" ht="20.100000000000001" customHeight="1">
      <c r="A345" s="269"/>
      <c r="B345" s="270"/>
      <c r="C345" s="270"/>
      <c r="D345" s="270"/>
      <c r="E345" s="270"/>
      <c r="F345" s="270"/>
      <c r="G345" s="270"/>
      <c r="H345" s="270"/>
      <c r="I345" s="270"/>
      <c r="J345" s="270"/>
      <c r="K345" s="270"/>
      <c r="L345" s="270"/>
      <c r="M345" s="260"/>
    </row>
    <row r="346" spans="1:13" ht="20.100000000000001" customHeight="1">
      <c r="A346" s="269"/>
      <c r="B346" s="270"/>
      <c r="C346" s="270"/>
      <c r="D346" s="270"/>
      <c r="E346" s="270"/>
      <c r="F346" s="270"/>
      <c r="G346" s="270"/>
      <c r="H346" s="270"/>
      <c r="I346" s="270"/>
      <c r="J346" s="270"/>
      <c r="K346" s="270"/>
      <c r="L346" s="270"/>
      <c r="M346" s="260"/>
    </row>
    <row r="347" spans="1:13" ht="20.100000000000001" customHeight="1">
      <c r="A347" s="269"/>
      <c r="B347" s="270"/>
      <c r="C347" s="270"/>
      <c r="D347" s="270"/>
      <c r="E347" s="270"/>
      <c r="F347" s="270"/>
      <c r="G347" s="270"/>
      <c r="H347" s="270"/>
      <c r="I347" s="270"/>
      <c r="J347" s="270"/>
      <c r="K347" s="270"/>
      <c r="L347" s="270"/>
      <c r="M347" s="260"/>
    </row>
    <row r="348" spans="1:13" ht="20.100000000000001" customHeight="1">
      <c r="A348" s="269"/>
      <c r="B348" s="270"/>
      <c r="C348" s="270"/>
      <c r="D348" s="270"/>
      <c r="E348" s="270"/>
      <c r="F348" s="270"/>
      <c r="G348" s="270"/>
      <c r="H348" s="270"/>
      <c r="I348" s="270"/>
      <c r="J348" s="270"/>
      <c r="K348" s="270"/>
      <c r="L348" s="270"/>
      <c r="M348" s="260"/>
    </row>
    <row r="349" spans="1:13" ht="20.100000000000001" customHeight="1">
      <c r="A349" s="269"/>
      <c r="B349" s="270"/>
      <c r="C349" s="270"/>
      <c r="D349" s="270"/>
      <c r="E349" s="270"/>
      <c r="F349" s="270"/>
      <c r="G349" s="270"/>
      <c r="H349" s="270"/>
      <c r="I349" s="270"/>
      <c r="J349" s="270"/>
      <c r="K349" s="270"/>
      <c r="L349" s="270"/>
      <c r="M349" s="260"/>
    </row>
    <row r="350" spans="1:13" ht="20.100000000000001" customHeight="1">
      <c r="A350" s="269"/>
      <c r="B350" s="270"/>
      <c r="C350" s="270"/>
      <c r="D350" s="270"/>
      <c r="E350" s="270"/>
      <c r="F350" s="270"/>
      <c r="G350" s="270"/>
      <c r="H350" s="270"/>
      <c r="I350" s="270"/>
      <c r="J350" s="270"/>
      <c r="K350" s="270"/>
      <c r="L350" s="270"/>
      <c r="M350" s="260"/>
    </row>
    <row r="351" spans="1:13" ht="20.100000000000001" customHeight="1">
      <c r="A351" s="269"/>
      <c r="B351" s="270"/>
      <c r="C351" s="270"/>
      <c r="D351" s="270"/>
      <c r="E351" s="270"/>
      <c r="F351" s="270"/>
      <c r="G351" s="270"/>
      <c r="H351" s="270"/>
      <c r="I351" s="270"/>
      <c r="J351" s="270"/>
      <c r="K351" s="270"/>
      <c r="L351" s="270"/>
      <c r="M351" s="260"/>
    </row>
    <row r="352" spans="1:13" ht="20.100000000000001" customHeight="1">
      <c r="A352" s="269"/>
      <c r="B352" s="270"/>
      <c r="C352" s="270"/>
      <c r="D352" s="270"/>
      <c r="E352" s="270"/>
      <c r="F352" s="270"/>
      <c r="G352" s="270"/>
      <c r="H352" s="270"/>
      <c r="I352" s="270"/>
      <c r="J352" s="270"/>
      <c r="K352" s="270"/>
      <c r="L352" s="270"/>
      <c r="M352" s="260"/>
    </row>
    <row r="353" spans="1:13" ht="20.100000000000001" customHeight="1">
      <c r="A353" s="269"/>
      <c r="B353" s="270"/>
      <c r="C353" s="270"/>
      <c r="D353" s="270"/>
      <c r="E353" s="270"/>
      <c r="F353" s="270"/>
      <c r="G353" s="270"/>
      <c r="H353" s="270"/>
      <c r="I353" s="270"/>
      <c r="J353" s="270"/>
      <c r="K353" s="270"/>
      <c r="L353" s="270"/>
      <c r="M353" s="260"/>
    </row>
    <row r="354" spans="1:13" ht="20.100000000000001" customHeight="1">
      <c r="A354" s="269"/>
      <c r="B354" s="270"/>
      <c r="C354" s="270"/>
      <c r="D354" s="270"/>
      <c r="E354" s="270"/>
      <c r="F354" s="270"/>
      <c r="G354" s="270"/>
      <c r="H354" s="270"/>
      <c r="I354" s="270"/>
      <c r="J354" s="270"/>
      <c r="K354" s="270"/>
      <c r="L354" s="270"/>
      <c r="M354" s="260"/>
    </row>
    <row r="355" spans="1:13" ht="20.100000000000001" customHeight="1">
      <c r="A355" s="269"/>
      <c r="B355" s="270"/>
      <c r="C355" s="270"/>
      <c r="D355" s="270"/>
      <c r="E355" s="270"/>
      <c r="F355" s="270"/>
      <c r="G355" s="270"/>
      <c r="H355" s="270"/>
      <c r="I355" s="270"/>
      <c r="J355" s="270"/>
      <c r="K355" s="270"/>
      <c r="L355" s="270"/>
      <c r="M355" s="260"/>
    </row>
    <row r="356" spans="1:13" ht="20.100000000000001" customHeight="1">
      <c r="A356" s="269"/>
      <c r="B356" s="270"/>
      <c r="C356" s="270"/>
      <c r="D356" s="270"/>
      <c r="E356" s="270"/>
      <c r="F356" s="270"/>
      <c r="G356" s="270"/>
      <c r="H356" s="270"/>
      <c r="I356" s="270"/>
      <c r="J356" s="270"/>
      <c r="K356" s="270"/>
      <c r="L356" s="270"/>
      <c r="M356" s="260"/>
    </row>
    <row r="357" spans="1:13" ht="20.100000000000001" customHeight="1">
      <c r="A357" s="269"/>
      <c r="B357" s="270"/>
      <c r="C357" s="270"/>
      <c r="D357" s="270"/>
      <c r="E357" s="270"/>
      <c r="F357" s="270"/>
      <c r="G357" s="270"/>
      <c r="H357" s="270"/>
      <c r="I357" s="270"/>
      <c r="J357" s="270"/>
      <c r="K357" s="270"/>
      <c r="L357" s="270"/>
      <c r="M357" s="260"/>
    </row>
    <row r="358" spans="1:13" ht="20.100000000000001" customHeight="1">
      <c r="A358" s="269"/>
      <c r="B358" s="270"/>
      <c r="C358" s="270"/>
      <c r="D358" s="270"/>
      <c r="E358" s="270"/>
      <c r="F358" s="270"/>
      <c r="G358" s="270"/>
      <c r="H358" s="270"/>
      <c r="I358" s="270"/>
      <c r="J358" s="270"/>
      <c r="K358" s="270"/>
      <c r="L358" s="270"/>
      <c r="M358" s="260"/>
    </row>
    <row r="359" spans="1:13" ht="20.100000000000001" customHeight="1">
      <c r="A359" s="269"/>
      <c r="B359" s="270"/>
      <c r="C359" s="270"/>
      <c r="D359" s="270"/>
      <c r="E359" s="270"/>
      <c r="F359" s="270"/>
      <c r="G359" s="270"/>
      <c r="H359" s="270"/>
      <c r="I359" s="270"/>
      <c r="J359" s="270"/>
      <c r="K359" s="270"/>
      <c r="L359" s="270"/>
      <c r="M359" s="260"/>
    </row>
    <row r="360" spans="1:13" ht="20.100000000000001" customHeight="1">
      <c r="A360" s="269"/>
      <c r="B360" s="270"/>
      <c r="C360" s="270"/>
      <c r="D360" s="270"/>
      <c r="E360" s="270"/>
      <c r="F360" s="270"/>
      <c r="G360" s="270"/>
      <c r="H360" s="270"/>
      <c r="I360" s="270"/>
      <c r="J360" s="270"/>
      <c r="K360" s="270"/>
      <c r="L360" s="270"/>
      <c r="M360" s="260"/>
    </row>
    <row r="361" spans="1:13" ht="20.100000000000001" customHeight="1">
      <c r="A361" s="269"/>
      <c r="B361" s="270"/>
      <c r="C361" s="270"/>
      <c r="D361" s="270"/>
      <c r="E361" s="270"/>
      <c r="F361" s="270"/>
      <c r="G361" s="270"/>
      <c r="H361" s="270"/>
      <c r="I361" s="270"/>
      <c r="J361" s="270"/>
      <c r="K361" s="270"/>
      <c r="L361" s="270"/>
      <c r="M361" s="260"/>
    </row>
    <row r="362" spans="1:13" ht="20.100000000000001" customHeight="1">
      <c r="A362" s="269"/>
      <c r="B362" s="270"/>
      <c r="C362" s="270"/>
      <c r="D362" s="270"/>
      <c r="E362" s="270"/>
      <c r="F362" s="270"/>
      <c r="G362" s="270"/>
      <c r="H362" s="270"/>
      <c r="I362" s="270"/>
      <c r="J362" s="270"/>
      <c r="K362" s="270"/>
      <c r="L362" s="270"/>
      <c r="M362" s="260"/>
    </row>
    <row r="363" spans="1:13" ht="20.100000000000001" customHeight="1">
      <c r="A363" s="269"/>
      <c r="B363" s="270"/>
      <c r="C363" s="270"/>
      <c r="D363" s="270"/>
      <c r="E363" s="270"/>
      <c r="F363" s="270"/>
      <c r="G363" s="270"/>
      <c r="H363" s="270"/>
      <c r="I363" s="270"/>
      <c r="J363" s="270"/>
      <c r="K363" s="270"/>
      <c r="L363" s="270"/>
      <c r="M363" s="260"/>
    </row>
    <row r="364" spans="1:13" ht="20.100000000000001" customHeight="1">
      <c r="A364" s="269"/>
      <c r="B364" s="270"/>
      <c r="C364" s="270"/>
      <c r="D364" s="270"/>
      <c r="E364" s="270"/>
      <c r="F364" s="270"/>
      <c r="G364" s="270"/>
      <c r="H364" s="270"/>
      <c r="I364" s="270"/>
      <c r="J364" s="270"/>
      <c r="K364" s="270"/>
      <c r="L364" s="270"/>
      <c r="M364" s="260"/>
    </row>
    <row r="365" spans="1:13" ht="20.100000000000001" customHeight="1">
      <c r="A365" s="269"/>
      <c r="B365" s="270"/>
      <c r="C365" s="270"/>
      <c r="D365" s="270"/>
      <c r="E365" s="270"/>
      <c r="F365" s="270"/>
      <c r="G365" s="270"/>
      <c r="H365" s="270"/>
      <c r="I365" s="270"/>
      <c r="J365" s="270"/>
      <c r="K365" s="270"/>
      <c r="L365" s="270"/>
      <c r="M365" s="260"/>
    </row>
    <row r="366" spans="1:13" ht="20.100000000000001" customHeight="1">
      <c r="A366" s="269"/>
      <c r="B366" s="270"/>
      <c r="C366" s="270"/>
      <c r="D366" s="270"/>
      <c r="E366" s="270"/>
      <c r="F366" s="270"/>
      <c r="G366" s="270"/>
      <c r="H366" s="270"/>
      <c r="I366" s="270"/>
      <c r="J366" s="270"/>
      <c r="K366" s="270"/>
      <c r="L366" s="270"/>
      <c r="M366" s="260"/>
    </row>
    <row r="367" spans="1:13" ht="20.100000000000001" customHeight="1">
      <c r="A367" s="269"/>
      <c r="B367" s="270"/>
      <c r="C367" s="270"/>
      <c r="D367" s="270"/>
      <c r="E367" s="270"/>
      <c r="F367" s="270"/>
      <c r="G367" s="270"/>
      <c r="H367" s="270"/>
      <c r="I367" s="270"/>
      <c r="J367" s="270"/>
      <c r="K367" s="270"/>
      <c r="L367" s="270"/>
      <c r="M367" s="260"/>
    </row>
    <row r="368" spans="1:13" ht="20.100000000000001" customHeight="1">
      <c r="A368" s="269"/>
      <c r="B368" s="270"/>
      <c r="C368" s="270"/>
      <c r="D368" s="270"/>
      <c r="E368" s="270"/>
      <c r="F368" s="270"/>
      <c r="G368" s="270"/>
      <c r="H368" s="270"/>
      <c r="I368" s="270"/>
      <c r="J368" s="270"/>
      <c r="K368" s="270"/>
      <c r="L368" s="270"/>
      <c r="M368" s="260"/>
    </row>
    <row r="369" spans="1:13" ht="20.100000000000001" customHeight="1">
      <c r="A369" s="269"/>
      <c r="B369" s="270"/>
      <c r="C369" s="270"/>
      <c r="D369" s="270"/>
      <c r="E369" s="270"/>
      <c r="F369" s="270"/>
      <c r="G369" s="270"/>
      <c r="H369" s="270"/>
      <c r="I369" s="270"/>
      <c r="J369" s="270"/>
      <c r="K369" s="270"/>
      <c r="L369" s="270"/>
      <c r="M369" s="260"/>
    </row>
    <row r="370" spans="1:13" ht="20.100000000000001" customHeight="1">
      <c r="A370" s="269"/>
      <c r="B370" s="270"/>
      <c r="C370" s="270"/>
      <c r="D370" s="270"/>
      <c r="E370" s="270"/>
      <c r="F370" s="270"/>
      <c r="G370" s="270"/>
      <c r="H370" s="270"/>
      <c r="I370" s="270"/>
      <c r="J370" s="270"/>
      <c r="K370" s="270"/>
      <c r="L370" s="270"/>
      <c r="M370" s="260"/>
    </row>
    <row r="371" spans="1:13" ht="20.100000000000001" customHeight="1">
      <c r="A371" s="269"/>
      <c r="B371" s="270"/>
      <c r="C371" s="270"/>
      <c r="D371" s="270"/>
      <c r="E371" s="270"/>
      <c r="F371" s="270"/>
      <c r="G371" s="270"/>
      <c r="H371" s="270"/>
      <c r="I371" s="270"/>
      <c r="J371" s="270"/>
      <c r="K371" s="270"/>
      <c r="L371" s="270"/>
      <c r="M371" s="260"/>
    </row>
    <row r="372" spans="1:13" ht="20.100000000000001" customHeight="1">
      <c r="A372" s="269"/>
      <c r="B372" s="270"/>
      <c r="C372" s="270"/>
      <c r="D372" s="270"/>
      <c r="E372" s="270"/>
      <c r="F372" s="270"/>
      <c r="G372" s="270"/>
      <c r="H372" s="270"/>
      <c r="I372" s="270"/>
      <c r="J372" s="270"/>
      <c r="K372" s="270"/>
      <c r="L372" s="270"/>
      <c r="M372" s="260"/>
    </row>
    <row r="373" spans="1:13" ht="20.100000000000001" customHeight="1">
      <c r="A373" s="269"/>
      <c r="B373" s="270"/>
      <c r="C373" s="270"/>
      <c r="D373" s="270"/>
      <c r="E373" s="270"/>
      <c r="F373" s="270"/>
      <c r="G373" s="270"/>
      <c r="H373" s="270"/>
      <c r="I373" s="270"/>
      <c r="J373" s="270"/>
      <c r="K373" s="270"/>
      <c r="L373" s="270"/>
      <c r="M373" s="260"/>
    </row>
    <row r="374" spans="1:13" ht="20.100000000000001" customHeight="1">
      <c r="A374" s="269"/>
      <c r="B374" s="270"/>
      <c r="C374" s="270"/>
      <c r="D374" s="270"/>
      <c r="E374" s="270"/>
      <c r="F374" s="270"/>
      <c r="G374" s="270"/>
      <c r="H374" s="270"/>
      <c r="I374" s="270"/>
      <c r="J374" s="270"/>
      <c r="K374" s="270"/>
      <c r="L374" s="270"/>
      <c r="M374" s="260"/>
    </row>
    <row r="375" spans="1:13" ht="20.100000000000001" customHeight="1">
      <c r="A375" s="269"/>
      <c r="B375" s="270"/>
      <c r="C375" s="270"/>
      <c r="D375" s="270"/>
      <c r="E375" s="270"/>
      <c r="F375" s="270"/>
      <c r="G375" s="270"/>
      <c r="H375" s="270"/>
      <c r="I375" s="270"/>
      <c r="J375" s="270"/>
      <c r="K375" s="270"/>
      <c r="L375" s="270"/>
      <c r="M375" s="260"/>
    </row>
    <row r="376" spans="1:13" ht="20.100000000000001" customHeight="1">
      <c r="A376" s="269"/>
      <c r="B376" s="270"/>
      <c r="C376" s="270"/>
      <c r="D376" s="270"/>
      <c r="E376" s="270"/>
      <c r="F376" s="270"/>
      <c r="G376" s="270"/>
      <c r="H376" s="270"/>
      <c r="I376" s="270"/>
      <c r="J376" s="270"/>
      <c r="K376" s="270"/>
      <c r="L376" s="270"/>
      <c r="M376" s="260"/>
    </row>
    <row r="377" spans="1:13" ht="20.100000000000001" customHeight="1">
      <c r="A377" s="269"/>
      <c r="B377" s="270"/>
      <c r="C377" s="270"/>
      <c r="D377" s="270"/>
      <c r="E377" s="270"/>
      <c r="F377" s="270"/>
      <c r="G377" s="270"/>
      <c r="H377" s="270"/>
      <c r="I377" s="270"/>
      <c r="J377" s="270"/>
      <c r="K377" s="270"/>
      <c r="L377" s="270"/>
      <c r="M377" s="260"/>
    </row>
    <row r="378" spans="1:13" ht="20.100000000000001" customHeight="1">
      <c r="A378" s="269"/>
      <c r="B378" s="270"/>
      <c r="C378" s="270"/>
      <c r="D378" s="270"/>
      <c r="E378" s="270"/>
      <c r="F378" s="270"/>
      <c r="G378" s="270"/>
      <c r="H378" s="270"/>
      <c r="I378" s="270"/>
      <c r="J378" s="270"/>
      <c r="K378" s="270"/>
      <c r="L378" s="270"/>
      <c r="M378" s="260"/>
    </row>
    <row r="379" spans="1:13" ht="20.100000000000001" customHeight="1">
      <c r="A379" s="269"/>
      <c r="B379" s="270"/>
      <c r="C379" s="270"/>
      <c r="D379" s="270"/>
      <c r="E379" s="270"/>
      <c r="F379" s="270"/>
      <c r="G379" s="270"/>
      <c r="H379" s="270"/>
      <c r="I379" s="270"/>
      <c r="J379" s="270"/>
      <c r="K379" s="270"/>
      <c r="L379" s="270"/>
      <c r="M379" s="260"/>
    </row>
    <row r="380" spans="1:13" ht="20.100000000000001" customHeight="1">
      <c r="A380" s="269"/>
      <c r="B380" s="270"/>
      <c r="C380" s="270"/>
      <c r="D380" s="270"/>
      <c r="E380" s="270"/>
      <c r="F380" s="270"/>
      <c r="G380" s="270"/>
      <c r="H380" s="270"/>
      <c r="I380" s="270"/>
      <c r="J380" s="270"/>
      <c r="K380" s="270"/>
      <c r="L380" s="270"/>
      <c r="M380" s="260"/>
    </row>
    <row r="381" spans="1:13" ht="20.100000000000001" customHeight="1">
      <c r="A381" s="269"/>
      <c r="B381" s="270"/>
      <c r="C381" s="270"/>
      <c r="D381" s="270"/>
      <c r="E381" s="270"/>
      <c r="F381" s="270"/>
      <c r="G381" s="270"/>
      <c r="H381" s="270"/>
      <c r="I381" s="270"/>
      <c r="J381" s="270"/>
      <c r="K381" s="270"/>
      <c r="L381" s="270"/>
      <c r="M381" s="260"/>
    </row>
    <row r="382" spans="1:13" ht="20.100000000000001" customHeight="1">
      <c r="A382" s="269"/>
      <c r="B382" s="270"/>
      <c r="C382" s="270"/>
      <c r="D382" s="270"/>
      <c r="E382" s="270"/>
      <c r="F382" s="270"/>
      <c r="G382" s="270"/>
      <c r="H382" s="270"/>
      <c r="I382" s="270"/>
      <c r="J382" s="270"/>
      <c r="K382" s="270"/>
      <c r="L382" s="270"/>
      <c r="M382" s="260"/>
    </row>
    <row r="383" spans="1:13" ht="20.100000000000001" customHeight="1">
      <c r="A383" s="269"/>
      <c r="B383" s="270"/>
      <c r="C383" s="270"/>
      <c r="D383" s="270"/>
      <c r="E383" s="270"/>
      <c r="F383" s="270"/>
      <c r="G383" s="270"/>
      <c r="H383" s="270"/>
      <c r="I383" s="270"/>
      <c r="J383" s="270"/>
      <c r="K383" s="270"/>
      <c r="L383" s="270"/>
      <c r="M383" s="260"/>
    </row>
    <row r="384" spans="1:13" ht="20.100000000000001" customHeight="1">
      <c r="A384" s="269"/>
      <c r="B384" s="270"/>
      <c r="C384" s="270"/>
      <c r="D384" s="270"/>
      <c r="E384" s="270"/>
      <c r="F384" s="270"/>
      <c r="G384" s="270"/>
      <c r="H384" s="270"/>
      <c r="I384" s="270"/>
      <c r="J384" s="270"/>
      <c r="K384" s="270"/>
      <c r="L384" s="270"/>
      <c r="M384" s="260"/>
    </row>
    <row r="385" spans="1:13" ht="20.100000000000001" customHeight="1">
      <c r="A385" s="269"/>
      <c r="B385" s="270"/>
      <c r="C385" s="270"/>
      <c r="D385" s="270"/>
      <c r="E385" s="270"/>
      <c r="F385" s="270"/>
      <c r="G385" s="270"/>
      <c r="H385" s="270"/>
      <c r="I385" s="270"/>
      <c r="J385" s="270"/>
      <c r="K385" s="270"/>
      <c r="L385" s="270"/>
      <c r="M385" s="260"/>
    </row>
    <row r="386" spans="1:13" ht="20.100000000000001" customHeight="1">
      <c r="A386" s="269"/>
      <c r="B386" s="270"/>
      <c r="C386" s="270"/>
      <c r="D386" s="270"/>
      <c r="E386" s="270"/>
      <c r="F386" s="270"/>
      <c r="G386" s="270"/>
      <c r="H386" s="270"/>
      <c r="I386" s="270"/>
      <c r="J386" s="270"/>
      <c r="K386" s="270"/>
      <c r="L386" s="270"/>
      <c r="M386" s="260"/>
    </row>
    <row r="387" spans="1:13" ht="20.100000000000001" customHeight="1">
      <c r="A387" s="269"/>
      <c r="B387" s="270"/>
      <c r="C387" s="270"/>
      <c r="D387" s="270"/>
      <c r="E387" s="270"/>
      <c r="F387" s="270"/>
      <c r="G387" s="270"/>
      <c r="H387" s="270"/>
      <c r="I387" s="270"/>
      <c r="J387" s="270"/>
      <c r="K387" s="270"/>
      <c r="L387" s="270"/>
      <c r="M387" s="260"/>
    </row>
    <row r="388" spans="1:13" ht="20.100000000000001" customHeight="1">
      <c r="A388" s="269"/>
      <c r="B388" s="270"/>
      <c r="C388" s="270"/>
      <c r="D388" s="270"/>
      <c r="E388" s="270"/>
      <c r="F388" s="270"/>
      <c r="G388" s="270"/>
      <c r="H388" s="270"/>
      <c r="I388" s="270"/>
      <c r="J388" s="270"/>
      <c r="K388" s="270"/>
      <c r="L388" s="270"/>
      <c r="M388" s="260"/>
    </row>
    <row r="389" spans="1:13" ht="20.100000000000001" customHeight="1">
      <c r="A389" s="269"/>
      <c r="B389" s="270"/>
      <c r="C389" s="270"/>
      <c r="D389" s="270"/>
      <c r="E389" s="270"/>
      <c r="F389" s="270"/>
      <c r="G389" s="270"/>
      <c r="H389" s="270"/>
      <c r="I389" s="270"/>
      <c r="J389" s="270"/>
      <c r="K389" s="270"/>
      <c r="L389" s="270"/>
      <c r="M389" s="260"/>
    </row>
    <row r="390" spans="1:13" ht="20.100000000000001" customHeight="1">
      <c r="A390" s="269"/>
      <c r="B390" s="270"/>
      <c r="C390" s="270"/>
      <c r="D390" s="270"/>
      <c r="E390" s="270"/>
      <c r="F390" s="270"/>
      <c r="G390" s="270"/>
      <c r="H390" s="270"/>
      <c r="I390" s="270"/>
      <c r="J390" s="270"/>
      <c r="K390" s="270"/>
      <c r="L390" s="270"/>
      <c r="M390" s="260"/>
    </row>
    <row r="391" spans="1:13" ht="20.100000000000001" customHeight="1">
      <c r="A391" s="269"/>
      <c r="B391" s="270"/>
      <c r="C391" s="270"/>
      <c r="D391" s="270"/>
      <c r="E391" s="270"/>
      <c r="F391" s="270"/>
      <c r="G391" s="270"/>
      <c r="H391" s="270"/>
      <c r="I391" s="270"/>
      <c r="J391" s="270"/>
      <c r="K391" s="270"/>
      <c r="L391" s="270"/>
      <c r="M391" s="260"/>
    </row>
    <row r="392" spans="1:13" ht="20.100000000000001" customHeight="1">
      <c r="A392" s="269"/>
      <c r="B392" s="270"/>
      <c r="C392" s="270"/>
      <c r="D392" s="270"/>
      <c r="E392" s="270"/>
      <c r="F392" s="270"/>
      <c r="G392" s="270"/>
      <c r="H392" s="270"/>
      <c r="I392" s="270"/>
      <c r="J392" s="270"/>
      <c r="K392" s="270"/>
      <c r="L392" s="270"/>
      <c r="M392" s="260"/>
    </row>
    <row r="393" spans="1:13" ht="20.100000000000001" customHeight="1">
      <c r="A393" s="269"/>
      <c r="B393" s="270"/>
      <c r="C393" s="270"/>
      <c r="D393" s="270"/>
      <c r="E393" s="270"/>
      <c r="F393" s="270"/>
      <c r="G393" s="270"/>
      <c r="H393" s="270"/>
      <c r="I393" s="270"/>
      <c r="J393" s="270"/>
      <c r="K393" s="270"/>
      <c r="L393" s="270"/>
      <c r="M393" s="260"/>
    </row>
    <row r="394" spans="1:13" ht="20.100000000000001" customHeight="1">
      <c r="A394" s="269"/>
      <c r="B394" s="270"/>
      <c r="C394" s="270"/>
      <c r="D394" s="270"/>
      <c r="E394" s="270"/>
      <c r="F394" s="270"/>
      <c r="G394" s="270"/>
      <c r="H394" s="270"/>
      <c r="I394" s="270"/>
      <c r="J394" s="270"/>
      <c r="K394" s="270"/>
      <c r="L394" s="270"/>
      <c r="M394" s="260"/>
    </row>
    <row r="395" spans="1:13" ht="20.100000000000001" customHeight="1">
      <c r="A395" s="269"/>
      <c r="B395" s="270"/>
      <c r="C395" s="270"/>
      <c r="D395" s="270"/>
      <c r="E395" s="270"/>
      <c r="F395" s="270"/>
      <c r="G395" s="270"/>
      <c r="H395" s="270"/>
      <c r="I395" s="270"/>
      <c r="J395" s="270"/>
      <c r="K395" s="270"/>
      <c r="L395" s="270"/>
      <c r="M395" s="260"/>
    </row>
    <row r="396" spans="1:13" ht="20.100000000000001" customHeight="1">
      <c r="A396" s="269"/>
      <c r="B396" s="270"/>
      <c r="C396" s="270"/>
      <c r="D396" s="270"/>
      <c r="E396" s="270"/>
      <c r="F396" s="270"/>
      <c r="G396" s="270"/>
      <c r="H396" s="270"/>
      <c r="I396" s="270"/>
      <c r="J396" s="270"/>
      <c r="K396" s="270"/>
      <c r="L396" s="270"/>
      <c r="M396" s="260"/>
    </row>
    <row r="397" spans="1:13" ht="20.100000000000001" customHeight="1">
      <c r="A397" s="269"/>
      <c r="B397" s="270"/>
      <c r="C397" s="270"/>
      <c r="D397" s="270"/>
      <c r="E397" s="270"/>
      <c r="F397" s="270"/>
      <c r="G397" s="270"/>
      <c r="H397" s="270"/>
      <c r="I397" s="270"/>
      <c r="J397" s="270"/>
      <c r="K397" s="270"/>
      <c r="L397" s="270"/>
      <c r="M397" s="260"/>
    </row>
    <row r="398" spans="1:13" ht="20.100000000000001" customHeight="1">
      <c r="A398" s="269"/>
      <c r="B398" s="270"/>
      <c r="C398" s="270"/>
      <c r="D398" s="270"/>
      <c r="E398" s="270"/>
      <c r="F398" s="270"/>
      <c r="G398" s="270"/>
      <c r="H398" s="270"/>
      <c r="I398" s="270"/>
      <c r="J398" s="270"/>
      <c r="K398" s="270"/>
      <c r="L398" s="270"/>
      <c r="M398" s="260"/>
    </row>
    <row r="399" spans="1:13" ht="20.100000000000001" customHeight="1">
      <c r="A399" s="269"/>
      <c r="B399" s="270"/>
      <c r="C399" s="270"/>
      <c r="D399" s="270"/>
      <c r="E399" s="270"/>
      <c r="F399" s="270"/>
      <c r="G399" s="270"/>
      <c r="H399" s="270"/>
      <c r="I399" s="270"/>
      <c r="J399" s="270"/>
      <c r="K399" s="270"/>
      <c r="L399" s="270"/>
      <c r="M399" s="260"/>
    </row>
    <row r="400" spans="1:13" ht="20.100000000000001" customHeight="1">
      <c r="A400" s="269"/>
      <c r="B400" s="270"/>
      <c r="C400" s="270"/>
      <c r="D400" s="270"/>
      <c r="E400" s="270"/>
      <c r="F400" s="270"/>
      <c r="G400" s="270"/>
      <c r="H400" s="270"/>
      <c r="I400" s="270"/>
      <c r="J400" s="270"/>
      <c r="K400" s="270"/>
      <c r="L400" s="270"/>
      <c r="M400" s="260"/>
    </row>
    <row r="401" spans="1:13" ht="20.100000000000001" customHeight="1">
      <c r="A401" s="269"/>
      <c r="B401" s="270"/>
      <c r="C401" s="270"/>
      <c r="D401" s="270"/>
      <c r="E401" s="270"/>
      <c r="F401" s="270"/>
      <c r="G401" s="270"/>
      <c r="H401" s="270"/>
      <c r="I401" s="270"/>
      <c r="J401" s="270"/>
      <c r="K401" s="270"/>
      <c r="L401" s="270"/>
      <c r="M401" s="260"/>
    </row>
    <row r="402" spans="1:13" ht="20.100000000000001" customHeight="1">
      <c r="A402" s="269"/>
      <c r="B402" s="270"/>
      <c r="C402" s="270"/>
      <c r="D402" s="270"/>
      <c r="E402" s="270"/>
      <c r="F402" s="270"/>
      <c r="G402" s="270"/>
      <c r="H402" s="270"/>
      <c r="I402" s="270"/>
      <c r="J402" s="270"/>
      <c r="K402" s="270"/>
      <c r="L402" s="270"/>
      <c r="M402" s="260"/>
    </row>
    <row r="403" spans="1:13" ht="20.100000000000001" customHeight="1">
      <c r="A403" s="269"/>
      <c r="B403" s="270"/>
      <c r="C403" s="270"/>
      <c r="D403" s="270"/>
      <c r="E403" s="270"/>
      <c r="F403" s="270"/>
      <c r="G403" s="270"/>
      <c r="H403" s="270"/>
      <c r="I403" s="270"/>
      <c r="J403" s="270"/>
      <c r="K403" s="270"/>
      <c r="L403" s="270"/>
      <c r="M403" s="260"/>
    </row>
    <row r="404" spans="1:13" ht="20.100000000000001" customHeight="1">
      <c r="A404" s="269"/>
      <c r="B404" s="270"/>
      <c r="C404" s="270"/>
      <c r="D404" s="270"/>
      <c r="E404" s="270"/>
      <c r="F404" s="270"/>
      <c r="G404" s="270"/>
      <c r="H404" s="270"/>
      <c r="I404" s="270"/>
      <c r="J404" s="270"/>
      <c r="K404" s="270"/>
      <c r="L404" s="270"/>
      <c r="M404" s="260"/>
    </row>
    <row r="405" spans="1:13" ht="20.100000000000001" customHeight="1">
      <c r="A405" s="269"/>
      <c r="B405" s="270"/>
      <c r="C405" s="270"/>
      <c r="D405" s="270"/>
      <c r="E405" s="270"/>
      <c r="F405" s="270"/>
      <c r="G405" s="270"/>
      <c r="H405" s="270"/>
      <c r="I405" s="270"/>
      <c r="J405" s="270"/>
      <c r="K405" s="270"/>
      <c r="L405" s="270"/>
      <c r="M405" s="260"/>
    </row>
    <row r="406" spans="1:13" ht="20.100000000000001" customHeight="1">
      <c r="A406" s="269"/>
      <c r="B406" s="270"/>
      <c r="C406" s="270"/>
      <c r="D406" s="270"/>
      <c r="E406" s="270"/>
      <c r="F406" s="270"/>
      <c r="G406" s="270"/>
      <c r="H406" s="270"/>
      <c r="I406" s="270"/>
      <c r="J406" s="270"/>
      <c r="K406" s="270"/>
      <c r="L406" s="270"/>
      <c r="M406" s="260"/>
    </row>
    <row r="407" spans="1:13" ht="20.100000000000001" customHeight="1">
      <c r="A407" s="269"/>
      <c r="B407" s="270"/>
      <c r="C407" s="270"/>
      <c r="D407" s="270"/>
      <c r="E407" s="270"/>
      <c r="F407" s="270"/>
      <c r="G407" s="270"/>
      <c r="H407" s="270"/>
      <c r="I407" s="270"/>
      <c r="J407" s="270"/>
      <c r="K407" s="270"/>
      <c r="L407" s="270"/>
      <c r="M407" s="260"/>
    </row>
    <row r="408" spans="1:13" ht="20.100000000000001" customHeight="1">
      <c r="A408" s="269"/>
      <c r="B408" s="270"/>
      <c r="C408" s="270"/>
      <c r="D408" s="270"/>
      <c r="E408" s="270"/>
      <c r="F408" s="270"/>
      <c r="G408" s="270"/>
      <c r="H408" s="270"/>
      <c r="I408" s="270"/>
      <c r="J408" s="270"/>
      <c r="K408" s="270"/>
      <c r="L408" s="270"/>
      <c r="M408" s="260"/>
    </row>
    <row r="409" spans="1:13" ht="20.100000000000001" customHeight="1">
      <c r="A409" s="269"/>
      <c r="B409" s="270"/>
      <c r="C409" s="270"/>
      <c r="D409" s="270"/>
      <c r="E409" s="270"/>
      <c r="F409" s="270"/>
      <c r="G409" s="270"/>
      <c r="H409" s="270"/>
      <c r="I409" s="270"/>
      <c r="J409" s="270"/>
      <c r="K409" s="270"/>
      <c r="L409" s="270"/>
      <c r="M409" s="260"/>
    </row>
    <row r="410" spans="1:13" ht="20.100000000000001" customHeight="1">
      <c r="A410" s="269"/>
      <c r="B410" s="270"/>
      <c r="C410" s="270"/>
      <c r="D410" s="270"/>
      <c r="E410" s="270"/>
      <c r="F410" s="270"/>
      <c r="G410" s="270"/>
      <c r="H410" s="270"/>
      <c r="I410" s="270"/>
      <c r="J410" s="270"/>
      <c r="K410" s="270"/>
      <c r="L410" s="270"/>
      <c r="M410" s="260"/>
    </row>
    <row r="411" spans="1:13" ht="20.100000000000001" customHeight="1">
      <c r="A411" s="269"/>
      <c r="B411" s="270"/>
      <c r="C411" s="270"/>
      <c r="D411" s="270"/>
      <c r="E411" s="270"/>
      <c r="F411" s="270"/>
      <c r="G411" s="270"/>
      <c r="H411" s="270"/>
      <c r="I411" s="270"/>
      <c r="J411" s="270"/>
      <c r="K411" s="270"/>
      <c r="L411" s="270"/>
      <c r="M411" s="260"/>
    </row>
    <row r="412" spans="1:13" ht="20.100000000000001" customHeight="1">
      <c r="A412" s="269"/>
      <c r="B412" s="270"/>
      <c r="C412" s="270"/>
      <c r="D412" s="270"/>
      <c r="E412" s="270"/>
      <c r="F412" s="270"/>
      <c r="G412" s="270"/>
      <c r="H412" s="270"/>
      <c r="I412" s="270"/>
      <c r="J412" s="270"/>
      <c r="K412" s="270"/>
      <c r="L412" s="270"/>
      <c r="M412" s="260"/>
    </row>
    <row r="413" spans="1:13" ht="20.100000000000001" customHeight="1">
      <c r="A413" s="269"/>
      <c r="B413" s="270"/>
      <c r="C413" s="270"/>
      <c r="D413" s="270"/>
      <c r="E413" s="270"/>
      <c r="F413" s="270"/>
      <c r="G413" s="270"/>
      <c r="H413" s="270"/>
      <c r="I413" s="270"/>
      <c r="J413" s="270"/>
      <c r="K413" s="270"/>
      <c r="L413" s="270"/>
      <c r="M413" s="260"/>
    </row>
    <row r="414" spans="1:13" ht="20.100000000000001" customHeight="1">
      <c r="A414" s="269"/>
      <c r="B414" s="270"/>
      <c r="C414" s="270"/>
      <c r="D414" s="270"/>
      <c r="E414" s="270"/>
      <c r="F414" s="270"/>
      <c r="G414" s="270"/>
      <c r="H414" s="270"/>
      <c r="I414" s="270"/>
      <c r="J414" s="270"/>
      <c r="K414" s="270"/>
      <c r="L414" s="270"/>
      <c r="M414" s="260"/>
    </row>
    <row r="415" spans="1:13" ht="20.100000000000001" customHeight="1">
      <c r="A415" s="269"/>
      <c r="B415" s="270"/>
      <c r="C415" s="270"/>
      <c r="D415" s="270"/>
      <c r="E415" s="270"/>
      <c r="F415" s="270"/>
      <c r="G415" s="270"/>
      <c r="H415" s="270"/>
      <c r="I415" s="270"/>
      <c r="J415" s="270"/>
      <c r="K415" s="270"/>
      <c r="L415" s="270"/>
      <c r="M415" s="260"/>
    </row>
    <row r="416" spans="1:13" ht="20.100000000000001" customHeight="1">
      <c r="A416" s="269"/>
      <c r="B416" s="270"/>
      <c r="C416" s="270"/>
      <c r="D416" s="270"/>
      <c r="E416" s="270"/>
      <c r="F416" s="270"/>
      <c r="G416" s="270"/>
      <c r="H416" s="270"/>
      <c r="I416" s="270"/>
      <c r="J416" s="270"/>
      <c r="K416" s="270"/>
      <c r="L416" s="270"/>
      <c r="M416" s="260"/>
    </row>
    <row r="417" spans="1:13" ht="20.100000000000001" customHeight="1">
      <c r="A417" s="269"/>
      <c r="B417" s="270"/>
      <c r="C417" s="270"/>
      <c r="D417" s="270"/>
      <c r="E417" s="270"/>
      <c r="F417" s="270"/>
      <c r="G417" s="270"/>
      <c r="H417" s="270"/>
      <c r="I417" s="270"/>
      <c r="J417" s="270"/>
      <c r="K417" s="270"/>
      <c r="L417" s="270"/>
      <c r="M417" s="260"/>
    </row>
    <row r="418" spans="1:13" ht="20.100000000000001" customHeight="1">
      <c r="A418" s="269"/>
      <c r="B418" s="270"/>
      <c r="C418" s="270"/>
      <c r="D418" s="270"/>
      <c r="E418" s="270"/>
      <c r="F418" s="270"/>
      <c r="G418" s="270"/>
      <c r="H418" s="270"/>
      <c r="I418" s="270"/>
      <c r="J418" s="270"/>
      <c r="K418" s="270"/>
      <c r="L418" s="270"/>
      <c r="M418" s="260"/>
    </row>
    <row r="419" spans="1:13" ht="20.100000000000001" customHeight="1">
      <c r="A419" s="269"/>
      <c r="B419" s="270"/>
      <c r="C419" s="270"/>
      <c r="D419" s="270"/>
      <c r="E419" s="270"/>
      <c r="F419" s="270"/>
      <c r="G419" s="270"/>
      <c r="H419" s="270"/>
      <c r="I419" s="270"/>
      <c r="J419" s="270"/>
      <c r="K419" s="270"/>
      <c r="L419" s="270"/>
      <c r="M419" s="260"/>
    </row>
    <row r="420" spans="1:13" ht="20.100000000000001" customHeight="1">
      <c r="A420" s="269"/>
      <c r="B420" s="270"/>
      <c r="C420" s="270"/>
      <c r="D420" s="270"/>
      <c r="E420" s="270"/>
      <c r="F420" s="270"/>
      <c r="G420" s="270"/>
      <c r="H420" s="270"/>
      <c r="I420" s="270"/>
      <c r="J420" s="270"/>
      <c r="K420" s="270"/>
      <c r="L420" s="270"/>
      <c r="M420" s="260"/>
    </row>
    <row r="421" spans="1:13" ht="20.100000000000001" customHeight="1">
      <c r="A421" s="269"/>
      <c r="B421" s="270"/>
      <c r="C421" s="270"/>
      <c r="D421" s="270"/>
      <c r="E421" s="270"/>
      <c r="F421" s="270"/>
      <c r="G421" s="270"/>
      <c r="H421" s="270"/>
      <c r="I421" s="270"/>
      <c r="J421" s="270"/>
      <c r="K421" s="270"/>
      <c r="L421" s="270"/>
      <c r="M421" s="260"/>
    </row>
    <row r="422" spans="1:13" ht="20.100000000000001" customHeight="1">
      <c r="A422" s="269"/>
      <c r="B422" s="270"/>
      <c r="C422" s="270"/>
      <c r="D422" s="270"/>
      <c r="E422" s="270"/>
      <c r="F422" s="270"/>
      <c r="G422" s="270"/>
      <c r="H422" s="270"/>
      <c r="I422" s="270"/>
      <c r="J422" s="270"/>
      <c r="K422" s="270"/>
      <c r="L422" s="270"/>
      <c r="M422" s="260"/>
    </row>
    <row r="423" spans="1:13" ht="20.100000000000001" customHeight="1">
      <c r="A423" s="269"/>
      <c r="B423" s="270"/>
      <c r="C423" s="270"/>
      <c r="D423" s="270"/>
      <c r="E423" s="270"/>
      <c r="F423" s="270"/>
      <c r="G423" s="270"/>
      <c r="H423" s="270"/>
      <c r="I423" s="270"/>
      <c r="J423" s="270"/>
      <c r="K423" s="270"/>
      <c r="L423" s="270"/>
      <c r="M423" s="260"/>
    </row>
    <row r="424" spans="1:13" ht="20.100000000000001" customHeight="1">
      <c r="A424" s="269"/>
      <c r="B424" s="270"/>
      <c r="C424" s="270"/>
      <c r="D424" s="270"/>
      <c r="E424" s="270"/>
      <c r="F424" s="270"/>
      <c r="G424" s="270"/>
      <c r="H424" s="270"/>
      <c r="I424" s="270"/>
      <c r="J424" s="270"/>
      <c r="K424" s="270"/>
      <c r="L424" s="270"/>
      <c r="M424" s="260"/>
    </row>
    <row r="425" spans="1:13" ht="20.100000000000001" customHeight="1">
      <c r="A425" s="269"/>
      <c r="B425" s="270"/>
      <c r="C425" s="270"/>
      <c r="D425" s="270"/>
      <c r="E425" s="270"/>
      <c r="F425" s="270"/>
      <c r="G425" s="270"/>
      <c r="H425" s="270"/>
      <c r="I425" s="270"/>
      <c r="J425" s="270"/>
      <c r="K425" s="270"/>
      <c r="L425" s="270"/>
      <c r="M425" s="260"/>
    </row>
    <row r="426" spans="1:13" ht="20.100000000000001" customHeight="1">
      <c r="A426" s="269"/>
      <c r="B426" s="270"/>
      <c r="C426" s="270"/>
      <c r="D426" s="270"/>
      <c r="E426" s="270"/>
      <c r="F426" s="270"/>
      <c r="G426" s="270"/>
      <c r="H426" s="270"/>
      <c r="I426" s="270"/>
      <c r="J426" s="270"/>
      <c r="K426" s="270"/>
      <c r="L426" s="270"/>
      <c r="M426" s="260"/>
    </row>
    <row r="427" spans="1:13" ht="20.100000000000001" customHeight="1">
      <c r="A427" s="269"/>
      <c r="B427" s="270"/>
      <c r="C427" s="270"/>
      <c r="D427" s="270"/>
      <c r="E427" s="270"/>
      <c r="F427" s="270"/>
      <c r="G427" s="270"/>
      <c r="H427" s="270"/>
      <c r="I427" s="270"/>
      <c r="J427" s="270"/>
      <c r="K427" s="270"/>
      <c r="L427" s="270"/>
      <c r="M427" s="260"/>
    </row>
    <row r="428" spans="1:13" ht="20.100000000000001" customHeight="1">
      <c r="A428" s="269"/>
      <c r="B428" s="270"/>
      <c r="C428" s="270"/>
      <c r="D428" s="270"/>
      <c r="E428" s="270"/>
      <c r="F428" s="270"/>
      <c r="G428" s="270"/>
      <c r="H428" s="270"/>
      <c r="I428" s="270"/>
      <c r="J428" s="270"/>
      <c r="K428" s="270"/>
      <c r="L428" s="270"/>
      <c r="M428" s="260"/>
    </row>
    <row r="429" spans="1:13" ht="20.100000000000001" customHeight="1">
      <c r="A429" s="269"/>
      <c r="B429" s="270"/>
      <c r="C429" s="270"/>
      <c r="D429" s="270"/>
      <c r="E429" s="270"/>
      <c r="F429" s="270"/>
      <c r="G429" s="270"/>
      <c r="H429" s="270"/>
      <c r="I429" s="270"/>
      <c r="J429" s="270"/>
      <c r="K429" s="270"/>
      <c r="L429" s="270"/>
      <c r="M429" s="260"/>
    </row>
    <row r="430" spans="1:13" ht="20.100000000000001" customHeight="1">
      <c r="A430" s="269"/>
      <c r="B430" s="270"/>
      <c r="C430" s="270"/>
      <c r="D430" s="270"/>
      <c r="E430" s="270"/>
      <c r="F430" s="270"/>
      <c r="G430" s="270"/>
      <c r="H430" s="270"/>
      <c r="I430" s="270"/>
      <c r="J430" s="270"/>
      <c r="K430" s="270"/>
      <c r="L430" s="270"/>
      <c r="M430" s="260"/>
    </row>
    <row r="431" spans="1:13" ht="20.100000000000001" customHeight="1">
      <c r="A431" s="269"/>
      <c r="B431" s="270"/>
      <c r="C431" s="270"/>
      <c r="D431" s="270"/>
      <c r="E431" s="270"/>
      <c r="F431" s="270"/>
      <c r="G431" s="270"/>
      <c r="H431" s="270"/>
      <c r="I431" s="270"/>
      <c r="J431" s="270"/>
      <c r="K431" s="270"/>
      <c r="L431" s="270"/>
      <c r="M431" s="260"/>
    </row>
    <row r="432" spans="1:13" ht="20.100000000000001" customHeight="1">
      <c r="A432" s="269"/>
      <c r="B432" s="270"/>
      <c r="C432" s="270"/>
      <c r="D432" s="270"/>
      <c r="E432" s="270"/>
      <c r="F432" s="270"/>
      <c r="G432" s="270"/>
      <c r="H432" s="270"/>
      <c r="I432" s="270"/>
      <c r="J432" s="270"/>
      <c r="K432" s="270"/>
      <c r="L432" s="270"/>
      <c r="M432" s="260"/>
    </row>
    <row r="433" spans="1:13" ht="20.100000000000001" customHeight="1">
      <c r="A433" s="269"/>
      <c r="B433" s="270"/>
      <c r="C433" s="270"/>
      <c r="D433" s="270"/>
      <c r="E433" s="270"/>
      <c r="F433" s="270"/>
      <c r="G433" s="270"/>
      <c r="H433" s="270"/>
      <c r="I433" s="270"/>
      <c r="J433" s="270"/>
      <c r="K433" s="270"/>
      <c r="L433" s="270"/>
      <c r="M433" s="260"/>
    </row>
    <row r="434" spans="1:13" ht="20.100000000000001" customHeight="1">
      <c r="A434" s="269"/>
      <c r="B434" s="270"/>
      <c r="C434" s="270"/>
      <c r="D434" s="270"/>
      <c r="E434" s="270"/>
      <c r="F434" s="270"/>
      <c r="G434" s="270"/>
      <c r="H434" s="270"/>
      <c r="I434" s="270"/>
      <c r="J434" s="270"/>
      <c r="K434" s="270"/>
      <c r="L434" s="270"/>
      <c r="M434" s="260"/>
    </row>
    <row r="435" spans="1:13" ht="20.100000000000001" customHeight="1">
      <c r="A435" s="269"/>
      <c r="B435" s="270"/>
      <c r="C435" s="270"/>
      <c r="D435" s="270"/>
      <c r="E435" s="270"/>
      <c r="F435" s="270"/>
      <c r="G435" s="270"/>
      <c r="H435" s="270"/>
      <c r="I435" s="270"/>
      <c r="J435" s="270"/>
      <c r="K435" s="270"/>
      <c r="L435" s="270"/>
      <c r="M435" s="260"/>
    </row>
    <row r="436" spans="1:13" ht="20.100000000000001" customHeight="1">
      <c r="A436" s="269"/>
      <c r="B436" s="270"/>
      <c r="C436" s="270"/>
      <c r="D436" s="270"/>
      <c r="E436" s="270"/>
      <c r="F436" s="270"/>
      <c r="G436" s="270"/>
      <c r="H436" s="270"/>
      <c r="I436" s="270"/>
      <c r="J436" s="270"/>
      <c r="K436" s="270"/>
      <c r="L436" s="270"/>
      <c r="M436" s="260"/>
    </row>
    <row r="437" spans="1:13" ht="20.100000000000001" customHeight="1">
      <c r="A437" s="269"/>
      <c r="B437" s="270"/>
      <c r="C437" s="270"/>
      <c r="D437" s="270"/>
      <c r="E437" s="270"/>
      <c r="F437" s="270"/>
      <c r="G437" s="270"/>
      <c r="H437" s="270"/>
      <c r="I437" s="270"/>
      <c r="J437" s="270"/>
      <c r="K437" s="270"/>
      <c r="L437" s="270"/>
      <c r="M437" s="260"/>
    </row>
    <row r="438" spans="1:13" ht="20.100000000000001" customHeight="1">
      <c r="A438" s="269"/>
      <c r="B438" s="270"/>
      <c r="C438" s="270"/>
      <c r="D438" s="270"/>
      <c r="E438" s="270"/>
      <c r="F438" s="270"/>
      <c r="G438" s="270"/>
      <c r="H438" s="270"/>
      <c r="I438" s="270"/>
      <c r="J438" s="270"/>
      <c r="K438" s="270"/>
      <c r="L438" s="270"/>
      <c r="M438" s="260"/>
    </row>
    <row r="439" spans="1:13" ht="20.100000000000001" customHeight="1">
      <c r="A439" s="269"/>
      <c r="B439" s="270"/>
      <c r="C439" s="270"/>
      <c r="D439" s="270"/>
      <c r="E439" s="270"/>
      <c r="F439" s="270"/>
      <c r="G439" s="270"/>
      <c r="H439" s="270"/>
      <c r="I439" s="270"/>
      <c r="J439" s="270"/>
      <c r="K439" s="270"/>
      <c r="L439" s="270"/>
      <c r="M439" s="260"/>
    </row>
    <row r="440" spans="1:13" ht="20.100000000000001" customHeight="1">
      <c r="A440" s="269"/>
      <c r="B440" s="270"/>
      <c r="C440" s="270"/>
      <c r="D440" s="270"/>
      <c r="E440" s="270"/>
      <c r="F440" s="270"/>
      <c r="G440" s="270"/>
      <c r="H440" s="270"/>
      <c r="I440" s="270"/>
      <c r="J440" s="270"/>
      <c r="K440" s="270"/>
      <c r="L440" s="270"/>
      <c r="M440" s="260"/>
    </row>
    <row r="441" spans="1:13" ht="20.100000000000001" customHeight="1">
      <c r="A441" s="269"/>
      <c r="B441" s="270"/>
      <c r="C441" s="270"/>
      <c r="D441" s="270"/>
      <c r="E441" s="270"/>
      <c r="F441" s="270"/>
      <c r="G441" s="270"/>
      <c r="H441" s="270"/>
      <c r="I441" s="270"/>
      <c r="J441" s="270"/>
      <c r="K441" s="270"/>
      <c r="L441" s="270"/>
      <c r="M441" s="260"/>
    </row>
    <row r="442" spans="1:13" ht="20.100000000000001" customHeight="1">
      <c r="A442" s="269"/>
      <c r="B442" s="270"/>
      <c r="C442" s="270"/>
      <c r="D442" s="270"/>
      <c r="E442" s="270"/>
      <c r="F442" s="270"/>
      <c r="G442" s="270"/>
      <c r="H442" s="270"/>
      <c r="I442" s="270"/>
      <c r="J442" s="270"/>
      <c r="K442" s="270"/>
      <c r="L442" s="270"/>
      <c r="M442" s="260"/>
    </row>
    <row r="443" spans="1:13" ht="20.100000000000001" customHeight="1">
      <c r="A443" s="269"/>
      <c r="B443" s="270"/>
      <c r="C443" s="270"/>
      <c r="D443" s="270"/>
      <c r="E443" s="270"/>
      <c r="F443" s="270"/>
      <c r="G443" s="270"/>
      <c r="H443" s="270"/>
      <c r="I443" s="270"/>
      <c r="J443" s="270"/>
      <c r="K443" s="270"/>
      <c r="L443" s="270"/>
      <c r="M443" s="260"/>
    </row>
    <row r="444" spans="1:13" ht="20.100000000000001" customHeight="1">
      <c r="A444" s="269"/>
      <c r="B444" s="270"/>
      <c r="C444" s="270"/>
      <c r="D444" s="270"/>
      <c r="E444" s="270"/>
      <c r="F444" s="270"/>
      <c r="G444" s="270"/>
      <c r="H444" s="270"/>
      <c r="I444" s="270"/>
      <c r="J444" s="270"/>
      <c r="K444" s="270"/>
      <c r="L444" s="270"/>
      <c r="M444" s="260"/>
    </row>
    <row r="445" spans="1:13" ht="20.100000000000001" customHeight="1">
      <c r="A445" s="269"/>
      <c r="B445" s="270"/>
      <c r="C445" s="270"/>
      <c r="D445" s="270"/>
      <c r="E445" s="270"/>
      <c r="F445" s="270"/>
      <c r="G445" s="270"/>
      <c r="H445" s="270"/>
      <c r="I445" s="270"/>
      <c r="J445" s="270"/>
      <c r="K445" s="270"/>
      <c r="L445" s="270"/>
      <c r="M445" s="260"/>
    </row>
    <row r="446" spans="1:13" ht="20.100000000000001" customHeight="1">
      <c r="A446" s="269"/>
      <c r="B446" s="270"/>
      <c r="C446" s="270"/>
      <c r="D446" s="270"/>
      <c r="E446" s="270"/>
      <c r="F446" s="270"/>
      <c r="G446" s="270"/>
      <c r="H446" s="270"/>
      <c r="I446" s="270"/>
      <c r="J446" s="270"/>
      <c r="K446" s="270"/>
      <c r="L446" s="270"/>
      <c r="M446" s="260"/>
    </row>
    <row r="447" spans="1:13" ht="20.100000000000001" customHeight="1">
      <c r="A447" s="269"/>
      <c r="B447" s="270"/>
      <c r="C447" s="270"/>
      <c r="D447" s="270"/>
      <c r="E447" s="270"/>
      <c r="F447" s="270"/>
      <c r="G447" s="270"/>
      <c r="H447" s="270"/>
      <c r="I447" s="270"/>
      <c r="J447" s="270"/>
      <c r="K447" s="270"/>
      <c r="L447" s="270"/>
      <c r="M447" s="260"/>
    </row>
    <row r="448" spans="1:13" ht="20.100000000000001" customHeight="1">
      <c r="A448" s="269"/>
      <c r="B448" s="270"/>
      <c r="C448" s="270"/>
      <c r="D448" s="270"/>
      <c r="E448" s="270"/>
      <c r="F448" s="270"/>
      <c r="G448" s="270"/>
      <c r="H448" s="270"/>
      <c r="I448" s="270"/>
      <c r="J448" s="270"/>
      <c r="K448" s="270"/>
      <c r="L448" s="270"/>
      <c r="M448" s="260"/>
    </row>
    <row r="449" spans="1:13" ht="20.100000000000001" customHeight="1">
      <c r="A449" s="269"/>
      <c r="B449" s="270"/>
      <c r="C449" s="270"/>
      <c r="D449" s="270"/>
      <c r="E449" s="270"/>
      <c r="F449" s="270"/>
      <c r="G449" s="270"/>
      <c r="H449" s="270"/>
      <c r="I449" s="270"/>
      <c r="J449" s="270"/>
      <c r="K449" s="270"/>
      <c r="L449" s="270"/>
      <c r="M449" s="260"/>
    </row>
    <row r="450" spans="1:13" ht="20.100000000000001" customHeight="1">
      <c r="A450" s="269"/>
      <c r="B450" s="270"/>
      <c r="C450" s="270"/>
      <c r="D450" s="270"/>
      <c r="E450" s="270"/>
      <c r="F450" s="270"/>
      <c r="G450" s="270"/>
      <c r="H450" s="270"/>
      <c r="I450" s="270"/>
      <c r="J450" s="270"/>
      <c r="K450" s="270"/>
      <c r="L450" s="270"/>
      <c r="M450" s="260"/>
    </row>
    <row r="451" spans="1:13" ht="20.100000000000001" customHeight="1">
      <c r="A451" s="269"/>
      <c r="B451" s="270"/>
      <c r="C451" s="270"/>
      <c r="D451" s="270"/>
      <c r="E451" s="270"/>
      <c r="F451" s="270"/>
      <c r="G451" s="270"/>
      <c r="H451" s="270"/>
      <c r="I451" s="270"/>
      <c r="J451" s="270"/>
      <c r="K451" s="270"/>
      <c r="L451" s="270"/>
      <c r="M451" s="260"/>
    </row>
    <row r="452" spans="1:13" ht="20.100000000000001" customHeight="1">
      <c r="A452" s="269"/>
      <c r="B452" s="270"/>
      <c r="C452" s="270"/>
      <c r="D452" s="270"/>
      <c r="E452" s="270"/>
      <c r="F452" s="270"/>
      <c r="G452" s="270"/>
      <c r="H452" s="270"/>
      <c r="I452" s="270"/>
      <c r="J452" s="270"/>
      <c r="K452" s="270"/>
      <c r="L452" s="270"/>
      <c r="M452" s="260"/>
    </row>
    <row r="453" spans="1:13" ht="20.100000000000001" customHeight="1">
      <c r="A453" s="269"/>
      <c r="B453" s="270"/>
      <c r="C453" s="270"/>
      <c r="D453" s="270"/>
      <c r="E453" s="270"/>
      <c r="F453" s="270"/>
      <c r="G453" s="270"/>
      <c r="H453" s="270"/>
      <c r="I453" s="270"/>
      <c r="J453" s="270"/>
      <c r="K453" s="270"/>
      <c r="L453" s="270"/>
      <c r="M453" s="260"/>
    </row>
    <row r="454" spans="1:13" ht="20.100000000000001" customHeight="1">
      <c r="A454" s="269"/>
      <c r="B454" s="270"/>
      <c r="C454" s="270"/>
      <c r="D454" s="270"/>
      <c r="E454" s="270"/>
      <c r="F454" s="270"/>
      <c r="G454" s="270"/>
      <c r="H454" s="270"/>
      <c r="I454" s="270"/>
      <c r="J454" s="270"/>
      <c r="K454" s="270"/>
      <c r="L454" s="270"/>
      <c r="M454" s="260"/>
    </row>
    <row r="455" spans="1:13" ht="20.100000000000001" customHeight="1">
      <c r="A455" s="269"/>
      <c r="B455" s="270"/>
      <c r="C455" s="270"/>
      <c r="D455" s="270"/>
      <c r="E455" s="270"/>
      <c r="F455" s="270"/>
      <c r="G455" s="270"/>
      <c r="H455" s="270"/>
      <c r="I455" s="270"/>
      <c r="J455" s="270"/>
      <c r="K455" s="270"/>
      <c r="L455" s="270"/>
      <c r="M455" s="260"/>
    </row>
    <row r="456" spans="1:13" ht="20.100000000000001" customHeight="1">
      <c r="A456" s="269"/>
      <c r="B456" s="270"/>
      <c r="C456" s="270"/>
      <c r="D456" s="270"/>
      <c r="E456" s="270"/>
      <c r="F456" s="270"/>
      <c r="G456" s="270"/>
      <c r="H456" s="270"/>
      <c r="I456" s="270"/>
      <c r="J456" s="270"/>
      <c r="K456" s="270"/>
      <c r="L456" s="270"/>
      <c r="M456" s="260"/>
    </row>
    <row r="457" spans="1:13" ht="20.100000000000001" customHeight="1">
      <c r="A457" s="269"/>
      <c r="B457" s="270"/>
      <c r="C457" s="270"/>
      <c r="D457" s="270"/>
      <c r="E457" s="270"/>
      <c r="F457" s="270"/>
      <c r="G457" s="270"/>
      <c r="H457" s="270"/>
      <c r="I457" s="270"/>
      <c r="J457" s="270"/>
      <c r="K457" s="270"/>
      <c r="L457" s="270"/>
      <c r="M457" s="260"/>
    </row>
    <row r="458" spans="1:13" ht="20.100000000000001" customHeight="1">
      <c r="A458" s="269"/>
      <c r="B458" s="270"/>
      <c r="C458" s="270"/>
      <c r="D458" s="270"/>
      <c r="E458" s="270"/>
      <c r="F458" s="270"/>
      <c r="G458" s="270"/>
      <c r="H458" s="270"/>
      <c r="I458" s="270"/>
      <c r="J458" s="270"/>
      <c r="K458" s="270"/>
      <c r="L458" s="270"/>
      <c r="M458" s="260"/>
    </row>
    <row r="459" spans="1:13" ht="20.100000000000001" customHeight="1">
      <c r="A459" s="269"/>
      <c r="B459" s="270"/>
      <c r="C459" s="270"/>
      <c r="D459" s="270"/>
      <c r="E459" s="270"/>
      <c r="F459" s="270"/>
      <c r="G459" s="270"/>
      <c r="H459" s="270"/>
      <c r="I459" s="270"/>
      <c r="J459" s="270"/>
      <c r="K459" s="270"/>
      <c r="L459" s="270"/>
      <c r="M459" s="260"/>
    </row>
    <row r="460" spans="1:13" ht="20.100000000000001" customHeight="1">
      <c r="A460" s="269"/>
      <c r="B460" s="270"/>
      <c r="C460" s="270"/>
      <c r="D460" s="270"/>
      <c r="E460" s="270"/>
      <c r="F460" s="270"/>
      <c r="G460" s="270"/>
      <c r="H460" s="270"/>
      <c r="I460" s="270"/>
      <c r="J460" s="270"/>
      <c r="K460" s="270"/>
      <c r="L460" s="270"/>
      <c r="M460" s="260"/>
    </row>
    <row r="461" spans="1:13" ht="20.100000000000001" customHeight="1">
      <c r="A461" s="269"/>
      <c r="B461" s="270"/>
      <c r="C461" s="270"/>
      <c r="D461" s="270"/>
      <c r="E461" s="270"/>
      <c r="F461" s="270"/>
      <c r="G461" s="270"/>
      <c r="H461" s="270"/>
      <c r="I461" s="270"/>
      <c r="J461" s="270"/>
      <c r="K461" s="270"/>
      <c r="L461" s="270"/>
      <c r="M461" s="260"/>
    </row>
    <row r="462" spans="1:13" ht="20.100000000000001" customHeight="1">
      <c r="A462" s="269"/>
      <c r="B462" s="270"/>
      <c r="C462" s="270"/>
      <c r="D462" s="270"/>
      <c r="E462" s="270"/>
      <c r="F462" s="270"/>
      <c r="G462" s="270"/>
      <c r="H462" s="270"/>
      <c r="I462" s="270"/>
      <c r="J462" s="270"/>
      <c r="K462" s="270"/>
      <c r="L462" s="270"/>
      <c r="M462" s="260"/>
    </row>
    <row r="463" spans="1:13" ht="20.100000000000001" customHeight="1">
      <c r="A463" s="269"/>
      <c r="B463" s="270"/>
      <c r="C463" s="270"/>
      <c r="D463" s="270"/>
      <c r="E463" s="270"/>
      <c r="F463" s="270"/>
      <c r="G463" s="270"/>
      <c r="H463" s="270"/>
      <c r="I463" s="270"/>
      <c r="J463" s="270"/>
      <c r="K463" s="270"/>
      <c r="L463" s="270"/>
      <c r="M463" s="260"/>
    </row>
    <row r="464" spans="1:13" ht="20.100000000000001" customHeight="1">
      <c r="A464" s="269"/>
      <c r="B464" s="270"/>
      <c r="C464" s="270"/>
      <c r="D464" s="270"/>
      <c r="E464" s="270"/>
      <c r="F464" s="270"/>
      <c r="G464" s="270"/>
      <c r="H464" s="270"/>
      <c r="I464" s="270"/>
      <c r="J464" s="270"/>
      <c r="K464" s="270"/>
      <c r="L464" s="270"/>
      <c r="M464" s="260"/>
    </row>
    <row r="465" spans="1:13" ht="20.100000000000001" customHeight="1">
      <c r="A465" s="269"/>
      <c r="B465" s="270"/>
      <c r="C465" s="270"/>
      <c r="D465" s="270"/>
      <c r="E465" s="270"/>
      <c r="F465" s="270"/>
      <c r="G465" s="270"/>
      <c r="H465" s="270"/>
      <c r="I465" s="270"/>
      <c r="J465" s="270"/>
      <c r="K465" s="270"/>
      <c r="L465" s="270"/>
      <c r="M465" s="260"/>
    </row>
    <row r="466" spans="1:13" ht="20.100000000000001" customHeight="1">
      <c r="A466" s="269"/>
      <c r="B466" s="270"/>
      <c r="C466" s="270"/>
      <c r="D466" s="270"/>
      <c r="E466" s="270"/>
      <c r="F466" s="270"/>
      <c r="G466" s="270"/>
      <c r="H466" s="270"/>
      <c r="I466" s="270"/>
      <c r="J466" s="270"/>
      <c r="K466" s="270"/>
      <c r="L466" s="270"/>
      <c r="M466" s="260"/>
    </row>
    <row r="467" spans="1:13" ht="20.100000000000001" customHeight="1">
      <c r="A467" s="269"/>
      <c r="B467" s="270"/>
      <c r="C467" s="270"/>
      <c r="D467" s="270"/>
      <c r="E467" s="270"/>
      <c r="F467" s="270"/>
      <c r="G467" s="270"/>
      <c r="H467" s="270"/>
      <c r="I467" s="270"/>
      <c r="J467" s="270"/>
      <c r="K467" s="270"/>
      <c r="L467" s="270"/>
      <c r="M467" s="260"/>
    </row>
    <row r="468" spans="1:13" ht="20.100000000000001" customHeight="1">
      <c r="A468" s="269"/>
      <c r="B468" s="270"/>
      <c r="C468" s="270"/>
      <c r="D468" s="270"/>
      <c r="E468" s="270"/>
      <c r="F468" s="270"/>
      <c r="G468" s="270"/>
      <c r="H468" s="270"/>
      <c r="I468" s="270"/>
      <c r="J468" s="270"/>
      <c r="K468" s="270"/>
      <c r="L468" s="270"/>
      <c r="M468" s="260"/>
    </row>
    <row r="469" spans="1:13" ht="20.100000000000001" customHeight="1">
      <c r="A469" s="269"/>
      <c r="B469" s="270"/>
      <c r="C469" s="270"/>
      <c r="D469" s="270"/>
      <c r="E469" s="270"/>
      <c r="F469" s="270"/>
      <c r="G469" s="270"/>
      <c r="H469" s="270"/>
      <c r="I469" s="270"/>
      <c r="J469" s="270"/>
      <c r="K469" s="270"/>
      <c r="L469" s="270"/>
      <c r="M469" s="260"/>
    </row>
    <row r="470" spans="1:13" ht="20.100000000000001" customHeight="1">
      <c r="A470" s="269"/>
      <c r="B470" s="270"/>
      <c r="C470" s="270"/>
      <c r="D470" s="270"/>
      <c r="E470" s="270"/>
      <c r="F470" s="270"/>
      <c r="G470" s="270"/>
      <c r="H470" s="270"/>
      <c r="I470" s="270"/>
      <c r="J470" s="270"/>
      <c r="K470" s="270"/>
      <c r="L470" s="270"/>
      <c r="M470" s="260"/>
    </row>
    <row r="471" spans="1:13" ht="20.100000000000001" customHeight="1">
      <c r="A471" s="269"/>
      <c r="B471" s="270"/>
      <c r="C471" s="270"/>
      <c r="D471" s="270"/>
      <c r="E471" s="270"/>
      <c r="F471" s="270"/>
      <c r="G471" s="270"/>
      <c r="H471" s="270"/>
      <c r="I471" s="270"/>
      <c r="J471" s="270"/>
      <c r="K471" s="270"/>
      <c r="L471" s="270"/>
      <c r="M471" s="260"/>
    </row>
    <row r="472" spans="1:13" ht="20.100000000000001" customHeight="1">
      <c r="A472" s="269"/>
      <c r="B472" s="270"/>
      <c r="C472" s="270"/>
      <c r="D472" s="270"/>
      <c r="E472" s="270"/>
      <c r="F472" s="270"/>
      <c r="G472" s="270"/>
      <c r="H472" s="270"/>
      <c r="I472" s="270"/>
      <c r="J472" s="270"/>
      <c r="K472" s="270"/>
      <c r="L472" s="270"/>
      <c r="M472" s="260"/>
    </row>
    <row r="473" spans="1:13" ht="20.100000000000001" customHeight="1">
      <c r="A473" s="269"/>
      <c r="B473" s="270"/>
      <c r="C473" s="270"/>
      <c r="D473" s="270"/>
      <c r="E473" s="270"/>
      <c r="F473" s="270"/>
      <c r="G473" s="270"/>
      <c r="H473" s="270"/>
      <c r="I473" s="270"/>
      <c r="J473" s="270"/>
      <c r="K473" s="270"/>
      <c r="L473" s="270"/>
      <c r="M473" s="260"/>
    </row>
    <row r="474" spans="1:13" ht="20.100000000000001" customHeight="1">
      <c r="A474" s="269"/>
      <c r="B474" s="270"/>
      <c r="C474" s="270"/>
      <c r="D474" s="270"/>
      <c r="E474" s="270"/>
      <c r="F474" s="270"/>
      <c r="G474" s="270"/>
      <c r="H474" s="270"/>
      <c r="I474" s="270"/>
      <c r="J474" s="270"/>
      <c r="K474" s="270"/>
      <c r="L474" s="270"/>
      <c r="M474" s="260"/>
    </row>
    <row r="475" spans="1:13" ht="20.100000000000001" customHeight="1">
      <c r="A475" s="269"/>
      <c r="B475" s="270"/>
      <c r="C475" s="270"/>
      <c r="D475" s="270"/>
      <c r="E475" s="270"/>
      <c r="F475" s="270"/>
      <c r="G475" s="270"/>
      <c r="H475" s="270"/>
      <c r="I475" s="270"/>
      <c r="J475" s="270"/>
      <c r="K475" s="270"/>
      <c r="L475" s="270"/>
      <c r="M475" s="260"/>
    </row>
    <row r="476" spans="1:13" ht="20.100000000000001" customHeight="1">
      <c r="A476" s="269"/>
      <c r="B476" s="270"/>
      <c r="C476" s="270"/>
      <c r="D476" s="270"/>
      <c r="E476" s="270"/>
      <c r="F476" s="270"/>
      <c r="G476" s="270"/>
      <c r="H476" s="270"/>
      <c r="I476" s="270"/>
      <c r="J476" s="270"/>
      <c r="K476" s="270"/>
      <c r="L476" s="270"/>
      <c r="M476" s="260"/>
    </row>
    <row r="477" spans="1:13" ht="20.100000000000001" customHeight="1">
      <c r="A477" s="269"/>
      <c r="B477" s="270"/>
      <c r="C477" s="270"/>
      <c r="D477" s="270"/>
      <c r="E477" s="270"/>
      <c r="F477" s="270"/>
      <c r="G477" s="270"/>
      <c r="H477" s="270"/>
      <c r="I477" s="270"/>
      <c r="J477" s="270"/>
      <c r="K477" s="270"/>
      <c r="L477" s="270"/>
      <c r="M477" s="260"/>
    </row>
    <row r="478" spans="1:13" ht="20.100000000000001" customHeight="1">
      <c r="A478" s="269"/>
      <c r="B478" s="270"/>
      <c r="C478" s="270"/>
      <c r="D478" s="270"/>
      <c r="E478" s="270"/>
      <c r="F478" s="270"/>
      <c r="G478" s="270"/>
      <c r="H478" s="270"/>
      <c r="I478" s="270"/>
      <c r="J478" s="270"/>
      <c r="K478" s="270"/>
      <c r="L478" s="270"/>
      <c r="M478" s="260"/>
    </row>
    <row r="479" spans="1:13" ht="20.100000000000001" customHeight="1">
      <c r="A479" s="269"/>
      <c r="B479" s="270"/>
      <c r="C479" s="270"/>
      <c r="D479" s="270"/>
      <c r="E479" s="270"/>
      <c r="F479" s="270"/>
      <c r="G479" s="270"/>
      <c r="H479" s="270"/>
      <c r="I479" s="270"/>
      <c r="J479" s="270"/>
      <c r="K479" s="270"/>
      <c r="L479" s="270"/>
      <c r="M479" s="260"/>
    </row>
    <row r="480" spans="1:13" ht="20.100000000000001" customHeight="1">
      <c r="A480" s="269"/>
      <c r="B480" s="270"/>
      <c r="C480" s="270"/>
      <c r="D480" s="270"/>
      <c r="E480" s="270"/>
      <c r="F480" s="270"/>
      <c r="G480" s="270"/>
      <c r="H480" s="270"/>
      <c r="I480" s="270"/>
      <c r="J480" s="270"/>
      <c r="K480" s="270"/>
      <c r="L480" s="270"/>
      <c r="M480" s="260"/>
    </row>
    <row r="481" spans="1:13" ht="20.100000000000001" customHeight="1">
      <c r="A481" s="269"/>
      <c r="B481" s="270"/>
      <c r="C481" s="270"/>
      <c r="D481" s="270"/>
      <c r="E481" s="270"/>
      <c r="F481" s="270"/>
      <c r="G481" s="270"/>
      <c r="H481" s="270"/>
      <c r="I481" s="270"/>
      <c r="J481" s="270"/>
      <c r="K481" s="270"/>
      <c r="L481" s="270"/>
      <c r="M481" s="260"/>
    </row>
    <row r="482" spans="1:13" ht="20.100000000000001" customHeight="1">
      <c r="A482" s="269"/>
      <c r="B482" s="270"/>
      <c r="C482" s="270"/>
      <c r="D482" s="270"/>
      <c r="E482" s="270"/>
      <c r="F482" s="270"/>
      <c r="G482" s="270"/>
      <c r="H482" s="270"/>
      <c r="I482" s="270"/>
      <c r="J482" s="270"/>
      <c r="K482" s="270"/>
      <c r="L482" s="270"/>
      <c r="M482" s="260"/>
    </row>
    <row r="483" spans="1:13" ht="20.100000000000001" customHeight="1">
      <c r="A483" s="269"/>
      <c r="B483" s="270"/>
      <c r="C483" s="270"/>
      <c r="D483" s="270"/>
      <c r="E483" s="270"/>
      <c r="F483" s="270"/>
      <c r="G483" s="270"/>
      <c r="H483" s="270"/>
      <c r="I483" s="270"/>
      <c r="J483" s="270"/>
      <c r="K483" s="270"/>
      <c r="L483" s="270"/>
      <c r="M483" s="260"/>
    </row>
    <row r="484" spans="1:13" ht="20.100000000000001" customHeight="1">
      <c r="A484" s="269"/>
      <c r="B484" s="270"/>
      <c r="C484" s="270"/>
      <c r="D484" s="270"/>
      <c r="E484" s="270"/>
      <c r="F484" s="270"/>
      <c r="G484" s="270"/>
      <c r="H484" s="270"/>
      <c r="I484" s="270"/>
      <c r="J484" s="270"/>
      <c r="K484" s="270"/>
      <c r="L484" s="270"/>
      <c r="M484" s="260"/>
    </row>
    <row r="485" spans="1:13" ht="20.100000000000001" customHeight="1">
      <c r="A485" s="269"/>
      <c r="B485" s="270"/>
      <c r="C485" s="270"/>
      <c r="D485" s="270"/>
      <c r="E485" s="270"/>
      <c r="F485" s="270"/>
      <c r="G485" s="270"/>
      <c r="H485" s="270"/>
      <c r="I485" s="270"/>
      <c r="J485" s="270"/>
      <c r="K485" s="270"/>
      <c r="L485" s="270"/>
      <c r="M485" s="260"/>
    </row>
    <row r="486" spans="1:13" ht="20.100000000000001" customHeight="1">
      <c r="A486" s="269"/>
      <c r="B486" s="270"/>
      <c r="C486" s="270"/>
      <c r="D486" s="270"/>
      <c r="E486" s="270"/>
      <c r="F486" s="270"/>
      <c r="G486" s="270"/>
      <c r="H486" s="270"/>
      <c r="I486" s="270"/>
      <c r="J486" s="270"/>
      <c r="K486" s="270"/>
      <c r="L486" s="270"/>
      <c r="M486" s="260"/>
    </row>
    <row r="487" spans="1:13" ht="20.100000000000001" customHeight="1">
      <c r="A487" s="269"/>
      <c r="B487" s="270"/>
      <c r="C487" s="270"/>
      <c r="D487" s="270"/>
      <c r="E487" s="270"/>
      <c r="F487" s="270"/>
      <c r="G487" s="270"/>
      <c r="H487" s="270"/>
      <c r="I487" s="270"/>
      <c r="J487" s="270"/>
      <c r="K487" s="270"/>
      <c r="L487" s="270"/>
      <c r="M487" s="260"/>
    </row>
    <row r="488" spans="1:13" ht="20.100000000000001" customHeight="1">
      <c r="A488" s="269"/>
      <c r="B488" s="270"/>
      <c r="C488" s="270"/>
      <c r="D488" s="270"/>
      <c r="E488" s="270"/>
      <c r="F488" s="270"/>
      <c r="G488" s="270"/>
      <c r="H488" s="270"/>
      <c r="I488" s="270"/>
      <c r="J488" s="270"/>
      <c r="K488" s="270"/>
      <c r="L488" s="270"/>
      <c r="M488" s="260"/>
    </row>
    <row r="489" spans="1:13" ht="20.100000000000001" customHeight="1">
      <c r="A489" s="269"/>
      <c r="B489" s="270"/>
      <c r="C489" s="270"/>
      <c r="D489" s="270"/>
      <c r="E489" s="270"/>
      <c r="F489" s="270"/>
      <c r="G489" s="270"/>
      <c r="H489" s="270"/>
      <c r="I489" s="270"/>
      <c r="J489" s="270"/>
      <c r="K489" s="270"/>
      <c r="L489" s="270"/>
      <c r="M489" s="260"/>
    </row>
    <row r="490" spans="1:13" ht="20.100000000000001" customHeight="1">
      <c r="A490" s="269"/>
      <c r="B490" s="270"/>
      <c r="C490" s="270"/>
      <c r="D490" s="270"/>
      <c r="E490" s="270"/>
      <c r="F490" s="270"/>
      <c r="G490" s="270"/>
      <c r="H490" s="270"/>
      <c r="I490" s="270"/>
      <c r="J490" s="270"/>
      <c r="K490" s="270"/>
      <c r="L490" s="270"/>
      <c r="M490" s="260"/>
    </row>
    <row r="491" spans="1:13" ht="20.100000000000001" customHeight="1">
      <c r="A491" s="269"/>
      <c r="B491" s="270"/>
      <c r="C491" s="270"/>
      <c r="D491" s="270"/>
      <c r="E491" s="270"/>
      <c r="F491" s="270"/>
      <c r="G491" s="270"/>
      <c r="H491" s="270"/>
      <c r="I491" s="270"/>
      <c r="J491" s="270"/>
      <c r="K491" s="270"/>
      <c r="L491" s="270"/>
      <c r="M491" s="260"/>
    </row>
    <row r="492" spans="1:13" ht="20.100000000000001" customHeight="1">
      <c r="A492" s="269"/>
      <c r="B492" s="270"/>
      <c r="C492" s="270"/>
      <c r="D492" s="270"/>
      <c r="E492" s="270"/>
      <c r="F492" s="270"/>
      <c r="G492" s="270"/>
      <c r="H492" s="270"/>
      <c r="I492" s="270"/>
      <c r="J492" s="270"/>
      <c r="K492" s="270"/>
      <c r="L492" s="270"/>
      <c r="M492" s="260"/>
    </row>
    <row r="493" spans="1:13" ht="20.100000000000001" customHeight="1">
      <c r="A493" s="269"/>
      <c r="B493" s="270"/>
      <c r="C493" s="270"/>
      <c r="D493" s="270"/>
      <c r="E493" s="270"/>
      <c r="F493" s="270"/>
      <c r="G493" s="270"/>
      <c r="H493" s="270"/>
      <c r="I493" s="270"/>
      <c r="J493" s="270"/>
      <c r="K493" s="270"/>
      <c r="L493" s="270"/>
      <c r="M493" s="260"/>
    </row>
    <row r="494" spans="1:13" ht="20.100000000000001" customHeight="1">
      <c r="A494" s="269"/>
      <c r="B494" s="270"/>
      <c r="C494" s="270"/>
      <c r="D494" s="270"/>
      <c r="E494" s="270"/>
      <c r="F494" s="270"/>
      <c r="G494" s="270"/>
      <c r="H494" s="270"/>
      <c r="I494" s="270"/>
      <c r="J494" s="270"/>
      <c r="K494" s="270"/>
      <c r="L494" s="270"/>
      <c r="M494" s="260"/>
    </row>
    <row r="495" spans="1:13" ht="20.100000000000001" customHeight="1">
      <c r="A495" s="269"/>
      <c r="B495" s="270"/>
      <c r="C495" s="270"/>
      <c r="D495" s="270"/>
      <c r="E495" s="270"/>
      <c r="F495" s="270"/>
      <c r="G495" s="270"/>
      <c r="H495" s="270"/>
      <c r="I495" s="270"/>
      <c r="J495" s="270"/>
      <c r="K495" s="270"/>
      <c r="L495" s="270"/>
      <c r="M495" s="260"/>
    </row>
    <row r="496" spans="1:13" ht="20.100000000000001" customHeight="1">
      <c r="A496" s="269"/>
      <c r="B496" s="270"/>
      <c r="C496" s="270"/>
      <c r="D496" s="270"/>
      <c r="E496" s="270"/>
      <c r="F496" s="270"/>
      <c r="G496" s="270"/>
      <c r="H496" s="270"/>
      <c r="I496" s="270"/>
      <c r="J496" s="270"/>
      <c r="K496" s="270"/>
      <c r="L496" s="270"/>
      <c r="M496" s="260"/>
    </row>
    <row r="497" spans="1:13" ht="20.100000000000001" customHeight="1">
      <c r="A497" s="269"/>
      <c r="B497" s="270"/>
      <c r="C497" s="270"/>
      <c r="D497" s="270"/>
      <c r="E497" s="270"/>
      <c r="F497" s="270"/>
      <c r="G497" s="270"/>
      <c r="H497" s="270"/>
      <c r="I497" s="270"/>
      <c r="J497" s="270"/>
      <c r="K497" s="270"/>
      <c r="L497" s="270"/>
      <c r="M497" s="260"/>
    </row>
    <row r="498" spans="1:13" ht="20.100000000000001" customHeight="1">
      <c r="A498" s="262"/>
      <c r="B498" s="263"/>
      <c r="C498" s="263"/>
      <c r="D498" s="263"/>
      <c r="E498" s="263"/>
      <c r="F498" s="263"/>
      <c r="G498" s="263"/>
      <c r="H498" s="263"/>
      <c r="I498" s="263"/>
      <c r="J498" s="263"/>
      <c r="K498" s="263"/>
      <c r="L498" s="263"/>
    </row>
  </sheetData>
  <mergeCells count="5">
    <mergeCell ref="B1:C1"/>
    <mergeCell ref="J1:K1"/>
    <mergeCell ref="H1:I1"/>
    <mergeCell ref="F1:G1"/>
    <mergeCell ref="D1:E1"/>
  </mergeCells>
  <pageMargins left="0.5" right="0.5" top="0.75" bottom="0.75" header="0.27777800000000002" footer="0.27777800000000002"/>
  <pageSetup orientation="portrait"/>
  <headerFooter>
    <oddFooter>&amp;C&amp;"Helvetica Neue,Regular"&amp;12&amp;K000000&amp;P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enableFormatConditionsCalculation="0"/>
  <dimension ref="A1:C70"/>
  <sheetViews>
    <sheetView workbookViewId="0"/>
  </sheetViews>
  <sheetFormatPr baseColWidth="10" defaultRowHeight="15.75"/>
  <sheetData>
    <row r="1" spans="1:3">
      <c r="A1" s="2">
        <v>1</v>
      </c>
      <c r="B1">
        <f t="shared" ref="B1:B32" si="0">-17.3700839367+(A1-1)*1.7971699351</f>
        <v>-17.370083936699999</v>
      </c>
      <c r="C1">
        <f t="shared" ref="C1:C32" si="1">0+1*B1-74.0705507192137*(1.00657894736842+(B1-36.75)^2/206505.704085597)^0.5</f>
        <v>-92.205628976536417</v>
      </c>
    </row>
    <row r="2" spans="1:3">
      <c r="A2" s="2">
        <v>2</v>
      </c>
      <c r="B2">
        <f t="shared" si="0"/>
        <v>-15.572914001599999</v>
      </c>
      <c r="C2">
        <f t="shared" si="1"/>
        <v>-90.37449448238597</v>
      </c>
    </row>
    <row r="3" spans="1:3">
      <c r="A3" s="2">
        <v>3</v>
      </c>
      <c r="B3">
        <f t="shared" si="0"/>
        <v>-13.7757440665</v>
      </c>
      <c r="C3">
        <f t="shared" si="1"/>
        <v>-88.544492238668241</v>
      </c>
    </row>
    <row r="4" spans="1:3">
      <c r="A4" s="2">
        <v>4</v>
      </c>
      <c r="B4">
        <f t="shared" si="0"/>
        <v>-11.978574131399998</v>
      </c>
      <c r="C4">
        <f t="shared" si="1"/>
        <v>-86.715623737590718</v>
      </c>
    </row>
    <row r="5" spans="1:3">
      <c r="A5" s="2">
        <v>5</v>
      </c>
      <c r="B5">
        <f t="shared" si="0"/>
        <v>-10.181404196299999</v>
      </c>
      <c r="C5">
        <f t="shared" si="1"/>
        <v>-84.887890422321917</v>
      </c>
    </row>
    <row r="6" spans="1:3">
      <c r="A6" s="2">
        <v>6</v>
      </c>
      <c r="B6">
        <f t="shared" si="0"/>
        <v>-8.3842342611999996</v>
      </c>
      <c r="C6">
        <f t="shared" si="1"/>
        <v>-83.061293686668023</v>
      </c>
    </row>
    <row r="7" spans="1:3">
      <c r="A7" s="2">
        <v>7</v>
      </c>
      <c r="B7">
        <f t="shared" si="0"/>
        <v>-6.5870643260999984</v>
      </c>
      <c r="C7">
        <f t="shared" si="1"/>
        <v>-81.235834874759803</v>
      </c>
    </row>
    <row r="8" spans="1:3">
      <c r="A8" s="2">
        <v>8</v>
      </c>
      <c r="B8">
        <f t="shared" si="0"/>
        <v>-4.7898943909999989</v>
      </c>
      <c r="C8">
        <f t="shared" si="1"/>
        <v>-79.411515280749654</v>
      </c>
    </row>
    <row r="9" spans="1:3">
      <c r="A9" s="2">
        <v>9</v>
      </c>
      <c r="B9">
        <f t="shared" si="0"/>
        <v>-2.9927244558999995</v>
      </c>
      <c r="C9">
        <f t="shared" si="1"/>
        <v>-77.588336148519559</v>
      </c>
    </row>
    <row r="10" spans="1:3">
      <c r="A10" s="2">
        <v>10</v>
      </c>
      <c r="B10">
        <f t="shared" si="0"/>
        <v>-1.1955545207999982</v>
      </c>
      <c r="C10">
        <f t="shared" si="1"/>
        <v>-75.766298671399213</v>
      </c>
    </row>
    <row r="11" spans="1:3">
      <c r="A11" s="2">
        <v>11</v>
      </c>
      <c r="B11">
        <f t="shared" si="0"/>
        <v>0.60161541429999943</v>
      </c>
      <c r="C11">
        <f t="shared" si="1"/>
        <v>-73.945403991895333</v>
      </c>
    </row>
    <row r="12" spans="1:3">
      <c r="A12" s="2">
        <v>12</v>
      </c>
      <c r="B12">
        <f t="shared" si="0"/>
        <v>2.3987853494000007</v>
      </c>
      <c r="C12">
        <f t="shared" si="1"/>
        <v>-72.125653201431703</v>
      </c>
    </row>
    <row r="13" spans="1:3">
      <c r="A13" s="2">
        <v>13</v>
      </c>
      <c r="B13">
        <f t="shared" si="0"/>
        <v>4.1959552845000019</v>
      </c>
      <c r="C13">
        <f t="shared" si="1"/>
        <v>-70.307047340100368</v>
      </c>
    </row>
    <row r="14" spans="1:3">
      <c r="A14" s="2">
        <v>14</v>
      </c>
      <c r="B14">
        <f t="shared" si="0"/>
        <v>5.9931252195999996</v>
      </c>
      <c r="C14">
        <f t="shared" si="1"/>
        <v>-68.489587396424</v>
      </c>
    </row>
    <row r="15" spans="1:3">
      <c r="A15" s="2">
        <v>15</v>
      </c>
      <c r="B15">
        <f t="shared" si="0"/>
        <v>7.7902951547000008</v>
      </c>
      <c r="C15">
        <f t="shared" si="1"/>
        <v>-66.673274307129603</v>
      </c>
    </row>
    <row r="16" spans="1:3">
      <c r="A16" s="2">
        <v>16</v>
      </c>
      <c r="B16">
        <f t="shared" si="0"/>
        <v>9.5874650897999985</v>
      </c>
      <c r="C16">
        <f t="shared" si="1"/>
        <v>-64.858108956933734</v>
      </c>
    </row>
    <row r="17" spans="1:3">
      <c r="A17" s="2">
        <v>17</v>
      </c>
      <c r="B17">
        <f t="shared" si="0"/>
        <v>11.3846350249</v>
      </c>
      <c r="C17">
        <f t="shared" si="1"/>
        <v>-63.044092178339206</v>
      </c>
    </row>
    <row r="18" spans="1:3">
      <c r="A18" s="2">
        <v>18</v>
      </c>
      <c r="B18">
        <f t="shared" si="0"/>
        <v>13.181804960000001</v>
      </c>
      <c r="C18">
        <f t="shared" si="1"/>
        <v>-61.231224751443499</v>
      </c>
    </row>
    <row r="19" spans="1:3">
      <c r="A19" s="2">
        <v>19</v>
      </c>
      <c r="B19">
        <f t="shared" si="0"/>
        <v>14.978974895100002</v>
      </c>
      <c r="C19">
        <f t="shared" si="1"/>
        <v>-59.419507403759035</v>
      </c>
    </row>
    <row r="20" spans="1:3">
      <c r="A20" s="2">
        <v>20</v>
      </c>
      <c r="B20">
        <f t="shared" si="0"/>
        <v>16.776144830199996</v>
      </c>
      <c r="C20">
        <f t="shared" si="1"/>
        <v>-57.608940810045084</v>
      </c>
    </row>
    <row r="21" spans="1:3">
      <c r="A21" s="2">
        <v>21</v>
      </c>
      <c r="B21">
        <f t="shared" si="0"/>
        <v>18.573314765299997</v>
      </c>
      <c r="C21">
        <f t="shared" si="1"/>
        <v>-55.799525592152023</v>
      </c>
    </row>
    <row r="22" spans="1:3">
      <c r="A22" s="2">
        <v>22</v>
      </c>
      <c r="B22">
        <f t="shared" si="0"/>
        <v>20.370484700399999</v>
      </c>
      <c r="C22">
        <f t="shared" si="1"/>
        <v>-53.991262318877219</v>
      </c>
    </row>
    <row r="23" spans="1:3">
      <c r="A23" s="2">
        <v>23</v>
      </c>
      <c r="B23">
        <f t="shared" si="0"/>
        <v>22.1676546355</v>
      </c>
      <c r="C23">
        <f t="shared" si="1"/>
        <v>-52.184151505833327</v>
      </c>
    </row>
    <row r="24" spans="1:3">
      <c r="A24" s="2">
        <v>24</v>
      </c>
      <c r="B24">
        <f t="shared" si="0"/>
        <v>23.964824570600001</v>
      </c>
      <c r="C24">
        <f t="shared" si="1"/>
        <v>-50.378193615328769</v>
      </c>
    </row>
    <row r="25" spans="1:3">
      <c r="A25" s="2">
        <v>25</v>
      </c>
      <c r="B25">
        <f t="shared" si="0"/>
        <v>25.761994505700002</v>
      </c>
      <c r="C25">
        <f t="shared" si="1"/>
        <v>-48.573389056260226</v>
      </c>
    </row>
    <row r="26" spans="1:3">
      <c r="A26" s="2">
        <v>26</v>
      </c>
      <c r="B26">
        <f t="shared" si="0"/>
        <v>27.559164440799996</v>
      </c>
      <c r="C26">
        <f t="shared" si="1"/>
        <v>-46.769738184017818</v>
      </c>
    </row>
    <row r="27" spans="1:3">
      <c r="A27" s="2">
        <v>27</v>
      </c>
      <c r="B27">
        <f t="shared" si="0"/>
        <v>29.356334375899998</v>
      </c>
      <c r="C27">
        <f t="shared" si="1"/>
        <v>-44.967241300402357</v>
      </c>
    </row>
    <row r="28" spans="1:3">
      <c r="A28" s="2">
        <v>28</v>
      </c>
      <c r="B28">
        <f t="shared" si="0"/>
        <v>31.153504310999999</v>
      </c>
      <c r="C28">
        <f t="shared" si="1"/>
        <v>-43.165898653555153</v>
      </c>
    </row>
    <row r="29" spans="1:3">
      <c r="A29" s="2">
        <v>29</v>
      </c>
      <c r="B29">
        <f t="shared" si="0"/>
        <v>32.9506742461</v>
      </c>
      <c r="C29">
        <f t="shared" si="1"/>
        <v>-41.36571043790024</v>
      </c>
    </row>
    <row r="30" spans="1:3">
      <c r="A30" s="2">
        <v>30</v>
      </c>
      <c r="B30">
        <f t="shared" si="0"/>
        <v>34.747844181200001</v>
      </c>
      <c r="C30">
        <f t="shared" si="1"/>
        <v>-39.566676794099116</v>
      </c>
    </row>
    <row r="31" spans="1:3">
      <c r="A31" s="2">
        <v>31</v>
      </c>
      <c r="B31">
        <f t="shared" si="0"/>
        <v>36.545014116299996</v>
      </c>
      <c r="C31">
        <f t="shared" si="1"/>
        <v>-37.768797809017983</v>
      </c>
    </row>
    <row r="32" spans="1:3">
      <c r="A32" s="2">
        <v>32</v>
      </c>
      <c r="B32">
        <f t="shared" si="0"/>
        <v>38.342184051399997</v>
      </c>
      <c r="C32">
        <f t="shared" si="1"/>
        <v>-35.972073515707407</v>
      </c>
    </row>
    <row r="33" spans="1:3">
      <c r="A33" s="2">
        <v>33</v>
      </c>
      <c r="B33">
        <f t="shared" ref="B33:B64" si="2">-17.3700839367+(A33-1)*1.7971699351</f>
        <v>40.139353986499998</v>
      </c>
      <c r="C33">
        <f t="shared" ref="C33:C64" si="3">0+1*B33-74.0705507192137*(1.00657894736842+(B33-36.75)^2/206505.704085597)^0.5</f>
        <v>-34.176503893394795</v>
      </c>
    </row>
    <row r="34" spans="1:3">
      <c r="A34" s="2">
        <v>34</v>
      </c>
      <c r="B34">
        <f t="shared" si="2"/>
        <v>41.936523921599999</v>
      </c>
      <c r="C34">
        <f t="shared" si="3"/>
        <v>-32.38208886748906</v>
      </c>
    </row>
    <row r="35" spans="1:3">
      <c r="A35" s="2">
        <v>35</v>
      </c>
      <c r="B35">
        <f t="shared" si="2"/>
        <v>43.7336938567</v>
      </c>
      <c r="C35">
        <f t="shared" si="3"/>
        <v>-30.588828309598114</v>
      </c>
    </row>
    <row r="36" spans="1:3">
      <c r="A36" s="2">
        <v>36</v>
      </c>
      <c r="B36">
        <f t="shared" si="2"/>
        <v>45.530863791799995</v>
      </c>
      <c r="C36">
        <f t="shared" si="3"/>
        <v>-28.79672203755873</v>
      </c>
    </row>
    <row r="37" spans="1:3">
      <c r="A37" s="2">
        <v>37</v>
      </c>
      <c r="B37">
        <f t="shared" si="2"/>
        <v>47.328033726900003</v>
      </c>
      <c r="C37">
        <f t="shared" si="3"/>
        <v>-27.00576981547897</v>
      </c>
    </row>
    <row r="38" spans="1:3">
      <c r="A38" s="2">
        <v>38</v>
      </c>
      <c r="B38">
        <f t="shared" si="2"/>
        <v>49.125203662000004</v>
      </c>
      <c r="C38">
        <f t="shared" si="3"/>
        <v>-25.215971353793151</v>
      </c>
    </row>
    <row r="39" spans="1:3">
      <c r="A39" s="2">
        <v>39</v>
      </c>
      <c r="B39">
        <f t="shared" si="2"/>
        <v>50.922373597099991</v>
      </c>
      <c r="C39">
        <f t="shared" si="3"/>
        <v>-23.427326309329203</v>
      </c>
    </row>
    <row r="40" spans="1:3">
      <c r="A40" s="2">
        <v>40</v>
      </c>
      <c r="B40">
        <f t="shared" si="2"/>
        <v>52.719543532199992</v>
      </c>
      <c r="C40">
        <f t="shared" si="3"/>
        <v>-21.639834285388375</v>
      </c>
    </row>
    <row r="41" spans="1:3">
      <c r="A41" s="2">
        <v>41</v>
      </c>
      <c r="B41">
        <f t="shared" si="2"/>
        <v>54.516713467299994</v>
      </c>
      <c r="C41">
        <f t="shared" si="3"/>
        <v>-19.853494831837651</v>
      </c>
    </row>
    <row r="42" spans="1:3">
      <c r="A42" s="2">
        <v>42</v>
      </c>
      <c r="B42">
        <f t="shared" si="2"/>
        <v>56.313883402399995</v>
      </c>
      <c r="C42">
        <f t="shared" si="3"/>
        <v>-18.068307445214074</v>
      </c>
    </row>
    <row r="43" spans="1:3">
      <c r="A43" s="2">
        <v>43</v>
      </c>
      <c r="B43">
        <f t="shared" si="2"/>
        <v>58.111053337499996</v>
      </c>
      <c r="C43">
        <f t="shared" si="3"/>
        <v>-16.284271568841618</v>
      </c>
    </row>
    <row r="44" spans="1:3">
      <c r="A44" s="2">
        <v>44</v>
      </c>
      <c r="B44">
        <f t="shared" si="2"/>
        <v>59.908223272599997</v>
      </c>
      <c r="C44">
        <f t="shared" si="3"/>
        <v>-14.501386592960202</v>
      </c>
    </row>
    <row r="45" spans="1:3">
      <c r="A45" s="2">
        <v>45</v>
      </c>
      <c r="B45">
        <f t="shared" si="2"/>
        <v>61.705393207699998</v>
      </c>
      <c r="C45">
        <f t="shared" si="3"/>
        <v>-12.719651854866854</v>
      </c>
    </row>
    <row r="46" spans="1:3">
      <c r="A46" s="2">
        <v>46</v>
      </c>
      <c r="B46">
        <f t="shared" si="2"/>
        <v>63.5025631428</v>
      </c>
      <c r="C46">
        <f t="shared" si="3"/>
        <v>-10.939066639068898</v>
      </c>
    </row>
    <row r="47" spans="1:3">
      <c r="A47" s="2">
        <v>47</v>
      </c>
      <c r="B47">
        <f t="shared" si="2"/>
        <v>65.299733077900001</v>
      </c>
      <c r="C47">
        <f t="shared" si="3"/>
        <v>-9.1596301774491877</v>
      </c>
    </row>
    <row r="48" spans="1:3">
      <c r="A48" s="2">
        <v>48</v>
      </c>
      <c r="B48">
        <f t="shared" si="2"/>
        <v>67.096903013000002</v>
      </c>
      <c r="C48">
        <f t="shared" si="3"/>
        <v>-7.3813416494432147</v>
      </c>
    </row>
    <row r="49" spans="1:3">
      <c r="A49" s="2">
        <v>49</v>
      </c>
      <c r="B49">
        <f t="shared" si="2"/>
        <v>68.894072948100003</v>
      </c>
      <c r="C49">
        <f t="shared" si="3"/>
        <v>-5.6042001822279843</v>
      </c>
    </row>
    <row r="50" spans="1:3">
      <c r="A50" s="2">
        <v>50</v>
      </c>
      <c r="B50">
        <f t="shared" si="2"/>
        <v>70.69124288319999</v>
      </c>
      <c r="C50">
        <f t="shared" si="3"/>
        <v>-3.8282048509226598</v>
      </c>
    </row>
    <row r="51" spans="1:3">
      <c r="A51" s="2">
        <v>51</v>
      </c>
      <c r="B51">
        <f t="shared" si="2"/>
        <v>72.488412818299992</v>
      </c>
      <c r="C51">
        <f t="shared" si="3"/>
        <v>-2.0533546788006873</v>
      </c>
    </row>
    <row r="52" spans="1:3">
      <c r="A52" s="2">
        <v>52</v>
      </c>
      <c r="B52">
        <f t="shared" si="2"/>
        <v>74.285582753399993</v>
      </c>
      <c r="C52">
        <f t="shared" si="3"/>
        <v>-0.2796486375136169</v>
      </c>
    </row>
    <row r="53" spans="1:3">
      <c r="A53" s="2">
        <v>53</v>
      </c>
      <c r="B53">
        <f t="shared" si="2"/>
        <v>76.082752688499994</v>
      </c>
      <c r="C53">
        <f t="shared" si="3"/>
        <v>1.4929143526740631</v>
      </c>
    </row>
    <row r="54" spans="1:3">
      <c r="A54" s="2">
        <v>54</v>
      </c>
      <c r="B54">
        <f t="shared" si="2"/>
        <v>77.879922623599995</v>
      </c>
      <c r="C54">
        <f t="shared" si="3"/>
        <v>3.2643354226384105</v>
      </c>
    </row>
    <row r="55" spans="1:3">
      <c r="A55" s="2">
        <v>55</v>
      </c>
      <c r="B55">
        <f t="shared" si="2"/>
        <v>79.677092558699997</v>
      </c>
      <c r="C55">
        <f t="shared" si="3"/>
        <v>5.0346157541388692</v>
      </c>
    </row>
    <row r="56" spans="1:3">
      <c r="A56" s="2">
        <v>56</v>
      </c>
      <c r="B56">
        <f t="shared" si="2"/>
        <v>81.474262493799998</v>
      </c>
      <c r="C56">
        <f t="shared" si="3"/>
        <v>6.8037565795497699</v>
      </c>
    </row>
    <row r="57" spans="1:3">
      <c r="A57" s="2">
        <v>57</v>
      </c>
      <c r="B57">
        <f t="shared" si="2"/>
        <v>83.271432428899999</v>
      </c>
      <c r="C57">
        <f t="shared" si="3"/>
        <v>8.5717591815811431</v>
      </c>
    </row>
    <row r="58" spans="1:3">
      <c r="A58" s="2">
        <v>58</v>
      </c>
      <c r="B58">
        <f t="shared" si="2"/>
        <v>85.068602364</v>
      </c>
      <c r="C58">
        <f t="shared" si="3"/>
        <v>10.338624892988946</v>
      </c>
    </row>
    <row r="59" spans="1:3">
      <c r="A59" s="2">
        <v>59</v>
      </c>
      <c r="B59">
        <f t="shared" si="2"/>
        <v>86.865772299100001</v>
      </c>
      <c r="C59">
        <f t="shared" si="3"/>
        <v>12.104355096274531</v>
      </c>
    </row>
    <row r="60" spans="1:3">
      <c r="A60" s="2">
        <v>60</v>
      </c>
      <c r="B60">
        <f t="shared" si="2"/>
        <v>88.662942234199988</v>
      </c>
      <c r="C60">
        <f t="shared" si="3"/>
        <v>13.868951223373941</v>
      </c>
    </row>
    <row r="61" spans="1:3">
      <c r="A61" s="2">
        <v>61</v>
      </c>
      <c r="B61">
        <f t="shared" si="2"/>
        <v>90.46011216929999</v>
      </c>
      <c r="C61">
        <f t="shared" si="3"/>
        <v>15.63241475533691</v>
      </c>
    </row>
    <row r="62" spans="1:3">
      <c r="A62" s="2">
        <v>62</v>
      </c>
      <c r="B62">
        <f t="shared" si="2"/>
        <v>92.257282104399991</v>
      </c>
      <c r="C62">
        <f t="shared" si="3"/>
        <v>17.394747221995715</v>
      </c>
    </row>
    <row r="63" spans="1:3">
      <c r="A63" s="2">
        <v>63</v>
      </c>
      <c r="B63">
        <f t="shared" si="2"/>
        <v>94.054452039499992</v>
      </c>
      <c r="C63">
        <f t="shared" si="3"/>
        <v>19.155950201624293</v>
      </c>
    </row>
    <row r="64" spans="1:3">
      <c r="A64" s="2">
        <v>64</v>
      </c>
      <c r="B64">
        <f t="shared" si="2"/>
        <v>95.851621974599993</v>
      </c>
      <c r="C64">
        <f t="shared" si="3"/>
        <v>20.916025320587607</v>
      </c>
    </row>
    <row r="65" spans="1:3">
      <c r="A65" s="2">
        <v>65</v>
      </c>
      <c r="B65">
        <f t="shared" ref="B65:B70" si="4">-17.3700839367+(A65-1)*1.7971699351</f>
        <v>97.648791909699995</v>
      </c>
      <c r="C65">
        <f t="shared" ref="C65:C70" si="5">0+1*B65-74.0705507192137*(1.00657894736842+(B65-36.75)^2/206505.704085597)^0.5</f>
        <v>22.674974252981414</v>
      </c>
    </row>
    <row r="66" spans="1:3">
      <c r="A66" s="2">
        <v>66</v>
      </c>
      <c r="B66">
        <f t="shared" si="4"/>
        <v>99.445961844799996</v>
      </c>
      <c r="C66">
        <f t="shared" si="5"/>
        <v>24.432798720262781</v>
      </c>
    </row>
    <row r="67" spans="1:3">
      <c r="A67" s="2">
        <v>67</v>
      </c>
      <c r="B67">
        <f t="shared" si="4"/>
        <v>101.2431317799</v>
      </c>
      <c r="C67">
        <f t="shared" si="5"/>
        <v>26.189500490871296</v>
      </c>
    </row>
    <row r="68" spans="1:3">
      <c r="A68" s="2">
        <v>68</v>
      </c>
      <c r="B68">
        <f t="shared" si="4"/>
        <v>103.040301715</v>
      </c>
      <c r="C68">
        <f t="shared" si="5"/>
        <v>27.945081379841554</v>
      </c>
    </row>
    <row r="69" spans="1:3">
      <c r="A69" s="2">
        <v>69</v>
      </c>
      <c r="B69">
        <f t="shared" si="4"/>
        <v>104.8374716501</v>
      </c>
      <c r="C69">
        <f t="shared" si="5"/>
        <v>29.699543248406542</v>
      </c>
    </row>
    <row r="70" spans="1:3">
      <c r="A70" s="2">
        <v>70</v>
      </c>
      <c r="B70">
        <f t="shared" si="4"/>
        <v>106.6346415852</v>
      </c>
      <c r="C70">
        <f t="shared" si="5"/>
        <v>31.452888003592705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enableFormatConditionsCalculation="0"/>
  <dimension ref="A1:C70"/>
  <sheetViews>
    <sheetView workbookViewId="0"/>
  </sheetViews>
  <sheetFormatPr baseColWidth="10" defaultRowHeight="15.75"/>
  <sheetData>
    <row r="1" spans="1:3">
      <c r="A1" s="2">
        <v>1</v>
      </c>
      <c r="B1">
        <f t="shared" ref="B1:B32" si="0">-15.9410721738+(A1-1)*1.7764596197</f>
        <v>-15.9410721738</v>
      </c>
      <c r="C1">
        <f t="shared" ref="C1:C32" si="1">0+1*B1+74.0705507192137*(1.00657894736842+(B1-36.75)^2/206505.704085597)^0.5</f>
        <v>58.867373930493194</v>
      </c>
    </row>
    <row r="2" spans="1:3">
      <c r="A2" s="2">
        <v>2</v>
      </c>
      <c r="B2">
        <f t="shared" si="0"/>
        <v>-14.1646125541</v>
      </c>
      <c r="C2">
        <f t="shared" si="1"/>
        <v>60.611143748167052</v>
      </c>
    </row>
    <row r="3" spans="1:3">
      <c r="A3" s="2">
        <v>3</v>
      </c>
      <c r="B3">
        <f t="shared" si="0"/>
        <v>-12.388152934400001</v>
      </c>
      <c r="C3">
        <f t="shared" si="1"/>
        <v>62.356021017542673</v>
      </c>
    </row>
    <row r="4" spans="1:3">
      <c r="A4" s="2">
        <v>4</v>
      </c>
      <c r="B4">
        <f t="shared" si="0"/>
        <v>-10.6116933147</v>
      </c>
      <c r="C4">
        <f t="shared" si="1"/>
        <v>64.102007143018227</v>
      </c>
    </row>
    <row r="5" spans="1:3">
      <c r="A5" s="2">
        <v>5</v>
      </c>
      <c r="B5">
        <f t="shared" si="0"/>
        <v>-8.8352336949999994</v>
      </c>
      <c r="C5">
        <f t="shared" si="1"/>
        <v>65.849103481935387</v>
      </c>
    </row>
    <row r="6" spans="1:3">
      <c r="A6" s="2">
        <v>6</v>
      </c>
      <c r="B6">
        <f t="shared" si="0"/>
        <v>-7.0587740753000006</v>
      </c>
      <c r="C6">
        <f t="shared" si="1"/>
        <v>67.597311344281422</v>
      </c>
    </row>
    <row r="7" spans="1:3">
      <c r="A7" s="2">
        <v>7</v>
      </c>
      <c r="B7">
        <f t="shared" si="0"/>
        <v>-5.2823144555999999</v>
      </c>
      <c r="C7">
        <f t="shared" si="1"/>
        <v>69.346631992401356</v>
      </c>
    </row>
    <row r="8" spans="1:3">
      <c r="A8" s="2">
        <v>8</v>
      </c>
      <c r="B8">
        <f t="shared" si="0"/>
        <v>-3.505854835900001</v>
      </c>
      <c r="C8">
        <f t="shared" si="1"/>
        <v>71.097066640719206</v>
      </c>
    </row>
    <row r="9" spans="1:3">
      <c r="A9" s="2">
        <v>9</v>
      </c>
      <c r="B9">
        <f t="shared" si="0"/>
        <v>-1.7293952162000004</v>
      </c>
      <c r="C9">
        <f t="shared" si="1"/>
        <v>72.848616455469752</v>
      </c>
    </row>
    <row r="10" spans="1:3">
      <c r="A10" s="2">
        <v>10</v>
      </c>
      <c r="B10">
        <f t="shared" si="0"/>
        <v>4.7064403500000296E-2</v>
      </c>
      <c r="C10">
        <f t="shared" si="1"/>
        <v>74.601282554440033</v>
      </c>
    </row>
    <row r="11" spans="1:3">
      <c r="A11" s="2">
        <v>11</v>
      </c>
      <c r="B11">
        <f t="shared" si="0"/>
        <v>1.8235240231999992</v>
      </c>
      <c r="C11">
        <f t="shared" si="1"/>
        <v>76.355066006720961</v>
      </c>
    </row>
    <row r="12" spans="1:3">
      <c r="A12" s="2">
        <v>12</v>
      </c>
      <c r="B12">
        <f t="shared" si="0"/>
        <v>3.5999836428999981</v>
      </c>
      <c r="C12">
        <f t="shared" si="1"/>
        <v>78.10996783246938</v>
      </c>
    </row>
    <row r="13" spans="1:3">
      <c r="A13" s="2">
        <v>13</v>
      </c>
      <c r="B13">
        <f t="shared" si="0"/>
        <v>5.3764432626000005</v>
      </c>
      <c r="C13">
        <f t="shared" si="1"/>
        <v>79.865989002680607</v>
      </c>
    </row>
    <row r="14" spans="1:3">
      <c r="A14" s="2">
        <v>14</v>
      </c>
      <c r="B14">
        <f t="shared" si="0"/>
        <v>7.1529028822999994</v>
      </c>
      <c r="C14">
        <f t="shared" si="1"/>
        <v>81.623130438971131</v>
      </c>
    </row>
    <row r="15" spans="1:3">
      <c r="A15" s="2">
        <v>15</v>
      </c>
      <c r="B15">
        <f t="shared" si="0"/>
        <v>8.9293625019999983</v>
      </c>
      <c r="C15">
        <f t="shared" si="1"/>
        <v>83.381393013372545</v>
      </c>
    </row>
    <row r="16" spans="1:3">
      <c r="A16" s="2">
        <v>16</v>
      </c>
      <c r="B16">
        <f t="shared" si="0"/>
        <v>10.705822121700001</v>
      </c>
      <c r="C16">
        <f t="shared" si="1"/>
        <v>85.140777548135631</v>
      </c>
    </row>
    <row r="17" spans="1:3">
      <c r="A17" s="2">
        <v>17</v>
      </c>
      <c r="B17">
        <f t="shared" si="0"/>
        <v>12.4822817414</v>
      </c>
      <c r="C17">
        <f t="shared" si="1"/>
        <v>86.901284815545765</v>
      </c>
    </row>
    <row r="18" spans="1:3">
      <c r="A18" s="2">
        <v>18</v>
      </c>
      <c r="B18">
        <f t="shared" si="0"/>
        <v>14.258741361099998</v>
      </c>
      <c r="C18">
        <f t="shared" si="1"/>
        <v>88.662915537748944</v>
      </c>
    </row>
    <row r="19" spans="1:3">
      <c r="A19" s="2">
        <v>19</v>
      </c>
      <c r="B19">
        <f t="shared" si="0"/>
        <v>16.035200980799999</v>
      </c>
      <c r="C19">
        <f t="shared" si="1"/>
        <v>90.425670386589204</v>
      </c>
    </row>
    <row r="20" spans="1:3">
      <c r="A20" s="2">
        <v>20</v>
      </c>
      <c r="B20">
        <f t="shared" si="0"/>
        <v>17.811660600499998</v>
      </c>
      <c r="C20">
        <f t="shared" si="1"/>
        <v>92.189549983456715</v>
      </c>
    </row>
    <row r="21" spans="1:3">
      <c r="A21" s="2">
        <v>21</v>
      </c>
      <c r="B21">
        <f t="shared" si="0"/>
        <v>19.588120220199997</v>
      </c>
      <c r="C21">
        <f t="shared" si="1"/>
        <v>93.954554899147581</v>
      </c>
    </row>
    <row r="22" spans="1:3">
      <c r="A22" s="2">
        <v>22</v>
      </c>
      <c r="B22">
        <f t="shared" si="0"/>
        <v>21.364579839899996</v>
      </c>
      <c r="C22">
        <f t="shared" si="1"/>
        <v>95.720685653734506</v>
      </c>
    </row>
    <row r="23" spans="1:3">
      <c r="A23" s="2">
        <v>23</v>
      </c>
      <c r="B23">
        <f t="shared" si="0"/>
        <v>23.141039459599995</v>
      </c>
      <c r="C23">
        <f t="shared" si="1"/>
        <v>97.487942716449083</v>
      </c>
    </row>
    <row r="24" spans="1:3">
      <c r="A24" s="2">
        <v>24</v>
      </c>
      <c r="B24">
        <f t="shared" si="0"/>
        <v>24.917499079300001</v>
      </c>
      <c r="C24">
        <f t="shared" si="1"/>
        <v>99.256326505575302</v>
      </c>
    </row>
    <row r="25" spans="1:3">
      <c r="A25" s="2">
        <v>25</v>
      </c>
      <c r="B25">
        <f t="shared" si="0"/>
        <v>26.693958699</v>
      </c>
      <c r="C25">
        <f t="shared" si="1"/>
        <v>101.02583738835474</v>
      </c>
    </row>
    <row r="26" spans="1:3">
      <c r="A26" s="2">
        <v>26</v>
      </c>
      <c r="B26">
        <f t="shared" si="0"/>
        <v>28.470418318699998</v>
      </c>
      <c r="C26">
        <f t="shared" si="1"/>
        <v>102.79647568090307</v>
      </c>
    </row>
    <row r="27" spans="1:3">
      <c r="A27" s="2">
        <v>27</v>
      </c>
      <c r="B27">
        <f t="shared" si="0"/>
        <v>30.246877938399997</v>
      </c>
      <c r="C27">
        <f t="shared" si="1"/>
        <v>104.56824164813827</v>
      </c>
    </row>
    <row r="28" spans="1:3">
      <c r="A28" s="2">
        <v>28</v>
      </c>
      <c r="B28">
        <f t="shared" si="0"/>
        <v>32.023337558099996</v>
      </c>
      <c r="C28">
        <f t="shared" si="1"/>
        <v>106.34113550372028</v>
      </c>
    </row>
    <row r="29" spans="1:3">
      <c r="A29" s="2">
        <v>29</v>
      </c>
      <c r="B29">
        <f t="shared" si="0"/>
        <v>33.799797177799995</v>
      </c>
      <c r="C29">
        <f t="shared" si="1"/>
        <v>108.11515741000252</v>
      </c>
    </row>
    <row r="30" spans="1:3">
      <c r="A30" s="2">
        <v>30</v>
      </c>
      <c r="B30">
        <f t="shared" si="0"/>
        <v>35.576256797500001</v>
      </c>
      <c r="C30">
        <f t="shared" si="1"/>
        <v>109.89030747799487</v>
      </c>
    </row>
    <row r="31" spans="1:3">
      <c r="A31" s="2">
        <v>31</v>
      </c>
      <c r="B31">
        <f t="shared" si="0"/>
        <v>37.3527164172</v>
      </c>
      <c r="C31">
        <f t="shared" si="1"/>
        <v>111.66658576733835</v>
      </c>
    </row>
    <row r="32" spans="1:3">
      <c r="A32" s="2">
        <v>32</v>
      </c>
      <c r="B32">
        <f t="shared" si="0"/>
        <v>39.129176036899999</v>
      </c>
      <c r="C32">
        <f t="shared" si="1"/>
        <v>113.44399228629169</v>
      </c>
    </row>
    <row r="33" spans="1:3">
      <c r="A33" s="2">
        <v>33</v>
      </c>
      <c r="B33">
        <f t="shared" ref="B33:B64" si="2">-15.9410721738+(A33-1)*1.7764596197</f>
        <v>40.905635656599998</v>
      </c>
      <c r="C33">
        <f t="shared" ref="C33:C64" si="3">0+1*B33+74.0705507192137*(1.00657894736842+(B33-36.75)^2/206505.704085597)^0.5</f>
        <v>115.2225269917293</v>
      </c>
    </row>
    <row r="34" spans="1:3">
      <c r="A34" s="2">
        <v>34</v>
      </c>
      <c r="B34">
        <f t="shared" si="2"/>
        <v>42.682095276299997</v>
      </c>
      <c r="C34">
        <f t="shared" si="3"/>
        <v>117.00218978915109</v>
      </c>
    </row>
    <row r="35" spans="1:3">
      <c r="A35" s="2">
        <v>35</v>
      </c>
      <c r="B35">
        <f t="shared" si="2"/>
        <v>44.458554895999995</v>
      </c>
      <c r="C35">
        <f t="shared" si="3"/>
        <v>118.78298053270419</v>
      </c>
    </row>
    <row r="36" spans="1:3">
      <c r="A36" s="2">
        <v>36</v>
      </c>
      <c r="B36">
        <f t="shared" si="2"/>
        <v>46.235014515699994</v>
      </c>
      <c r="C36">
        <f t="shared" si="3"/>
        <v>120.56489902521588</v>
      </c>
    </row>
    <row r="37" spans="1:3">
      <c r="A37" s="2">
        <v>37</v>
      </c>
      <c r="B37">
        <f t="shared" si="2"/>
        <v>48.0114741354</v>
      </c>
      <c r="C37">
        <f t="shared" si="3"/>
        <v>122.34794501823859</v>
      </c>
    </row>
    <row r="38" spans="1:3">
      <c r="A38" s="2">
        <v>38</v>
      </c>
      <c r="B38">
        <f t="shared" si="2"/>
        <v>49.787933755099992</v>
      </c>
      <c r="C38">
        <f t="shared" si="3"/>
        <v>124.13211821210641</v>
      </c>
    </row>
    <row r="39" spans="1:3">
      <c r="A39" s="2">
        <v>39</v>
      </c>
      <c r="B39">
        <f t="shared" si="2"/>
        <v>51.564393374799998</v>
      </c>
      <c r="C39">
        <f t="shared" si="3"/>
        <v>125.9174182560032</v>
      </c>
    </row>
    <row r="40" spans="1:3">
      <c r="A40" s="2">
        <v>40</v>
      </c>
      <c r="B40">
        <f t="shared" si="2"/>
        <v>53.340852994500004</v>
      </c>
      <c r="C40">
        <f t="shared" si="3"/>
        <v>127.70384474804226</v>
      </c>
    </row>
    <row r="41" spans="1:3">
      <c r="A41" s="2">
        <v>41</v>
      </c>
      <c r="B41">
        <f t="shared" si="2"/>
        <v>55.117312614199996</v>
      </c>
      <c r="C41">
        <f t="shared" si="3"/>
        <v>129.4913972353576</v>
      </c>
    </row>
    <row r="42" spans="1:3">
      <c r="A42" s="2">
        <v>42</v>
      </c>
      <c r="B42">
        <f t="shared" si="2"/>
        <v>56.893772233900002</v>
      </c>
      <c r="C42">
        <f t="shared" si="3"/>
        <v>131.28007521420659</v>
      </c>
    </row>
    <row r="43" spans="1:3">
      <c r="A43" s="2">
        <v>43</v>
      </c>
      <c r="B43">
        <f t="shared" si="2"/>
        <v>58.670231853599994</v>
      </c>
      <c r="C43">
        <f t="shared" si="3"/>
        <v>133.06987813008422</v>
      </c>
    </row>
    <row r="44" spans="1:3">
      <c r="A44" s="2">
        <v>44</v>
      </c>
      <c r="B44">
        <f t="shared" si="2"/>
        <v>60.4466914733</v>
      </c>
      <c r="C44">
        <f t="shared" si="3"/>
        <v>134.86080537784855</v>
      </c>
    </row>
    <row r="45" spans="1:3">
      <c r="A45" s="2">
        <v>45</v>
      </c>
      <c r="B45">
        <f t="shared" si="2"/>
        <v>62.223151092999991</v>
      </c>
      <c r="C45">
        <f t="shared" si="3"/>
        <v>136.65285630185741</v>
      </c>
    </row>
    <row r="46" spans="1:3">
      <c r="A46" s="2">
        <v>46</v>
      </c>
      <c r="B46">
        <f t="shared" si="2"/>
        <v>63.999610712699997</v>
      </c>
      <c r="C46">
        <f t="shared" si="3"/>
        <v>138.44603019611677</v>
      </c>
    </row>
    <row r="47" spans="1:3">
      <c r="A47" s="2">
        <v>47</v>
      </c>
      <c r="B47">
        <f t="shared" si="2"/>
        <v>65.77607033240001</v>
      </c>
      <c r="C47">
        <f t="shared" si="3"/>
        <v>140.24032630443963</v>
      </c>
    </row>
    <row r="48" spans="1:3">
      <c r="A48" s="2">
        <v>48</v>
      </c>
      <c r="B48">
        <f t="shared" si="2"/>
        <v>67.552529952100002</v>
      </c>
      <c r="C48">
        <f t="shared" si="3"/>
        <v>142.03574382061646</v>
      </c>
    </row>
    <row r="49" spans="1:3">
      <c r="A49" s="2">
        <v>49</v>
      </c>
      <c r="B49">
        <f t="shared" si="2"/>
        <v>69.328989571800008</v>
      </c>
      <c r="C49">
        <f t="shared" si="3"/>
        <v>143.83228188859655</v>
      </c>
    </row>
    <row r="50" spans="1:3">
      <c r="A50" s="2">
        <v>50</v>
      </c>
      <c r="B50">
        <f t="shared" si="2"/>
        <v>71.1054491915</v>
      </c>
      <c r="C50">
        <f t="shared" si="3"/>
        <v>145.62993960267994</v>
      </c>
    </row>
    <row r="51" spans="1:3">
      <c r="A51" s="2">
        <v>51</v>
      </c>
      <c r="B51">
        <f t="shared" si="2"/>
        <v>72.881908811200006</v>
      </c>
      <c r="C51">
        <f t="shared" si="3"/>
        <v>147.42871600772054</v>
      </c>
    </row>
    <row r="52" spans="1:3">
      <c r="A52" s="2">
        <v>52</v>
      </c>
      <c r="B52">
        <f t="shared" si="2"/>
        <v>74.658368430899998</v>
      </c>
      <c r="C52">
        <f t="shared" si="3"/>
        <v>149.22861009933979</v>
      </c>
    </row>
    <row r="53" spans="1:3">
      <c r="A53" s="2">
        <v>53</v>
      </c>
      <c r="B53">
        <f t="shared" si="2"/>
        <v>76.434828050600004</v>
      </c>
      <c r="C53">
        <f t="shared" si="3"/>
        <v>151.02962082415064</v>
      </c>
    </row>
    <row r="54" spans="1:3">
      <c r="A54" s="2">
        <v>54</v>
      </c>
      <c r="B54">
        <f t="shared" si="2"/>
        <v>78.21128767030001</v>
      </c>
      <c r="C54">
        <f t="shared" si="3"/>
        <v>152.83174707999243</v>
      </c>
    </row>
    <row r="55" spans="1:3">
      <c r="A55" s="2">
        <v>55</v>
      </c>
      <c r="B55">
        <f t="shared" si="2"/>
        <v>79.987747290000001</v>
      </c>
      <c r="C55">
        <f t="shared" si="3"/>
        <v>154.63498771617577</v>
      </c>
    </row>
    <row r="56" spans="1:3">
      <c r="A56" s="2">
        <v>56</v>
      </c>
      <c r="B56">
        <f t="shared" si="2"/>
        <v>81.764206909700007</v>
      </c>
      <c r="C56">
        <f t="shared" si="3"/>
        <v>156.43934153373777</v>
      </c>
    </row>
    <row r="57" spans="1:3">
      <c r="A57" s="2">
        <v>57</v>
      </c>
      <c r="B57">
        <f t="shared" si="2"/>
        <v>83.540666529399999</v>
      </c>
      <c r="C57">
        <f t="shared" si="3"/>
        <v>158.24480728570742</v>
      </c>
    </row>
    <row r="58" spans="1:3">
      <c r="A58" s="2">
        <v>58</v>
      </c>
      <c r="B58">
        <f t="shared" si="2"/>
        <v>85.317126149100005</v>
      </c>
      <c r="C58">
        <f t="shared" si="3"/>
        <v>160.05138367738056</v>
      </c>
    </row>
    <row r="59" spans="1:3">
      <c r="A59" s="2">
        <v>59</v>
      </c>
      <c r="B59">
        <f t="shared" si="2"/>
        <v>87.093585768800011</v>
      </c>
      <c r="C59">
        <f t="shared" si="3"/>
        <v>161.85906936660518</v>
      </c>
    </row>
    <row r="60" spans="1:3">
      <c r="A60" s="2">
        <v>60</v>
      </c>
      <c r="B60">
        <f t="shared" si="2"/>
        <v>88.870045388500003</v>
      </c>
      <c r="C60">
        <f t="shared" si="3"/>
        <v>163.66786296407591</v>
      </c>
    </row>
    <row r="61" spans="1:3">
      <c r="A61" s="2">
        <v>61</v>
      </c>
      <c r="B61">
        <f t="shared" si="2"/>
        <v>90.646505008200009</v>
      </c>
      <c r="C61">
        <f t="shared" si="3"/>
        <v>165.47776303363835</v>
      </c>
    </row>
    <row r="62" spans="1:3">
      <c r="A62" s="2">
        <v>62</v>
      </c>
      <c r="B62">
        <f t="shared" si="2"/>
        <v>92.422964627900001</v>
      </c>
      <c r="C62">
        <f t="shared" si="3"/>
        <v>167.2887680926026</v>
      </c>
    </row>
    <row r="63" spans="1:3">
      <c r="A63" s="2">
        <v>63</v>
      </c>
      <c r="B63">
        <f t="shared" si="2"/>
        <v>94.199424247600007</v>
      </c>
      <c r="C63">
        <f t="shared" si="3"/>
        <v>169.100876612066</v>
      </c>
    </row>
    <row r="64" spans="1:3">
      <c r="A64" s="2">
        <v>64</v>
      </c>
      <c r="B64">
        <f t="shared" si="2"/>
        <v>95.975883867299999</v>
      </c>
      <c r="C64">
        <f t="shared" si="3"/>
        <v>170.91408701724481</v>
      </c>
    </row>
    <row r="65" spans="1:3">
      <c r="A65" s="2">
        <v>65</v>
      </c>
      <c r="B65">
        <f t="shared" ref="B65:B70" si="4">-15.9410721738+(A65-1)*1.7764596197</f>
        <v>97.752343487000005</v>
      </c>
      <c r="C65">
        <f t="shared" ref="C65:C70" si="5">0+1*B65+74.0705507192137*(1.00657894736842+(B65-36.75)^2/206505.704085597)^0.5</f>
        <v>172.72839768781523</v>
      </c>
    </row>
    <row r="66" spans="1:3">
      <c r="A66" s="2">
        <v>66</v>
      </c>
      <c r="B66">
        <f t="shared" si="4"/>
        <v>99.528803106700011</v>
      </c>
      <c r="C66">
        <f t="shared" si="5"/>
        <v>174.54380695826228</v>
      </c>
    </row>
    <row r="67" spans="1:3">
      <c r="A67" s="2">
        <v>67</v>
      </c>
      <c r="B67">
        <f t="shared" si="4"/>
        <v>101.3052627264</v>
      </c>
      <c r="C67">
        <f t="shared" si="5"/>
        <v>176.3603131182382</v>
      </c>
    </row>
    <row r="68" spans="1:3">
      <c r="A68" s="2">
        <v>68</v>
      </c>
      <c r="B68">
        <f t="shared" si="4"/>
        <v>103.08172234610001</v>
      </c>
      <c r="C68">
        <f t="shared" si="5"/>
        <v>178.17791441292843</v>
      </c>
    </row>
    <row r="69" spans="1:3">
      <c r="A69" s="2">
        <v>69</v>
      </c>
      <c r="B69">
        <f t="shared" si="4"/>
        <v>104.8581819658</v>
      </c>
      <c r="C69">
        <f t="shared" si="5"/>
        <v>179.9966090434261</v>
      </c>
    </row>
    <row r="70" spans="1:3">
      <c r="A70" s="2">
        <v>70</v>
      </c>
      <c r="B70">
        <f t="shared" si="4"/>
        <v>106.63464158550001</v>
      </c>
      <c r="C70">
        <f t="shared" si="5"/>
        <v>181.81639516711471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29.9299466909008+0.191058329060505*B1-79.6347749969089*(0.00657894736842105+(B1-35.6961842105263)^2/86774.9397868421)^0.5</f>
        <v>15.576515192562303</v>
      </c>
    </row>
    <row r="2" spans="1:3">
      <c r="A2" s="2">
        <v>2</v>
      </c>
      <c r="B2">
        <f t="shared" si="0"/>
        <v>-5.045826087</v>
      </c>
      <c r="C2">
        <f t="shared" si="1"/>
        <v>16.197518584416834</v>
      </c>
    </row>
    <row r="3" spans="1:3">
      <c r="A3" s="2">
        <v>3</v>
      </c>
      <c r="B3">
        <f t="shared" si="0"/>
        <v>-3.5856521740000002</v>
      </c>
      <c r="C3">
        <f t="shared" si="1"/>
        <v>16.815396925272186</v>
      </c>
    </row>
    <row r="4" spans="1:3">
      <c r="A4" s="2">
        <v>4</v>
      </c>
      <c r="B4">
        <f t="shared" si="0"/>
        <v>-2.1254782610000005</v>
      </c>
      <c r="C4">
        <f t="shared" si="1"/>
        <v>17.429887499600142</v>
      </c>
    </row>
    <row r="5" spans="1:3">
      <c r="A5" s="2">
        <v>5</v>
      </c>
      <c r="B5">
        <f t="shared" si="0"/>
        <v>-0.66530434800000027</v>
      </c>
      <c r="C5">
        <f t="shared" si="1"/>
        <v>18.040700398036954</v>
      </c>
    </row>
    <row r="6" spans="1:3">
      <c r="A6" s="2">
        <v>6</v>
      </c>
      <c r="B6">
        <f t="shared" si="0"/>
        <v>0.79486956499999994</v>
      </c>
      <c r="C6">
        <f t="shared" si="1"/>
        <v>18.6475154268383</v>
      </c>
    </row>
    <row r="7" spans="1:3">
      <c r="A7" s="2">
        <v>7</v>
      </c>
      <c r="B7">
        <f t="shared" si="0"/>
        <v>2.2550434779999993</v>
      </c>
      <c r="C7">
        <f t="shared" si="1"/>
        <v>19.249978695867302</v>
      </c>
    </row>
    <row r="8" spans="1:3">
      <c r="A8" s="2">
        <v>8</v>
      </c>
      <c r="B8">
        <f t="shared" si="0"/>
        <v>3.7152173909999995</v>
      </c>
      <c r="C8">
        <f t="shared" si="1"/>
        <v>19.847698875041885</v>
      </c>
    </row>
    <row r="9" spans="1:3">
      <c r="A9" s="2">
        <v>9</v>
      </c>
      <c r="B9">
        <f t="shared" si="0"/>
        <v>5.1753913039999997</v>
      </c>
      <c r="C9">
        <f t="shared" si="1"/>
        <v>20.440243120510274</v>
      </c>
    </row>
    <row r="10" spans="1:3">
      <c r="A10" s="2">
        <v>10</v>
      </c>
      <c r="B10">
        <f t="shared" si="0"/>
        <v>6.6355652169999999</v>
      </c>
      <c r="C10">
        <f t="shared" si="1"/>
        <v>21.027132689057616</v>
      </c>
    </row>
    <row r="11" spans="1:3">
      <c r="A11" s="2">
        <v>11</v>
      </c>
      <c r="B11">
        <f t="shared" si="0"/>
        <v>8.0957391300000001</v>
      </c>
      <c r="C11">
        <f t="shared" si="1"/>
        <v>21.607838284370125</v>
      </c>
    </row>
    <row r="12" spans="1:3">
      <c r="A12" s="2">
        <v>12</v>
      </c>
      <c r="B12">
        <f t="shared" si="0"/>
        <v>9.5559130430000003</v>
      </c>
      <c r="C12">
        <f t="shared" si="1"/>
        <v>22.181775214208564</v>
      </c>
    </row>
    <row r="13" spans="1:3">
      <c r="A13" s="2">
        <v>13</v>
      </c>
      <c r="B13">
        <f t="shared" si="0"/>
        <v>11.016086955999999</v>
      </c>
      <c r="C13">
        <f t="shared" si="1"/>
        <v>22.748298486032326</v>
      </c>
    </row>
    <row r="14" spans="1:3">
      <c r="A14" s="2">
        <v>14</v>
      </c>
      <c r="B14">
        <f t="shared" si="0"/>
        <v>12.476260869000001</v>
      </c>
      <c r="C14">
        <f t="shared" si="1"/>
        <v>23.306698033067903</v>
      </c>
    </row>
    <row r="15" spans="1:3">
      <c r="A15" s="2">
        <v>15</v>
      </c>
      <c r="B15">
        <f t="shared" si="0"/>
        <v>13.936434781999999</v>
      </c>
      <c r="C15">
        <f t="shared" si="1"/>
        <v>23.856194345829202</v>
      </c>
    </row>
    <row r="16" spans="1:3">
      <c r="A16" s="2">
        <v>16</v>
      </c>
      <c r="B16">
        <f t="shared" si="0"/>
        <v>15.396608695000001</v>
      </c>
      <c r="C16">
        <f t="shared" si="1"/>
        <v>24.395934887172203</v>
      </c>
    </row>
    <row r="17" spans="1:3">
      <c r="A17" s="2">
        <v>17</v>
      </c>
      <c r="B17">
        <f t="shared" si="0"/>
        <v>16.856782608</v>
      </c>
      <c r="C17">
        <f t="shared" si="1"/>
        <v>24.924991791220052</v>
      </c>
    </row>
    <row r="18" spans="1:3">
      <c r="A18" s="2">
        <v>18</v>
      </c>
      <c r="B18">
        <f t="shared" si="0"/>
        <v>18.316956520999998</v>
      </c>
      <c r="C18">
        <f t="shared" si="1"/>
        <v>25.442361482780143</v>
      </c>
    </row>
    <row r="19" spans="1:3">
      <c r="A19" s="2">
        <v>19</v>
      </c>
      <c r="B19">
        <f t="shared" si="0"/>
        <v>19.777130434</v>
      </c>
      <c r="C19">
        <f t="shared" si="1"/>
        <v>25.94696699229991</v>
      </c>
    </row>
    <row r="20" spans="1:3">
      <c r="A20" s="2">
        <v>20</v>
      </c>
      <c r="B20">
        <f t="shared" si="0"/>
        <v>21.237304346999998</v>
      </c>
      <c r="C20">
        <f t="shared" si="1"/>
        <v>26.437663860536539</v>
      </c>
    </row>
    <row r="21" spans="1:3">
      <c r="A21" s="2">
        <v>21</v>
      </c>
      <c r="B21">
        <f t="shared" si="0"/>
        <v>22.69747826</v>
      </c>
      <c r="C21">
        <f t="shared" si="1"/>
        <v>26.913250593598782</v>
      </c>
    </row>
    <row r="22" spans="1:3">
      <c r="A22" s="2">
        <v>22</v>
      </c>
      <c r="B22">
        <f t="shared" si="0"/>
        <v>24.157652172999999</v>
      </c>
      <c r="C22">
        <f t="shared" si="1"/>
        <v>27.372484597109722</v>
      </c>
    </row>
    <row r="23" spans="1:3">
      <c r="A23" s="2">
        <v>23</v>
      </c>
      <c r="B23">
        <f t="shared" si="0"/>
        <v>25.617826086000001</v>
      </c>
      <c r="C23">
        <f t="shared" si="1"/>
        <v>27.814104333403321</v>
      </c>
    </row>
    <row r="24" spans="1:3">
      <c r="A24" s="2">
        <v>24</v>
      </c>
      <c r="B24">
        <f t="shared" si="0"/>
        <v>27.077999998999999</v>
      </c>
      <c r="C24">
        <f t="shared" si="1"/>
        <v>28.236858054828883</v>
      </c>
    </row>
    <row r="25" spans="1:3">
      <c r="A25" s="2">
        <v>25</v>
      </c>
      <c r="B25">
        <f t="shared" si="0"/>
        <v>28.538173911999998</v>
      </c>
      <c r="C25">
        <f t="shared" si="1"/>
        <v>28.639538836337785</v>
      </c>
    </row>
    <row r="26" spans="1:3">
      <c r="A26" s="2">
        <v>26</v>
      </c>
      <c r="B26">
        <f t="shared" si="0"/>
        <v>29.998347824999996</v>
      </c>
      <c r="C26">
        <f t="shared" si="1"/>
        <v>29.021024774024298</v>
      </c>
    </row>
    <row r="27" spans="1:3">
      <c r="A27" s="2">
        <v>27</v>
      </c>
      <c r="B27">
        <f t="shared" si="0"/>
        <v>31.458521738000002</v>
      </c>
      <c r="C27">
        <f t="shared" si="1"/>
        <v>29.38032221676707</v>
      </c>
    </row>
    <row r="28" spans="1:3">
      <c r="A28" s="2">
        <v>28</v>
      </c>
      <c r="B28">
        <f t="shared" si="0"/>
        <v>32.918695651</v>
      </c>
      <c r="C28">
        <f t="shared" si="1"/>
        <v>29.716608922847882</v>
      </c>
    </row>
    <row r="29" spans="1:3">
      <c r="A29" s="2">
        <v>29</v>
      </c>
      <c r="B29">
        <f t="shared" si="0"/>
        <v>34.378869563999999</v>
      </c>
      <c r="C29">
        <f t="shared" si="1"/>
        <v>30.0292733169507</v>
      </c>
    </row>
    <row r="30" spans="1:3">
      <c r="A30" s="2">
        <v>30</v>
      </c>
      <c r="B30">
        <f t="shared" si="0"/>
        <v>35.839043476999997</v>
      </c>
      <c r="C30">
        <f t="shared" si="1"/>
        <v>30.317945811912857</v>
      </c>
    </row>
    <row r="31" spans="1:3">
      <c r="A31" s="2">
        <v>31</v>
      </c>
      <c r="B31">
        <f t="shared" si="0"/>
        <v>37.299217390000003</v>
      </c>
      <c r="C31">
        <f t="shared" si="1"/>
        <v>30.582518627009605</v>
      </c>
    </row>
    <row r="32" spans="1:3">
      <c r="A32" s="2">
        <v>32</v>
      </c>
      <c r="B32">
        <f t="shared" si="0"/>
        <v>38.759391303000001</v>
      </c>
      <c r="C32">
        <f t="shared" si="1"/>
        <v>30.823151694730889</v>
      </c>
    </row>
    <row r="33" spans="1:3">
      <c r="A33" s="2">
        <v>33</v>
      </c>
      <c r="B33">
        <f t="shared" ref="B33:B64" si="2">-6.506+(A33-1)*1.460173913</f>
        <v>40.219565215999999</v>
      </c>
      <c r="C33">
        <f t="shared" ref="C33:C64" si="3">29.9299466909008+0.191058329060505*B33-79.6347749969089*(0.00657894736842105+(B33-35.6961842105263)^2/86774.9397868421)^0.5</f>
        <v>31.040263916577686</v>
      </c>
    </row>
    <row r="34" spans="1:3">
      <c r="A34" s="2">
        <v>34</v>
      </c>
      <c r="B34">
        <f t="shared" si="2"/>
        <v>41.679739128999998</v>
      </c>
      <c r="C34">
        <f t="shared" si="3"/>
        <v>31.234510859051152</v>
      </c>
    </row>
    <row r="35" spans="1:3">
      <c r="A35" s="2">
        <v>35</v>
      </c>
      <c r="B35">
        <f t="shared" si="2"/>
        <v>43.139913041999996</v>
      </c>
      <c r="C35">
        <f t="shared" si="3"/>
        <v>31.406751573444936</v>
      </c>
    </row>
    <row r="36" spans="1:3">
      <c r="A36" s="2">
        <v>36</v>
      </c>
      <c r="B36">
        <f t="shared" si="2"/>
        <v>44.600086955000002</v>
      </c>
      <c r="C36">
        <f t="shared" si="3"/>
        <v>31.558008255947342</v>
      </c>
    </row>
    <row r="37" spans="1:3">
      <c r="A37" s="2">
        <v>37</v>
      </c>
      <c r="B37">
        <f t="shared" si="2"/>
        <v>46.060260868</v>
      </c>
      <c r="C37">
        <f t="shared" si="3"/>
        <v>31.689422792138302</v>
      </c>
    </row>
    <row r="38" spans="1:3">
      <c r="A38" s="2">
        <v>38</v>
      </c>
      <c r="B38">
        <f t="shared" si="2"/>
        <v>47.520434780999999</v>
      </c>
      <c r="C38">
        <f t="shared" si="3"/>
        <v>31.802213902777527</v>
      </c>
    </row>
    <row r="39" spans="1:3">
      <c r="A39" s="2">
        <v>39</v>
      </c>
      <c r="B39">
        <f t="shared" si="2"/>
        <v>48.980608693999997</v>
      </c>
      <c r="C39">
        <f t="shared" si="3"/>
        <v>31.897637820553108</v>
      </c>
    </row>
    <row r="40" spans="1:3">
      <c r="A40" s="2">
        <v>40</v>
      </c>
      <c r="B40">
        <f t="shared" si="2"/>
        <v>50.440782607000003</v>
      </c>
      <c r="C40">
        <f t="shared" si="3"/>
        <v>31.976954430563413</v>
      </c>
    </row>
    <row r="41" spans="1:3">
      <c r="A41" s="2">
        <v>41</v>
      </c>
      <c r="B41">
        <f t="shared" si="2"/>
        <v>51.900956520000001</v>
      </c>
      <c r="C41">
        <f t="shared" si="3"/>
        <v>32.04139982521923</v>
      </c>
    </row>
    <row r="42" spans="1:3">
      <c r="A42" s="2">
        <v>42</v>
      </c>
      <c r="B42">
        <f t="shared" si="2"/>
        <v>53.361130433</v>
      </c>
      <c r="C42">
        <f t="shared" si="3"/>
        <v>32.092165408049809</v>
      </c>
    </row>
    <row r="43" spans="1:3">
      <c r="A43" s="2">
        <v>43</v>
      </c>
      <c r="B43">
        <f t="shared" si="2"/>
        <v>54.821304345999998</v>
      </c>
      <c r="C43">
        <f t="shared" si="3"/>
        <v>32.130383098614011</v>
      </c>
    </row>
    <row r="44" spans="1:3">
      <c r="A44" s="2">
        <v>44</v>
      </c>
      <c r="B44">
        <f t="shared" si="2"/>
        <v>56.281478258999996</v>
      </c>
      <c r="C44">
        <f t="shared" si="3"/>
        <v>32.157115843746574</v>
      </c>
    </row>
    <row r="45" spans="1:3">
      <c r="A45" s="2">
        <v>45</v>
      </c>
      <c r="B45">
        <f t="shared" si="2"/>
        <v>57.741652172000002</v>
      </c>
      <c r="C45">
        <f t="shared" si="3"/>
        <v>32.173352489889162</v>
      </c>
    </row>
    <row r="46" spans="1:3">
      <c r="A46" s="2">
        <v>46</v>
      </c>
      <c r="B46">
        <f t="shared" si="2"/>
        <v>59.201826084999993</v>
      </c>
      <c r="C46">
        <f t="shared" si="3"/>
        <v>32.180006062711634</v>
      </c>
    </row>
    <row r="47" spans="1:3">
      <c r="A47" s="2">
        <v>47</v>
      </c>
      <c r="B47">
        <f t="shared" si="2"/>
        <v>60.661999997999999</v>
      </c>
      <c r="C47">
        <f t="shared" si="3"/>
        <v>32.17791458024287</v>
      </c>
    </row>
    <row r="48" spans="1:3">
      <c r="A48" s="2">
        <v>48</v>
      </c>
      <c r="B48">
        <f t="shared" si="2"/>
        <v>62.122173911000004</v>
      </c>
      <c r="C48">
        <f t="shared" si="3"/>
        <v>32.167843650861151</v>
      </c>
    </row>
    <row r="49" spans="1:3">
      <c r="A49" s="2">
        <v>49</v>
      </c>
      <c r="B49">
        <f t="shared" si="2"/>
        <v>63.582347823999996</v>
      </c>
      <c r="C49">
        <f t="shared" si="3"/>
        <v>32.150490246849287</v>
      </c>
    </row>
    <row r="50" spans="1:3">
      <c r="A50" s="2">
        <v>50</v>
      </c>
      <c r="B50">
        <f t="shared" si="2"/>
        <v>65.042521737000001</v>
      </c>
      <c r="C50">
        <f t="shared" si="3"/>
        <v>32.126487178444016</v>
      </c>
    </row>
    <row r="51" spans="1:3">
      <c r="A51" s="2">
        <v>51</v>
      </c>
      <c r="B51">
        <f t="shared" si="2"/>
        <v>66.502695649999993</v>
      </c>
      <c r="C51">
        <f t="shared" si="3"/>
        <v>32.09640791205041</v>
      </c>
    </row>
    <row r="52" spans="1:3">
      <c r="A52" s="2">
        <v>52</v>
      </c>
      <c r="B52">
        <f t="shared" si="2"/>
        <v>67.962869562999998</v>
      </c>
      <c r="C52">
        <f t="shared" si="3"/>
        <v>32.060771475412857</v>
      </c>
    </row>
    <row r="53" spans="1:3">
      <c r="A53" s="2">
        <v>53</v>
      </c>
      <c r="B53">
        <f t="shared" si="2"/>
        <v>69.423043476000004</v>
      </c>
      <c r="C53">
        <f t="shared" si="3"/>
        <v>32.020047271749277</v>
      </c>
    </row>
    <row r="54" spans="1:3">
      <c r="A54" s="2">
        <v>54</v>
      </c>
      <c r="B54">
        <f t="shared" si="2"/>
        <v>70.883217388999995</v>
      </c>
      <c r="C54">
        <f t="shared" si="3"/>
        <v>31.974659685961257</v>
      </c>
    </row>
    <row r="55" spans="1:3">
      <c r="A55" s="2">
        <v>55</v>
      </c>
      <c r="B55">
        <f t="shared" si="2"/>
        <v>72.343391302000001</v>
      </c>
      <c r="C55">
        <f t="shared" si="3"/>
        <v>31.924992411737776</v>
      </c>
    </row>
    <row r="56" spans="1:3">
      <c r="A56" s="2">
        <v>56</v>
      </c>
      <c r="B56">
        <f t="shared" si="2"/>
        <v>73.803565215000006</v>
      </c>
      <c r="C56">
        <f t="shared" si="3"/>
        <v>31.871392461571581</v>
      </c>
    </row>
    <row r="57" spans="1:3">
      <c r="A57" s="2">
        <v>57</v>
      </c>
      <c r="B57">
        <f t="shared" si="2"/>
        <v>75.263739127999997</v>
      </c>
      <c r="C57">
        <f t="shared" si="3"/>
        <v>31.814173845109586</v>
      </c>
    </row>
    <row r="58" spans="1:3">
      <c r="A58" s="2">
        <v>58</v>
      </c>
      <c r="B58">
        <f t="shared" si="2"/>
        <v>76.723913041000003</v>
      </c>
      <c r="C58">
        <f t="shared" si="3"/>
        <v>31.753620917196155</v>
      </c>
    </row>
    <row r="59" spans="1:3">
      <c r="A59" s="2">
        <v>59</v>
      </c>
      <c r="B59">
        <f t="shared" si="2"/>
        <v>78.184086953999994</v>
      </c>
      <c r="C59">
        <f t="shared" si="3"/>
        <v>31.689991407356249</v>
      </c>
    </row>
    <row r="60" spans="1:3">
      <c r="A60" s="2">
        <v>60</v>
      </c>
      <c r="B60">
        <f t="shared" si="2"/>
        <v>79.644260867</v>
      </c>
      <c r="C60">
        <f t="shared" si="3"/>
        <v>31.623519148820371</v>
      </c>
    </row>
    <row r="61" spans="1:3">
      <c r="A61" s="2">
        <v>61</v>
      </c>
      <c r="B61">
        <f t="shared" si="2"/>
        <v>81.104434780000005</v>
      </c>
      <c r="C61">
        <f t="shared" si="3"/>
        <v>31.554416528684222</v>
      </c>
    </row>
    <row r="62" spans="1:3">
      <c r="A62" s="2">
        <v>62</v>
      </c>
      <c r="B62">
        <f t="shared" si="2"/>
        <v>82.564608692999997</v>
      </c>
      <c r="C62">
        <f t="shared" si="3"/>
        <v>31.482876682300429</v>
      </c>
    </row>
    <row r="63" spans="1:3">
      <c r="A63" s="2">
        <v>63</v>
      </c>
      <c r="B63">
        <f t="shared" si="2"/>
        <v>84.024782606000002</v>
      </c>
      <c r="C63">
        <f t="shared" si="3"/>
        <v>31.409075455169166</v>
      </c>
    </row>
    <row r="64" spans="1:3">
      <c r="A64" s="2">
        <v>64</v>
      </c>
      <c r="B64">
        <f t="shared" si="2"/>
        <v>85.484956518999994</v>
      </c>
      <c r="C64">
        <f t="shared" si="3"/>
        <v>31.333173154898628</v>
      </c>
    </row>
    <row r="65" spans="1:3">
      <c r="A65" s="2">
        <v>65</v>
      </c>
      <c r="B65">
        <f t="shared" ref="B65:B70" si="4">-6.506+(A65-1)*1.460173913</f>
        <v>86.945130431999999</v>
      </c>
      <c r="C65">
        <f t="shared" ref="C65:C70" si="5">29.9299466909008+0.191058329060505*B65-79.6347749969089*(0.00657894736842105+(B65-35.6961842105263)^2/86774.9397868421)^0.5</f>
        <v>31.255316114582136</v>
      </c>
    </row>
    <row r="66" spans="1:3">
      <c r="A66" s="2">
        <v>66</v>
      </c>
      <c r="B66">
        <f t="shared" si="4"/>
        <v>88.405304345000005</v>
      </c>
      <c r="C66">
        <f t="shared" si="5"/>
        <v>31.175638087420907</v>
      </c>
    </row>
    <row r="67" spans="1:3">
      <c r="A67" s="2">
        <v>67</v>
      </c>
      <c r="B67">
        <f t="shared" si="4"/>
        <v>89.865478257999996</v>
      </c>
      <c r="C67">
        <f t="shared" si="5"/>
        <v>31.094261490771142</v>
      </c>
    </row>
    <row r="68" spans="1:3">
      <c r="A68" s="2">
        <v>68</v>
      </c>
      <c r="B68">
        <f t="shared" si="4"/>
        <v>91.325652171000002</v>
      </c>
      <c r="C68">
        <f t="shared" si="5"/>
        <v>31.011298516119066</v>
      </c>
    </row>
    <row r="69" spans="1:3">
      <c r="A69" s="2">
        <v>69</v>
      </c>
      <c r="B69">
        <f t="shared" si="4"/>
        <v>92.785826083999993</v>
      </c>
      <c r="C69">
        <f t="shared" si="5"/>
        <v>30.926852119856086</v>
      </c>
    </row>
    <row r="70" spans="1:3">
      <c r="A70" s="2">
        <v>70</v>
      </c>
      <c r="B70">
        <f t="shared" si="4"/>
        <v>94.245999996999998</v>
      </c>
      <c r="C70">
        <f t="shared" si="5"/>
        <v>30.841016908181885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29.9299466909008+0.191058329060505*B1+79.6347749969089*(0.00657894736842105+(B1-35.6961842105263)^2/86774.9397868421)^0.5</f>
        <v>41.797327211504005</v>
      </c>
    </row>
    <row r="2" spans="1:3">
      <c r="A2" s="2">
        <v>2</v>
      </c>
      <c r="B2">
        <f t="shared" si="0"/>
        <v>-5.045826087</v>
      </c>
      <c r="C2">
        <f t="shared" si="1"/>
        <v>41.734280595560513</v>
      </c>
    </row>
    <row r="3" spans="1:3">
      <c r="A3" s="2">
        <v>3</v>
      </c>
      <c r="B3">
        <f t="shared" si="0"/>
        <v>-3.5856521740000002</v>
      </c>
      <c r="C3">
        <f t="shared" si="1"/>
        <v>41.674359030616202</v>
      </c>
    </row>
    <row r="4" spans="1:3">
      <c r="A4" s="2">
        <v>4</v>
      </c>
      <c r="B4">
        <f t="shared" si="0"/>
        <v>-2.1254782610000005</v>
      </c>
      <c r="C4">
        <f t="shared" si="1"/>
        <v>41.61782523219928</v>
      </c>
    </row>
    <row r="5" spans="1:3">
      <c r="A5" s="2">
        <v>5</v>
      </c>
      <c r="B5">
        <f t="shared" si="0"/>
        <v>-0.66530434800000027</v>
      </c>
      <c r="C5">
        <f t="shared" si="1"/>
        <v>41.564969109673505</v>
      </c>
    </row>
    <row r="6" spans="1:3">
      <c r="A6" s="2">
        <v>6</v>
      </c>
      <c r="B6">
        <f t="shared" si="0"/>
        <v>0.79486956499999994</v>
      </c>
      <c r="C6">
        <f t="shared" si="1"/>
        <v>41.5161108567832</v>
      </c>
    </row>
    <row r="7" spans="1:3">
      <c r="A7" s="2">
        <v>7</v>
      </c>
      <c r="B7">
        <f t="shared" si="0"/>
        <v>2.2550434779999993</v>
      </c>
      <c r="C7">
        <f t="shared" si="1"/>
        <v>41.471604363665236</v>
      </c>
    </row>
    <row r="8" spans="1:3">
      <c r="A8" s="2">
        <v>8</v>
      </c>
      <c r="B8">
        <f t="shared" si="0"/>
        <v>3.7152173909999995</v>
      </c>
      <c r="C8">
        <f t="shared" si="1"/>
        <v>41.431840960401686</v>
      </c>
    </row>
    <row r="9" spans="1:3">
      <c r="A9" s="2">
        <v>9</v>
      </c>
      <c r="B9">
        <f t="shared" si="0"/>
        <v>5.1753913039999997</v>
      </c>
      <c r="C9">
        <f t="shared" si="1"/>
        <v>41.397253490844342</v>
      </c>
    </row>
    <row r="10" spans="1:3">
      <c r="A10" s="2">
        <v>10</v>
      </c>
      <c r="B10">
        <f t="shared" si="0"/>
        <v>6.6355652169999999</v>
      </c>
      <c r="C10">
        <f t="shared" si="1"/>
        <v>41.368320698208038</v>
      </c>
    </row>
    <row r="11" spans="1:3">
      <c r="A11" s="2">
        <v>11</v>
      </c>
      <c r="B11">
        <f t="shared" si="0"/>
        <v>8.0957391300000001</v>
      </c>
      <c r="C11">
        <f t="shared" si="1"/>
        <v>41.345571878806567</v>
      </c>
    </row>
    <row r="12" spans="1:3">
      <c r="A12" s="2">
        <v>12</v>
      </c>
      <c r="B12">
        <f t="shared" si="0"/>
        <v>9.5559130430000003</v>
      </c>
      <c r="C12">
        <f t="shared" si="1"/>
        <v>41.329591724879165</v>
      </c>
    </row>
    <row r="13" spans="1:3">
      <c r="A13" s="2">
        <v>13</v>
      </c>
      <c r="B13">
        <f t="shared" si="0"/>
        <v>11.016086955999999</v>
      </c>
      <c r="C13">
        <f t="shared" si="1"/>
        <v>41.321025228966448</v>
      </c>
    </row>
    <row r="14" spans="1:3">
      <c r="A14" s="2">
        <v>14</v>
      </c>
      <c r="B14">
        <f t="shared" si="0"/>
        <v>12.476260869000001</v>
      </c>
      <c r="C14">
        <f t="shared" si="1"/>
        <v>41.320582457841908</v>
      </c>
    </row>
    <row r="15" spans="1:3">
      <c r="A15" s="2">
        <v>15</v>
      </c>
      <c r="B15">
        <f t="shared" si="0"/>
        <v>13.936434781999999</v>
      </c>
      <c r="C15">
        <f t="shared" si="1"/>
        <v>41.329042920991647</v>
      </c>
    </row>
    <row r="16" spans="1:3">
      <c r="A16" s="2">
        <v>16</v>
      </c>
      <c r="B16">
        <f t="shared" si="0"/>
        <v>15.396608695000001</v>
      </c>
      <c r="C16">
        <f t="shared" si="1"/>
        <v>41.347259155559684</v>
      </c>
    </row>
    <row r="17" spans="1:3">
      <c r="A17" s="2">
        <v>17</v>
      </c>
      <c r="B17">
        <f t="shared" si="0"/>
        <v>16.856782608</v>
      </c>
      <c r="C17">
        <f t="shared" si="1"/>
        <v>41.376159027422872</v>
      </c>
    </row>
    <row r="18" spans="1:3">
      <c r="A18" s="2">
        <v>18</v>
      </c>
      <c r="B18">
        <f t="shared" si="0"/>
        <v>18.316956520999998</v>
      </c>
      <c r="C18">
        <f t="shared" si="1"/>
        <v>41.416746111773818</v>
      </c>
    </row>
    <row r="19" spans="1:3">
      <c r="A19" s="2">
        <v>19</v>
      </c>
      <c r="B19">
        <f t="shared" si="0"/>
        <v>19.777130434</v>
      </c>
      <c r="C19">
        <f t="shared" si="1"/>
        <v>41.470097378165086</v>
      </c>
    </row>
    <row r="20" spans="1:3">
      <c r="A20" s="2">
        <v>20</v>
      </c>
      <c r="B20">
        <f t="shared" si="0"/>
        <v>21.237304346999998</v>
      </c>
      <c r="C20">
        <f t="shared" si="1"/>
        <v>41.537357285839498</v>
      </c>
    </row>
    <row r="21" spans="1:3">
      <c r="A21" s="2">
        <v>21</v>
      </c>
      <c r="B21">
        <f t="shared" si="0"/>
        <v>22.69747826</v>
      </c>
      <c r="C21">
        <f t="shared" si="1"/>
        <v>41.619727328688292</v>
      </c>
    </row>
    <row r="22" spans="1:3">
      <c r="A22" s="2">
        <v>22</v>
      </c>
      <c r="B22">
        <f t="shared" si="0"/>
        <v>24.157652172999999</v>
      </c>
      <c r="C22">
        <f t="shared" si="1"/>
        <v>41.718450101088393</v>
      </c>
    </row>
    <row r="23" spans="1:3">
      <c r="A23" s="2">
        <v>23</v>
      </c>
      <c r="B23">
        <f t="shared" si="0"/>
        <v>25.617826086000001</v>
      </c>
      <c r="C23">
        <f t="shared" si="1"/>
        <v>41.834787140705828</v>
      </c>
    </row>
    <row r="24" spans="1:3">
      <c r="A24" s="2">
        <v>24</v>
      </c>
      <c r="B24">
        <f t="shared" si="0"/>
        <v>27.077999998999999</v>
      </c>
      <c r="C24">
        <f t="shared" si="1"/>
        <v>41.969990195191301</v>
      </c>
    </row>
    <row r="25" spans="1:3">
      <c r="A25" s="2">
        <v>25</v>
      </c>
      <c r="B25">
        <f t="shared" si="0"/>
        <v>28.538173911999998</v>
      </c>
      <c r="C25">
        <f t="shared" si="1"/>
        <v>42.125266189593439</v>
      </c>
    </row>
    <row r="26" spans="1:3">
      <c r="A26" s="2">
        <v>26</v>
      </c>
      <c r="B26">
        <f t="shared" si="0"/>
        <v>29.998347824999996</v>
      </c>
      <c r="C26">
        <f t="shared" si="1"/>
        <v>42.301737027817964</v>
      </c>
    </row>
    <row r="27" spans="1:3">
      <c r="A27" s="2">
        <v>27</v>
      </c>
      <c r="B27">
        <f t="shared" si="0"/>
        <v>31.458521738000002</v>
      </c>
      <c r="C27">
        <f t="shared" si="1"/>
        <v>42.50039636098623</v>
      </c>
    </row>
    <row r="28" spans="1:3">
      <c r="A28" s="2">
        <v>28</v>
      </c>
      <c r="B28">
        <f t="shared" si="0"/>
        <v>32.918695651</v>
      </c>
      <c r="C28">
        <f t="shared" si="1"/>
        <v>42.722066430816454</v>
      </c>
    </row>
    <row r="29" spans="1:3">
      <c r="A29" s="2">
        <v>29</v>
      </c>
      <c r="B29">
        <f t="shared" si="0"/>
        <v>34.378869563999999</v>
      </c>
      <c r="C29">
        <f t="shared" si="1"/>
        <v>42.967358812624674</v>
      </c>
    </row>
    <row r="30" spans="1:3">
      <c r="A30" s="2">
        <v>30</v>
      </c>
      <c r="B30">
        <f t="shared" si="0"/>
        <v>35.839043476999997</v>
      </c>
      <c r="C30">
        <f t="shared" si="1"/>
        <v>43.236643093573555</v>
      </c>
    </row>
    <row r="31" spans="1:3">
      <c r="A31" s="2">
        <v>31</v>
      </c>
      <c r="B31">
        <f t="shared" si="0"/>
        <v>37.299217390000003</v>
      </c>
      <c r="C31">
        <f t="shared" si="1"/>
        <v>43.530027054387858</v>
      </c>
    </row>
    <row r="32" spans="1:3">
      <c r="A32" s="2">
        <v>32</v>
      </c>
      <c r="B32">
        <f t="shared" si="0"/>
        <v>38.759391303000001</v>
      </c>
      <c r="C32">
        <f t="shared" si="1"/>
        <v>43.847350762577612</v>
      </c>
    </row>
    <row r="33" spans="1:3">
      <c r="A33" s="2">
        <v>33</v>
      </c>
      <c r="B33">
        <f t="shared" ref="B33:B64" si="2">-6.506+(A33-1)*1.460173913</f>
        <v>40.219565215999999</v>
      </c>
      <c r="C33">
        <f t="shared" ref="C33:C64" si="3">29.9299466909008+0.191058329060505*B33+79.6347749969089*(0.00657894736842105+(B33-35.6961842105263)^2/86774.9397868421)^0.5</f>
        <v>44.188195316641853</v>
      </c>
    </row>
    <row r="34" spans="1:3">
      <c r="A34" s="2">
        <v>34</v>
      </c>
      <c r="B34">
        <f t="shared" si="2"/>
        <v>41.679739128999998</v>
      </c>
      <c r="C34">
        <f t="shared" si="3"/>
        <v>44.551905150079421</v>
      </c>
    </row>
    <row r="35" spans="1:3">
      <c r="A35" s="2">
        <v>35</v>
      </c>
      <c r="B35">
        <f t="shared" si="2"/>
        <v>43.139913041999996</v>
      </c>
      <c r="C35">
        <f t="shared" si="3"/>
        <v>44.937621211596678</v>
      </c>
    </row>
    <row r="36" spans="1:3">
      <c r="A36" s="2">
        <v>36</v>
      </c>
      <c r="B36">
        <f t="shared" si="2"/>
        <v>44.600086955000002</v>
      </c>
      <c r="C36">
        <f t="shared" si="3"/>
        <v>45.344321305005309</v>
      </c>
    </row>
    <row r="37" spans="1:3">
      <c r="A37" s="2">
        <v>37</v>
      </c>
      <c r="B37">
        <f t="shared" si="2"/>
        <v>46.060260868</v>
      </c>
      <c r="C37">
        <f t="shared" si="3"/>
        <v>45.770863544725387</v>
      </c>
    </row>
    <row r="38" spans="1:3">
      <c r="A38" s="2">
        <v>38</v>
      </c>
      <c r="B38">
        <f t="shared" si="2"/>
        <v>47.520434780999999</v>
      </c>
      <c r="C38">
        <f t="shared" si="3"/>
        <v>46.216029209997203</v>
      </c>
    </row>
    <row r="39" spans="1:3">
      <c r="A39" s="2">
        <v>39</v>
      </c>
      <c r="B39">
        <f t="shared" si="2"/>
        <v>48.980608693999997</v>
      </c>
      <c r="C39">
        <f t="shared" si="3"/>
        <v>46.678562068132656</v>
      </c>
    </row>
    <row r="40" spans="1:3">
      <c r="A40" s="2">
        <v>40</v>
      </c>
      <c r="B40">
        <f t="shared" si="2"/>
        <v>50.440782607000003</v>
      </c>
      <c r="C40">
        <f t="shared" si="3"/>
        <v>47.157202234033392</v>
      </c>
    </row>
    <row r="41" spans="1:3">
      <c r="A41" s="2">
        <v>41</v>
      </c>
      <c r="B41">
        <f t="shared" si="2"/>
        <v>51.900956520000001</v>
      </c>
      <c r="C41">
        <f t="shared" si="3"/>
        <v>47.650713615288609</v>
      </c>
    </row>
    <row r="42" spans="1:3">
      <c r="A42" s="2">
        <v>42</v>
      </c>
      <c r="B42">
        <f t="shared" si="2"/>
        <v>53.361130433</v>
      </c>
      <c r="C42">
        <f t="shared" si="3"/>
        <v>48.157904808369068</v>
      </c>
    </row>
    <row r="43" spans="1:3">
      <c r="A43" s="2">
        <v>43</v>
      </c>
      <c r="B43">
        <f t="shared" si="2"/>
        <v>54.821304345999998</v>
      </c>
      <c r="C43">
        <f t="shared" si="3"/>
        <v>48.677643893715903</v>
      </c>
    </row>
    <row r="44" spans="1:3">
      <c r="A44" s="2">
        <v>44</v>
      </c>
      <c r="B44">
        <f t="shared" si="2"/>
        <v>56.281478258999996</v>
      </c>
      <c r="C44">
        <f t="shared" si="3"/>
        <v>49.208867924494378</v>
      </c>
    </row>
    <row r="45" spans="1:3">
      <c r="A45" s="2">
        <v>45</v>
      </c>
      <c r="B45">
        <f t="shared" si="2"/>
        <v>57.741652172000002</v>
      </c>
      <c r="C45">
        <f t="shared" si="3"/>
        <v>49.750588054262842</v>
      </c>
    </row>
    <row r="46" spans="1:3">
      <c r="A46" s="2">
        <v>46</v>
      </c>
      <c r="B46">
        <f t="shared" si="2"/>
        <v>59.201826084999993</v>
      </c>
      <c r="C46">
        <f t="shared" si="3"/>
        <v>50.301891257351393</v>
      </c>
    </row>
    <row r="47" spans="1:3">
      <c r="A47" s="2">
        <v>47</v>
      </c>
      <c r="B47">
        <f t="shared" si="2"/>
        <v>60.661999997999999</v>
      </c>
      <c r="C47">
        <f t="shared" si="3"/>
        <v>50.861939515731208</v>
      </c>
    </row>
    <row r="48" spans="1:3">
      <c r="A48" s="2">
        <v>48</v>
      </c>
      <c r="B48">
        <f t="shared" si="2"/>
        <v>62.122173911000004</v>
      </c>
      <c r="C48">
        <f t="shared" si="3"/>
        <v>51.429967221023965</v>
      </c>
    </row>
    <row r="49" spans="1:3">
      <c r="A49" s="2">
        <v>49</v>
      </c>
      <c r="B49">
        <f t="shared" si="2"/>
        <v>63.582347823999996</v>
      </c>
      <c r="C49">
        <f t="shared" si="3"/>
        <v>52.005277400946866</v>
      </c>
    </row>
    <row r="50" spans="1:3">
      <c r="A50" s="2">
        <v>50</v>
      </c>
      <c r="B50">
        <f t="shared" si="2"/>
        <v>65.042521737000001</v>
      </c>
      <c r="C50">
        <f t="shared" si="3"/>
        <v>52.587237245263175</v>
      </c>
    </row>
    <row r="51" spans="1:3">
      <c r="A51" s="2">
        <v>51</v>
      </c>
      <c r="B51">
        <f t="shared" si="2"/>
        <v>66.502695649999993</v>
      </c>
      <c r="C51">
        <f t="shared" si="3"/>
        <v>53.175273287567819</v>
      </c>
    </row>
    <row r="52" spans="1:3">
      <c r="A52" s="2">
        <v>52</v>
      </c>
      <c r="B52">
        <f t="shared" si="2"/>
        <v>67.962869562999998</v>
      </c>
      <c r="C52">
        <f t="shared" si="3"/>
        <v>53.76886650011641</v>
      </c>
    </row>
    <row r="53" spans="1:3">
      <c r="A53" s="2">
        <v>53</v>
      </c>
      <c r="B53">
        <f t="shared" si="2"/>
        <v>69.423043476000004</v>
      </c>
      <c r="C53">
        <f t="shared" si="3"/>
        <v>54.367547479691027</v>
      </c>
    </row>
    <row r="54" spans="1:3">
      <c r="A54" s="2">
        <v>54</v>
      </c>
      <c r="B54">
        <f t="shared" si="2"/>
        <v>70.883217388999995</v>
      </c>
      <c r="C54">
        <f t="shared" si="3"/>
        <v>54.970891841390085</v>
      </c>
    </row>
    <row r="55" spans="1:3">
      <c r="A55" s="2">
        <v>55</v>
      </c>
      <c r="B55">
        <f t="shared" si="2"/>
        <v>72.343391302000001</v>
      </c>
      <c r="C55">
        <f t="shared" si="3"/>
        <v>55.578515891524603</v>
      </c>
    </row>
    <row r="56" spans="1:3">
      <c r="A56" s="2">
        <v>56</v>
      </c>
      <c r="B56">
        <f t="shared" si="2"/>
        <v>73.803565215000006</v>
      </c>
      <c r="C56">
        <f t="shared" si="3"/>
        <v>56.190072617601835</v>
      </c>
    </row>
    <row r="57" spans="1:3">
      <c r="A57" s="2">
        <v>57</v>
      </c>
      <c r="B57">
        <f t="shared" si="2"/>
        <v>75.263739127999997</v>
      </c>
      <c r="C57">
        <f t="shared" si="3"/>
        <v>56.805248009974868</v>
      </c>
    </row>
    <row r="58" spans="1:3">
      <c r="A58" s="2">
        <v>58</v>
      </c>
      <c r="B58">
        <f t="shared" si="2"/>
        <v>76.723913041000003</v>
      </c>
      <c r="C58">
        <f t="shared" si="3"/>
        <v>57.423757713799333</v>
      </c>
    </row>
    <row r="59" spans="1:3">
      <c r="A59" s="2">
        <v>59</v>
      </c>
      <c r="B59">
        <f t="shared" si="2"/>
        <v>78.184086953999994</v>
      </c>
      <c r="C59">
        <f t="shared" si="3"/>
        <v>58.045343999550283</v>
      </c>
    </row>
    <row r="60" spans="1:3">
      <c r="A60" s="2">
        <v>60</v>
      </c>
      <c r="B60">
        <f t="shared" si="2"/>
        <v>79.644260867</v>
      </c>
      <c r="C60">
        <f t="shared" si="3"/>
        <v>58.669773033997195</v>
      </c>
    </row>
    <row r="61" spans="1:3">
      <c r="A61" s="2">
        <v>61</v>
      </c>
      <c r="B61">
        <f t="shared" si="2"/>
        <v>81.104434780000005</v>
      </c>
      <c r="C61">
        <f t="shared" si="3"/>
        <v>59.296832430044383</v>
      </c>
    </row>
    <row r="62" spans="1:3">
      <c r="A62" s="2">
        <v>62</v>
      </c>
      <c r="B62">
        <f t="shared" si="2"/>
        <v>82.564608692999997</v>
      </c>
      <c r="C62">
        <f t="shared" si="3"/>
        <v>59.926329052339213</v>
      </c>
    </row>
    <row r="63" spans="1:3">
      <c r="A63" s="2">
        <v>63</v>
      </c>
      <c r="B63">
        <f t="shared" si="2"/>
        <v>84.024782606000002</v>
      </c>
      <c r="C63">
        <f t="shared" si="3"/>
        <v>60.558087055381513</v>
      </c>
    </row>
    <row r="64" spans="1:3">
      <c r="A64" s="2">
        <v>64</v>
      </c>
      <c r="B64">
        <f t="shared" si="2"/>
        <v>85.484956518999994</v>
      </c>
      <c r="C64">
        <f t="shared" si="3"/>
        <v>61.191946131563085</v>
      </c>
    </row>
    <row r="65" spans="1:3">
      <c r="A65" s="2">
        <v>65</v>
      </c>
      <c r="B65">
        <f t="shared" ref="B65:B70" si="4">-6.506+(A65-1)*1.460173913</f>
        <v>86.945130431999999</v>
      </c>
      <c r="C65">
        <f t="shared" ref="C65:C70" si="5">29.9299466909008+0.191058329060505*B65+79.6347749969089*(0.00657894736842105+(B65-35.6961842105263)^2/86774.9397868421)^0.5</f>
        <v>61.827759947790618</v>
      </c>
    </row>
    <row r="66" spans="1:3">
      <c r="A66" s="2">
        <v>66</v>
      </c>
      <c r="B66">
        <f t="shared" si="4"/>
        <v>88.405304345000005</v>
      </c>
      <c r="C66">
        <f t="shared" si="5"/>
        <v>62.465394750862899</v>
      </c>
    </row>
    <row r="67" spans="1:3">
      <c r="A67" s="2">
        <v>67</v>
      </c>
      <c r="B67">
        <f t="shared" si="4"/>
        <v>89.865478257999996</v>
      </c>
      <c r="C67">
        <f t="shared" si="5"/>
        <v>63.104728123423683</v>
      </c>
    </row>
    <row r="68" spans="1:3">
      <c r="A68" s="2">
        <v>68</v>
      </c>
      <c r="B68">
        <f t="shared" si="4"/>
        <v>91.325652171000002</v>
      </c>
      <c r="C68">
        <f t="shared" si="5"/>
        <v>63.745647873986812</v>
      </c>
    </row>
    <row r="69" spans="1:3">
      <c r="A69" s="2">
        <v>69</v>
      </c>
      <c r="B69">
        <f t="shared" si="4"/>
        <v>92.785826083999993</v>
      </c>
      <c r="C69">
        <f t="shared" si="5"/>
        <v>64.388051046160825</v>
      </c>
    </row>
    <row r="70" spans="1:3">
      <c r="A70" s="2">
        <v>70</v>
      </c>
      <c r="B70">
        <f t="shared" si="4"/>
        <v>94.245999996999998</v>
      </c>
      <c r="C70">
        <f t="shared" si="5"/>
        <v>65.031843033746071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29.9299466909008+0.191058329060505*B1-79.6347749969089*(1.00657894736842+(B1-35.6961842105263)^2/86774.9397868421)^0.5</f>
        <v>-52.019832756613148</v>
      </c>
    </row>
    <row r="2" spans="1:3">
      <c r="A2" s="2">
        <v>2</v>
      </c>
      <c r="B2">
        <f t="shared" si="0"/>
        <v>-5.4883030303</v>
      </c>
      <c r="C2">
        <f t="shared" si="1"/>
        <v>-51.786961551303413</v>
      </c>
    </row>
    <row r="3" spans="1:3">
      <c r="A3" s="2">
        <v>3</v>
      </c>
      <c r="B3">
        <f t="shared" si="0"/>
        <v>-4.4706060605999998</v>
      </c>
      <c r="C3">
        <f t="shared" si="1"/>
        <v>-51.555010777122426</v>
      </c>
    </row>
    <row r="4" spans="1:3">
      <c r="A4" s="2">
        <v>4</v>
      </c>
      <c r="B4">
        <f t="shared" si="0"/>
        <v>-3.4529090909000004</v>
      </c>
      <c r="C4">
        <f t="shared" si="1"/>
        <v>-51.323981719270016</v>
      </c>
    </row>
    <row r="5" spans="1:3">
      <c r="A5" s="2">
        <v>5</v>
      </c>
      <c r="B5">
        <f t="shared" si="0"/>
        <v>-2.4352121212000002</v>
      </c>
      <c r="C5">
        <f t="shared" si="1"/>
        <v>-51.093875633672745</v>
      </c>
    </row>
    <row r="6" spans="1:3">
      <c r="A6" s="2">
        <v>6</v>
      </c>
      <c r="B6">
        <f t="shared" si="0"/>
        <v>-1.4175151515</v>
      </c>
      <c r="C6">
        <f t="shared" si="1"/>
        <v>-50.864693746773511</v>
      </c>
    </row>
    <row r="7" spans="1:3">
      <c r="A7" s="2">
        <v>7</v>
      </c>
      <c r="B7">
        <f t="shared" si="0"/>
        <v>-0.39981818180000062</v>
      </c>
      <c r="C7">
        <f t="shared" si="1"/>
        <v>-50.636437255325433</v>
      </c>
    </row>
    <row r="8" spans="1:3">
      <c r="A8" s="2">
        <v>8</v>
      </c>
      <c r="B8">
        <f t="shared" si="0"/>
        <v>0.61787878789999962</v>
      </c>
      <c r="C8">
        <f t="shared" si="1"/>
        <v>-50.409107326190295</v>
      </c>
    </row>
    <row r="9" spans="1:3">
      <c r="A9" s="2">
        <v>9</v>
      </c>
      <c r="B9">
        <f t="shared" si="0"/>
        <v>1.6355757575999998</v>
      </c>
      <c r="C9">
        <f t="shared" si="1"/>
        <v>-50.182705096141277</v>
      </c>
    </row>
    <row r="10" spans="1:3">
      <c r="A10" s="2">
        <v>10</v>
      </c>
      <c r="B10">
        <f t="shared" si="0"/>
        <v>2.6532727272999992</v>
      </c>
      <c r="C10">
        <f t="shared" si="1"/>
        <v>-49.957231671670357</v>
      </c>
    </row>
    <row r="11" spans="1:3">
      <c r="A11" s="2">
        <v>11</v>
      </c>
      <c r="B11">
        <f t="shared" si="0"/>
        <v>3.6709696970000003</v>
      </c>
      <c r="C11">
        <f t="shared" si="1"/>
        <v>-49.732688128800277</v>
      </c>
    </row>
    <row r="12" spans="1:3">
      <c r="A12" s="2">
        <v>12</v>
      </c>
      <c r="B12">
        <f t="shared" si="0"/>
        <v>4.6886666666999997</v>
      </c>
      <c r="C12">
        <f t="shared" si="1"/>
        <v>-49.509075512901205</v>
      </c>
    </row>
    <row r="13" spans="1:3">
      <c r="A13" s="2">
        <v>13</v>
      </c>
      <c r="B13">
        <f t="shared" si="0"/>
        <v>5.706363636399999</v>
      </c>
      <c r="C13">
        <f t="shared" si="1"/>
        <v>-49.28639483851218</v>
      </c>
    </row>
    <row r="14" spans="1:3">
      <c r="A14" s="2">
        <v>14</v>
      </c>
      <c r="B14">
        <f t="shared" si="0"/>
        <v>6.7240606061000001</v>
      </c>
      <c r="C14">
        <f t="shared" si="1"/>
        <v>-49.06464708916738</v>
      </c>
    </row>
    <row r="15" spans="1:3">
      <c r="A15" s="2">
        <v>15</v>
      </c>
      <c r="B15">
        <f t="shared" si="0"/>
        <v>7.7417575757999995</v>
      </c>
      <c r="C15">
        <f t="shared" si="1"/>
        <v>-48.843833217227314</v>
      </c>
    </row>
    <row r="16" spans="1:3">
      <c r="A16" s="2">
        <v>16</v>
      </c>
      <c r="B16">
        <f t="shared" si="0"/>
        <v>8.7594545455000006</v>
      </c>
      <c r="C16">
        <f t="shared" si="1"/>
        <v>-48.623954143714926</v>
      </c>
    </row>
    <row r="17" spans="1:3">
      <c r="A17" s="2">
        <v>17</v>
      </c>
      <c r="B17">
        <f t="shared" si="0"/>
        <v>9.7771515151999999</v>
      </c>
      <c r="C17">
        <f t="shared" si="1"/>
        <v>-48.405010758156834</v>
      </c>
    </row>
    <row r="18" spans="1:3">
      <c r="A18" s="2">
        <v>18</v>
      </c>
      <c r="B18">
        <f t="shared" si="0"/>
        <v>10.794848484900001</v>
      </c>
      <c r="C18">
        <f t="shared" si="1"/>
        <v>-48.187003918429511</v>
      </c>
    </row>
    <row r="19" spans="1:3">
      <c r="A19" s="2">
        <v>19</v>
      </c>
      <c r="B19">
        <f t="shared" si="0"/>
        <v>11.812545454599999</v>
      </c>
      <c r="C19">
        <f t="shared" si="1"/>
        <v>-47.969934450610857</v>
      </c>
    </row>
    <row r="20" spans="1:3">
      <c r="A20" s="2">
        <v>20</v>
      </c>
      <c r="B20">
        <f t="shared" si="0"/>
        <v>12.8302424243</v>
      </c>
      <c r="C20">
        <f t="shared" si="1"/>
        <v>-47.753803148836759</v>
      </c>
    </row>
    <row r="21" spans="1:3">
      <c r="A21" s="2">
        <v>21</v>
      </c>
      <c r="B21">
        <f t="shared" si="0"/>
        <v>13.847939394000001</v>
      </c>
      <c r="C21">
        <f t="shared" si="1"/>
        <v>-47.538610775163029</v>
      </c>
    </row>
    <row r="22" spans="1:3">
      <c r="A22" s="2">
        <v>22</v>
      </c>
      <c r="B22">
        <f t="shared" si="0"/>
        <v>14.865636363699998</v>
      </c>
      <c r="C22">
        <f t="shared" si="1"/>
        <v>-47.324358059432676</v>
      </c>
    </row>
    <row r="23" spans="1:3">
      <c r="A23" s="2">
        <v>23</v>
      </c>
      <c r="B23">
        <f t="shared" si="0"/>
        <v>15.8833333334</v>
      </c>
      <c r="C23">
        <f t="shared" si="1"/>
        <v>-47.111045699148612</v>
      </c>
    </row>
    <row r="24" spans="1:3">
      <c r="A24" s="2">
        <v>24</v>
      </c>
      <c r="B24">
        <f t="shared" si="0"/>
        <v>16.901030303100001</v>
      </c>
      <c r="C24">
        <f t="shared" si="1"/>
        <v>-46.89867435935161</v>
      </c>
    </row>
    <row r="25" spans="1:3">
      <c r="A25" s="2">
        <v>25</v>
      </c>
      <c r="B25">
        <f t="shared" si="0"/>
        <v>17.918727272799998</v>
      </c>
      <c r="C25">
        <f t="shared" si="1"/>
        <v>-46.687244672504015</v>
      </c>
    </row>
    <row r="26" spans="1:3">
      <c r="A26" s="2">
        <v>26</v>
      </c>
      <c r="B26">
        <f t="shared" si="0"/>
        <v>18.936424242499999</v>
      </c>
      <c r="C26">
        <f t="shared" si="1"/>
        <v>-46.476757238378745</v>
      </c>
    </row>
    <row r="27" spans="1:3">
      <c r="A27" s="2">
        <v>27</v>
      </c>
      <c r="B27">
        <f t="shared" si="0"/>
        <v>19.9541212122</v>
      </c>
      <c r="C27">
        <f t="shared" si="1"/>
        <v>-46.267212623954038</v>
      </c>
    </row>
    <row r="28" spans="1:3">
      <c r="A28" s="2">
        <v>28</v>
      </c>
      <c r="B28">
        <f t="shared" si="0"/>
        <v>20.971818181900002</v>
      </c>
      <c r="C28">
        <f t="shared" si="1"/>
        <v>-46.058611363313688</v>
      </c>
    </row>
    <row r="29" spans="1:3">
      <c r="A29" s="2">
        <v>29</v>
      </c>
      <c r="B29">
        <f t="shared" si="0"/>
        <v>21.989515151599999</v>
      </c>
      <c r="C29">
        <f t="shared" si="1"/>
        <v>-45.850953957553102</v>
      </c>
    </row>
    <row r="30" spans="1:3">
      <c r="A30" s="2">
        <v>30</v>
      </c>
      <c r="B30">
        <f t="shared" si="0"/>
        <v>23.0072121213</v>
      </c>
      <c r="C30">
        <f t="shared" si="1"/>
        <v>-45.644240874690894</v>
      </c>
    </row>
    <row r="31" spans="1:3">
      <c r="A31" s="2">
        <v>31</v>
      </c>
      <c r="B31">
        <f t="shared" si="0"/>
        <v>24.024909091000001</v>
      </c>
      <c r="C31">
        <f t="shared" si="1"/>
        <v>-45.438472549586251</v>
      </c>
    </row>
    <row r="32" spans="1:3">
      <c r="A32" s="2">
        <v>32</v>
      </c>
      <c r="B32">
        <f t="shared" si="0"/>
        <v>25.042606060699999</v>
      </c>
      <c r="C32">
        <f t="shared" si="1"/>
        <v>-45.233649383862243</v>
      </c>
    </row>
    <row r="33" spans="1:3">
      <c r="A33" s="2">
        <v>33</v>
      </c>
      <c r="B33">
        <f t="shared" ref="B33:B64" si="2">-6.506+(A33-1)*1.0176969697</f>
        <v>26.0603030304</v>
      </c>
      <c r="C33">
        <f t="shared" ref="C33:C64" si="3">29.9299466909008+0.191058329060505*B33-79.6347749969089*(1.00657894736842+(B33-35.6961842105263)^2/86774.9397868421)^0.5</f>
        <v>-45.029771745834609</v>
      </c>
    </row>
    <row r="34" spans="1:3">
      <c r="A34" s="2">
        <v>34</v>
      </c>
      <c r="B34">
        <f t="shared" si="2"/>
        <v>27.078000000099998</v>
      </c>
      <c r="C34">
        <f t="shared" si="3"/>
        <v>-44.82683997044677</v>
      </c>
    </row>
    <row r="35" spans="1:3">
      <c r="A35" s="2">
        <v>35</v>
      </c>
      <c r="B35">
        <f t="shared" si="2"/>
        <v>28.095696969800002</v>
      </c>
      <c r="C35">
        <f t="shared" si="3"/>
        <v>-44.624854359210332</v>
      </c>
    </row>
    <row r="36" spans="1:3">
      <c r="A36" s="2">
        <v>36</v>
      </c>
      <c r="B36">
        <f t="shared" si="2"/>
        <v>29.1133939395</v>
      </c>
      <c r="C36">
        <f t="shared" si="3"/>
        <v>-44.423815180151692</v>
      </c>
    </row>
    <row r="37" spans="1:3">
      <c r="A37" s="2">
        <v>37</v>
      </c>
      <c r="B37">
        <f t="shared" si="2"/>
        <v>30.131090909199997</v>
      </c>
      <c r="C37">
        <f t="shared" si="3"/>
        <v>-44.223722667764477</v>
      </c>
    </row>
    <row r="38" spans="1:3">
      <c r="A38" s="2">
        <v>38</v>
      </c>
      <c r="B38">
        <f t="shared" si="2"/>
        <v>31.148787878900002</v>
      </c>
      <c r="C38">
        <f t="shared" si="3"/>
        <v>-44.024577022967939</v>
      </c>
    </row>
    <row r="39" spans="1:3">
      <c r="A39" s="2">
        <v>39</v>
      </c>
      <c r="B39">
        <f t="shared" si="2"/>
        <v>32.1664848486</v>
      </c>
      <c r="C39">
        <f t="shared" si="3"/>
        <v>-43.826378413071261</v>
      </c>
    </row>
    <row r="40" spans="1:3">
      <c r="A40" s="2">
        <v>40</v>
      </c>
      <c r="B40">
        <f t="shared" si="2"/>
        <v>33.184181818299997</v>
      </c>
      <c r="C40">
        <f t="shared" si="3"/>
        <v>-43.629126971743794</v>
      </c>
    </row>
    <row r="41" spans="1:3">
      <c r="A41" s="2">
        <v>41</v>
      </c>
      <c r="B41">
        <f t="shared" si="2"/>
        <v>34.201878788000002</v>
      </c>
      <c r="C41">
        <f t="shared" si="3"/>
        <v>-43.432822798991388</v>
      </c>
    </row>
    <row r="42" spans="1:3">
      <c r="A42" s="2">
        <v>42</v>
      </c>
      <c r="B42">
        <f t="shared" si="2"/>
        <v>35.219575757699999</v>
      </c>
      <c r="C42">
        <f t="shared" si="3"/>
        <v>-43.237465961138504</v>
      </c>
    </row>
    <row r="43" spans="1:3">
      <c r="A43" s="2">
        <v>43</v>
      </c>
      <c r="B43">
        <f t="shared" si="2"/>
        <v>36.237272727399997</v>
      </c>
      <c r="C43">
        <f t="shared" si="3"/>
        <v>-43.043056490816475</v>
      </c>
    </row>
    <row r="44" spans="1:3">
      <c r="A44" s="2">
        <v>44</v>
      </c>
      <c r="B44">
        <f t="shared" si="2"/>
        <v>37.254969697100002</v>
      </c>
      <c r="C44">
        <f t="shared" si="3"/>
        <v>-42.849594386957726</v>
      </c>
    </row>
    <row r="45" spans="1:3">
      <c r="A45" s="2">
        <v>45</v>
      </c>
      <c r="B45">
        <f t="shared" si="2"/>
        <v>38.272666666799999</v>
      </c>
      <c r="C45">
        <f t="shared" si="3"/>
        <v>-42.657079614795911</v>
      </c>
    </row>
    <row r="46" spans="1:3">
      <c r="A46" s="2">
        <v>46</v>
      </c>
      <c r="B46">
        <f t="shared" si="2"/>
        <v>39.290363636499997</v>
      </c>
      <c r="C46">
        <f t="shared" si="3"/>
        <v>-42.465512105872143</v>
      </c>
    </row>
    <row r="47" spans="1:3">
      <c r="A47" s="2">
        <v>47</v>
      </c>
      <c r="B47">
        <f t="shared" si="2"/>
        <v>40.308060606200002</v>
      </c>
      <c r="C47">
        <f t="shared" si="3"/>
        <v>-42.274891758047104</v>
      </c>
    </row>
    <row r="48" spans="1:3">
      <c r="A48" s="2">
        <v>48</v>
      </c>
      <c r="B48">
        <f t="shared" si="2"/>
        <v>41.325757575899999</v>
      </c>
      <c r="C48">
        <f t="shared" si="3"/>
        <v>-42.085218435519323</v>
      </c>
    </row>
    <row r="49" spans="1:3">
      <c r="A49" s="2">
        <v>49</v>
      </c>
      <c r="B49">
        <f t="shared" si="2"/>
        <v>42.343454545599997</v>
      </c>
      <c r="C49">
        <f t="shared" si="3"/>
        <v>-41.896491968849134</v>
      </c>
    </row>
    <row r="50" spans="1:3">
      <c r="A50" s="2">
        <v>50</v>
      </c>
      <c r="B50">
        <f t="shared" si="2"/>
        <v>43.361151515300001</v>
      </c>
      <c r="C50">
        <f t="shared" si="3"/>
        <v>-41.708712154988973</v>
      </c>
    </row>
    <row r="51" spans="1:3">
      <c r="A51" s="2">
        <v>51</v>
      </c>
      <c r="B51">
        <f t="shared" si="2"/>
        <v>44.378848484999999</v>
      </c>
      <c r="C51">
        <f t="shared" si="3"/>
        <v>-41.521878757319286</v>
      </c>
    </row>
    <row r="52" spans="1:3">
      <c r="A52" s="2">
        <v>52</v>
      </c>
      <c r="B52">
        <f t="shared" si="2"/>
        <v>45.396545454700004</v>
      </c>
      <c r="C52">
        <f t="shared" si="3"/>
        <v>-41.335991505690629</v>
      </c>
    </row>
    <row r="53" spans="1:3">
      <c r="A53" s="2">
        <v>53</v>
      </c>
      <c r="B53">
        <f t="shared" si="2"/>
        <v>46.414242424400001</v>
      </c>
      <c r="C53">
        <f t="shared" si="3"/>
        <v>-41.151050096471565</v>
      </c>
    </row>
    <row r="54" spans="1:3">
      <c r="A54" s="2">
        <v>54</v>
      </c>
      <c r="B54">
        <f t="shared" si="2"/>
        <v>47.431939394099999</v>
      </c>
      <c r="C54">
        <f t="shared" si="3"/>
        <v>-40.967054192602433</v>
      </c>
    </row>
    <row r="55" spans="1:3">
      <c r="A55" s="2">
        <v>55</v>
      </c>
      <c r="B55">
        <f t="shared" si="2"/>
        <v>48.449636363800003</v>
      </c>
      <c r="C55">
        <f t="shared" si="3"/>
        <v>-40.784003423655136</v>
      </c>
    </row>
    <row r="56" spans="1:3">
      <c r="A56" s="2">
        <v>56</v>
      </c>
      <c r="B56">
        <f t="shared" si="2"/>
        <v>49.467333333500001</v>
      </c>
      <c r="C56">
        <f t="shared" si="3"/>
        <v>-40.601897385898667</v>
      </c>
    </row>
    <row r="57" spans="1:3">
      <c r="A57" s="2">
        <v>57</v>
      </c>
      <c r="B57">
        <f t="shared" si="2"/>
        <v>50.485030303199999</v>
      </c>
      <c r="C57">
        <f t="shared" si="3"/>
        <v>-40.420735642370516</v>
      </c>
    </row>
    <row r="58" spans="1:3">
      <c r="A58" s="2">
        <v>58</v>
      </c>
      <c r="B58">
        <f t="shared" si="2"/>
        <v>51.502727272900003</v>
      </c>
      <c r="C58">
        <f t="shared" si="3"/>
        <v>-40.240517722953889</v>
      </c>
    </row>
    <row r="59" spans="1:3">
      <c r="A59" s="2">
        <v>59</v>
      </c>
      <c r="B59">
        <f t="shared" si="2"/>
        <v>52.520424242600001</v>
      </c>
      <c r="C59">
        <f t="shared" si="3"/>
        <v>-40.06124312446061</v>
      </c>
    </row>
    <row r="60" spans="1:3">
      <c r="A60" s="2">
        <v>60</v>
      </c>
      <c r="B60">
        <f t="shared" si="2"/>
        <v>53.538121212299998</v>
      </c>
      <c r="C60">
        <f t="shared" si="3"/>
        <v>-39.882911310719855</v>
      </c>
    </row>
    <row r="61" spans="1:3">
      <c r="A61" s="2">
        <v>61</v>
      </c>
      <c r="B61">
        <f t="shared" si="2"/>
        <v>54.555818182000003</v>
      </c>
      <c r="C61">
        <f t="shared" si="3"/>
        <v>-39.705521712672542</v>
      </c>
    </row>
    <row r="62" spans="1:3">
      <c r="A62" s="2">
        <v>62</v>
      </c>
      <c r="B62">
        <f t="shared" si="2"/>
        <v>55.573515151700001</v>
      </c>
      <c r="C62">
        <f t="shared" si="3"/>
        <v>-39.52907372847141</v>
      </c>
    </row>
    <row r="63" spans="1:3">
      <c r="A63" s="2">
        <v>63</v>
      </c>
      <c r="B63">
        <f t="shared" si="2"/>
        <v>56.591212121399998</v>
      </c>
      <c r="C63">
        <f t="shared" si="3"/>
        <v>-39.35356672358666</v>
      </c>
    </row>
    <row r="64" spans="1:3">
      <c r="A64" s="2">
        <v>64</v>
      </c>
      <c r="B64">
        <f t="shared" si="2"/>
        <v>57.608909091100003</v>
      </c>
      <c r="C64">
        <f t="shared" si="3"/>
        <v>-39.179000030917173</v>
      </c>
    </row>
    <row r="65" spans="1:3">
      <c r="A65" s="2">
        <v>65</v>
      </c>
      <c r="B65">
        <f t="shared" ref="B65:B96" si="4">-6.506+(A65-1)*1.0176969697</f>
        <v>58.6266060608</v>
      </c>
      <c r="C65">
        <f t="shared" ref="C65:C96" si="5">29.9299466909008+0.191058329060505*B65-79.6347749969089*(1.00657894736842+(B65-35.6961842105263)^2/86774.9397868421)^0.5</f>
        <v>-39.005372950907379</v>
      </c>
    </row>
    <row r="66" spans="1:3">
      <c r="A66" s="2">
        <v>66</v>
      </c>
      <c r="B66">
        <f t="shared" si="4"/>
        <v>59.644303030499998</v>
      </c>
      <c r="C66">
        <f t="shared" si="5"/>
        <v>-38.832684751669483</v>
      </c>
    </row>
    <row r="67" spans="1:3">
      <c r="A67" s="2">
        <v>67</v>
      </c>
      <c r="B67">
        <f t="shared" si="4"/>
        <v>60.662000000199995</v>
      </c>
      <c r="C67">
        <f t="shared" si="5"/>
        <v>-38.660934669111093</v>
      </c>
    </row>
    <row r="68" spans="1:3">
      <c r="A68" s="2">
        <v>68</v>
      </c>
      <c r="B68">
        <f t="shared" si="4"/>
        <v>61.679696969900007</v>
      </c>
      <c r="C68">
        <f t="shared" si="5"/>
        <v>-38.490121907068357</v>
      </c>
    </row>
    <row r="69" spans="1:3">
      <c r="A69" s="2">
        <v>69</v>
      </c>
      <c r="B69">
        <f t="shared" si="4"/>
        <v>62.697393939600005</v>
      </c>
      <c r="C69">
        <f t="shared" si="5"/>
        <v>-38.320245637444373</v>
      </c>
    </row>
    <row r="70" spans="1:3">
      <c r="A70" s="2">
        <v>70</v>
      </c>
      <c r="B70">
        <f t="shared" si="4"/>
        <v>63.715090909300002</v>
      </c>
      <c r="C70">
        <f t="shared" si="5"/>
        <v>-38.151305000352892</v>
      </c>
    </row>
    <row r="71" spans="1:3">
      <c r="A71" s="2">
        <v>71</v>
      </c>
      <c r="B71">
        <f t="shared" si="4"/>
        <v>64.732787879</v>
      </c>
      <c r="C71">
        <f t="shared" si="5"/>
        <v>-37.98329910426709</v>
      </c>
    </row>
    <row r="72" spans="1:3">
      <c r="A72" s="2">
        <v>72</v>
      </c>
      <c r="B72">
        <f t="shared" si="4"/>
        <v>65.750484848699998</v>
      </c>
      <c r="C72">
        <f t="shared" si="5"/>
        <v>-37.816227026173763</v>
      </c>
    </row>
    <row r="73" spans="1:3">
      <c r="A73" s="2">
        <v>73</v>
      </c>
      <c r="B73">
        <f t="shared" si="4"/>
        <v>66.768181818399995</v>
      </c>
      <c r="C73">
        <f t="shared" si="5"/>
        <v>-37.650087811732362</v>
      </c>
    </row>
    <row r="74" spans="1:3">
      <c r="A74" s="2">
        <v>74</v>
      </c>
      <c r="B74">
        <f t="shared" si="4"/>
        <v>67.785878788100007</v>
      </c>
      <c r="C74">
        <f t="shared" si="5"/>
        <v>-37.484880475439184</v>
      </c>
    </row>
    <row r="75" spans="1:3">
      <c r="A75" s="2">
        <v>75</v>
      </c>
      <c r="B75">
        <f t="shared" si="4"/>
        <v>68.803575757800004</v>
      </c>
      <c r="C75">
        <f t="shared" si="5"/>
        <v>-37.320604000796592</v>
      </c>
    </row>
    <row r="76" spans="1:3">
      <c r="A76" s="2">
        <v>76</v>
      </c>
      <c r="B76">
        <f t="shared" si="4"/>
        <v>69.821272727500002</v>
      </c>
      <c r="C76">
        <f t="shared" si="5"/>
        <v>-37.15725734048695</v>
      </c>
    </row>
    <row r="77" spans="1:3">
      <c r="A77" s="2">
        <v>77</v>
      </c>
      <c r="B77">
        <f t="shared" si="4"/>
        <v>70.8389696972</v>
      </c>
      <c r="C77">
        <f t="shared" si="5"/>
        <v>-36.994839416551542</v>
      </c>
    </row>
    <row r="78" spans="1:3">
      <c r="A78" s="2">
        <v>78</v>
      </c>
      <c r="B78">
        <f t="shared" si="4"/>
        <v>71.856666666899997</v>
      </c>
      <c r="C78">
        <f t="shared" si="5"/>
        <v>-36.833349120574169</v>
      </c>
    </row>
    <row r="79" spans="1:3">
      <c r="A79" s="2">
        <v>79</v>
      </c>
      <c r="B79">
        <f t="shared" si="4"/>
        <v>72.874363636599995</v>
      </c>
      <c r="C79">
        <f t="shared" si="5"/>
        <v>-36.672785313869511</v>
      </c>
    </row>
    <row r="80" spans="1:3">
      <c r="A80" s="2">
        <v>80</v>
      </c>
      <c r="B80">
        <f t="shared" si="4"/>
        <v>73.892060606300006</v>
      </c>
      <c r="C80">
        <f t="shared" si="5"/>
        <v>-36.513146827676003</v>
      </c>
    </row>
    <row r="81" spans="1:3">
      <c r="A81" s="2">
        <v>81</v>
      </c>
      <c r="B81">
        <f t="shared" si="4"/>
        <v>74.909757576000004</v>
      </c>
      <c r="C81">
        <f t="shared" si="5"/>
        <v>-36.354432463353383</v>
      </c>
    </row>
    <row r="82" spans="1:3">
      <c r="A82" s="2">
        <v>82</v>
      </c>
      <c r="B82">
        <f t="shared" si="4"/>
        <v>75.927454545700002</v>
      </c>
      <c r="C82">
        <f t="shared" si="5"/>
        <v>-36.196640992584555</v>
      </c>
    </row>
    <row r="83" spans="1:3">
      <c r="A83" s="2">
        <v>83</v>
      </c>
      <c r="B83">
        <f t="shared" si="4"/>
        <v>76.945151515399999</v>
      </c>
      <c r="C83">
        <f t="shared" si="5"/>
        <v>-36.03977115758196</v>
      </c>
    </row>
    <row r="84" spans="1:3">
      <c r="A84" s="2">
        <v>84</v>
      </c>
      <c r="B84">
        <f t="shared" si="4"/>
        <v>77.962848485099997</v>
      </c>
      <c r="C84">
        <f t="shared" si="5"/>
        <v>-35.8838216712982</v>
      </c>
    </row>
    <row r="85" spans="1:3">
      <c r="A85" s="2">
        <v>85</v>
      </c>
      <c r="B85">
        <f t="shared" si="4"/>
        <v>78.980545454799994</v>
      </c>
      <c r="C85">
        <f t="shared" si="5"/>
        <v>-35.728791217640897</v>
      </c>
    </row>
    <row r="86" spans="1:3">
      <c r="A86" s="2">
        <v>86</v>
      </c>
      <c r="B86">
        <f t="shared" si="4"/>
        <v>79.998242424500006</v>
      </c>
      <c r="C86">
        <f t="shared" si="5"/>
        <v>-35.574678451691668</v>
      </c>
    </row>
    <row r="87" spans="1:3">
      <c r="A87" s="2">
        <v>87</v>
      </c>
      <c r="B87">
        <f t="shared" si="4"/>
        <v>81.015939394200004</v>
      </c>
      <c r="C87">
        <f t="shared" si="5"/>
        <v>-35.421481999929313</v>
      </c>
    </row>
    <row r="88" spans="1:3">
      <c r="A88" s="2">
        <v>88</v>
      </c>
      <c r="B88">
        <f t="shared" si="4"/>
        <v>82.033636363900001</v>
      </c>
      <c r="C88">
        <f t="shared" si="5"/>
        <v>-35.269200460456716</v>
      </c>
    </row>
    <row r="89" spans="1:3">
      <c r="A89" s="2">
        <v>89</v>
      </c>
      <c r="B89">
        <f t="shared" si="4"/>
        <v>83.051333333599999</v>
      </c>
      <c r="C89">
        <f t="shared" si="5"/>
        <v>-35.117832403231887</v>
      </c>
    </row>
    <row r="90" spans="1:3">
      <c r="A90" s="2">
        <v>90</v>
      </c>
      <c r="B90">
        <f t="shared" si="4"/>
        <v>84.069030303299996</v>
      </c>
      <c r="C90">
        <f t="shared" si="5"/>
        <v>-34.967376370302702</v>
      </c>
    </row>
    <row r="91" spans="1:3">
      <c r="A91" s="2">
        <v>91</v>
      </c>
      <c r="B91">
        <f t="shared" si="4"/>
        <v>85.086727272999994</v>
      </c>
      <c r="C91">
        <f t="shared" si="5"/>
        <v>-34.817830876045377</v>
      </c>
    </row>
    <row r="92" spans="1:3">
      <c r="A92" s="2">
        <v>92</v>
      </c>
      <c r="B92">
        <f t="shared" si="4"/>
        <v>86.104424242700006</v>
      </c>
      <c r="C92">
        <f t="shared" si="5"/>
        <v>-34.669194407406607</v>
      </c>
    </row>
    <row r="93" spans="1:3">
      <c r="A93" s="2">
        <v>93</v>
      </c>
      <c r="B93">
        <f t="shared" si="4"/>
        <v>87.122121212400003</v>
      </c>
      <c r="C93">
        <f t="shared" si="5"/>
        <v>-34.52146542414917</v>
      </c>
    </row>
    <row r="94" spans="1:3">
      <c r="A94" s="2">
        <v>94</v>
      </c>
      <c r="B94">
        <f t="shared" si="4"/>
        <v>88.139818182100001</v>
      </c>
      <c r="C94">
        <f t="shared" si="5"/>
        <v>-34.374642359101088</v>
      </c>
    </row>
    <row r="95" spans="1:3">
      <c r="A95" s="2">
        <v>95</v>
      </c>
      <c r="B95">
        <f t="shared" si="4"/>
        <v>89.157515151799998</v>
      </c>
      <c r="C95">
        <f t="shared" si="5"/>
        <v>-34.228723618408125</v>
      </c>
    </row>
    <row r="96" spans="1:3">
      <c r="A96" s="2">
        <v>96</v>
      </c>
      <c r="B96">
        <f t="shared" si="4"/>
        <v>90.175212121499996</v>
      </c>
      <c r="C96">
        <f t="shared" si="5"/>
        <v>-34.08370758178954</v>
      </c>
    </row>
    <row r="97" spans="1:3">
      <c r="A97" s="2">
        <v>97</v>
      </c>
      <c r="B97">
        <f t="shared" ref="B97:B100" si="6">-6.506+(A97-1)*1.0176969697</f>
        <v>91.192909091199994</v>
      </c>
      <c r="C97">
        <f t="shared" ref="C97:C100" si="7">29.9299466909008+0.191058329060505*B97-79.6347749969089*(1.00657894736842+(B97-35.6961842105263)^2/86774.9397868421)^0.5</f>
        <v>-33.939592602796992</v>
      </c>
    </row>
    <row r="98" spans="1:3">
      <c r="A98" s="2">
        <v>98</v>
      </c>
      <c r="B98">
        <f t="shared" si="6"/>
        <v>92.210606060900005</v>
      </c>
      <c r="C98">
        <f t="shared" si="7"/>
        <v>-33.796377009076636</v>
      </c>
    </row>
    <row r="99" spans="1:3">
      <c r="A99" s="2">
        <v>99</v>
      </c>
      <c r="B99">
        <f t="shared" si="6"/>
        <v>93.228303030600003</v>
      </c>
      <c r="C99">
        <f t="shared" si="7"/>
        <v>-33.654059102634086</v>
      </c>
    </row>
    <row r="100" spans="1:3">
      <c r="A100" s="2">
        <v>100</v>
      </c>
      <c r="B100">
        <f t="shared" si="6"/>
        <v>94.2460000003</v>
      </c>
      <c r="C100">
        <f t="shared" si="7"/>
        <v>-33.512637160102507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29.9299466909008+0.191058329060505*B1+79.6347749969089*(1.00657894736842+(B1-35.6961842105263)^2/86774.9397868421)^0.5</f>
        <v>109.39367516067946</v>
      </c>
    </row>
    <row r="2" spans="1:3">
      <c r="A2" s="2">
        <v>2</v>
      </c>
      <c r="B2">
        <f t="shared" si="0"/>
        <v>-5.4883030303</v>
      </c>
      <c r="C2">
        <f t="shared" si="1"/>
        <v>109.54968292041136</v>
      </c>
    </row>
    <row r="3" spans="1:3">
      <c r="A3" s="2">
        <v>3</v>
      </c>
      <c r="B3">
        <f t="shared" si="0"/>
        <v>-4.4706060605999998</v>
      </c>
      <c r="C3">
        <f t="shared" si="1"/>
        <v>109.70661111127203</v>
      </c>
    </row>
    <row r="4" spans="1:3">
      <c r="A4" s="2">
        <v>4</v>
      </c>
      <c r="B4">
        <f t="shared" si="0"/>
        <v>-3.4529090909000004</v>
      </c>
      <c r="C4">
        <f t="shared" si="1"/>
        <v>109.86446101846124</v>
      </c>
    </row>
    <row r="5" spans="1:3">
      <c r="A5" s="2">
        <v>5</v>
      </c>
      <c r="B5">
        <f t="shared" si="0"/>
        <v>-2.4352121212000002</v>
      </c>
      <c r="C5">
        <f t="shared" si="1"/>
        <v>110.02323389790561</v>
      </c>
    </row>
    <row r="6" spans="1:3">
      <c r="A6" s="2">
        <v>6</v>
      </c>
      <c r="B6">
        <f t="shared" si="0"/>
        <v>-1.4175151515</v>
      </c>
      <c r="C6">
        <f t="shared" si="1"/>
        <v>110.18293097604804</v>
      </c>
    </row>
    <row r="7" spans="1:3">
      <c r="A7" s="2">
        <v>7</v>
      </c>
      <c r="B7">
        <f t="shared" si="0"/>
        <v>-0.39981818180000062</v>
      </c>
      <c r="C7">
        <f t="shared" si="1"/>
        <v>110.3435534496416</v>
      </c>
    </row>
    <row r="8" spans="1:3">
      <c r="A8" s="2">
        <v>8</v>
      </c>
      <c r="B8">
        <f t="shared" si="0"/>
        <v>0.61787878789999962</v>
      </c>
      <c r="C8">
        <f t="shared" si="1"/>
        <v>110.50510248554811</v>
      </c>
    </row>
    <row r="9" spans="1:3">
      <c r="A9" s="2">
        <v>9</v>
      </c>
      <c r="B9">
        <f t="shared" si="0"/>
        <v>1.6355757575999998</v>
      </c>
      <c r="C9">
        <f t="shared" si="1"/>
        <v>110.66757922054073</v>
      </c>
    </row>
    <row r="10" spans="1:3">
      <c r="A10" s="2">
        <v>10</v>
      </c>
      <c r="B10">
        <f t="shared" si="0"/>
        <v>2.6532727272999992</v>
      </c>
      <c r="C10">
        <f t="shared" si="1"/>
        <v>110.83098476111145</v>
      </c>
    </row>
    <row r="11" spans="1:3">
      <c r="A11" s="2">
        <v>11</v>
      </c>
      <c r="B11">
        <f t="shared" si="0"/>
        <v>3.6709696970000003</v>
      </c>
      <c r="C11">
        <f t="shared" si="1"/>
        <v>110.99532018328301</v>
      </c>
    </row>
    <row r="12" spans="1:3">
      <c r="A12" s="2">
        <v>12</v>
      </c>
      <c r="B12">
        <f t="shared" si="0"/>
        <v>4.6886666666999997</v>
      </c>
      <c r="C12">
        <f t="shared" si="1"/>
        <v>111.16058653242558</v>
      </c>
    </row>
    <row r="13" spans="1:3">
      <c r="A13" s="2">
        <v>13</v>
      </c>
      <c r="B13">
        <f t="shared" si="0"/>
        <v>5.706363636399999</v>
      </c>
      <c r="C13">
        <f t="shared" si="1"/>
        <v>111.3267848230782</v>
      </c>
    </row>
    <row r="14" spans="1:3">
      <c r="A14" s="2">
        <v>14</v>
      </c>
      <c r="B14">
        <f t="shared" si="0"/>
        <v>6.7240606061000001</v>
      </c>
      <c r="C14">
        <f t="shared" si="1"/>
        <v>111.49391603877504</v>
      </c>
    </row>
    <row r="15" spans="1:3">
      <c r="A15" s="2">
        <v>15</v>
      </c>
      <c r="B15">
        <f t="shared" si="0"/>
        <v>7.7417575757999995</v>
      </c>
      <c r="C15">
        <f t="shared" si="1"/>
        <v>111.66198113187662</v>
      </c>
    </row>
    <row r="16" spans="1:3">
      <c r="A16" s="2">
        <v>16</v>
      </c>
      <c r="B16">
        <f t="shared" si="0"/>
        <v>8.7594545455000006</v>
      </c>
      <c r="C16">
        <f t="shared" si="1"/>
        <v>111.83098102340587</v>
      </c>
    </row>
    <row r="17" spans="1:3">
      <c r="A17" s="2">
        <v>17</v>
      </c>
      <c r="B17">
        <f t="shared" si="0"/>
        <v>9.7771515151999999</v>
      </c>
      <c r="C17">
        <f t="shared" si="1"/>
        <v>112.00091660288942</v>
      </c>
    </row>
    <row r="18" spans="1:3">
      <c r="A18" s="2">
        <v>18</v>
      </c>
      <c r="B18">
        <f t="shared" si="0"/>
        <v>10.794848484900001</v>
      </c>
      <c r="C18">
        <f t="shared" si="1"/>
        <v>112.17178872820374</v>
      </c>
    </row>
    <row r="19" spans="1:3">
      <c r="A19" s="2">
        <v>19</v>
      </c>
      <c r="B19">
        <f t="shared" si="0"/>
        <v>11.812545454599999</v>
      </c>
      <c r="C19">
        <f t="shared" si="1"/>
        <v>112.34359822542675</v>
      </c>
    </row>
    <row r="20" spans="1:3">
      <c r="A20" s="2">
        <v>20</v>
      </c>
      <c r="B20">
        <f t="shared" si="0"/>
        <v>12.8302424243</v>
      </c>
      <c r="C20">
        <f t="shared" si="1"/>
        <v>112.51634588869427</v>
      </c>
    </row>
    <row r="21" spans="1:3">
      <c r="A21" s="2">
        <v>21</v>
      </c>
      <c r="B21">
        <f t="shared" si="0"/>
        <v>13.847939394000001</v>
      </c>
      <c r="C21">
        <f t="shared" si="1"/>
        <v>112.6900324800622</v>
      </c>
    </row>
    <row r="22" spans="1:3">
      <c r="A22" s="2">
        <v>22</v>
      </c>
      <c r="B22">
        <f t="shared" si="0"/>
        <v>14.865636363699998</v>
      </c>
      <c r="C22">
        <f t="shared" si="1"/>
        <v>112.86465872937347</v>
      </c>
    </row>
    <row r="23" spans="1:3">
      <c r="A23" s="2">
        <v>23</v>
      </c>
      <c r="B23">
        <f t="shared" si="0"/>
        <v>15.8833333334</v>
      </c>
      <c r="C23">
        <f t="shared" si="1"/>
        <v>113.04022533413107</v>
      </c>
    </row>
    <row r="24" spans="1:3">
      <c r="A24" s="2">
        <v>24</v>
      </c>
      <c r="B24">
        <f t="shared" si="0"/>
        <v>16.901030303100001</v>
      </c>
      <c r="C24">
        <f t="shared" si="1"/>
        <v>113.21673295937569</v>
      </c>
    </row>
    <row r="25" spans="1:3">
      <c r="A25" s="2">
        <v>25</v>
      </c>
      <c r="B25">
        <f t="shared" si="0"/>
        <v>17.918727272799998</v>
      </c>
      <c r="C25">
        <f t="shared" si="1"/>
        <v>113.39418223756974</v>
      </c>
    </row>
    <row r="26" spans="1:3">
      <c r="A26" s="2">
        <v>26</v>
      </c>
      <c r="B26">
        <f t="shared" si="0"/>
        <v>18.936424242499999</v>
      </c>
      <c r="C26">
        <f t="shared" si="1"/>
        <v>113.57257376848611</v>
      </c>
    </row>
    <row r="27" spans="1:3">
      <c r="A27" s="2">
        <v>27</v>
      </c>
      <c r="B27">
        <f t="shared" si="0"/>
        <v>19.9541212122</v>
      </c>
      <c r="C27">
        <f t="shared" si="1"/>
        <v>113.75190811910306</v>
      </c>
    </row>
    <row r="28" spans="1:3">
      <c r="A28" s="2">
        <v>28</v>
      </c>
      <c r="B28">
        <f t="shared" si="0"/>
        <v>20.971818181900002</v>
      </c>
      <c r="C28">
        <f t="shared" si="1"/>
        <v>113.93218582350435</v>
      </c>
    </row>
    <row r="29" spans="1:3">
      <c r="A29" s="2">
        <v>29</v>
      </c>
      <c r="B29">
        <f t="shared" si="0"/>
        <v>21.989515151599999</v>
      </c>
      <c r="C29">
        <f t="shared" si="1"/>
        <v>114.11340738278541</v>
      </c>
    </row>
    <row r="30" spans="1:3">
      <c r="A30" s="2">
        <v>30</v>
      </c>
      <c r="B30">
        <f t="shared" si="0"/>
        <v>23.0072121213</v>
      </c>
      <c r="C30">
        <f t="shared" si="1"/>
        <v>114.29557326496484</v>
      </c>
    </row>
    <row r="31" spans="1:3">
      <c r="A31" s="2">
        <v>31</v>
      </c>
      <c r="B31">
        <f t="shared" si="0"/>
        <v>24.024909091000001</v>
      </c>
      <c r="C31">
        <f t="shared" si="1"/>
        <v>114.47868390490184</v>
      </c>
    </row>
    <row r="32" spans="1:3">
      <c r="A32" s="2">
        <v>32</v>
      </c>
      <c r="B32">
        <f t="shared" si="0"/>
        <v>25.042606060699999</v>
      </c>
      <c r="C32">
        <f t="shared" si="1"/>
        <v>114.66273970421948</v>
      </c>
    </row>
    <row r="33" spans="1:3">
      <c r="A33" s="2">
        <v>33</v>
      </c>
      <c r="B33">
        <f t="shared" ref="B33:B64" si="2">-6.506+(A33-1)*1.0176969697</f>
        <v>26.0603030304</v>
      </c>
      <c r="C33">
        <f t="shared" ref="C33:C64" si="3">29.9299466909008+0.191058329060505*B33+79.6347749969089*(1.00657894736842+(B33-35.6961842105263)^2/86774.9397868421)^0.5</f>
        <v>114.84774103123348</v>
      </c>
    </row>
    <row r="34" spans="1:3">
      <c r="A34" s="2">
        <v>34</v>
      </c>
      <c r="B34">
        <f t="shared" si="2"/>
        <v>27.078000000099998</v>
      </c>
      <c r="C34">
        <f t="shared" si="3"/>
        <v>115.03368822088729</v>
      </c>
    </row>
    <row r="35" spans="1:3">
      <c r="A35" s="2">
        <v>35</v>
      </c>
      <c r="B35">
        <f t="shared" si="2"/>
        <v>28.095696969800002</v>
      </c>
      <c r="C35">
        <f t="shared" si="3"/>
        <v>115.22058157469249</v>
      </c>
    </row>
    <row r="36" spans="1:3">
      <c r="A36" s="2">
        <v>36</v>
      </c>
      <c r="B36">
        <f t="shared" si="2"/>
        <v>29.1133939395</v>
      </c>
      <c r="C36">
        <f t="shared" si="3"/>
        <v>115.40842136067549</v>
      </c>
    </row>
    <row r="37" spans="1:3">
      <c r="A37" s="2">
        <v>37</v>
      </c>
      <c r="B37">
        <f t="shared" si="2"/>
        <v>30.131090909199997</v>
      </c>
      <c r="C37">
        <f t="shared" si="3"/>
        <v>115.59720781332992</v>
      </c>
    </row>
    <row r="38" spans="1:3">
      <c r="A38" s="2">
        <v>38</v>
      </c>
      <c r="B38">
        <f t="shared" si="2"/>
        <v>31.148787878900002</v>
      </c>
      <c r="C38">
        <f t="shared" si="3"/>
        <v>115.78694113357503</v>
      </c>
    </row>
    <row r="39" spans="1:3">
      <c r="A39" s="2">
        <v>39</v>
      </c>
      <c r="B39">
        <f t="shared" si="2"/>
        <v>32.1664848486</v>
      </c>
      <c r="C39">
        <f t="shared" si="3"/>
        <v>115.97762148871999</v>
      </c>
    </row>
    <row r="40" spans="1:3">
      <c r="A40" s="2">
        <v>40</v>
      </c>
      <c r="B40">
        <f t="shared" si="2"/>
        <v>33.184181818299997</v>
      </c>
      <c r="C40">
        <f t="shared" si="3"/>
        <v>116.16924901243416</v>
      </c>
    </row>
    <row r="41" spans="1:3">
      <c r="A41" s="2">
        <v>41</v>
      </c>
      <c r="B41">
        <f t="shared" si="2"/>
        <v>34.201878788000002</v>
      </c>
      <c r="C41">
        <f t="shared" si="3"/>
        <v>116.3618238047234</v>
      </c>
    </row>
    <row r="42" spans="1:3">
      <c r="A42" s="2">
        <v>42</v>
      </c>
      <c r="B42">
        <f t="shared" si="2"/>
        <v>35.219575757699999</v>
      </c>
      <c r="C42">
        <f t="shared" si="3"/>
        <v>116.55534593191217</v>
      </c>
    </row>
    <row r="43" spans="1:3">
      <c r="A43" s="2">
        <v>43</v>
      </c>
      <c r="B43">
        <f t="shared" si="2"/>
        <v>36.237272727399997</v>
      </c>
      <c r="C43">
        <f t="shared" si="3"/>
        <v>116.74981542663178</v>
      </c>
    </row>
    <row r="44" spans="1:3">
      <c r="A44" s="2">
        <v>44</v>
      </c>
      <c r="B44">
        <f t="shared" si="2"/>
        <v>37.254969697100002</v>
      </c>
      <c r="C44">
        <f t="shared" si="3"/>
        <v>116.94523228781466</v>
      </c>
    </row>
    <row r="45" spans="1:3">
      <c r="A45" s="2">
        <v>45</v>
      </c>
      <c r="B45">
        <f t="shared" si="2"/>
        <v>38.272666666799999</v>
      </c>
      <c r="C45">
        <f t="shared" si="3"/>
        <v>117.14159648069449</v>
      </c>
    </row>
    <row r="46" spans="1:3">
      <c r="A46" s="2">
        <v>46</v>
      </c>
      <c r="B46">
        <f t="shared" si="2"/>
        <v>39.290363636499997</v>
      </c>
      <c r="C46">
        <f t="shared" si="3"/>
        <v>117.33890793681238</v>
      </c>
    </row>
    <row r="47" spans="1:3">
      <c r="A47" s="2">
        <v>47</v>
      </c>
      <c r="B47">
        <f t="shared" si="2"/>
        <v>40.308060606200002</v>
      </c>
      <c r="C47">
        <f t="shared" si="3"/>
        <v>117.53716655402899</v>
      </c>
    </row>
    <row r="48" spans="1:3">
      <c r="A48" s="2">
        <v>48</v>
      </c>
      <c r="B48">
        <f t="shared" si="2"/>
        <v>41.325757575899999</v>
      </c>
      <c r="C48">
        <f t="shared" si="3"/>
        <v>117.73637219654285</v>
      </c>
    </row>
    <row r="49" spans="1:3">
      <c r="A49" s="2">
        <v>49</v>
      </c>
      <c r="B49">
        <f t="shared" si="2"/>
        <v>42.343454545599997</v>
      </c>
      <c r="C49">
        <f t="shared" si="3"/>
        <v>117.9365246949143</v>
      </c>
    </row>
    <row r="50" spans="1:3">
      <c r="A50" s="2">
        <v>50</v>
      </c>
      <c r="B50">
        <f t="shared" si="2"/>
        <v>43.361151515300001</v>
      </c>
      <c r="C50">
        <f t="shared" si="3"/>
        <v>118.13762384609578</v>
      </c>
    </row>
    <row r="51" spans="1:3">
      <c r="A51" s="2">
        <v>51</v>
      </c>
      <c r="B51">
        <f t="shared" si="2"/>
        <v>44.378848484999999</v>
      </c>
      <c r="C51">
        <f t="shared" si="3"/>
        <v>118.33966941346773</v>
      </c>
    </row>
    <row r="52" spans="1:3">
      <c r="A52" s="2">
        <v>52</v>
      </c>
      <c r="B52">
        <f t="shared" si="2"/>
        <v>45.396545454700004</v>
      </c>
      <c r="C52">
        <f t="shared" si="3"/>
        <v>118.54266112688072</v>
      </c>
    </row>
    <row r="53" spans="1:3">
      <c r="A53" s="2">
        <v>53</v>
      </c>
      <c r="B53">
        <f t="shared" si="2"/>
        <v>46.414242424400001</v>
      </c>
      <c r="C53">
        <f t="shared" si="3"/>
        <v>118.74659868270329</v>
      </c>
    </row>
    <row r="54" spans="1:3">
      <c r="A54" s="2">
        <v>54</v>
      </c>
      <c r="B54">
        <f t="shared" si="2"/>
        <v>47.431939394099999</v>
      </c>
      <c r="C54">
        <f t="shared" si="3"/>
        <v>118.9514817438758</v>
      </c>
    </row>
    <row r="55" spans="1:3">
      <c r="A55" s="2">
        <v>55</v>
      </c>
      <c r="B55">
        <f t="shared" si="2"/>
        <v>48.449636363800003</v>
      </c>
      <c r="C55">
        <f t="shared" si="3"/>
        <v>119.15730993997015</v>
      </c>
    </row>
    <row r="56" spans="1:3">
      <c r="A56" s="2">
        <v>56</v>
      </c>
      <c r="B56">
        <f t="shared" si="2"/>
        <v>49.467333333500001</v>
      </c>
      <c r="C56">
        <f t="shared" si="3"/>
        <v>119.36408286725532</v>
      </c>
    </row>
    <row r="57" spans="1:3">
      <c r="A57" s="2">
        <v>57</v>
      </c>
      <c r="B57">
        <f t="shared" si="2"/>
        <v>50.485030303199999</v>
      </c>
      <c r="C57">
        <f t="shared" si="3"/>
        <v>119.57180008876881</v>
      </c>
    </row>
    <row r="58" spans="1:3">
      <c r="A58" s="2">
        <v>58</v>
      </c>
      <c r="B58">
        <f t="shared" si="2"/>
        <v>51.502727272900003</v>
      </c>
      <c r="C58">
        <f t="shared" si="3"/>
        <v>119.78046113439385</v>
      </c>
    </row>
    <row r="59" spans="1:3">
      <c r="A59" s="2">
        <v>59</v>
      </c>
      <c r="B59">
        <f t="shared" si="2"/>
        <v>52.520424242600001</v>
      </c>
      <c r="C59">
        <f t="shared" si="3"/>
        <v>119.99006550094219</v>
      </c>
    </row>
    <row r="60" spans="1:3">
      <c r="A60" s="2">
        <v>60</v>
      </c>
      <c r="B60">
        <f t="shared" si="2"/>
        <v>53.538121212299998</v>
      </c>
      <c r="C60">
        <f t="shared" si="3"/>
        <v>120.20061265224308</v>
      </c>
    </row>
    <row r="61" spans="1:3">
      <c r="A61" s="2">
        <v>61</v>
      </c>
      <c r="B61">
        <f t="shared" si="2"/>
        <v>54.555818182000003</v>
      </c>
      <c r="C61">
        <f t="shared" si="3"/>
        <v>120.41210201923741</v>
      </c>
    </row>
    <row r="62" spans="1:3">
      <c r="A62" s="2">
        <v>62</v>
      </c>
      <c r="B62">
        <f t="shared" si="2"/>
        <v>55.573515151700001</v>
      </c>
      <c r="C62">
        <f t="shared" si="3"/>
        <v>120.62453300007792</v>
      </c>
    </row>
    <row r="63" spans="1:3">
      <c r="A63" s="2">
        <v>63</v>
      </c>
      <c r="B63">
        <f t="shared" si="2"/>
        <v>56.591212121399998</v>
      </c>
      <c r="C63">
        <f t="shared" si="3"/>
        <v>120.83790496023482</v>
      </c>
    </row>
    <row r="64" spans="1:3">
      <c r="A64" s="2">
        <v>64</v>
      </c>
      <c r="B64">
        <f t="shared" si="2"/>
        <v>57.608909091100003</v>
      </c>
      <c r="C64">
        <f t="shared" si="3"/>
        <v>121.05221723260698</v>
      </c>
    </row>
    <row r="65" spans="1:3">
      <c r="A65" s="2">
        <v>65</v>
      </c>
      <c r="B65">
        <f t="shared" ref="B65:B96" si="4">-6.506+(A65-1)*1.0176969697</f>
        <v>58.6266060608</v>
      </c>
      <c r="C65">
        <f t="shared" ref="C65:C96" si="5">29.9299466909008+0.191058329060505*B65+79.6347749969089*(1.00657894736842+(B65-35.6961842105263)^2/86774.9397868421)^0.5</f>
        <v>121.26746911763883</v>
      </c>
    </row>
    <row r="66" spans="1:3">
      <c r="A66" s="2">
        <v>66</v>
      </c>
      <c r="B66">
        <f t="shared" si="4"/>
        <v>59.644303030499998</v>
      </c>
      <c r="C66">
        <f t="shared" si="5"/>
        <v>121.48365988344256</v>
      </c>
    </row>
    <row r="67" spans="1:3">
      <c r="A67" s="2">
        <v>67</v>
      </c>
      <c r="B67">
        <f t="shared" si="4"/>
        <v>60.662000000199995</v>
      </c>
      <c r="C67">
        <f t="shared" si="5"/>
        <v>121.70078876592581</v>
      </c>
    </row>
    <row r="68" spans="1:3">
      <c r="A68" s="2">
        <v>68</v>
      </c>
      <c r="B68">
        <f t="shared" si="4"/>
        <v>61.679696969900007</v>
      </c>
      <c r="C68">
        <f t="shared" si="5"/>
        <v>121.91885496892473</v>
      </c>
    </row>
    <row r="69" spans="1:3">
      <c r="A69" s="2">
        <v>69</v>
      </c>
      <c r="B69">
        <f t="shared" si="4"/>
        <v>62.697393939600005</v>
      </c>
      <c r="C69">
        <f t="shared" si="5"/>
        <v>122.13785766434239</v>
      </c>
    </row>
    <row r="70" spans="1:3">
      <c r="A70" s="2">
        <v>70</v>
      </c>
      <c r="B70">
        <f t="shared" si="4"/>
        <v>63.715090909300002</v>
      </c>
      <c r="C70">
        <f t="shared" si="5"/>
        <v>122.35779599229255</v>
      </c>
    </row>
    <row r="71" spans="1:3">
      <c r="A71" s="2">
        <v>71</v>
      </c>
      <c r="B71">
        <f t="shared" si="4"/>
        <v>64.732787879</v>
      </c>
      <c r="C71">
        <f t="shared" si="5"/>
        <v>122.57866906124839</v>
      </c>
    </row>
    <row r="72" spans="1:3">
      <c r="A72" s="2">
        <v>72</v>
      </c>
      <c r="B72">
        <f t="shared" si="4"/>
        <v>65.750484848699998</v>
      </c>
      <c r="C72">
        <f t="shared" si="5"/>
        <v>122.80047594819671</v>
      </c>
    </row>
    <row r="73" spans="1:3">
      <c r="A73" s="2">
        <v>73</v>
      </c>
      <c r="B73">
        <f t="shared" si="4"/>
        <v>66.768181818399995</v>
      </c>
      <c r="C73">
        <f t="shared" si="5"/>
        <v>123.02321569879695</v>
      </c>
    </row>
    <row r="74" spans="1:3">
      <c r="A74" s="2">
        <v>74</v>
      </c>
      <c r="B74">
        <f t="shared" si="4"/>
        <v>67.785878788100007</v>
      </c>
      <c r="C74">
        <f t="shared" si="5"/>
        <v>123.24688732754541</v>
      </c>
    </row>
    <row r="75" spans="1:3">
      <c r="A75" s="2">
        <v>75</v>
      </c>
      <c r="B75">
        <f t="shared" si="4"/>
        <v>68.803575757800004</v>
      </c>
      <c r="C75">
        <f t="shared" si="5"/>
        <v>123.47148981794446</v>
      </c>
    </row>
    <row r="76" spans="1:3">
      <c r="A76" s="2">
        <v>76</v>
      </c>
      <c r="B76">
        <f t="shared" si="4"/>
        <v>69.821272727500002</v>
      </c>
      <c r="C76">
        <f t="shared" si="5"/>
        <v>123.69702212267646</v>
      </c>
    </row>
    <row r="77" spans="1:3">
      <c r="A77" s="2">
        <v>77</v>
      </c>
      <c r="B77">
        <f t="shared" si="4"/>
        <v>70.8389696972</v>
      </c>
      <c r="C77">
        <f t="shared" si="5"/>
        <v>123.92348316378269</v>
      </c>
    </row>
    <row r="78" spans="1:3">
      <c r="A78" s="2">
        <v>78</v>
      </c>
      <c r="B78">
        <f t="shared" si="4"/>
        <v>71.856666666899997</v>
      </c>
      <c r="C78">
        <f t="shared" si="5"/>
        <v>124.15087183284696</v>
      </c>
    </row>
    <row r="79" spans="1:3">
      <c r="A79" s="2">
        <v>79</v>
      </c>
      <c r="B79">
        <f t="shared" si="4"/>
        <v>72.874363636599995</v>
      </c>
      <c r="C79">
        <f t="shared" si="5"/>
        <v>124.37918699118394</v>
      </c>
    </row>
    <row r="80" spans="1:3">
      <c r="A80" s="2">
        <v>80</v>
      </c>
      <c r="B80">
        <f t="shared" si="4"/>
        <v>73.892060606300006</v>
      </c>
      <c r="C80">
        <f t="shared" si="5"/>
        <v>124.6084274700321</v>
      </c>
    </row>
    <row r="81" spans="1:3">
      <c r="A81" s="2">
        <v>81</v>
      </c>
      <c r="B81">
        <f t="shared" si="4"/>
        <v>74.909757576000004</v>
      </c>
      <c r="C81">
        <f t="shared" si="5"/>
        <v>124.8385920707511</v>
      </c>
    </row>
    <row r="82" spans="1:3">
      <c r="A82" s="2">
        <v>82</v>
      </c>
      <c r="B82">
        <f t="shared" si="4"/>
        <v>75.927454545700002</v>
      </c>
      <c r="C82">
        <f t="shared" si="5"/>
        <v>125.06967956502393</v>
      </c>
    </row>
    <row r="83" spans="1:3">
      <c r="A83" s="2">
        <v>83</v>
      </c>
      <c r="B83">
        <f t="shared" si="4"/>
        <v>76.945151515399999</v>
      </c>
      <c r="C83">
        <f t="shared" si="5"/>
        <v>125.30168869506298</v>
      </c>
    </row>
    <row r="84" spans="1:3">
      <c r="A84" s="2">
        <v>84</v>
      </c>
      <c r="B84">
        <f t="shared" si="4"/>
        <v>77.962848485099997</v>
      </c>
      <c r="C84">
        <f t="shared" si="5"/>
        <v>125.53461817382086</v>
      </c>
    </row>
    <row r="85" spans="1:3">
      <c r="A85" s="2">
        <v>85</v>
      </c>
      <c r="B85">
        <f t="shared" si="4"/>
        <v>78.980545454799994</v>
      </c>
      <c r="C85">
        <f t="shared" si="5"/>
        <v>125.7684666852052</v>
      </c>
    </row>
    <row r="86" spans="1:3">
      <c r="A86" s="2">
        <v>86</v>
      </c>
      <c r="B86">
        <f t="shared" si="4"/>
        <v>79.998242424500006</v>
      </c>
      <c r="C86">
        <f t="shared" si="5"/>
        <v>126.00323288429762</v>
      </c>
    </row>
    <row r="87" spans="1:3">
      <c r="A87" s="2">
        <v>87</v>
      </c>
      <c r="B87">
        <f t="shared" si="4"/>
        <v>81.015939394200004</v>
      </c>
      <c r="C87">
        <f t="shared" si="5"/>
        <v>126.2389153975769</v>
      </c>
    </row>
    <row r="88" spans="1:3">
      <c r="A88" s="2">
        <v>88</v>
      </c>
      <c r="B88">
        <f t="shared" si="4"/>
        <v>82.033636363900001</v>
      </c>
      <c r="C88">
        <f t="shared" si="5"/>
        <v>126.47551282314595</v>
      </c>
    </row>
    <row r="89" spans="1:3">
      <c r="A89" s="2">
        <v>89</v>
      </c>
      <c r="B89">
        <f t="shared" si="4"/>
        <v>83.051333333599999</v>
      </c>
      <c r="C89">
        <f t="shared" si="5"/>
        <v>126.71302373096276</v>
      </c>
    </row>
    <row r="90" spans="1:3">
      <c r="A90" s="2">
        <v>90</v>
      </c>
      <c r="B90">
        <f t="shared" si="4"/>
        <v>84.069030303299996</v>
      </c>
      <c r="C90">
        <f t="shared" si="5"/>
        <v>126.95144666307522</v>
      </c>
    </row>
    <row r="91" spans="1:3">
      <c r="A91" s="2">
        <v>91</v>
      </c>
      <c r="B91">
        <f t="shared" si="4"/>
        <v>85.086727272999994</v>
      </c>
      <c r="C91">
        <f t="shared" si="5"/>
        <v>127.19078013385953</v>
      </c>
    </row>
    <row r="92" spans="1:3">
      <c r="A92" s="2">
        <v>92</v>
      </c>
      <c r="B92">
        <f t="shared" si="4"/>
        <v>86.104424242700006</v>
      </c>
      <c r="C92">
        <f t="shared" si="5"/>
        <v>127.4310226302624</v>
      </c>
    </row>
    <row r="93" spans="1:3">
      <c r="A93" s="2">
        <v>93</v>
      </c>
      <c r="B93">
        <f t="shared" si="4"/>
        <v>87.122121212400003</v>
      </c>
      <c r="C93">
        <f t="shared" si="5"/>
        <v>127.67217261204661</v>
      </c>
    </row>
    <row r="94" spans="1:3">
      <c r="A94" s="2">
        <v>94</v>
      </c>
      <c r="B94">
        <f t="shared" si="4"/>
        <v>88.139818182100001</v>
      </c>
      <c r="C94">
        <f t="shared" si="5"/>
        <v>127.91422851204017</v>
      </c>
    </row>
    <row r="95" spans="1:3">
      <c r="A95" s="2">
        <v>95</v>
      </c>
      <c r="B95">
        <f t="shared" si="4"/>
        <v>89.157515151799998</v>
      </c>
      <c r="C95">
        <f t="shared" si="5"/>
        <v>128.15718873638883</v>
      </c>
    </row>
    <row r="96" spans="1:3">
      <c r="A96" s="2">
        <v>96</v>
      </c>
      <c r="B96">
        <f t="shared" si="4"/>
        <v>90.175212121499996</v>
      </c>
      <c r="C96">
        <f t="shared" si="5"/>
        <v>128.40105166481192</v>
      </c>
    </row>
    <row r="97" spans="1:3">
      <c r="A97" s="2">
        <v>97</v>
      </c>
      <c r="B97">
        <f t="shared" ref="B97:B100" si="6">-6.506+(A97-1)*1.0176969697</f>
        <v>91.192909091199994</v>
      </c>
      <c r="C97">
        <f t="shared" ref="C97:C100" si="7">29.9299466909008+0.191058329060505*B97+79.6347749969089*(1.00657894736842+(B97-35.6961842105263)^2/86774.9397868421)^0.5</f>
        <v>128.64581565086098</v>
      </c>
    </row>
    <row r="98" spans="1:3">
      <c r="A98" s="2">
        <v>98</v>
      </c>
      <c r="B98">
        <f t="shared" si="6"/>
        <v>92.210606060900005</v>
      </c>
      <c r="C98">
        <f t="shared" si="7"/>
        <v>128.8914790221823</v>
      </c>
    </row>
    <row r="99" spans="1:3">
      <c r="A99" s="2">
        <v>99</v>
      </c>
      <c r="B99">
        <f t="shared" si="6"/>
        <v>93.228303030600003</v>
      </c>
      <c r="C99">
        <f t="shared" si="7"/>
        <v>129.13804008078139</v>
      </c>
    </row>
    <row r="100" spans="1:3">
      <c r="A100" s="2">
        <v>100</v>
      </c>
      <c r="B100">
        <f t="shared" si="6"/>
        <v>94.2460000003</v>
      </c>
      <c r="C100">
        <f t="shared" si="7"/>
        <v>129.38549710329144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enableFormatConditionsCalculation="0"/>
  <dimension ref="A1:C70"/>
  <sheetViews>
    <sheetView workbookViewId="0"/>
  </sheetViews>
  <sheetFormatPr baseColWidth="10" defaultRowHeight="15.75"/>
  <sheetData>
    <row r="1" spans="1:3">
      <c r="A1" s="2">
        <v>1</v>
      </c>
      <c r="B1">
        <f t="shared" ref="B1:B32" si="0">29.6493966405+(A1-1)*0.3760778036</f>
        <v>29.649396640500001</v>
      </c>
      <c r="C1">
        <f t="shared" ref="C1:C32" si="1">0+1*B1-79.6347749969089*(1.00657894736842+(B1-36.75)^2/243648.929633131)^0.5</f>
        <v>-50.255117482772235</v>
      </c>
    </row>
    <row r="2" spans="1:3">
      <c r="A2" s="2">
        <v>2</v>
      </c>
      <c r="B2">
        <f t="shared" si="0"/>
        <v>30.025474444100002</v>
      </c>
      <c r="C2">
        <f t="shared" si="1"/>
        <v>-49.878192863496395</v>
      </c>
    </row>
    <row r="3" spans="1:3">
      <c r="A3" s="2">
        <v>3</v>
      </c>
      <c r="B3">
        <f t="shared" si="0"/>
        <v>30.4015522477</v>
      </c>
      <c r="C3">
        <f t="shared" si="1"/>
        <v>-49.501314306939321</v>
      </c>
    </row>
    <row r="4" spans="1:3">
      <c r="A4" s="2">
        <v>4</v>
      </c>
      <c r="B4">
        <f t="shared" si="0"/>
        <v>30.777630051300001</v>
      </c>
      <c r="C4">
        <f t="shared" si="1"/>
        <v>-49.124481814485939</v>
      </c>
    </row>
    <row r="5" spans="1:3">
      <c r="A5" s="2">
        <v>5</v>
      </c>
      <c r="B5">
        <f t="shared" si="0"/>
        <v>31.153707854900002</v>
      </c>
      <c r="C5">
        <f t="shared" si="1"/>
        <v>-48.747695387441482</v>
      </c>
    </row>
    <row r="6" spans="1:3">
      <c r="A6" s="2">
        <v>6</v>
      </c>
      <c r="B6">
        <f t="shared" si="0"/>
        <v>31.5297856585</v>
      </c>
      <c r="C6">
        <f t="shared" si="1"/>
        <v>-48.370955027031613</v>
      </c>
    </row>
    <row r="7" spans="1:3">
      <c r="A7" s="2">
        <v>7</v>
      </c>
      <c r="B7">
        <f t="shared" si="0"/>
        <v>31.905863462100001</v>
      </c>
      <c r="C7">
        <f t="shared" si="1"/>
        <v>-47.994260734402317</v>
      </c>
    </row>
    <row r="8" spans="1:3">
      <c r="A8" s="2">
        <v>8</v>
      </c>
      <c r="B8">
        <f t="shared" si="0"/>
        <v>32.281941265699999</v>
      </c>
      <c r="C8">
        <f t="shared" si="1"/>
        <v>-47.617612510619921</v>
      </c>
    </row>
    <row r="9" spans="1:3">
      <c r="A9" s="2">
        <v>9</v>
      </c>
      <c r="B9">
        <f t="shared" si="0"/>
        <v>32.658019069300003</v>
      </c>
      <c r="C9">
        <f t="shared" si="1"/>
        <v>-47.241010356671133</v>
      </c>
    </row>
    <row r="10" spans="1:3">
      <c r="A10" s="2">
        <v>10</v>
      </c>
      <c r="B10">
        <f t="shared" si="0"/>
        <v>33.034096872900001</v>
      </c>
      <c r="C10">
        <f t="shared" si="1"/>
        <v>-46.864454273463018</v>
      </c>
    </row>
    <row r="11" spans="1:3">
      <c r="A11" s="2">
        <v>11</v>
      </c>
      <c r="B11">
        <f t="shared" si="0"/>
        <v>33.410174676499999</v>
      </c>
      <c r="C11">
        <f t="shared" si="1"/>
        <v>-46.487944261822868</v>
      </c>
    </row>
    <row r="12" spans="1:3">
      <c r="A12" s="2">
        <v>12</v>
      </c>
      <c r="B12">
        <f t="shared" si="0"/>
        <v>33.786252480100003</v>
      </c>
      <c r="C12">
        <f t="shared" si="1"/>
        <v>-46.111480322498366</v>
      </c>
    </row>
    <row r="13" spans="1:3">
      <c r="A13" s="2">
        <v>13</v>
      </c>
      <c r="B13">
        <f t="shared" si="0"/>
        <v>34.162330283700001</v>
      </c>
      <c r="C13">
        <f t="shared" si="1"/>
        <v>-45.735062456157564</v>
      </c>
    </row>
    <row r="14" spans="1:3">
      <c r="A14" s="2">
        <v>14</v>
      </c>
      <c r="B14">
        <f t="shared" si="0"/>
        <v>34.538408087299999</v>
      </c>
      <c r="C14">
        <f t="shared" si="1"/>
        <v>-45.358690663388685</v>
      </c>
    </row>
    <row r="15" spans="1:3">
      <c r="A15" s="2">
        <v>15</v>
      </c>
      <c r="B15">
        <f t="shared" si="0"/>
        <v>34.914485890900004</v>
      </c>
      <c r="C15">
        <f t="shared" si="1"/>
        <v>-44.982364944700358</v>
      </c>
    </row>
    <row r="16" spans="1:3">
      <c r="A16" s="2">
        <v>16</v>
      </c>
      <c r="B16">
        <f t="shared" si="0"/>
        <v>35.290563694500001</v>
      </c>
      <c r="C16">
        <f t="shared" si="1"/>
        <v>-44.606085300521492</v>
      </c>
    </row>
    <row r="17" spans="1:3">
      <c r="A17" s="2">
        <v>17</v>
      </c>
      <c r="B17">
        <f t="shared" si="0"/>
        <v>35.666641498099999</v>
      </c>
      <c r="C17">
        <f t="shared" si="1"/>
        <v>-44.229851731201229</v>
      </c>
    </row>
    <row r="18" spans="1:3">
      <c r="A18" s="2">
        <v>18</v>
      </c>
      <c r="B18">
        <f t="shared" si="0"/>
        <v>36.042719301700004</v>
      </c>
      <c r="C18">
        <f t="shared" si="1"/>
        <v>-43.853664237009113</v>
      </c>
    </row>
    <row r="19" spans="1:3">
      <c r="A19" s="2">
        <v>19</v>
      </c>
      <c r="B19">
        <f t="shared" si="0"/>
        <v>36.418797105300001</v>
      </c>
      <c r="C19">
        <f t="shared" si="1"/>
        <v>-43.477522818134887</v>
      </c>
    </row>
    <row r="20" spans="1:3">
      <c r="A20" s="2">
        <v>20</v>
      </c>
      <c r="B20">
        <f t="shared" si="0"/>
        <v>36.794874908899999</v>
      </c>
      <c r="C20">
        <f t="shared" si="1"/>
        <v>-43.10142747468862</v>
      </c>
    </row>
    <row r="21" spans="1:3">
      <c r="A21" s="2">
        <v>21</v>
      </c>
      <c r="B21">
        <f t="shared" si="0"/>
        <v>37.170952712499997</v>
      </c>
      <c r="C21">
        <f t="shared" si="1"/>
        <v>-42.725378206700626</v>
      </c>
    </row>
    <row r="22" spans="1:3">
      <c r="A22" s="2">
        <v>22</v>
      </c>
      <c r="B22">
        <f t="shared" si="0"/>
        <v>37.547030516100001</v>
      </c>
      <c r="C22">
        <f t="shared" si="1"/>
        <v>-42.349375014121556</v>
      </c>
    </row>
    <row r="23" spans="1:3">
      <c r="A23" s="2">
        <v>23</v>
      </c>
      <c r="B23">
        <f t="shared" si="0"/>
        <v>37.923108319699999</v>
      </c>
      <c r="C23">
        <f t="shared" si="1"/>
        <v>-41.973417896822347</v>
      </c>
    </row>
    <row r="24" spans="1:3">
      <c r="A24" s="2">
        <v>24</v>
      </c>
      <c r="B24">
        <f t="shared" si="0"/>
        <v>38.299186123300004</v>
      </c>
      <c r="C24">
        <f t="shared" si="1"/>
        <v>-41.597506854594172</v>
      </c>
    </row>
    <row r="25" spans="1:3">
      <c r="A25" s="2">
        <v>25</v>
      </c>
      <c r="B25">
        <f t="shared" si="0"/>
        <v>38.675263926900001</v>
      </c>
      <c r="C25">
        <f t="shared" si="1"/>
        <v>-41.22164188714855</v>
      </c>
    </row>
    <row r="26" spans="1:3">
      <c r="A26" s="2">
        <v>26</v>
      </c>
      <c r="B26">
        <f t="shared" si="0"/>
        <v>39.051341730499999</v>
      </c>
      <c r="C26">
        <f t="shared" si="1"/>
        <v>-40.845822994117256</v>
      </c>
    </row>
    <row r="27" spans="1:3">
      <c r="A27" s="2">
        <v>27</v>
      </c>
      <c r="B27">
        <f t="shared" si="0"/>
        <v>39.427419534099997</v>
      </c>
      <c r="C27">
        <f t="shared" si="1"/>
        <v>-40.470050175052364</v>
      </c>
    </row>
    <row r="28" spans="1:3">
      <c r="A28" s="2">
        <v>28</v>
      </c>
      <c r="B28">
        <f t="shared" si="0"/>
        <v>39.803497337700001</v>
      </c>
      <c r="C28">
        <f t="shared" si="1"/>
        <v>-40.094323429426304</v>
      </c>
    </row>
    <row r="29" spans="1:3">
      <c r="A29" s="2">
        <v>29</v>
      </c>
      <c r="B29">
        <f t="shared" si="0"/>
        <v>40.179575141299999</v>
      </c>
      <c r="C29">
        <f t="shared" si="1"/>
        <v>-39.718642756631688</v>
      </c>
    </row>
    <row r="30" spans="1:3">
      <c r="A30" s="2">
        <v>30</v>
      </c>
      <c r="B30">
        <f t="shared" si="0"/>
        <v>40.555652944900004</v>
      </c>
      <c r="C30">
        <f t="shared" si="1"/>
        <v>-39.343008155981565</v>
      </c>
    </row>
    <row r="31" spans="1:3">
      <c r="A31" s="2">
        <v>31</v>
      </c>
      <c r="B31">
        <f t="shared" si="0"/>
        <v>40.931730748500001</v>
      </c>
      <c r="C31">
        <f t="shared" si="1"/>
        <v>-38.96741962670923</v>
      </c>
    </row>
    <row r="32" spans="1:3">
      <c r="A32" s="2">
        <v>32</v>
      </c>
      <c r="B32">
        <f t="shared" si="0"/>
        <v>41.307808552099999</v>
      </c>
      <c r="C32">
        <f t="shared" si="1"/>
        <v>-38.591877167968306</v>
      </c>
    </row>
    <row r="33" spans="1:3">
      <c r="A33" s="2">
        <v>33</v>
      </c>
      <c r="B33">
        <f t="shared" ref="B33:B64" si="2">29.6493966405+(A33-1)*0.3760778036</f>
        <v>41.683886355699997</v>
      </c>
      <c r="C33">
        <f t="shared" ref="C33:C64" si="3">0+1*B33-79.6347749969089*(1.00657894736842+(B33-36.75)^2/243648.929633131)^0.5</f>
        <v>-38.216380778832772</v>
      </c>
    </row>
    <row r="34" spans="1:3">
      <c r="A34" s="2">
        <v>34</v>
      </c>
      <c r="B34">
        <f t="shared" si="2"/>
        <v>42.059964159300002</v>
      </c>
      <c r="C34">
        <f t="shared" si="3"/>
        <v>-37.840930458296889</v>
      </c>
    </row>
    <row r="35" spans="1:3">
      <c r="A35" s="2">
        <v>35</v>
      </c>
      <c r="B35">
        <f t="shared" si="2"/>
        <v>42.436041962899999</v>
      </c>
      <c r="C35">
        <f t="shared" si="3"/>
        <v>-37.465526205275332</v>
      </c>
    </row>
    <row r="36" spans="1:3">
      <c r="A36" s="2">
        <v>36</v>
      </c>
      <c r="B36">
        <f t="shared" si="2"/>
        <v>42.812119766500004</v>
      </c>
      <c r="C36">
        <f t="shared" si="3"/>
        <v>-37.090168018603094</v>
      </c>
    </row>
    <row r="37" spans="1:3">
      <c r="A37" s="2">
        <v>37</v>
      </c>
      <c r="B37">
        <f t="shared" si="2"/>
        <v>43.188197570100002</v>
      </c>
      <c r="C37">
        <f t="shared" si="3"/>
        <v>-36.714855897035505</v>
      </c>
    </row>
    <row r="38" spans="1:3">
      <c r="A38" s="2">
        <v>38</v>
      </c>
      <c r="B38">
        <f t="shared" si="2"/>
        <v>43.564275373699999</v>
      </c>
      <c r="C38">
        <f t="shared" si="3"/>
        <v>-36.339589839248362</v>
      </c>
    </row>
    <row r="39" spans="1:3">
      <c r="A39" s="2">
        <v>39</v>
      </c>
      <c r="B39">
        <f t="shared" si="2"/>
        <v>43.940353177299997</v>
      </c>
      <c r="C39">
        <f t="shared" si="3"/>
        <v>-35.964369843837758</v>
      </c>
    </row>
    <row r="40" spans="1:3">
      <c r="A40" s="2">
        <v>40</v>
      </c>
      <c r="B40">
        <f t="shared" si="2"/>
        <v>44.316430980900002</v>
      </c>
      <c r="C40">
        <f t="shared" si="3"/>
        <v>-35.589195909320189</v>
      </c>
    </row>
    <row r="41" spans="1:3">
      <c r="A41" s="2">
        <v>41</v>
      </c>
      <c r="B41">
        <f t="shared" si="2"/>
        <v>44.692508784499999</v>
      </c>
      <c r="C41">
        <f t="shared" si="3"/>
        <v>-35.214068034132616</v>
      </c>
    </row>
    <row r="42" spans="1:3">
      <c r="A42" s="2">
        <v>42</v>
      </c>
      <c r="B42">
        <f t="shared" si="2"/>
        <v>45.068586588100004</v>
      </c>
      <c r="C42">
        <f t="shared" si="3"/>
        <v>-34.838986216632421</v>
      </c>
    </row>
    <row r="43" spans="1:3">
      <c r="A43" s="2">
        <v>43</v>
      </c>
      <c r="B43">
        <f t="shared" si="2"/>
        <v>45.444664391700002</v>
      </c>
      <c r="C43">
        <f t="shared" si="3"/>
        <v>-34.463950455097375</v>
      </c>
    </row>
    <row r="44" spans="1:3">
      <c r="A44" s="2">
        <v>44</v>
      </c>
      <c r="B44">
        <f t="shared" si="2"/>
        <v>45.820742195299999</v>
      </c>
      <c r="C44">
        <f t="shared" si="3"/>
        <v>-34.088960747725778</v>
      </c>
    </row>
    <row r="45" spans="1:3">
      <c r="A45" s="2">
        <v>45</v>
      </c>
      <c r="B45">
        <f t="shared" si="2"/>
        <v>46.196819998899997</v>
      </c>
      <c r="C45">
        <f t="shared" si="3"/>
        <v>-33.714017092636297</v>
      </c>
    </row>
    <row r="46" spans="1:3">
      <c r="A46" s="2">
        <v>46</v>
      </c>
      <c r="B46">
        <f t="shared" si="2"/>
        <v>46.572897802500002</v>
      </c>
      <c r="C46">
        <f t="shared" si="3"/>
        <v>-33.339119487868182</v>
      </c>
    </row>
    <row r="47" spans="1:3">
      <c r="A47" s="2">
        <v>47</v>
      </c>
      <c r="B47">
        <f t="shared" si="2"/>
        <v>46.948975606099999</v>
      </c>
      <c r="C47">
        <f t="shared" si="3"/>
        <v>-32.964267931381151</v>
      </c>
    </row>
    <row r="48" spans="1:3">
      <c r="A48" s="2">
        <v>48</v>
      </c>
      <c r="B48">
        <f t="shared" si="2"/>
        <v>47.325053409700004</v>
      </c>
      <c r="C48">
        <f t="shared" si="3"/>
        <v>-32.589462421055416</v>
      </c>
    </row>
    <row r="49" spans="1:3">
      <c r="A49" s="2">
        <v>49</v>
      </c>
      <c r="B49">
        <f t="shared" si="2"/>
        <v>47.701131213300002</v>
      </c>
      <c r="C49">
        <f t="shared" si="3"/>
        <v>-32.214702954691802</v>
      </c>
    </row>
    <row r="50" spans="1:3">
      <c r="A50" s="2">
        <v>50</v>
      </c>
      <c r="B50">
        <f t="shared" si="2"/>
        <v>48.077209016899999</v>
      </c>
      <c r="C50">
        <f t="shared" si="3"/>
        <v>-31.839989530011607</v>
      </c>
    </row>
    <row r="51" spans="1:3">
      <c r="A51" s="2">
        <v>51</v>
      </c>
      <c r="B51">
        <f t="shared" si="2"/>
        <v>48.453286820499997</v>
      </c>
      <c r="C51">
        <f t="shared" si="3"/>
        <v>-31.465322144656753</v>
      </c>
    </row>
    <row r="52" spans="1:3">
      <c r="A52" s="2">
        <v>52</v>
      </c>
      <c r="B52">
        <f t="shared" si="2"/>
        <v>48.829364624099995</v>
      </c>
      <c r="C52">
        <f t="shared" si="3"/>
        <v>-31.090700796189765</v>
      </c>
    </row>
    <row r="53" spans="1:3">
      <c r="A53" s="2">
        <v>53</v>
      </c>
      <c r="B53">
        <f t="shared" si="2"/>
        <v>49.2054424277</v>
      </c>
      <c r="C53">
        <f t="shared" si="3"/>
        <v>-30.716125482093766</v>
      </c>
    </row>
    <row r="54" spans="1:3">
      <c r="A54" s="2">
        <v>54</v>
      </c>
      <c r="B54">
        <f t="shared" si="2"/>
        <v>49.581520231300004</v>
      </c>
      <c r="C54">
        <f t="shared" si="3"/>
        <v>-30.341596199772525</v>
      </c>
    </row>
    <row r="55" spans="1:3">
      <c r="A55" s="2">
        <v>55</v>
      </c>
      <c r="B55">
        <f t="shared" si="2"/>
        <v>49.957598034900002</v>
      </c>
      <c r="C55">
        <f t="shared" si="3"/>
        <v>-29.967112946550472</v>
      </c>
    </row>
    <row r="56" spans="1:3">
      <c r="A56" s="2">
        <v>56</v>
      </c>
      <c r="B56">
        <f t="shared" si="2"/>
        <v>50.3336758385</v>
      </c>
      <c r="C56">
        <f t="shared" si="3"/>
        <v>-29.592675719672769</v>
      </c>
    </row>
    <row r="57" spans="1:3">
      <c r="A57" s="2">
        <v>57</v>
      </c>
      <c r="B57">
        <f t="shared" si="2"/>
        <v>50.709753642099997</v>
      </c>
      <c r="C57">
        <f t="shared" si="3"/>
        <v>-29.218284516305218</v>
      </c>
    </row>
    <row r="58" spans="1:3">
      <c r="A58" s="2">
        <v>58</v>
      </c>
      <c r="B58">
        <f t="shared" si="2"/>
        <v>51.085831445699995</v>
      </c>
      <c r="C58">
        <f t="shared" si="3"/>
        <v>-28.843939333534394</v>
      </c>
    </row>
    <row r="59" spans="1:3">
      <c r="A59" s="2">
        <v>59</v>
      </c>
      <c r="B59">
        <f t="shared" si="2"/>
        <v>51.4619092493</v>
      </c>
      <c r="C59">
        <f t="shared" si="3"/>
        <v>-28.46964016836764</v>
      </c>
    </row>
    <row r="60" spans="1:3">
      <c r="A60" s="2">
        <v>60</v>
      </c>
      <c r="B60">
        <f t="shared" si="2"/>
        <v>51.837987052900004</v>
      </c>
      <c r="C60">
        <f t="shared" si="3"/>
        <v>-28.095387017733074</v>
      </c>
    </row>
    <row r="61" spans="1:3">
      <c r="A61" s="2">
        <v>61</v>
      </c>
      <c r="B61">
        <f t="shared" si="2"/>
        <v>52.214064856500002</v>
      </c>
      <c r="C61">
        <f t="shared" si="3"/>
        <v>-27.721179878479603</v>
      </c>
    </row>
    <row r="62" spans="1:3">
      <c r="A62" s="2">
        <v>62</v>
      </c>
      <c r="B62">
        <f t="shared" si="2"/>
        <v>52.5901426601</v>
      </c>
      <c r="C62">
        <f t="shared" si="3"/>
        <v>-27.347018747377007</v>
      </c>
    </row>
    <row r="63" spans="1:3">
      <c r="A63" s="2">
        <v>63</v>
      </c>
      <c r="B63">
        <f t="shared" si="2"/>
        <v>52.966220463699997</v>
      </c>
      <c r="C63">
        <f t="shared" si="3"/>
        <v>-26.972903621115947</v>
      </c>
    </row>
    <row r="64" spans="1:3">
      <c r="A64" s="2">
        <v>64</v>
      </c>
      <c r="B64">
        <f t="shared" si="2"/>
        <v>53.342298267299995</v>
      </c>
      <c r="C64">
        <f t="shared" si="3"/>
        <v>-26.598834496307887</v>
      </c>
    </row>
    <row r="65" spans="1:3">
      <c r="A65" s="2">
        <v>65</v>
      </c>
      <c r="B65">
        <f t="shared" ref="B65:B70" si="4">29.6493966405+(A65-1)*0.3760778036</f>
        <v>53.7183760709</v>
      </c>
      <c r="C65">
        <f t="shared" ref="C65:C70" si="5">0+1*B65-79.6347749969089*(1.00657894736842+(B65-36.75)^2/243648.929633131)^0.5</f>
        <v>-26.22481136948533</v>
      </c>
    </row>
    <row r="66" spans="1:3">
      <c r="A66" s="2">
        <v>66</v>
      </c>
      <c r="B66">
        <f t="shared" si="4"/>
        <v>54.094453874500005</v>
      </c>
      <c r="C66">
        <f t="shared" si="5"/>
        <v>-25.850834237101708</v>
      </c>
    </row>
    <row r="67" spans="1:3">
      <c r="A67" s="2">
        <v>67</v>
      </c>
      <c r="B67">
        <f t="shared" si="4"/>
        <v>54.470531678100002</v>
      </c>
      <c r="C67">
        <f t="shared" si="5"/>
        <v>-25.476903095531398</v>
      </c>
    </row>
    <row r="68" spans="1:3">
      <c r="A68" s="2">
        <v>68</v>
      </c>
      <c r="B68">
        <f t="shared" si="4"/>
        <v>54.8466094817</v>
      </c>
      <c r="C68">
        <f t="shared" si="5"/>
        <v>-25.103017941069794</v>
      </c>
    </row>
    <row r="69" spans="1:3">
      <c r="A69" s="2">
        <v>69</v>
      </c>
      <c r="B69">
        <f t="shared" si="4"/>
        <v>55.222687285299997</v>
      </c>
      <c r="C69">
        <f t="shared" si="5"/>
        <v>-24.729178769933398</v>
      </c>
    </row>
    <row r="70" spans="1:3">
      <c r="A70" s="2">
        <v>70</v>
      </c>
      <c r="B70">
        <f t="shared" si="4"/>
        <v>55.598765088899995</v>
      </c>
      <c r="C70">
        <f t="shared" si="5"/>
        <v>-24.355385578259742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enableFormatConditionsCalculation="0"/>
  <dimension ref="A1:C70"/>
  <sheetViews>
    <sheetView workbookViewId="0"/>
  </sheetViews>
  <sheetFormatPr baseColWidth="10" defaultRowHeight="15.75"/>
  <sheetData>
    <row r="1" spans="1:3">
      <c r="A1" s="2">
        <v>1</v>
      </c>
      <c r="B1">
        <f t="shared" ref="B1:B32" si="0">24.2328375463+(A1-1)*0.45457866</f>
        <v>24.232837546300001</v>
      </c>
      <c r="C1">
        <f t="shared" ref="C1:C32" si="1">0+1*B1+79.6347749969089*(1.00657894736842+(B1-36.75)^2/243648.929633131)^0.5</f>
        <v>104.15465643445546</v>
      </c>
    </row>
    <row r="2" spans="1:3">
      <c r="A2" s="2">
        <v>2</v>
      </c>
      <c r="B2">
        <f t="shared" si="0"/>
        <v>24.6874162063</v>
      </c>
      <c r="C2">
        <f t="shared" si="1"/>
        <v>104.60741565740373</v>
      </c>
    </row>
    <row r="3" spans="1:3">
      <c r="A3" s="2">
        <v>3</v>
      </c>
      <c r="B3">
        <f t="shared" si="0"/>
        <v>25.141994866299999</v>
      </c>
      <c r="C3">
        <f t="shared" si="1"/>
        <v>105.06024213866112</v>
      </c>
    </row>
    <row r="4" spans="1:3">
      <c r="A4" s="2">
        <v>4</v>
      </c>
      <c r="B4">
        <f t="shared" si="0"/>
        <v>25.596573526300002</v>
      </c>
      <c r="C4">
        <f t="shared" si="1"/>
        <v>105.51313588265153</v>
      </c>
    </row>
    <row r="5" spans="1:3">
      <c r="A5" s="2">
        <v>5</v>
      </c>
      <c r="B5">
        <f t="shared" si="0"/>
        <v>26.051152186300001</v>
      </c>
      <c r="C5">
        <f t="shared" si="1"/>
        <v>105.9660968936294</v>
      </c>
    </row>
    <row r="6" spans="1:3">
      <c r="A6" s="2">
        <v>6</v>
      </c>
      <c r="B6">
        <f t="shared" si="0"/>
        <v>26.505730846300001</v>
      </c>
      <c r="C6">
        <f t="shared" si="1"/>
        <v>106.41912517567977</v>
      </c>
    </row>
    <row r="7" spans="1:3">
      <c r="A7" s="2">
        <v>7</v>
      </c>
      <c r="B7">
        <f t="shared" si="0"/>
        <v>26.9603095063</v>
      </c>
      <c r="C7">
        <f t="shared" si="1"/>
        <v>106.87222073271795</v>
      </c>
    </row>
    <row r="8" spans="1:3">
      <c r="A8" s="2">
        <v>8</v>
      </c>
      <c r="B8">
        <f t="shared" si="0"/>
        <v>27.414888166300003</v>
      </c>
      <c r="C8">
        <f t="shared" si="1"/>
        <v>107.32538356848981</v>
      </c>
    </row>
    <row r="9" spans="1:3">
      <c r="A9" s="2">
        <v>9</v>
      </c>
      <c r="B9">
        <f t="shared" si="0"/>
        <v>27.869466826300002</v>
      </c>
      <c r="C9">
        <f t="shared" si="1"/>
        <v>107.77861368657139</v>
      </c>
    </row>
    <row r="10" spans="1:3">
      <c r="A10" s="2">
        <v>10</v>
      </c>
      <c r="B10">
        <f t="shared" si="0"/>
        <v>28.324045486300001</v>
      </c>
      <c r="C10">
        <f t="shared" si="1"/>
        <v>108.23191109036915</v>
      </c>
    </row>
    <row r="11" spans="1:3">
      <c r="A11" s="2">
        <v>11</v>
      </c>
      <c r="B11">
        <f t="shared" si="0"/>
        <v>28.7786241463</v>
      </c>
      <c r="C11">
        <f t="shared" si="1"/>
        <v>108.68527578311972</v>
      </c>
    </row>
    <row r="12" spans="1:3">
      <c r="A12" s="2">
        <v>12</v>
      </c>
      <c r="B12">
        <f t="shared" si="0"/>
        <v>29.2332028063</v>
      </c>
      <c r="C12">
        <f t="shared" si="1"/>
        <v>109.13870776788998</v>
      </c>
    </row>
    <row r="13" spans="1:3">
      <c r="A13" s="2">
        <v>13</v>
      </c>
      <c r="B13">
        <f t="shared" si="0"/>
        <v>29.687781466300002</v>
      </c>
      <c r="C13">
        <f t="shared" si="1"/>
        <v>109.59220704757701</v>
      </c>
    </row>
    <row r="14" spans="1:3">
      <c r="A14" s="2">
        <v>14</v>
      </c>
      <c r="B14">
        <f t="shared" si="0"/>
        <v>30.142360126300002</v>
      </c>
      <c r="C14">
        <f t="shared" si="1"/>
        <v>110.04577362490789</v>
      </c>
    </row>
    <row r="15" spans="1:3">
      <c r="A15" s="2">
        <v>15</v>
      </c>
      <c r="B15">
        <f t="shared" si="0"/>
        <v>30.596938786300001</v>
      </c>
      <c r="C15">
        <f t="shared" si="1"/>
        <v>110.49940750243996</v>
      </c>
    </row>
    <row r="16" spans="1:3">
      <c r="A16" s="2">
        <v>16</v>
      </c>
      <c r="B16">
        <f t="shared" si="0"/>
        <v>31.0515174463</v>
      </c>
      <c r="C16">
        <f t="shared" si="1"/>
        <v>110.95310868256057</v>
      </c>
    </row>
    <row r="17" spans="1:3">
      <c r="A17" s="2">
        <v>17</v>
      </c>
      <c r="B17">
        <f t="shared" si="0"/>
        <v>31.506096106299999</v>
      </c>
      <c r="C17">
        <f t="shared" si="1"/>
        <v>111.40687716748707</v>
      </c>
    </row>
    <row r="18" spans="1:3">
      <c r="A18" s="2">
        <v>18</v>
      </c>
      <c r="B18">
        <f t="shared" si="0"/>
        <v>31.960674766300002</v>
      </c>
      <c r="C18">
        <f t="shared" si="1"/>
        <v>111.86071295926685</v>
      </c>
    </row>
    <row r="19" spans="1:3">
      <c r="A19" s="2">
        <v>19</v>
      </c>
      <c r="B19">
        <f t="shared" si="0"/>
        <v>32.415253426299998</v>
      </c>
      <c r="C19">
        <f t="shared" si="1"/>
        <v>112.31461605977725</v>
      </c>
    </row>
    <row r="20" spans="1:3">
      <c r="A20" s="2">
        <v>20</v>
      </c>
      <c r="B20">
        <f t="shared" si="0"/>
        <v>32.869832086300001</v>
      </c>
      <c r="C20">
        <f t="shared" si="1"/>
        <v>112.76858647072561</v>
      </c>
    </row>
    <row r="21" spans="1:3">
      <c r="A21" s="2">
        <v>21</v>
      </c>
      <c r="B21">
        <f t="shared" si="0"/>
        <v>33.324410746300003</v>
      </c>
      <c r="C21">
        <f t="shared" si="1"/>
        <v>113.22262419364924</v>
      </c>
    </row>
    <row r="22" spans="1:3">
      <c r="A22" s="2">
        <v>22</v>
      </c>
      <c r="B22">
        <f t="shared" si="0"/>
        <v>33.778989406299999</v>
      </c>
      <c r="C22">
        <f t="shared" si="1"/>
        <v>113.67672922991524</v>
      </c>
    </row>
    <row r="23" spans="1:3">
      <c r="A23" s="2">
        <v>23</v>
      </c>
      <c r="B23">
        <f t="shared" si="0"/>
        <v>34.233568066300002</v>
      </c>
      <c r="C23">
        <f t="shared" si="1"/>
        <v>114.13090158072075</v>
      </c>
    </row>
    <row r="24" spans="1:3">
      <c r="A24" s="2">
        <v>24</v>
      </c>
      <c r="B24">
        <f t="shared" si="0"/>
        <v>34.688146726300005</v>
      </c>
      <c r="C24">
        <f t="shared" si="1"/>
        <v>114.58514124709271</v>
      </c>
    </row>
    <row r="25" spans="1:3">
      <c r="A25" s="2">
        <v>25</v>
      </c>
      <c r="B25">
        <f t="shared" si="0"/>
        <v>35.1427253863</v>
      </c>
      <c r="C25">
        <f t="shared" si="1"/>
        <v>115.03944822988797</v>
      </c>
    </row>
    <row r="26" spans="1:3">
      <c r="A26" s="2">
        <v>26</v>
      </c>
      <c r="B26">
        <f t="shared" si="0"/>
        <v>35.597304046300003</v>
      </c>
      <c r="C26">
        <f t="shared" si="1"/>
        <v>115.49382252979322</v>
      </c>
    </row>
    <row r="27" spans="1:3">
      <c r="A27" s="2">
        <v>27</v>
      </c>
      <c r="B27">
        <f t="shared" si="0"/>
        <v>36.051882706299999</v>
      </c>
      <c r="C27">
        <f t="shared" si="1"/>
        <v>115.94826414732501</v>
      </c>
    </row>
    <row r="28" spans="1:3">
      <c r="A28" s="2">
        <v>28</v>
      </c>
      <c r="B28">
        <f t="shared" si="0"/>
        <v>36.506461366300002</v>
      </c>
      <c r="C28">
        <f t="shared" si="1"/>
        <v>116.40277308282977</v>
      </c>
    </row>
    <row r="29" spans="1:3">
      <c r="A29" s="2">
        <v>29</v>
      </c>
      <c r="B29">
        <f t="shared" si="0"/>
        <v>36.961040026299997</v>
      </c>
      <c r="C29">
        <f t="shared" si="1"/>
        <v>116.85734933648374</v>
      </c>
    </row>
    <row r="30" spans="1:3">
      <c r="A30" s="2">
        <v>30</v>
      </c>
      <c r="B30">
        <f t="shared" si="0"/>
        <v>37.4156186863</v>
      </c>
      <c r="C30">
        <f t="shared" si="1"/>
        <v>117.31199290829295</v>
      </c>
    </row>
    <row r="31" spans="1:3">
      <c r="A31" s="2">
        <v>31</v>
      </c>
      <c r="B31">
        <f t="shared" si="0"/>
        <v>37.870197346300003</v>
      </c>
      <c r="C31">
        <f t="shared" si="1"/>
        <v>117.76670379809339</v>
      </c>
    </row>
    <row r="32" spans="1:3">
      <c r="A32" s="2">
        <v>32</v>
      </c>
      <c r="B32">
        <f t="shared" si="0"/>
        <v>38.324776006299999</v>
      </c>
      <c r="C32">
        <f t="shared" si="1"/>
        <v>118.22148200555077</v>
      </c>
    </row>
    <row r="33" spans="1:3">
      <c r="A33" s="2">
        <v>33</v>
      </c>
      <c r="B33">
        <f t="shared" ref="B33:B64" si="2">24.2328375463+(A33-1)*0.45457866</f>
        <v>38.779354666300001</v>
      </c>
      <c r="C33">
        <f t="shared" ref="C33:C64" si="3">0+1*B33+79.6347749969089*(1.00657894736842+(B33-36.75)^2/243648.929633131)^0.5</f>
        <v>118.67632753016073</v>
      </c>
    </row>
    <row r="34" spans="1:3">
      <c r="A34" s="2">
        <v>34</v>
      </c>
      <c r="B34">
        <f t="shared" si="2"/>
        <v>39.233933326300004</v>
      </c>
      <c r="C34">
        <f t="shared" si="3"/>
        <v>119.13124037124877</v>
      </c>
    </row>
    <row r="35" spans="1:3">
      <c r="A35" s="2">
        <v>35</v>
      </c>
      <c r="B35">
        <f t="shared" si="2"/>
        <v>39.6885119863</v>
      </c>
      <c r="C35">
        <f t="shared" si="3"/>
        <v>119.58622052797011</v>
      </c>
    </row>
    <row r="36" spans="1:3">
      <c r="A36" s="2">
        <v>36</v>
      </c>
      <c r="B36">
        <f t="shared" si="2"/>
        <v>40.143090646300003</v>
      </c>
      <c r="C36">
        <f t="shared" si="3"/>
        <v>120.04126799931004</v>
      </c>
    </row>
    <row r="37" spans="1:3">
      <c r="A37" s="2">
        <v>37</v>
      </c>
      <c r="B37">
        <f t="shared" si="2"/>
        <v>40.597669306300006</v>
      </c>
      <c r="C37">
        <f t="shared" si="3"/>
        <v>120.49638278408358</v>
      </c>
    </row>
    <row r="38" spans="1:3">
      <c r="A38" s="2">
        <v>38</v>
      </c>
      <c r="B38">
        <f t="shared" si="2"/>
        <v>41.052247966300001</v>
      </c>
      <c r="C38">
        <f t="shared" si="3"/>
        <v>120.95156488093575</v>
      </c>
    </row>
    <row r="39" spans="1:3">
      <c r="A39" s="2">
        <v>39</v>
      </c>
      <c r="B39">
        <f t="shared" si="2"/>
        <v>41.506826626299997</v>
      </c>
      <c r="C39">
        <f t="shared" si="3"/>
        <v>121.40681428834144</v>
      </c>
    </row>
    <row r="40" spans="1:3">
      <c r="A40" s="2">
        <v>40</v>
      </c>
      <c r="B40">
        <f t="shared" si="2"/>
        <v>41.961405286300007</v>
      </c>
      <c r="C40">
        <f t="shared" si="3"/>
        <v>121.86213100460546</v>
      </c>
    </row>
    <row r="41" spans="1:3">
      <c r="A41" s="2">
        <v>41</v>
      </c>
      <c r="B41">
        <f t="shared" si="2"/>
        <v>42.415983946300003</v>
      </c>
      <c r="C41">
        <f t="shared" si="3"/>
        <v>122.31751502786264</v>
      </c>
    </row>
    <row r="42" spans="1:3">
      <c r="A42" s="2">
        <v>42</v>
      </c>
      <c r="B42">
        <f t="shared" si="2"/>
        <v>42.870562606299998</v>
      </c>
      <c r="C42">
        <f t="shared" si="3"/>
        <v>122.7729663560777</v>
      </c>
    </row>
    <row r="43" spans="1:3">
      <c r="A43" s="2">
        <v>43</v>
      </c>
      <c r="B43">
        <f t="shared" si="2"/>
        <v>43.325141266300001</v>
      </c>
      <c r="C43">
        <f t="shared" si="3"/>
        <v>123.22848498704545</v>
      </c>
    </row>
    <row r="44" spans="1:3">
      <c r="A44" s="2">
        <v>44</v>
      </c>
      <c r="B44">
        <f t="shared" si="2"/>
        <v>43.779719926300004</v>
      </c>
      <c r="C44">
        <f t="shared" si="3"/>
        <v>123.6840709183907</v>
      </c>
    </row>
    <row r="45" spans="1:3">
      <c r="A45" s="2">
        <v>45</v>
      </c>
      <c r="B45">
        <f t="shared" si="2"/>
        <v>44.2342985863</v>
      </c>
      <c r="C45">
        <f t="shared" si="3"/>
        <v>124.1397241475683</v>
      </c>
    </row>
    <row r="46" spans="1:3">
      <c r="A46" s="2">
        <v>46</v>
      </c>
      <c r="B46">
        <f t="shared" si="2"/>
        <v>44.688877246300002</v>
      </c>
      <c r="C46">
        <f t="shared" si="3"/>
        <v>124.59544467186325</v>
      </c>
    </row>
    <row r="47" spans="1:3">
      <c r="A47" s="2">
        <v>47</v>
      </c>
      <c r="B47">
        <f t="shared" si="2"/>
        <v>45.143455906300005</v>
      </c>
      <c r="C47">
        <f t="shared" si="3"/>
        <v>125.05123248839065</v>
      </c>
    </row>
    <row r="48" spans="1:3">
      <c r="A48" s="2">
        <v>48</v>
      </c>
      <c r="B48">
        <f t="shared" si="2"/>
        <v>45.598034566300001</v>
      </c>
      <c r="C48">
        <f t="shared" si="3"/>
        <v>125.50708759409576</v>
      </c>
    </row>
    <row r="49" spans="1:3">
      <c r="A49" s="2">
        <v>49</v>
      </c>
      <c r="B49">
        <f t="shared" si="2"/>
        <v>46.052613226299997</v>
      </c>
      <c r="C49">
        <f t="shared" si="3"/>
        <v>125.96300998575406</v>
      </c>
    </row>
    <row r="50" spans="1:3">
      <c r="A50" s="2">
        <v>50</v>
      </c>
      <c r="B50">
        <f t="shared" si="2"/>
        <v>46.507191886300006</v>
      </c>
      <c r="C50">
        <f t="shared" si="3"/>
        <v>126.41899965997131</v>
      </c>
    </row>
    <row r="51" spans="1:3">
      <c r="A51" s="2">
        <v>51</v>
      </c>
      <c r="B51">
        <f t="shared" si="2"/>
        <v>46.961770546300002</v>
      </c>
      <c r="C51">
        <f t="shared" si="3"/>
        <v>126.87505661318343</v>
      </c>
    </row>
    <row r="52" spans="1:3">
      <c r="A52" s="2">
        <v>52</v>
      </c>
      <c r="B52">
        <f t="shared" si="2"/>
        <v>47.416349206299998</v>
      </c>
      <c r="C52">
        <f t="shared" si="3"/>
        <v>127.33118084165686</v>
      </c>
    </row>
    <row r="53" spans="1:3">
      <c r="A53" s="2">
        <v>53</v>
      </c>
      <c r="B53">
        <f t="shared" si="2"/>
        <v>47.870927866300001</v>
      </c>
      <c r="C53">
        <f t="shared" si="3"/>
        <v>127.78737234148829</v>
      </c>
    </row>
    <row r="54" spans="1:3">
      <c r="A54" s="2">
        <v>54</v>
      </c>
      <c r="B54">
        <f t="shared" si="2"/>
        <v>48.325506526300003</v>
      </c>
      <c r="C54">
        <f t="shared" si="3"/>
        <v>128.24363110860486</v>
      </c>
    </row>
    <row r="55" spans="1:3">
      <c r="A55" s="2">
        <v>55</v>
      </c>
      <c r="B55">
        <f t="shared" si="2"/>
        <v>48.780085186299999</v>
      </c>
      <c r="C55">
        <f t="shared" si="3"/>
        <v>128.69995713876426</v>
      </c>
    </row>
    <row r="56" spans="1:3">
      <c r="A56" s="2">
        <v>56</v>
      </c>
      <c r="B56">
        <f t="shared" si="2"/>
        <v>49.234663846300002</v>
      </c>
      <c r="C56">
        <f t="shared" si="3"/>
        <v>129.15635042755466</v>
      </c>
    </row>
    <row r="57" spans="1:3">
      <c r="A57" s="2">
        <v>57</v>
      </c>
      <c r="B57">
        <f t="shared" si="2"/>
        <v>49.689242506300005</v>
      </c>
      <c r="C57">
        <f t="shared" si="3"/>
        <v>129.61281097039478</v>
      </c>
    </row>
    <row r="58" spans="1:3">
      <c r="A58" s="2">
        <v>58</v>
      </c>
      <c r="B58">
        <f t="shared" si="2"/>
        <v>50.1438211663</v>
      </c>
      <c r="C58">
        <f t="shared" si="3"/>
        <v>130.06933876253407</v>
      </c>
    </row>
    <row r="59" spans="1:3">
      <c r="A59" s="2">
        <v>59</v>
      </c>
      <c r="B59">
        <f t="shared" si="2"/>
        <v>50.598399826300003</v>
      </c>
      <c r="C59">
        <f t="shared" si="3"/>
        <v>130.52593379905267</v>
      </c>
    </row>
    <row r="60" spans="1:3">
      <c r="A60" s="2">
        <v>60</v>
      </c>
      <c r="B60">
        <f t="shared" si="2"/>
        <v>51.052978486300006</v>
      </c>
      <c r="C60">
        <f t="shared" si="3"/>
        <v>130.98259607486148</v>
      </c>
    </row>
    <row r="61" spans="1:3">
      <c r="A61" s="2">
        <v>61</v>
      </c>
      <c r="B61">
        <f t="shared" si="2"/>
        <v>51.507557146300002</v>
      </c>
      <c r="C61">
        <f t="shared" si="3"/>
        <v>131.43932558470217</v>
      </c>
    </row>
    <row r="62" spans="1:3">
      <c r="A62" s="2">
        <v>62</v>
      </c>
      <c r="B62">
        <f t="shared" si="2"/>
        <v>51.962135806299997</v>
      </c>
      <c r="C62">
        <f t="shared" si="3"/>
        <v>131.89612232314744</v>
      </c>
    </row>
    <row r="63" spans="1:3">
      <c r="A63" s="2">
        <v>63</v>
      </c>
      <c r="B63">
        <f t="shared" si="2"/>
        <v>52.416714466300007</v>
      </c>
      <c r="C63">
        <f t="shared" si="3"/>
        <v>132.35298628460089</v>
      </c>
    </row>
    <row r="64" spans="1:3">
      <c r="A64" s="2">
        <v>64</v>
      </c>
      <c r="B64">
        <f t="shared" si="2"/>
        <v>52.871293126300003</v>
      </c>
      <c r="C64">
        <f t="shared" si="3"/>
        <v>132.80991746329715</v>
      </c>
    </row>
    <row r="65" spans="1:3">
      <c r="A65" s="2">
        <v>65</v>
      </c>
      <c r="B65">
        <f t="shared" ref="B65:B70" si="4">24.2328375463+(A65-1)*0.45457866</f>
        <v>53.325871786299999</v>
      </c>
      <c r="C65">
        <f t="shared" ref="C65:C70" si="5">0+1*B65+79.6347749969089*(1.00657894736842+(B65-36.75)^2/243648.929633131)^0.5</f>
        <v>133.26691585330198</v>
      </c>
    </row>
    <row r="66" spans="1:3">
      <c r="A66" s="2">
        <v>66</v>
      </c>
      <c r="B66">
        <f t="shared" si="4"/>
        <v>53.780450446300001</v>
      </c>
      <c r="C66">
        <f t="shared" si="5"/>
        <v>133.72398144851235</v>
      </c>
    </row>
    <row r="67" spans="1:3">
      <c r="A67" s="2">
        <v>67</v>
      </c>
      <c r="B67">
        <f t="shared" si="4"/>
        <v>54.235029106300004</v>
      </c>
      <c r="C67">
        <f t="shared" si="5"/>
        <v>134.18111424265641</v>
      </c>
    </row>
    <row r="68" spans="1:3">
      <c r="A68" s="2">
        <v>68</v>
      </c>
      <c r="B68">
        <f t="shared" si="4"/>
        <v>54.6896077663</v>
      </c>
      <c r="C68">
        <f t="shared" si="5"/>
        <v>134.63831422929377</v>
      </c>
    </row>
    <row r="69" spans="1:3">
      <c r="A69" s="2">
        <v>69</v>
      </c>
      <c r="B69">
        <f t="shared" si="4"/>
        <v>55.144186426300003</v>
      </c>
      <c r="C69">
        <f t="shared" si="5"/>
        <v>135.09558140181539</v>
      </c>
    </row>
    <row r="70" spans="1:3">
      <c r="A70" s="2">
        <v>70</v>
      </c>
      <c r="B70">
        <f t="shared" si="4"/>
        <v>55.598765086300006</v>
      </c>
      <c r="C70">
        <f t="shared" si="5"/>
        <v>135.55291575344376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enableFormatConditionsCalculation="0"/>
  <dimension ref="A1:C70"/>
  <sheetViews>
    <sheetView workbookViewId="0"/>
  </sheetViews>
  <sheetFormatPr baseColWidth="10" defaultRowHeight="15.75"/>
  <sheetData>
    <row r="1" spans="1:3">
      <c r="A1" s="2">
        <v>1</v>
      </c>
      <c r="B1">
        <f t="shared" ref="B1:B32" si="0">0.5152960167+(A1-1)*0.5434722902</f>
        <v>0.51529601670000003</v>
      </c>
      <c r="C1">
        <f t="shared" ref="C1:C32" si="1">0+1*B1-27.926769876842*(1.00657894736842+(B1-13.4605263157895)^2/29355.0157391055)^0.5</f>
        <v>-27.582527158347141</v>
      </c>
    </row>
    <row r="2" spans="1:3">
      <c r="A2" s="2">
        <v>2</v>
      </c>
      <c r="B2">
        <f t="shared" si="0"/>
        <v>1.0587683069</v>
      </c>
      <c r="C2">
        <f t="shared" si="1"/>
        <v>-27.032541426373456</v>
      </c>
    </row>
    <row r="3" spans="1:3">
      <c r="A3" s="2">
        <v>3</v>
      </c>
      <c r="B3">
        <f t="shared" si="0"/>
        <v>1.6022405971</v>
      </c>
      <c r="C3">
        <f t="shared" si="1"/>
        <v>-26.482833592863368</v>
      </c>
    </row>
    <row r="4" spans="1:3">
      <c r="A4" s="2">
        <v>4</v>
      </c>
      <c r="B4">
        <f t="shared" si="0"/>
        <v>2.1457128873000002</v>
      </c>
      <c r="C4">
        <f t="shared" si="1"/>
        <v>-25.933403842956022</v>
      </c>
    </row>
    <row r="5" spans="1:3">
      <c r="A5" s="2">
        <v>5</v>
      </c>
      <c r="B5">
        <f t="shared" si="0"/>
        <v>2.6891851774999997</v>
      </c>
      <c r="C5">
        <f t="shared" si="1"/>
        <v>-25.384252353687646</v>
      </c>
    </row>
    <row r="6" spans="1:3">
      <c r="A6" s="2">
        <v>6</v>
      </c>
      <c r="B6">
        <f t="shared" si="0"/>
        <v>3.2326574677000002</v>
      </c>
      <c r="C6">
        <f t="shared" si="1"/>
        <v>-24.835379293965424</v>
      </c>
    </row>
    <row r="7" spans="1:3">
      <c r="A7" s="2">
        <v>7</v>
      </c>
      <c r="B7">
        <f t="shared" si="0"/>
        <v>3.7761297578999997</v>
      </c>
      <c r="C7">
        <f t="shared" si="1"/>
        <v>-24.286784824542472</v>
      </c>
    </row>
    <row r="8" spans="1:3">
      <c r="A8" s="2">
        <v>8</v>
      </c>
      <c r="B8">
        <f t="shared" si="0"/>
        <v>4.3196020481000001</v>
      </c>
      <c r="C8">
        <f t="shared" si="1"/>
        <v>-23.738469097994098</v>
      </c>
    </row>
    <row r="9" spans="1:3">
      <c r="A9" s="2">
        <v>9</v>
      </c>
      <c r="B9">
        <f t="shared" si="0"/>
        <v>4.8630743382999997</v>
      </c>
      <c r="C9">
        <f t="shared" si="1"/>
        <v>-23.190432258695111</v>
      </c>
    </row>
    <row r="10" spans="1:3">
      <c r="A10" s="2">
        <v>10</v>
      </c>
      <c r="B10">
        <f t="shared" si="0"/>
        <v>5.4065466285000001</v>
      </c>
      <c r="C10">
        <f t="shared" si="1"/>
        <v>-22.642674442798455</v>
      </c>
    </row>
    <row r="11" spans="1:3">
      <c r="A11" s="2">
        <v>11</v>
      </c>
      <c r="B11">
        <f t="shared" si="0"/>
        <v>5.9500189186999997</v>
      </c>
      <c r="C11">
        <f t="shared" si="1"/>
        <v>-22.095195778214919</v>
      </c>
    </row>
    <row r="12" spans="1:3">
      <c r="A12" s="2">
        <v>12</v>
      </c>
      <c r="B12">
        <f t="shared" si="0"/>
        <v>6.4934912088999992</v>
      </c>
      <c r="C12">
        <f t="shared" si="1"/>
        <v>-21.547996384594157</v>
      </c>
    </row>
    <row r="13" spans="1:3">
      <c r="A13" s="2">
        <v>13</v>
      </c>
      <c r="B13">
        <f t="shared" si="0"/>
        <v>7.0369634990999996</v>
      </c>
      <c r="C13">
        <f t="shared" si="1"/>
        <v>-21.00107637330683</v>
      </c>
    </row>
    <row r="14" spans="1:3">
      <c r="A14" s="2">
        <v>14</v>
      </c>
      <c r="B14">
        <f t="shared" si="0"/>
        <v>7.5804357893000001</v>
      </c>
      <c r="C14">
        <f t="shared" si="1"/>
        <v>-20.454435847428041</v>
      </c>
    </row>
    <row r="15" spans="1:3">
      <c r="A15" s="2">
        <v>15</v>
      </c>
      <c r="B15">
        <f t="shared" si="0"/>
        <v>8.1239080794999996</v>
      </c>
      <c r="C15">
        <f t="shared" si="1"/>
        <v>-19.908074901721939</v>
      </c>
    </row>
    <row r="16" spans="1:3">
      <c r="A16" s="2">
        <v>16</v>
      </c>
      <c r="B16">
        <f t="shared" si="0"/>
        <v>8.6673803697</v>
      </c>
      <c r="C16">
        <f t="shared" si="1"/>
        <v>-19.361993622627566</v>
      </c>
    </row>
    <row r="17" spans="1:3">
      <c r="A17" s="2">
        <v>17</v>
      </c>
      <c r="B17">
        <f t="shared" si="0"/>
        <v>9.2108526599000005</v>
      </c>
      <c r="C17">
        <f t="shared" si="1"/>
        <v>-18.816192088245963</v>
      </c>
    </row>
    <row r="18" spans="1:3">
      <c r="A18" s="2">
        <v>18</v>
      </c>
      <c r="B18">
        <f t="shared" si="0"/>
        <v>9.7543249501000009</v>
      </c>
      <c r="C18">
        <f t="shared" si="1"/>
        <v>-18.270670368328467</v>
      </c>
    </row>
    <row r="19" spans="1:3">
      <c r="A19" s="2">
        <v>19</v>
      </c>
      <c r="B19">
        <f t="shared" si="0"/>
        <v>10.297797240300001</v>
      </c>
      <c r="C19">
        <f t="shared" si="1"/>
        <v>-17.725428524266327</v>
      </c>
    </row>
    <row r="20" spans="1:3">
      <c r="A20" s="2">
        <v>20</v>
      </c>
      <c r="B20">
        <f t="shared" si="0"/>
        <v>10.8412695305</v>
      </c>
      <c r="C20">
        <f t="shared" si="1"/>
        <v>-17.180466609081453</v>
      </c>
    </row>
    <row r="21" spans="1:3">
      <c r="A21" s="2">
        <v>21</v>
      </c>
      <c r="B21">
        <f t="shared" si="0"/>
        <v>11.3847418207</v>
      </c>
      <c r="C21">
        <f t="shared" si="1"/>
        <v>-16.635784667418509</v>
      </c>
    </row>
    <row r="22" spans="1:3">
      <c r="A22" s="2">
        <v>22</v>
      </c>
      <c r="B22">
        <f t="shared" si="0"/>
        <v>11.928214110900001</v>
      </c>
      <c r="C22">
        <f t="shared" si="1"/>
        <v>-16.091382735538225</v>
      </c>
    </row>
    <row r="23" spans="1:3">
      <c r="A23" s="2">
        <v>23</v>
      </c>
      <c r="B23">
        <f t="shared" si="0"/>
        <v>12.471686401099999</v>
      </c>
      <c r="C23">
        <f t="shared" si="1"/>
        <v>-15.547260841311987</v>
      </c>
    </row>
    <row r="24" spans="1:3">
      <c r="A24" s="2">
        <v>24</v>
      </c>
      <c r="B24">
        <f t="shared" si="0"/>
        <v>13.0151586913</v>
      </c>
      <c r="C24">
        <f t="shared" si="1"/>
        <v>-15.003419004217585</v>
      </c>
    </row>
    <row r="25" spans="1:3">
      <c r="A25" s="2">
        <v>25</v>
      </c>
      <c r="B25">
        <f t="shared" si="0"/>
        <v>13.5586309815</v>
      </c>
      <c r="C25">
        <f t="shared" si="1"/>
        <v>-14.459857235336392</v>
      </c>
    </row>
    <row r="26" spans="1:3">
      <c r="A26" s="2">
        <v>26</v>
      </c>
      <c r="B26">
        <f t="shared" si="0"/>
        <v>14.102103271700001</v>
      </c>
      <c r="C26">
        <f t="shared" si="1"/>
        <v>-13.916575537351621</v>
      </c>
    </row>
    <row r="27" spans="1:3">
      <c r="A27" s="2">
        <v>27</v>
      </c>
      <c r="B27">
        <f t="shared" si="0"/>
        <v>14.645575561900001</v>
      </c>
      <c r="C27">
        <f t="shared" si="1"/>
        <v>-13.373573904547969</v>
      </c>
    </row>
    <row r="28" spans="1:3">
      <c r="A28" s="2">
        <v>28</v>
      </c>
      <c r="B28">
        <f t="shared" si="0"/>
        <v>15.1890478521</v>
      </c>
      <c r="C28">
        <f t="shared" si="1"/>
        <v>-12.830852322812468</v>
      </c>
    </row>
    <row r="29" spans="1:3">
      <c r="A29" s="2">
        <v>29</v>
      </c>
      <c r="B29">
        <f t="shared" si="0"/>
        <v>15.7325201423</v>
      </c>
      <c r="C29">
        <f t="shared" si="1"/>
        <v>-12.288410769636567</v>
      </c>
    </row>
    <row r="30" spans="1:3">
      <c r="A30" s="2">
        <v>30</v>
      </c>
      <c r="B30">
        <f t="shared" si="0"/>
        <v>16.275992432500001</v>
      </c>
      <c r="C30">
        <f t="shared" si="1"/>
        <v>-11.746249214119558</v>
      </c>
    </row>
    <row r="31" spans="1:3">
      <c r="A31" s="2">
        <v>31</v>
      </c>
      <c r="B31">
        <f t="shared" si="0"/>
        <v>16.819464722699998</v>
      </c>
      <c r="C31">
        <f t="shared" si="1"/>
        <v>-11.204367616973162</v>
      </c>
    </row>
    <row r="32" spans="1:3">
      <c r="A32" s="2">
        <v>32</v>
      </c>
      <c r="B32">
        <f t="shared" si="0"/>
        <v>17.362937012899998</v>
      </c>
      <c r="C32">
        <f t="shared" si="1"/>
        <v>-10.662765930527449</v>
      </c>
    </row>
    <row r="33" spans="1:3">
      <c r="A33" s="2">
        <v>33</v>
      </c>
      <c r="B33">
        <f t="shared" ref="B33:B64" si="2">0.5152960167+(A33-1)*0.5434722902</f>
        <v>17.906409303099998</v>
      </c>
      <c r="C33">
        <f t="shared" ref="C33:C64" si="3">0+1*B33-27.926769876842*(1.00657894736842+(B33-13.4605263157895)^2/29355.0157391055)^0.5</f>
        <v>-10.121444098737946</v>
      </c>
    </row>
    <row r="34" spans="1:3">
      <c r="A34" s="2">
        <v>34</v>
      </c>
      <c r="B34">
        <f t="shared" si="2"/>
        <v>18.449881593299999</v>
      </c>
      <c r="C34">
        <f t="shared" si="3"/>
        <v>-9.5804020571940605</v>
      </c>
    </row>
    <row r="35" spans="1:3">
      <c r="A35" s="2">
        <v>35</v>
      </c>
      <c r="B35">
        <f t="shared" si="2"/>
        <v>18.993353883499999</v>
      </c>
      <c r="C35">
        <f t="shared" si="3"/>
        <v>-9.0396397331286877</v>
      </c>
    </row>
    <row r="36" spans="1:3">
      <c r="A36" s="2">
        <v>36</v>
      </c>
      <c r="B36">
        <f t="shared" si="2"/>
        <v>19.5368261737</v>
      </c>
      <c r="C36">
        <f t="shared" si="3"/>
        <v>-8.4991570454291221</v>
      </c>
    </row>
    <row r="37" spans="1:3">
      <c r="A37" s="2">
        <v>37</v>
      </c>
      <c r="B37">
        <f t="shared" si="2"/>
        <v>20.0802984639</v>
      </c>
      <c r="C37">
        <f t="shared" si="3"/>
        <v>-7.9589539046491531</v>
      </c>
    </row>
    <row r="38" spans="1:3">
      <c r="A38" s="2">
        <v>38</v>
      </c>
      <c r="B38">
        <f t="shared" si="2"/>
        <v>20.623770754099997</v>
      </c>
      <c r="C38">
        <f t="shared" si="3"/>
        <v>-7.4190302130224488</v>
      </c>
    </row>
    <row r="39" spans="1:3">
      <c r="A39" s="2">
        <v>39</v>
      </c>
      <c r="B39">
        <f t="shared" si="2"/>
        <v>21.167243044299997</v>
      </c>
      <c r="C39">
        <f t="shared" si="3"/>
        <v>-6.879385864477122</v>
      </c>
    </row>
    <row r="40" spans="1:3">
      <c r="A40" s="2">
        <v>40</v>
      </c>
      <c r="B40">
        <f t="shared" si="2"/>
        <v>21.710715334499998</v>
      </c>
      <c r="C40">
        <f t="shared" si="3"/>
        <v>-6.3400207446515786</v>
      </c>
    </row>
    <row r="41" spans="1:3">
      <c r="A41" s="2">
        <v>41</v>
      </c>
      <c r="B41">
        <f t="shared" si="2"/>
        <v>22.254187624699998</v>
      </c>
      <c r="C41">
        <f t="shared" si="3"/>
        <v>-5.8009347309115284</v>
      </c>
    </row>
    <row r="42" spans="1:3">
      <c r="A42" s="2">
        <v>42</v>
      </c>
      <c r="B42">
        <f t="shared" si="2"/>
        <v>22.797659914899999</v>
      </c>
      <c r="C42">
        <f t="shared" si="3"/>
        <v>-5.2621276923682743</v>
      </c>
    </row>
    <row r="43" spans="1:3">
      <c r="A43" s="2">
        <v>43</v>
      </c>
      <c r="B43">
        <f t="shared" si="2"/>
        <v>23.341132205099999</v>
      </c>
      <c r="C43">
        <f t="shared" si="3"/>
        <v>-4.7235994898981488</v>
      </c>
    </row>
    <row r="44" spans="1:3">
      <c r="A44" s="2">
        <v>44</v>
      </c>
      <c r="B44">
        <f t="shared" si="2"/>
        <v>23.8846044953</v>
      </c>
      <c r="C44">
        <f t="shared" si="3"/>
        <v>-4.1853499761631774</v>
      </c>
    </row>
    <row r="45" spans="1:3">
      <c r="A45" s="2">
        <v>45</v>
      </c>
      <c r="B45">
        <f t="shared" si="2"/>
        <v>24.428076785499997</v>
      </c>
      <c r="C45">
        <f t="shared" si="3"/>
        <v>-3.6473789956329661</v>
      </c>
    </row>
    <row r="46" spans="1:3">
      <c r="A46" s="2">
        <v>46</v>
      </c>
      <c r="B46">
        <f t="shared" si="2"/>
        <v>24.971549075699997</v>
      </c>
      <c r="C46">
        <f t="shared" si="3"/>
        <v>-3.1096863846077163</v>
      </c>
    </row>
    <row r="47" spans="1:3">
      <c r="A47" s="2">
        <v>47</v>
      </c>
      <c r="B47">
        <f t="shared" si="2"/>
        <v>25.515021365899997</v>
      </c>
      <c r="C47">
        <f t="shared" si="3"/>
        <v>-2.5722719712424933</v>
      </c>
    </row>
    <row r="48" spans="1:3">
      <c r="A48" s="2">
        <v>48</v>
      </c>
      <c r="B48">
        <f t="shared" si="2"/>
        <v>26.058493656099998</v>
      </c>
      <c r="C48">
        <f t="shared" si="3"/>
        <v>-2.0351355755726104</v>
      </c>
    </row>
    <row r="49" spans="1:3">
      <c r="A49" s="2">
        <v>49</v>
      </c>
      <c r="B49">
        <f t="shared" si="2"/>
        <v>26.601965946299998</v>
      </c>
      <c r="C49">
        <f t="shared" si="3"/>
        <v>-1.4982770095401641</v>
      </c>
    </row>
    <row r="50" spans="1:3">
      <c r="A50" s="2">
        <v>50</v>
      </c>
      <c r="B50">
        <f t="shared" si="2"/>
        <v>27.145438236499999</v>
      </c>
      <c r="C50">
        <f t="shared" si="3"/>
        <v>-0.9616960770217915</v>
      </c>
    </row>
    <row r="51" spans="1:3">
      <c r="A51" s="2">
        <v>51</v>
      </c>
      <c r="B51">
        <f t="shared" si="2"/>
        <v>27.688910526699999</v>
      </c>
      <c r="C51">
        <f t="shared" si="3"/>
        <v>-0.42539257385752549</v>
      </c>
    </row>
    <row r="52" spans="1:3">
      <c r="A52" s="2">
        <v>52</v>
      </c>
      <c r="B52">
        <f t="shared" si="2"/>
        <v>28.2323828169</v>
      </c>
      <c r="C52">
        <f t="shared" si="3"/>
        <v>0.11063371211924533</v>
      </c>
    </row>
    <row r="53" spans="1:3">
      <c r="A53" s="2">
        <v>53</v>
      </c>
      <c r="B53">
        <f t="shared" si="2"/>
        <v>28.7758551071</v>
      </c>
      <c r="C53">
        <f t="shared" si="3"/>
        <v>0.64638300105060864</v>
      </c>
    </row>
    <row r="54" spans="1:3">
      <c r="A54" s="2">
        <v>54</v>
      </c>
      <c r="B54">
        <f t="shared" si="2"/>
        <v>29.319327397299997</v>
      </c>
      <c r="C54">
        <f t="shared" si="3"/>
        <v>1.1818555210219337</v>
      </c>
    </row>
    <row r="55" spans="1:3">
      <c r="A55" s="2">
        <v>55</v>
      </c>
      <c r="B55">
        <f t="shared" si="2"/>
        <v>29.862799687499997</v>
      </c>
      <c r="C55">
        <f t="shared" si="3"/>
        <v>1.7170515080285291</v>
      </c>
    </row>
    <row r="56" spans="1:3">
      <c r="A56" s="2">
        <v>56</v>
      </c>
      <c r="B56">
        <f t="shared" si="2"/>
        <v>30.406271977699998</v>
      </c>
      <c r="C56">
        <f t="shared" si="3"/>
        <v>2.2519712059411816</v>
      </c>
    </row>
    <row r="57" spans="1:3">
      <c r="A57" s="2">
        <v>57</v>
      </c>
      <c r="B57">
        <f t="shared" si="2"/>
        <v>30.949744267899998</v>
      </c>
      <c r="C57">
        <f t="shared" si="3"/>
        <v>2.7866148664707069</v>
      </c>
    </row>
    <row r="58" spans="1:3">
      <c r="A58" s="2">
        <v>58</v>
      </c>
      <c r="B58">
        <f t="shared" si="2"/>
        <v>31.493216558099999</v>
      </c>
      <c r="C58">
        <f t="shared" si="3"/>
        <v>3.3209827491313249</v>
      </c>
    </row>
    <row r="59" spans="1:3">
      <c r="A59" s="2">
        <v>59</v>
      </c>
      <c r="B59">
        <f t="shared" si="2"/>
        <v>32.036688848300003</v>
      </c>
      <c r="C59">
        <f t="shared" si="3"/>
        <v>3.8550751212030612</v>
      </c>
    </row>
    <row r="60" spans="1:3">
      <c r="A60" s="2">
        <v>60</v>
      </c>
      <c r="B60">
        <f t="shared" si="2"/>
        <v>32.580161138499996</v>
      </c>
      <c r="C60">
        <f t="shared" si="3"/>
        <v>4.388892257693044</v>
      </c>
    </row>
    <row r="61" spans="1:3">
      <c r="A61" s="2">
        <v>61</v>
      </c>
      <c r="B61">
        <f t="shared" si="2"/>
        <v>33.123633428699996</v>
      </c>
      <c r="C61">
        <f t="shared" si="3"/>
        <v>4.9224344412958416</v>
      </c>
    </row>
    <row r="62" spans="1:3">
      <c r="A62" s="2">
        <v>62</v>
      </c>
      <c r="B62">
        <f t="shared" si="2"/>
        <v>33.667105718899997</v>
      </c>
      <c r="C62">
        <f t="shared" si="3"/>
        <v>5.4557019623527161</v>
      </c>
    </row>
    <row r="63" spans="1:3">
      <c r="A63" s="2">
        <v>63</v>
      </c>
      <c r="B63">
        <f t="shared" si="2"/>
        <v>34.210578009099997</v>
      </c>
      <c r="C63">
        <f t="shared" si="3"/>
        <v>5.9886951188098827</v>
      </c>
    </row>
    <row r="64" spans="1:3">
      <c r="A64" s="2">
        <v>64</v>
      </c>
      <c r="B64">
        <f t="shared" si="2"/>
        <v>34.754050299299998</v>
      </c>
      <c r="C64">
        <f t="shared" si="3"/>
        <v>6.5214142161758417</v>
      </c>
    </row>
    <row r="65" spans="1:3">
      <c r="A65" s="2">
        <v>65</v>
      </c>
      <c r="B65">
        <f t="shared" ref="B65:B70" si="4">0.5152960167+(A65-1)*0.5434722902</f>
        <v>35.297522589499998</v>
      </c>
      <c r="C65">
        <f t="shared" ref="C65:C70" si="5">0+1*B65-27.926769876842*(1.00657894736842+(B65-13.4605263157895)^2/29355.0157391055)^0.5</f>
        <v>7.0538595674776445</v>
      </c>
    </row>
    <row r="66" spans="1:3">
      <c r="A66" s="2">
        <v>66</v>
      </c>
      <c r="B66">
        <f t="shared" si="4"/>
        <v>35.840994879699998</v>
      </c>
      <c r="C66">
        <f t="shared" si="5"/>
        <v>7.5860314932162574</v>
      </c>
    </row>
    <row r="67" spans="1:3">
      <c r="A67" s="2">
        <v>67</v>
      </c>
      <c r="B67">
        <f t="shared" si="4"/>
        <v>36.384467169899999</v>
      </c>
      <c r="C67">
        <f t="shared" si="5"/>
        <v>8.1179303213209906</v>
      </c>
    </row>
    <row r="68" spans="1:3">
      <c r="A68" s="2">
        <v>68</v>
      </c>
      <c r="B68">
        <f t="shared" si="4"/>
        <v>36.927939460099999</v>
      </c>
      <c r="C68">
        <f t="shared" si="5"/>
        <v>8.6495563871029226</v>
      </c>
    </row>
    <row r="69" spans="1:3">
      <c r="A69" s="2">
        <v>69</v>
      </c>
      <c r="B69">
        <f t="shared" si="4"/>
        <v>37.4714117503</v>
      </c>
      <c r="C69">
        <f t="shared" si="5"/>
        <v>9.1809100332074749</v>
      </c>
    </row>
    <row r="70" spans="1:3">
      <c r="A70" s="2">
        <v>70</v>
      </c>
      <c r="B70">
        <f t="shared" si="4"/>
        <v>38.0148840405</v>
      </c>
      <c r="C70">
        <f t="shared" si="5"/>
        <v>9.7119916095660663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30.1437172995779+0.167053795618833*B1+78.837779537689*(0.00625+(B1-35.4678125)^2/90617.540334375)^0.5</f>
        <v>41.693595504845042</v>
      </c>
    </row>
    <row r="2" spans="1:3">
      <c r="A2" s="2">
        <v>2</v>
      </c>
      <c r="B2">
        <f t="shared" si="0"/>
        <v>-5.045826087</v>
      </c>
      <c r="C2">
        <f t="shared" si="1"/>
        <v>41.606305453999411</v>
      </c>
    </row>
    <row r="3" spans="1:3">
      <c r="A3" s="2">
        <v>3</v>
      </c>
      <c r="B3">
        <f t="shared" si="0"/>
        <v>-3.5856521740000002</v>
      </c>
      <c r="C3">
        <f t="shared" si="1"/>
        <v>41.52206610857003</v>
      </c>
    </row>
    <row r="4" spans="1:3">
      <c r="A4" s="2">
        <v>4</v>
      </c>
      <c r="B4">
        <f t="shared" si="0"/>
        <v>-2.1254782610000005</v>
      </c>
      <c r="C4">
        <f t="shared" si="1"/>
        <v>41.441135220843307</v>
      </c>
    </row>
    <row r="5" spans="1:3">
      <c r="A5" s="2">
        <v>5</v>
      </c>
      <c r="B5">
        <f t="shared" si="0"/>
        <v>-0.66530434800000027</v>
      </c>
      <c r="C5">
        <f t="shared" si="1"/>
        <v>41.363797348144516</v>
      </c>
    </row>
    <row r="6" spans="1:3">
      <c r="A6" s="2">
        <v>6</v>
      </c>
      <c r="B6">
        <f t="shared" si="0"/>
        <v>0.79486956499999994</v>
      </c>
      <c r="C6">
        <f t="shared" si="1"/>
        <v>41.290366910962184</v>
      </c>
    </row>
    <row r="7" spans="1:3">
      <c r="A7" s="2">
        <v>7</v>
      </c>
      <c r="B7">
        <f t="shared" si="0"/>
        <v>2.2550434779999993</v>
      </c>
      <c r="C7">
        <f t="shared" si="1"/>
        <v>41.221191569492746</v>
      </c>
    </row>
    <row r="8" spans="1:3">
      <c r="A8" s="2">
        <v>8</v>
      </c>
      <c r="B8">
        <f t="shared" si="0"/>
        <v>3.7152173909999995</v>
      </c>
      <c r="C8">
        <f t="shared" si="1"/>
        <v>41.156655928089165</v>
      </c>
    </row>
    <row r="9" spans="1:3">
      <c r="A9" s="2">
        <v>9</v>
      </c>
      <c r="B9">
        <f t="shared" si="0"/>
        <v>5.1753913039999997</v>
      </c>
      <c r="C9">
        <f t="shared" si="1"/>
        <v>41.097185565501974</v>
      </c>
    </row>
    <row r="10" spans="1:3">
      <c r="A10" s="2">
        <v>10</v>
      </c>
      <c r="B10">
        <f t="shared" si="0"/>
        <v>6.6355652169999999</v>
      </c>
      <c r="C10">
        <f t="shared" si="1"/>
        <v>41.043251371205393</v>
      </c>
    </row>
    <row r="11" spans="1:3">
      <c r="A11" s="2">
        <v>11</v>
      </c>
      <c r="B11">
        <f t="shared" si="0"/>
        <v>8.0957391300000001</v>
      </c>
      <c r="C11">
        <f t="shared" si="1"/>
        <v>40.995374142472215</v>
      </c>
    </row>
    <row r="12" spans="1:3">
      <c r="A12" s="2">
        <v>12</v>
      </c>
      <c r="B12">
        <f t="shared" si="0"/>
        <v>9.5559130430000003</v>
      </c>
      <c r="C12">
        <f t="shared" si="1"/>
        <v>40.954129360750073</v>
      </c>
    </row>
    <row r="13" spans="1:3">
      <c r="A13" s="2">
        <v>13</v>
      </c>
      <c r="B13">
        <f t="shared" si="0"/>
        <v>11.016086955999999</v>
      </c>
      <c r="C13">
        <f t="shared" si="1"/>
        <v>40.920152016508688</v>
      </c>
    </row>
    <row r="14" spans="1:3">
      <c r="A14" s="2">
        <v>14</v>
      </c>
      <c r="B14">
        <f t="shared" si="0"/>
        <v>12.476260869000001</v>
      </c>
      <c r="C14">
        <f t="shared" si="1"/>
        <v>40.894141286164817</v>
      </c>
    </row>
    <row r="15" spans="1:3">
      <c r="A15" s="2">
        <v>15</v>
      </c>
      <c r="B15">
        <f t="shared" si="0"/>
        <v>13.936434781999999</v>
      </c>
      <c r="C15">
        <f t="shared" si="1"/>
        <v>40.87686478039609</v>
      </c>
    </row>
    <row r="16" spans="1:3">
      <c r="A16" s="2">
        <v>16</v>
      </c>
      <c r="B16">
        <f t="shared" si="0"/>
        <v>15.396608695000001</v>
      </c>
      <c r="C16">
        <f t="shared" si="1"/>
        <v>40.869161978763344</v>
      </c>
    </row>
    <row r="17" spans="1:3">
      <c r="A17" s="2">
        <v>17</v>
      </c>
      <c r="B17">
        <f t="shared" si="0"/>
        <v>16.856782608</v>
      </c>
      <c r="C17">
        <f t="shared" si="1"/>
        <v>40.871946342249693</v>
      </c>
    </row>
    <row r="18" spans="1:3">
      <c r="A18" s="2">
        <v>18</v>
      </c>
      <c r="B18">
        <f t="shared" si="0"/>
        <v>18.316956520999998</v>
      </c>
      <c r="C18">
        <f t="shared" si="1"/>
        <v>40.88620545876784</v>
      </c>
    </row>
    <row r="19" spans="1:3">
      <c r="A19" s="2">
        <v>19</v>
      </c>
      <c r="B19">
        <f t="shared" si="0"/>
        <v>19.777130434</v>
      </c>
      <c r="C19">
        <f t="shared" si="1"/>
        <v>40.912998439612522</v>
      </c>
    </row>
    <row r="20" spans="1:3">
      <c r="A20" s="2">
        <v>20</v>
      </c>
      <c r="B20">
        <f t="shared" si="0"/>
        <v>21.237304346999998</v>
      </c>
      <c r="C20">
        <f t="shared" si="1"/>
        <v>40.953449669853846</v>
      </c>
    </row>
    <row r="21" spans="1:3">
      <c r="A21" s="2">
        <v>21</v>
      </c>
      <c r="B21">
        <f t="shared" si="0"/>
        <v>22.69747826</v>
      </c>
      <c r="C21">
        <f t="shared" si="1"/>
        <v>41.008737957559191</v>
      </c>
    </row>
    <row r="22" spans="1:3">
      <c r="A22" s="2">
        <v>22</v>
      </c>
      <c r="B22">
        <f t="shared" si="0"/>
        <v>24.157652172999999</v>
      </c>
      <c r="C22">
        <f t="shared" si="1"/>
        <v>41.08008017261561</v>
      </c>
    </row>
    <row r="23" spans="1:3">
      <c r="A23" s="2">
        <v>23</v>
      </c>
      <c r="B23">
        <f t="shared" si="0"/>
        <v>25.617826086000001</v>
      </c>
      <c r="C23">
        <f t="shared" si="1"/>
        <v>41.168708671007579</v>
      </c>
    </row>
    <row r="24" spans="1:3">
      <c r="A24" s="2">
        <v>24</v>
      </c>
      <c r="B24">
        <f t="shared" si="0"/>
        <v>27.077999998999999</v>
      </c>
      <c r="C24">
        <f t="shared" si="1"/>
        <v>41.275842216730538</v>
      </c>
    </row>
    <row r="25" spans="1:3">
      <c r="A25" s="2">
        <v>25</v>
      </c>
      <c r="B25">
        <f t="shared" si="0"/>
        <v>28.538173911999998</v>
      </c>
      <c r="C25">
        <f t="shared" si="1"/>
        <v>41.402650770240498</v>
      </c>
    </row>
    <row r="26" spans="1:3">
      <c r="A26" s="2">
        <v>26</v>
      </c>
      <c r="B26">
        <f t="shared" si="0"/>
        <v>29.998347824999996</v>
      </c>
      <c r="C26">
        <f t="shared" si="1"/>
        <v>41.550215389435586</v>
      </c>
    </row>
    <row r="27" spans="1:3">
      <c r="A27" s="2">
        <v>27</v>
      </c>
      <c r="B27">
        <f t="shared" si="0"/>
        <v>31.458521738000002</v>
      </c>
      <c r="C27">
        <f t="shared" si="1"/>
        <v>41.719485492373622</v>
      </c>
    </row>
    <row r="28" spans="1:3">
      <c r="A28" s="2">
        <v>28</v>
      </c>
      <c r="B28">
        <f t="shared" si="0"/>
        <v>32.918695651</v>
      </c>
      <c r="C28">
        <f t="shared" si="1"/>
        <v>41.911236681891765</v>
      </c>
    </row>
    <row r="29" spans="1:3">
      <c r="A29" s="2">
        <v>29</v>
      </c>
      <c r="B29">
        <f t="shared" si="0"/>
        <v>34.378869563999999</v>
      </c>
      <c r="C29">
        <f t="shared" si="1"/>
        <v>42.126032990028122</v>
      </c>
    </row>
    <row r="30" spans="1:3">
      <c r="A30" s="2">
        <v>30</v>
      </c>
      <c r="B30">
        <f t="shared" si="0"/>
        <v>35.839043476999997</v>
      </c>
      <c r="C30">
        <f t="shared" si="1"/>
        <v>42.36419752194368</v>
      </c>
    </row>
    <row r="31" spans="1:3">
      <c r="A31" s="2">
        <v>31</v>
      </c>
      <c r="B31">
        <f t="shared" si="0"/>
        <v>37.299217390000003</v>
      </c>
      <c r="C31">
        <f t="shared" si="1"/>
        <v>42.625794909395687</v>
      </c>
    </row>
    <row r="32" spans="1:3">
      <c r="A32" s="2">
        <v>32</v>
      </c>
      <c r="B32">
        <f t="shared" si="0"/>
        <v>38.759391303000001</v>
      </c>
      <c r="C32">
        <f t="shared" si="1"/>
        <v>42.910627736577936</v>
      </c>
    </row>
    <row r="33" spans="1:3">
      <c r="A33" s="2">
        <v>33</v>
      </c>
      <c r="B33">
        <f t="shared" ref="B33:B64" si="2">-6.506+(A33-1)*1.460173913</f>
        <v>40.219565215999999</v>
      </c>
      <c r="C33">
        <f t="shared" ref="C33:C64" si="3">30.1437172995779+0.167053795618833*B33+78.837779537689*(0.00625+(B33-35.4678125)^2/90617.540334375)^0.5</f>
        <v>43.218247389961789</v>
      </c>
    </row>
    <row r="34" spans="1:3">
      <c r="A34" s="2">
        <v>34</v>
      </c>
      <c r="B34">
        <f t="shared" si="2"/>
        <v>41.679739128999998</v>
      </c>
      <c r="C34">
        <f t="shared" si="3"/>
        <v>43.54797797265541</v>
      </c>
    </row>
    <row r="35" spans="1:3">
      <c r="A35" s="2">
        <v>35</v>
      </c>
      <c r="B35">
        <f t="shared" si="2"/>
        <v>43.139913041999996</v>
      </c>
      <c r="C35">
        <f t="shared" si="3"/>
        <v>43.898950410363256</v>
      </c>
    </row>
    <row r="36" spans="1:3">
      <c r="A36" s="2">
        <v>36</v>
      </c>
      <c r="B36">
        <f t="shared" si="2"/>
        <v>44.600086955000002</v>
      </c>
      <c r="C36">
        <f t="shared" si="3"/>
        <v>44.270142959019296</v>
      </c>
    </row>
    <row r="37" spans="1:3">
      <c r="A37" s="2">
        <v>37</v>
      </c>
      <c r="B37">
        <f t="shared" si="2"/>
        <v>46.060260868</v>
      </c>
      <c r="C37">
        <f t="shared" si="3"/>
        <v>44.660424116546359</v>
      </c>
    </row>
    <row r="38" spans="1:3">
      <c r="A38" s="2">
        <v>38</v>
      </c>
      <c r="B38">
        <f t="shared" si="2"/>
        <v>47.520434780999999</v>
      </c>
      <c r="C38">
        <f t="shared" si="3"/>
        <v>45.068594362637583</v>
      </c>
    </row>
    <row r="39" spans="1:3">
      <c r="A39" s="2">
        <v>39</v>
      </c>
      <c r="B39">
        <f t="shared" si="2"/>
        <v>48.980608693999997</v>
      </c>
      <c r="C39">
        <f t="shared" si="3"/>
        <v>45.493423989380773</v>
      </c>
    </row>
    <row r="40" spans="1:3">
      <c r="A40" s="2">
        <v>40</v>
      </c>
      <c r="B40">
        <f t="shared" si="2"/>
        <v>50.440782607000003</v>
      </c>
      <c r="C40">
        <f t="shared" si="3"/>
        <v>45.933685290213489</v>
      </c>
    </row>
    <row r="41" spans="1:3">
      <c r="A41" s="2">
        <v>41</v>
      </c>
      <c r="B41">
        <f t="shared" si="2"/>
        <v>51.900956520000001</v>
      </c>
      <c r="C41">
        <f t="shared" si="3"/>
        <v>46.388178330846785</v>
      </c>
    </row>
    <row r="42" spans="1:3">
      <c r="A42" s="2">
        <v>42</v>
      </c>
      <c r="B42">
        <f t="shared" si="2"/>
        <v>53.361130433</v>
      </c>
      <c r="C42">
        <f t="shared" si="3"/>
        <v>46.855750297458833</v>
      </c>
    </row>
    <row r="43" spans="1:3">
      <c r="A43" s="2">
        <v>43</v>
      </c>
      <c r="B43">
        <f t="shared" si="2"/>
        <v>54.821304345999998</v>
      </c>
      <c r="C43">
        <f t="shared" si="3"/>
        <v>47.33530895070087</v>
      </c>
    </row>
    <row r="44" spans="1:3">
      <c r="A44" s="2">
        <v>44</v>
      </c>
      <c r="B44">
        <f t="shared" si="2"/>
        <v>56.281478258999996</v>
      </c>
      <c r="C44">
        <f t="shared" si="3"/>
        <v>47.825831017330245</v>
      </c>
    </row>
    <row r="45" spans="1:3">
      <c r="A45" s="2">
        <v>45</v>
      </c>
      <c r="B45">
        <f t="shared" si="2"/>
        <v>57.741652172000002</v>
      </c>
      <c r="C45">
        <f t="shared" si="3"/>
        <v>48.326366468357037</v>
      </c>
    </row>
    <row r="46" spans="1:3">
      <c r="A46" s="2">
        <v>46</v>
      </c>
      <c r="B46">
        <f t="shared" si="2"/>
        <v>59.201826084999993</v>
      </c>
      <c r="C46">
        <f t="shared" si="3"/>
        <v>48.836039619036782</v>
      </c>
    </row>
    <row r="47" spans="1:3">
      <c r="A47" s="2">
        <v>47</v>
      </c>
      <c r="B47">
        <f t="shared" si="2"/>
        <v>60.661999997999999</v>
      </c>
      <c r="C47">
        <f t="shared" si="3"/>
        <v>49.354047893868184</v>
      </c>
    </row>
    <row r="48" spans="1:3">
      <c r="A48" s="2">
        <v>48</v>
      </c>
      <c r="B48">
        <f t="shared" si="2"/>
        <v>62.122173911000004</v>
      </c>
      <c r="C48">
        <f t="shared" si="3"/>
        <v>49.879658969995887</v>
      </c>
    </row>
    <row r="49" spans="1:3">
      <c r="A49" s="2">
        <v>49</v>
      </c>
      <c r="B49">
        <f t="shared" si="2"/>
        <v>63.582347823999996</v>
      </c>
      <c r="C49">
        <f t="shared" si="3"/>
        <v>50.41220687346857</v>
      </c>
    </row>
    <row r="50" spans="1:3">
      <c r="A50" s="2">
        <v>50</v>
      </c>
      <c r="B50">
        <f t="shared" si="2"/>
        <v>65.042521737000001</v>
      </c>
      <c r="C50">
        <f t="shared" si="3"/>
        <v>50.951087471898902</v>
      </c>
    </row>
    <row r="51" spans="1:3">
      <c r="A51" s="2">
        <v>51</v>
      </c>
      <c r="B51">
        <f t="shared" si="2"/>
        <v>66.502695649999993</v>
      </c>
      <c r="C51">
        <f t="shared" si="3"/>
        <v>51.495753693007813</v>
      </c>
    </row>
    <row r="52" spans="1:3">
      <c r="A52" s="2">
        <v>52</v>
      </c>
      <c r="B52">
        <f t="shared" si="2"/>
        <v>67.962869562999998</v>
      </c>
      <c r="C52">
        <f t="shared" si="3"/>
        <v>52.045710704413231</v>
      </c>
    </row>
    <row r="53" spans="1:3">
      <c r="A53" s="2">
        <v>53</v>
      </c>
      <c r="B53">
        <f t="shared" si="2"/>
        <v>69.423043476000004</v>
      </c>
      <c r="C53">
        <f t="shared" si="3"/>
        <v>52.60051121552317</v>
      </c>
    </row>
    <row r="54" spans="1:3">
      <c r="A54" s="2">
        <v>54</v>
      </c>
      <c r="B54">
        <f t="shared" si="2"/>
        <v>70.883217388999995</v>
      </c>
      <c r="C54">
        <f t="shared" si="3"/>
        <v>53.15975100541295</v>
      </c>
    </row>
    <row r="55" spans="1:3">
      <c r="A55" s="2">
        <v>55</v>
      </c>
      <c r="B55">
        <f t="shared" si="2"/>
        <v>72.343391302000001</v>
      </c>
      <c r="C55">
        <f t="shared" si="3"/>
        <v>53.723064738295527</v>
      </c>
    </row>
    <row r="56" spans="1:3">
      <c r="A56" s="2">
        <v>56</v>
      </c>
      <c r="B56">
        <f t="shared" si="2"/>
        <v>73.803565215000006</v>
      </c>
      <c r="C56">
        <f t="shared" si="3"/>
        <v>54.290122097742909</v>
      </c>
    </row>
    <row r="57" spans="1:3">
      <c r="A57" s="2">
        <v>57</v>
      </c>
      <c r="B57">
        <f t="shared" si="2"/>
        <v>75.263739127999997</v>
      </c>
      <c r="C57">
        <f t="shared" si="3"/>
        <v>54.860624249552899</v>
      </c>
    </row>
    <row r="58" spans="1:3">
      <c r="A58" s="2">
        <v>58</v>
      </c>
      <c r="B58">
        <f t="shared" si="2"/>
        <v>76.723913041000003</v>
      </c>
      <c r="C58">
        <f t="shared" si="3"/>
        <v>55.434300628837839</v>
      </c>
    </row>
    <row r="59" spans="1:3">
      <c r="A59" s="2">
        <v>59</v>
      </c>
      <c r="B59">
        <f t="shared" si="2"/>
        <v>78.184086953999994</v>
      </c>
      <c r="C59">
        <f t="shared" si="3"/>
        <v>56.010906037722741</v>
      </c>
    </row>
    <row r="60" spans="1:3">
      <c r="A60" s="2">
        <v>60</v>
      </c>
      <c r="B60">
        <f t="shared" si="2"/>
        <v>79.644260867</v>
      </c>
      <c r="C60">
        <f t="shared" si="3"/>
        <v>56.590218034551171</v>
      </c>
    </row>
    <row r="61" spans="1:3">
      <c r="A61" s="2">
        <v>61</v>
      </c>
      <c r="B61">
        <f t="shared" si="2"/>
        <v>81.104434780000005</v>
      </c>
      <c r="C61">
        <f t="shared" si="3"/>
        <v>57.172034592617337</v>
      </c>
    </row>
    <row r="62" spans="1:3">
      <c r="A62" s="2">
        <v>62</v>
      </c>
      <c r="B62">
        <f t="shared" si="2"/>
        <v>82.564608692999997</v>
      </c>
      <c r="C62">
        <f t="shared" si="3"/>
        <v>57.756172005355772</v>
      </c>
    </row>
    <row r="63" spans="1:3">
      <c r="A63" s="2">
        <v>63</v>
      </c>
      <c r="B63">
        <f t="shared" si="2"/>
        <v>84.024782606000002</v>
      </c>
      <c r="C63">
        <f t="shared" si="3"/>
        <v>58.342463015025743</v>
      </c>
    </row>
    <row r="64" spans="1:3">
      <c r="A64" s="2">
        <v>64</v>
      </c>
      <c r="B64">
        <f t="shared" si="2"/>
        <v>85.484956518999994</v>
      </c>
      <c r="C64">
        <f t="shared" si="3"/>
        <v>58.930755142794368</v>
      </c>
    </row>
    <row r="65" spans="1:3">
      <c r="A65" s="2">
        <v>65</v>
      </c>
      <c r="B65">
        <f t="shared" ref="B65:B70" si="4">-6.506+(A65-1)*1.460173913</f>
        <v>86.945130431999999</v>
      </c>
      <c r="C65">
        <f t="shared" ref="C65:C70" si="5">30.1437172995779+0.167053795618833*B65+78.837779537689*(0.00625+(B65-35.4678125)^2/90617.540334375)^0.5</f>
        <v>59.520909199443764</v>
      </c>
    </row>
    <row r="66" spans="1:3">
      <c r="A66" s="2">
        <v>66</v>
      </c>
      <c r="B66">
        <f t="shared" si="4"/>
        <v>88.405304345000005</v>
      </c>
      <c r="C66">
        <f t="shared" si="5"/>
        <v>60.112797957490088</v>
      </c>
    </row>
    <row r="67" spans="1:3">
      <c r="A67" s="2">
        <v>67</v>
      </c>
      <c r="B67">
        <f t="shared" si="4"/>
        <v>89.865478257999996</v>
      </c>
      <c r="C67">
        <f t="shared" si="5"/>
        <v>60.706304967162694</v>
      </c>
    </row>
    <row r="68" spans="1:3">
      <c r="A68" s="2">
        <v>68</v>
      </c>
      <c r="B68">
        <f t="shared" si="4"/>
        <v>91.325652171000002</v>
      </c>
      <c r="C68">
        <f t="shared" si="5"/>
        <v>61.301323500352794</v>
      </c>
    </row>
    <row r="69" spans="1:3">
      <c r="A69" s="2">
        <v>69</v>
      </c>
      <c r="B69">
        <f t="shared" si="4"/>
        <v>92.785826083999993</v>
      </c>
      <c r="C69">
        <f t="shared" si="5"/>
        <v>61.89775560824377</v>
      </c>
    </row>
    <row r="70" spans="1:3">
      <c r="A70" s="2">
        <v>70</v>
      </c>
      <c r="B70">
        <f t="shared" si="4"/>
        <v>94.245999996999998</v>
      </c>
      <c r="C70">
        <f t="shared" si="5"/>
        <v>62.495511279843143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enableFormatConditionsCalculation="0"/>
  <dimension ref="A1:C70"/>
  <sheetViews>
    <sheetView workbookViewId="0"/>
  </sheetViews>
  <sheetFormatPr baseColWidth="10" defaultRowHeight="15.75"/>
  <sheetData>
    <row r="1" spans="1:3">
      <c r="A1" s="2">
        <v>1</v>
      </c>
      <c r="B1">
        <f t="shared" ref="B1:B32" si="0">1.3711221678+(A1-1)*0.5310690127</f>
        <v>1.3711221678000001</v>
      </c>
      <c r="C1">
        <f t="shared" ref="C1:C32" si="1">0+1*B1+27.926769876842*(1.00657894736842+(B1-13.4605263157895)^2/29355.0157391055)^0.5</f>
        <v>29.458814127767713</v>
      </c>
    </row>
    <row r="2" spans="1:3">
      <c r="A2" s="2">
        <v>2</v>
      </c>
      <c r="B2">
        <f t="shared" si="0"/>
        <v>1.9021911805</v>
      </c>
      <c r="C2">
        <f t="shared" si="1"/>
        <v>29.983942961054211</v>
      </c>
    </row>
    <row r="3" spans="1:3">
      <c r="A3" s="2">
        <v>3</v>
      </c>
      <c r="B3">
        <f t="shared" si="0"/>
        <v>2.4332601931999998</v>
      </c>
      <c r="C3">
        <f t="shared" si="1"/>
        <v>30.509337424068157</v>
      </c>
    </row>
    <row r="4" spans="1:3">
      <c r="A4" s="2">
        <v>4</v>
      </c>
      <c r="B4">
        <f t="shared" si="0"/>
        <v>2.9643292058999999</v>
      </c>
      <c r="C4">
        <f t="shared" si="1"/>
        <v>31.034997677902545</v>
      </c>
    </row>
    <row r="5" spans="1:3">
      <c r="A5" s="2">
        <v>5</v>
      </c>
      <c r="B5">
        <f t="shared" si="0"/>
        <v>3.4953982186000001</v>
      </c>
      <c r="C5">
        <f t="shared" si="1"/>
        <v>31.560923876226148</v>
      </c>
    </row>
    <row r="6" spans="1:3">
      <c r="A6" s="2">
        <v>6</v>
      </c>
      <c r="B6">
        <f t="shared" si="0"/>
        <v>4.0264672312999998</v>
      </c>
      <c r="C6">
        <f t="shared" si="1"/>
        <v>32.087116165261861</v>
      </c>
    </row>
    <row r="7" spans="1:3">
      <c r="A7" s="2">
        <v>7</v>
      </c>
      <c r="B7">
        <f t="shared" si="0"/>
        <v>4.5575362439999996</v>
      </c>
      <c r="C7">
        <f t="shared" si="1"/>
        <v>32.613574683766025</v>
      </c>
    </row>
    <row r="8" spans="1:3">
      <c r="A8" s="2">
        <v>8</v>
      </c>
      <c r="B8">
        <f t="shared" si="0"/>
        <v>5.0886052567000002</v>
      </c>
      <c r="C8">
        <f t="shared" si="1"/>
        <v>33.14029956300871</v>
      </c>
    </row>
    <row r="9" spans="1:3">
      <c r="A9" s="2">
        <v>9</v>
      </c>
      <c r="B9">
        <f t="shared" si="0"/>
        <v>5.6196742693999999</v>
      </c>
      <c r="C9">
        <f t="shared" si="1"/>
        <v>33.667290926755136</v>
      </c>
    </row>
    <row r="10" spans="1:3">
      <c r="A10" s="2">
        <v>10</v>
      </c>
      <c r="B10">
        <f t="shared" si="0"/>
        <v>6.1507432820999997</v>
      </c>
      <c r="C10">
        <f t="shared" si="1"/>
        <v>34.194548891248147</v>
      </c>
    </row>
    <row r="11" spans="1:3">
      <c r="A11" s="2">
        <v>11</v>
      </c>
      <c r="B11">
        <f t="shared" si="0"/>
        <v>6.6818122947999994</v>
      </c>
      <c r="C11">
        <f t="shared" si="1"/>
        <v>34.722073565191572</v>
      </c>
    </row>
    <row r="12" spans="1:3">
      <c r="A12" s="2">
        <v>12</v>
      </c>
      <c r="B12">
        <f t="shared" si="0"/>
        <v>7.2128813075</v>
      </c>
      <c r="C12">
        <f t="shared" si="1"/>
        <v>35.249865049734915</v>
      </c>
    </row>
    <row r="13" spans="1:3">
      <c r="A13" s="2">
        <v>13</v>
      </c>
      <c r="B13">
        <f t="shared" si="0"/>
        <v>7.7439503201999997</v>
      </c>
      <c r="C13">
        <f t="shared" si="1"/>
        <v>35.777923438458814</v>
      </c>
    </row>
    <row r="14" spans="1:3">
      <c r="A14" s="2">
        <v>14</v>
      </c>
      <c r="B14">
        <f t="shared" si="0"/>
        <v>8.2750193328999995</v>
      </c>
      <c r="C14">
        <f t="shared" si="1"/>
        <v>36.306248817361798</v>
      </c>
    </row>
    <row r="15" spans="1:3">
      <c r="A15" s="2">
        <v>15</v>
      </c>
      <c r="B15">
        <f t="shared" si="0"/>
        <v>8.8060883455999992</v>
      </c>
      <c r="C15">
        <f t="shared" si="1"/>
        <v>36.834841264847981</v>
      </c>
    </row>
    <row r="16" spans="1:3">
      <c r="A16" s="2">
        <v>16</v>
      </c>
      <c r="B16">
        <f t="shared" si="0"/>
        <v>9.3371573582999989</v>
      </c>
      <c r="C16">
        <f t="shared" si="1"/>
        <v>37.363700851715926</v>
      </c>
    </row>
    <row r="17" spans="1:3">
      <c r="A17" s="2">
        <v>17</v>
      </c>
      <c r="B17">
        <f t="shared" si="0"/>
        <v>9.8682263709999987</v>
      </c>
      <c r="C17">
        <f t="shared" si="1"/>
        <v>37.892827641148465</v>
      </c>
    </row>
    <row r="18" spans="1:3">
      <c r="A18" s="2">
        <v>18</v>
      </c>
      <c r="B18">
        <f t="shared" si="0"/>
        <v>10.399295383699998</v>
      </c>
      <c r="C18">
        <f t="shared" si="1"/>
        <v>38.422221688703715</v>
      </c>
    </row>
    <row r="19" spans="1:3">
      <c r="A19" s="2">
        <v>19</v>
      </c>
      <c r="B19">
        <f t="shared" si="0"/>
        <v>10.930364396399998</v>
      </c>
      <c r="C19">
        <f t="shared" si="1"/>
        <v>38.951883042307131</v>
      </c>
    </row>
    <row r="20" spans="1:3">
      <c r="A20" s="2">
        <v>20</v>
      </c>
      <c r="B20">
        <f t="shared" si="0"/>
        <v>11.461433409099998</v>
      </c>
      <c r="C20">
        <f t="shared" si="1"/>
        <v>39.481811742244659</v>
      </c>
    </row>
    <row r="21" spans="1:3">
      <c r="A21" s="2">
        <v>21</v>
      </c>
      <c r="B21">
        <f t="shared" si="0"/>
        <v>11.992502421799998</v>
      </c>
      <c r="C21">
        <f t="shared" si="1"/>
        <v>40.012007821156963</v>
      </c>
    </row>
    <row r="22" spans="1:3">
      <c r="A22" s="2">
        <v>22</v>
      </c>
      <c r="B22">
        <f t="shared" si="0"/>
        <v>12.523571434499999</v>
      </c>
      <c r="C22">
        <f t="shared" si="1"/>
        <v>40.542471304034777</v>
      </c>
    </row>
    <row r="23" spans="1:3">
      <c r="A23" s="2">
        <v>23</v>
      </c>
      <c r="B23">
        <f t="shared" si="0"/>
        <v>13.054640447199999</v>
      </c>
      <c r="C23">
        <f t="shared" si="1"/>
        <v>41.073202208215271</v>
      </c>
    </row>
    <row r="24" spans="1:3">
      <c r="A24" s="2">
        <v>24</v>
      </c>
      <c r="B24">
        <f t="shared" si="0"/>
        <v>13.585709459899999</v>
      </c>
      <c r="C24">
        <f t="shared" si="1"/>
        <v>41.60420054337964</v>
      </c>
    </row>
    <row r="25" spans="1:3">
      <c r="A25" s="2">
        <v>25</v>
      </c>
      <c r="B25">
        <f t="shared" si="0"/>
        <v>14.116778472599998</v>
      </c>
      <c r="C25">
        <f t="shared" si="1"/>
        <v>42.135466311551681</v>
      </c>
    </row>
    <row r="26" spans="1:3">
      <c r="A26" s="2">
        <v>26</v>
      </c>
      <c r="B26">
        <f t="shared" si="0"/>
        <v>14.647847485299998</v>
      </c>
      <c r="C26">
        <f t="shared" si="1"/>
        <v>42.666999507097515</v>
      </c>
    </row>
    <row r="27" spans="1:3">
      <c r="A27" s="2">
        <v>27</v>
      </c>
      <c r="B27">
        <f t="shared" si="0"/>
        <v>15.178916497999998</v>
      </c>
      <c r="C27">
        <f t="shared" si="1"/>
        <v>43.198800116726368</v>
      </c>
    </row>
    <row r="28" spans="1:3">
      <c r="A28" s="2">
        <v>28</v>
      </c>
      <c r="B28">
        <f t="shared" si="0"/>
        <v>15.709985510699997</v>
      </c>
      <c r="C28">
        <f t="shared" si="1"/>
        <v>43.73086811949252</v>
      </c>
    </row>
    <row r="29" spans="1:3">
      <c r="A29" s="2">
        <v>29</v>
      </c>
      <c r="B29">
        <f t="shared" si="0"/>
        <v>16.241054523399999</v>
      </c>
      <c r="C29">
        <f t="shared" si="1"/>
        <v>44.263203486798254</v>
      </c>
    </row>
    <row r="30" spans="1:3">
      <c r="A30" s="2">
        <v>30</v>
      </c>
      <c r="B30">
        <f t="shared" si="0"/>
        <v>16.772123536100001</v>
      </c>
      <c r="C30">
        <f t="shared" si="1"/>
        <v>44.795806182397968</v>
      </c>
    </row>
    <row r="31" spans="1:3">
      <c r="A31" s="2">
        <v>31</v>
      </c>
      <c r="B31">
        <f t="shared" si="0"/>
        <v>17.303192548799998</v>
      </c>
      <c r="C31">
        <f t="shared" si="1"/>
        <v>45.328676162403383</v>
      </c>
    </row>
    <row r="32" spans="1:3">
      <c r="A32" s="2">
        <v>32</v>
      </c>
      <c r="B32">
        <f t="shared" si="0"/>
        <v>17.834261561499996</v>
      </c>
      <c r="C32">
        <f t="shared" si="1"/>
        <v>45.861813375289799</v>
      </c>
    </row>
    <row r="33" spans="1:3">
      <c r="A33" s="2">
        <v>33</v>
      </c>
      <c r="B33">
        <f t="shared" ref="B33:B64" si="2">1.3711221678+(A33-1)*0.5310690127</f>
        <v>18.365330574199998</v>
      </c>
      <c r="C33">
        <f t="shared" ref="C33:C64" si="3">0+1*B33+27.926769876842*(1.00657894736842+(B33-13.4605263157895)^2/29355.0157391055)^0.5</f>
        <v>46.395217761903453</v>
      </c>
    </row>
    <row r="34" spans="1:3">
      <c r="A34" s="2">
        <v>34</v>
      </c>
      <c r="B34">
        <f t="shared" si="2"/>
        <v>18.896399586899999</v>
      </c>
      <c r="C34">
        <f t="shared" si="3"/>
        <v>46.928889255469954</v>
      </c>
    </row>
    <row r="35" spans="1:3">
      <c r="A35" s="2">
        <v>35</v>
      </c>
      <c r="B35">
        <f t="shared" si="2"/>
        <v>19.427468599599997</v>
      </c>
      <c r="C35">
        <f t="shared" si="3"/>
        <v>47.462827781603913</v>
      </c>
    </row>
    <row r="36" spans="1:3">
      <c r="A36" s="2">
        <v>36</v>
      </c>
      <c r="B36">
        <f t="shared" si="2"/>
        <v>19.958537612299999</v>
      </c>
      <c r="C36">
        <f t="shared" si="3"/>
        <v>47.997033258319433</v>
      </c>
    </row>
    <row r="37" spans="1:3">
      <c r="A37" s="2">
        <v>37</v>
      </c>
      <c r="B37">
        <f t="shared" si="2"/>
        <v>20.489606624999997</v>
      </c>
      <c r="C37">
        <f t="shared" si="3"/>
        <v>48.531505596041882</v>
      </c>
    </row>
    <row r="38" spans="1:3">
      <c r="A38" s="2">
        <v>38</v>
      </c>
      <c r="B38">
        <f t="shared" si="2"/>
        <v>21.020675637699998</v>
      </c>
      <c r="C38">
        <f t="shared" si="3"/>
        <v>49.066244697620661</v>
      </c>
    </row>
    <row r="39" spans="1:3">
      <c r="A39" s="2">
        <v>39</v>
      </c>
      <c r="B39">
        <f t="shared" si="2"/>
        <v>21.551744650399996</v>
      </c>
      <c r="C39">
        <f t="shared" si="3"/>
        <v>49.601250458342996</v>
      </c>
    </row>
    <row r="40" spans="1:3">
      <c r="A40" s="2">
        <v>40</v>
      </c>
      <c r="B40">
        <f t="shared" si="2"/>
        <v>22.082813663099998</v>
      </c>
      <c r="C40">
        <f t="shared" si="3"/>
        <v>50.136522765948889</v>
      </c>
    </row>
    <row r="41" spans="1:3">
      <c r="A41" s="2">
        <v>41</v>
      </c>
      <c r="B41">
        <f t="shared" si="2"/>
        <v>22.613882675799996</v>
      </c>
      <c r="C41">
        <f t="shared" si="3"/>
        <v>50.672061500647047</v>
      </c>
    </row>
    <row r="42" spans="1:3">
      <c r="A42" s="2">
        <v>42</v>
      </c>
      <c r="B42">
        <f t="shared" si="2"/>
        <v>23.144951688499997</v>
      </c>
      <c r="C42">
        <f t="shared" si="3"/>
        <v>51.207866535131913</v>
      </c>
    </row>
    <row r="43" spans="1:3">
      <c r="A43" s="2">
        <v>43</v>
      </c>
      <c r="B43">
        <f t="shared" si="2"/>
        <v>23.676020701199999</v>
      </c>
      <c r="C43">
        <f t="shared" si="3"/>
        <v>51.743937734601715</v>
      </c>
    </row>
    <row r="44" spans="1:3">
      <c r="A44" s="2">
        <v>44</v>
      </c>
      <c r="B44">
        <f t="shared" si="2"/>
        <v>24.207089713899997</v>
      </c>
      <c r="C44">
        <f t="shared" si="3"/>
        <v>52.280274956777596</v>
      </c>
    </row>
    <row r="45" spans="1:3">
      <c r="A45" s="2">
        <v>45</v>
      </c>
      <c r="B45">
        <f t="shared" si="2"/>
        <v>24.738158726599998</v>
      </c>
      <c r="C45">
        <f t="shared" si="3"/>
        <v>52.816878051923737</v>
      </c>
    </row>
    <row r="46" spans="1:3">
      <c r="A46" s="2">
        <v>46</v>
      </c>
      <c r="B46">
        <f t="shared" si="2"/>
        <v>25.269227739299996</v>
      </c>
      <c r="C46">
        <f t="shared" si="3"/>
        <v>53.353746862868526</v>
      </c>
    </row>
    <row r="47" spans="1:3">
      <c r="A47" s="2">
        <v>47</v>
      </c>
      <c r="B47">
        <f t="shared" si="2"/>
        <v>25.800296751999998</v>
      </c>
      <c r="C47">
        <f t="shared" si="3"/>
        <v>53.890881225026803</v>
      </c>
    </row>
    <row r="48" spans="1:3">
      <c r="A48" s="2">
        <v>48</v>
      </c>
      <c r="B48">
        <f t="shared" si="2"/>
        <v>26.331365764699996</v>
      </c>
      <c r="C48">
        <f t="shared" si="3"/>
        <v>54.428280966422982</v>
      </c>
    </row>
    <row r="49" spans="1:3">
      <c r="A49" s="2">
        <v>49</v>
      </c>
      <c r="B49">
        <f t="shared" si="2"/>
        <v>26.862434777399997</v>
      </c>
      <c r="C49">
        <f t="shared" si="3"/>
        <v>54.965945907715366</v>
      </c>
    </row>
    <row r="50" spans="1:3">
      <c r="A50" s="2">
        <v>50</v>
      </c>
      <c r="B50">
        <f t="shared" si="2"/>
        <v>27.393503790099999</v>
      </c>
      <c r="C50">
        <f t="shared" si="3"/>
        <v>55.503875862221292</v>
      </c>
    </row>
    <row r="51" spans="1:3">
      <c r="A51" s="2">
        <v>51</v>
      </c>
      <c r="B51">
        <f t="shared" si="2"/>
        <v>27.924572802799997</v>
      </c>
      <c r="C51">
        <f t="shared" si="3"/>
        <v>56.042070635943404</v>
      </c>
    </row>
    <row r="52" spans="1:3">
      <c r="A52" s="2">
        <v>52</v>
      </c>
      <c r="B52">
        <f t="shared" si="2"/>
        <v>28.455641815499998</v>
      </c>
      <c r="C52">
        <f t="shared" si="3"/>
        <v>56.580530027596794</v>
      </c>
    </row>
    <row r="53" spans="1:3">
      <c r="A53" s="2">
        <v>53</v>
      </c>
      <c r="B53">
        <f t="shared" si="2"/>
        <v>28.986710828199996</v>
      </c>
      <c r="C53">
        <f t="shared" si="3"/>
        <v>57.119253828637198</v>
      </c>
    </row>
    <row r="54" spans="1:3">
      <c r="A54" s="2">
        <v>54</v>
      </c>
      <c r="B54">
        <f t="shared" si="2"/>
        <v>29.517779840899998</v>
      </c>
      <c r="C54">
        <f t="shared" si="3"/>
        <v>57.65824182329014</v>
      </c>
    </row>
    <row r="55" spans="1:3">
      <c r="A55" s="2">
        <v>55</v>
      </c>
      <c r="B55">
        <f t="shared" si="2"/>
        <v>30.048848853599996</v>
      </c>
      <c r="C55">
        <f t="shared" si="3"/>
        <v>58.197493788580999</v>
      </c>
    </row>
    <row r="56" spans="1:3">
      <c r="A56" s="2">
        <v>56</v>
      </c>
      <c r="B56">
        <f t="shared" si="2"/>
        <v>30.579917866299997</v>
      </c>
      <c r="C56">
        <f t="shared" si="3"/>
        <v>58.737009494366063</v>
      </c>
    </row>
    <row r="57" spans="1:3">
      <c r="A57" s="2">
        <v>57</v>
      </c>
      <c r="B57">
        <f t="shared" si="2"/>
        <v>31.110986878999999</v>
      </c>
      <c r="C57">
        <f t="shared" si="3"/>
        <v>59.276788703364502</v>
      </c>
    </row>
    <row r="58" spans="1:3">
      <c r="A58" s="2">
        <v>58</v>
      </c>
      <c r="B58">
        <f t="shared" si="2"/>
        <v>31.642055891699997</v>
      </c>
      <c r="C58">
        <f t="shared" si="3"/>
        <v>59.816831171191239</v>
      </c>
    </row>
    <row r="59" spans="1:3">
      <c r="A59" s="2">
        <v>59</v>
      </c>
      <c r="B59">
        <f t="shared" si="2"/>
        <v>32.173124904399998</v>
      </c>
      <c r="C59">
        <f t="shared" si="3"/>
        <v>60.357136646390821</v>
      </c>
    </row>
    <row r="60" spans="1:3">
      <c r="A60" s="2">
        <v>60</v>
      </c>
      <c r="B60">
        <f t="shared" si="2"/>
        <v>32.7041939171</v>
      </c>
      <c r="C60">
        <f t="shared" si="3"/>
        <v>60.897704870472097</v>
      </c>
    </row>
    <row r="61" spans="1:3">
      <c r="A61" s="2">
        <v>61</v>
      </c>
      <c r="B61">
        <f t="shared" si="2"/>
        <v>33.235262929800001</v>
      </c>
      <c r="C61">
        <f t="shared" si="3"/>
        <v>61.438535577943846</v>
      </c>
    </row>
    <row r="62" spans="1:3">
      <c r="A62" s="2">
        <v>62</v>
      </c>
      <c r="B62">
        <f t="shared" si="2"/>
        <v>33.766331942500003</v>
      </c>
      <c r="C62">
        <f t="shared" si="3"/>
        <v>61.979628496351239</v>
      </c>
    </row>
    <row r="63" spans="1:3">
      <c r="A63" s="2">
        <v>63</v>
      </c>
      <c r="B63">
        <f t="shared" si="2"/>
        <v>34.297400955199997</v>
      </c>
      <c r="C63">
        <f t="shared" si="3"/>
        <v>62.520983346313287</v>
      </c>
    </row>
    <row r="64" spans="1:3">
      <c r="A64" s="2">
        <v>64</v>
      </c>
      <c r="B64">
        <f t="shared" si="2"/>
        <v>34.828469967899998</v>
      </c>
      <c r="C64">
        <f t="shared" si="3"/>
        <v>63.062599841560974</v>
      </c>
    </row>
    <row r="65" spans="1:3">
      <c r="A65" s="2">
        <v>65</v>
      </c>
      <c r="B65">
        <f t="shared" ref="B65:B70" si="4">1.3711221678+(A65-1)*0.5310690127</f>
        <v>35.3595389806</v>
      </c>
      <c r="C65">
        <f t="shared" ref="C65:C70" si="5">0+1*B65+27.926769876842*(1.00657894736842+(B65-13.4605263157895)^2/29355.0157391055)^0.5</f>
        <v>63.604477688976409</v>
      </c>
    </row>
    <row r="66" spans="1:3">
      <c r="A66" s="2">
        <v>66</v>
      </c>
      <c r="B66">
        <f t="shared" si="4"/>
        <v>35.890607993300002</v>
      </c>
      <c r="C66">
        <f t="shared" si="5"/>
        <v>64.146616588632696</v>
      </c>
    </row>
    <row r="67" spans="1:3">
      <c r="A67" s="2">
        <v>67</v>
      </c>
      <c r="B67">
        <f t="shared" si="4"/>
        <v>36.421677006000003</v>
      </c>
      <c r="C67">
        <f t="shared" si="5"/>
        <v>64.689016233834664</v>
      </c>
    </row>
    <row r="68" spans="1:3">
      <c r="A68" s="2">
        <v>68</v>
      </c>
      <c r="B68">
        <f t="shared" si="4"/>
        <v>36.952746018699997</v>
      </c>
      <c r="C68">
        <f t="shared" si="5"/>
        <v>65.231676311160413</v>
      </c>
    </row>
    <row r="69" spans="1:3">
      <c r="A69" s="2">
        <v>69</v>
      </c>
      <c r="B69">
        <f t="shared" si="4"/>
        <v>37.483815031399999</v>
      </c>
      <c r="C69">
        <f t="shared" si="5"/>
        <v>65.774596500503662</v>
      </c>
    </row>
    <row r="70" spans="1:3">
      <c r="A70" s="2">
        <v>70</v>
      </c>
      <c r="B70">
        <f t="shared" si="4"/>
        <v>38.0148840441</v>
      </c>
      <c r="C70">
        <f t="shared" si="5"/>
        <v>66.317776475116915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enableFormatConditionsCalculation="0"/>
  <dimension ref="A1:C70"/>
  <sheetViews>
    <sheetView workbookViewId="0"/>
  </sheetViews>
  <sheetFormatPr baseColWidth="10" defaultRowHeight="15.75"/>
  <sheetData>
    <row r="1" spans="1:3">
      <c r="A1" s="2">
        <v>1</v>
      </c>
      <c r="B1">
        <f t="shared" ref="B1:B32" si="0">4.1445755684+(A1-1)*1.1141385097</f>
        <v>4.1445755683999996</v>
      </c>
      <c r="C1">
        <f t="shared" ref="C1:C32" si="1">0+1*B1-76.3895951196715*(1.00657894736842+(B1-36.75)^2/221157.875070128)^0.5</f>
        <v>-72.678673951063345</v>
      </c>
    </row>
    <row r="2" spans="1:3">
      <c r="A2" s="2">
        <v>2</v>
      </c>
      <c r="B2">
        <f t="shared" si="0"/>
        <v>5.2587140780999997</v>
      </c>
      <c r="C2">
        <f t="shared" si="1"/>
        <v>-71.552270854213631</v>
      </c>
    </row>
    <row r="3" spans="1:3">
      <c r="A3" s="2">
        <v>3</v>
      </c>
      <c r="B3">
        <f t="shared" si="0"/>
        <v>6.3728525877999997</v>
      </c>
      <c r="C3">
        <f t="shared" si="1"/>
        <v>-70.42629226943798</v>
      </c>
    </row>
    <row r="4" spans="1:3">
      <c r="A4" s="2">
        <v>4</v>
      </c>
      <c r="B4">
        <f t="shared" si="0"/>
        <v>7.4869910974999998</v>
      </c>
      <c r="C4">
        <f t="shared" si="1"/>
        <v>-69.300738393105846</v>
      </c>
    </row>
    <row r="5" spans="1:3">
      <c r="A5" s="2">
        <v>5</v>
      </c>
      <c r="B5">
        <f t="shared" si="0"/>
        <v>8.6011296072000007</v>
      </c>
      <c r="C5">
        <f t="shared" si="1"/>
        <v>-68.175609414657544</v>
      </c>
    </row>
    <row r="6" spans="1:3">
      <c r="A6" s="2">
        <v>6</v>
      </c>
      <c r="B6">
        <f t="shared" si="0"/>
        <v>9.715268116899999</v>
      </c>
      <c r="C6">
        <f t="shared" si="1"/>
        <v>-67.050905516588557</v>
      </c>
    </row>
    <row r="7" spans="1:3">
      <c r="A7" s="2">
        <v>7</v>
      </c>
      <c r="B7">
        <f t="shared" si="0"/>
        <v>10.829406626600001</v>
      </c>
      <c r="C7">
        <f t="shared" si="1"/>
        <v>-65.926626874434476</v>
      </c>
    </row>
    <row r="8" spans="1:3">
      <c r="A8" s="2">
        <v>8</v>
      </c>
      <c r="B8">
        <f t="shared" si="0"/>
        <v>11.943545136299999</v>
      </c>
      <c r="C8">
        <f t="shared" si="1"/>
        <v>-64.8027736567566</v>
      </c>
    </row>
    <row r="9" spans="1:3">
      <c r="A9" s="2">
        <v>9</v>
      </c>
      <c r="B9">
        <f t="shared" si="0"/>
        <v>13.057683646000001</v>
      </c>
      <c r="C9">
        <f t="shared" si="1"/>
        <v>-63.679346025127757</v>
      </c>
    </row>
    <row r="10" spans="1:3">
      <c r="A10" s="2">
        <v>10</v>
      </c>
      <c r="B10">
        <f t="shared" si="0"/>
        <v>14.171822155699999</v>
      </c>
      <c r="C10">
        <f t="shared" si="1"/>
        <v>-62.556344134119129</v>
      </c>
    </row>
    <row r="11" spans="1:3">
      <c r="A11" s="2">
        <v>11</v>
      </c>
      <c r="B11">
        <f t="shared" si="0"/>
        <v>15.285960665400001</v>
      </c>
      <c r="C11">
        <f t="shared" si="1"/>
        <v>-61.433768131287337</v>
      </c>
    </row>
    <row r="12" spans="1:3">
      <c r="A12" s="2">
        <v>12</v>
      </c>
      <c r="B12">
        <f t="shared" si="0"/>
        <v>16.400099175099999</v>
      </c>
      <c r="C12">
        <f t="shared" si="1"/>
        <v>-60.311618157162243</v>
      </c>
    </row>
    <row r="13" spans="1:3">
      <c r="A13" s="2">
        <v>13</v>
      </c>
      <c r="B13">
        <f t="shared" si="0"/>
        <v>17.514237684800001</v>
      </c>
      <c r="C13">
        <f t="shared" si="1"/>
        <v>-59.18989434523521</v>
      </c>
    </row>
    <row r="14" spans="1:3">
      <c r="A14" s="2">
        <v>14</v>
      </c>
      <c r="B14">
        <f t="shared" si="0"/>
        <v>18.628376194499999</v>
      </c>
      <c r="C14">
        <f t="shared" si="1"/>
        <v>-58.068596821948127</v>
      </c>
    </row>
    <row r="15" spans="1:3">
      <c r="A15" s="2">
        <v>15</v>
      </c>
      <c r="B15">
        <f t="shared" si="0"/>
        <v>19.742514704200001</v>
      </c>
      <c r="C15">
        <f t="shared" si="1"/>
        <v>-56.947725706682775</v>
      </c>
    </row>
    <row r="16" spans="1:3">
      <c r="A16" s="2">
        <v>16</v>
      </c>
      <c r="B16">
        <f t="shared" si="0"/>
        <v>20.856653213900003</v>
      </c>
      <c r="C16">
        <f t="shared" si="1"/>
        <v>-55.827281111750949</v>
      </c>
    </row>
    <row r="17" spans="1:3">
      <c r="A17" s="2">
        <v>17</v>
      </c>
      <c r="B17">
        <f t="shared" si="0"/>
        <v>21.970791723600001</v>
      </c>
      <c r="C17">
        <f t="shared" si="1"/>
        <v>-54.707263142385116</v>
      </c>
    </row>
    <row r="18" spans="1:3">
      <c r="A18" s="2">
        <v>18</v>
      </c>
      <c r="B18">
        <f t="shared" si="0"/>
        <v>23.0849302333</v>
      </c>
      <c r="C18">
        <f t="shared" si="1"/>
        <v>-53.58767189672966</v>
      </c>
    </row>
    <row r="19" spans="1:3">
      <c r="A19" s="2">
        <v>19</v>
      </c>
      <c r="B19">
        <f t="shared" si="0"/>
        <v>24.199068743000002</v>
      </c>
      <c r="C19">
        <f t="shared" si="1"/>
        <v>-52.46850746583263</v>
      </c>
    </row>
    <row r="20" spans="1:3">
      <c r="A20" s="2">
        <v>20</v>
      </c>
      <c r="B20">
        <f t="shared" si="0"/>
        <v>25.313207252700003</v>
      </c>
      <c r="C20">
        <f t="shared" si="1"/>
        <v>-51.349769933638221</v>
      </c>
    </row>
    <row r="21" spans="1:3">
      <c r="A21" s="2">
        <v>21</v>
      </c>
      <c r="B21">
        <f t="shared" si="0"/>
        <v>26.427345762400002</v>
      </c>
      <c r="C21">
        <f t="shared" si="1"/>
        <v>-50.23145937697975</v>
      </c>
    </row>
    <row r="22" spans="1:3">
      <c r="A22" s="2">
        <v>22</v>
      </c>
      <c r="B22">
        <f t="shared" si="0"/>
        <v>27.5414842721</v>
      </c>
      <c r="C22">
        <f t="shared" si="1"/>
        <v>-49.113575865573246</v>
      </c>
    </row>
    <row r="23" spans="1:3">
      <c r="A23" s="2">
        <v>23</v>
      </c>
      <c r="B23">
        <f t="shared" si="0"/>
        <v>28.655622781800002</v>
      </c>
      <c r="C23">
        <f t="shared" si="1"/>
        <v>-47.99611946201162</v>
      </c>
    </row>
    <row r="24" spans="1:3">
      <c r="A24" s="2">
        <v>24</v>
      </c>
      <c r="B24">
        <f t="shared" si="0"/>
        <v>29.769761291500004</v>
      </c>
      <c r="C24">
        <f t="shared" si="1"/>
        <v>-46.879090221759441</v>
      </c>
    </row>
    <row r="25" spans="1:3">
      <c r="A25" s="2">
        <v>25</v>
      </c>
      <c r="B25">
        <f t="shared" si="0"/>
        <v>30.883899801200002</v>
      </c>
      <c r="C25">
        <f t="shared" si="1"/>
        <v>-45.7624881931483</v>
      </c>
    </row>
    <row r="26" spans="1:3">
      <c r="A26" s="2">
        <v>26</v>
      </c>
      <c r="B26">
        <f t="shared" si="0"/>
        <v>31.9980383109</v>
      </c>
      <c r="C26">
        <f t="shared" si="1"/>
        <v>-44.646313417372795</v>
      </c>
    </row>
    <row r="27" spans="1:3">
      <c r="A27" s="2">
        <v>27</v>
      </c>
      <c r="B27">
        <f t="shared" si="0"/>
        <v>33.112176820599998</v>
      </c>
      <c r="C27">
        <f t="shared" si="1"/>
        <v>-43.530565928487007</v>
      </c>
    </row>
    <row r="28" spans="1:3">
      <c r="A28" s="2">
        <v>28</v>
      </c>
      <c r="B28">
        <f t="shared" si="0"/>
        <v>34.226315330300004</v>
      </c>
      <c r="C28">
        <f t="shared" si="1"/>
        <v>-42.415245753401784</v>
      </c>
    </row>
    <row r="29" spans="1:3">
      <c r="A29" s="2">
        <v>29</v>
      </c>
      <c r="B29">
        <f t="shared" si="0"/>
        <v>35.340453840000002</v>
      </c>
      <c r="C29">
        <f t="shared" si="1"/>
        <v>-41.30035291188242</v>
      </c>
    </row>
    <row r="30" spans="1:3">
      <c r="A30" s="2">
        <v>30</v>
      </c>
      <c r="B30">
        <f t="shared" si="0"/>
        <v>36.4545923497</v>
      </c>
      <c r="C30">
        <f t="shared" si="1"/>
        <v>-40.185887416546898</v>
      </c>
    </row>
    <row r="31" spans="1:3">
      <c r="A31" s="2">
        <v>31</v>
      </c>
      <c r="B31">
        <f t="shared" si="0"/>
        <v>37.568730859400006</v>
      </c>
      <c r="C31">
        <f t="shared" si="1"/>
        <v>-39.071849272865052</v>
      </c>
    </row>
    <row r="32" spans="1:3">
      <c r="A32" s="2">
        <v>32</v>
      </c>
      <c r="B32">
        <f t="shared" si="0"/>
        <v>38.682869369100004</v>
      </c>
      <c r="C32">
        <f t="shared" si="1"/>
        <v>-37.958238479157984</v>
      </c>
    </row>
    <row r="33" spans="1:3">
      <c r="A33" s="2">
        <v>33</v>
      </c>
      <c r="B33">
        <f t="shared" ref="B33:B64" si="2">4.1445755684+(A33-1)*1.1141385097</f>
        <v>39.797007878800002</v>
      </c>
      <c r="C33">
        <f t="shared" ref="C33:C64" si="3">0+1*B33-76.3895951196715*(1.00657894736842+(B33-36.75)^2/221157.875070128)^0.5</f>
        <v>-36.845055026598146</v>
      </c>
    </row>
    <row r="34" spans="1:3">
      <c r="A34" s="2">
        <v>34</v>
      </c>
      <c r="B34">
        <f t="shared" si="2"/>
        <v>40.911146388500001</v>
      </c>
      <c r="C34">
        <f t="shared" si="3"/>
        <v>-35.732298899210193</v>
      </c>
    </row>
    <row r="35" spans="1:3">
      <c r="A35" s="2">
        <v>35</v>
      </c>
      <c r="B35">
        <f t="shared" si="2"/>
        <v>42.025284898199999</v>
      </c>
      <c r="C35">
        <f t="shared" si="3"/>
        <v>-34.619970073872295</v>
      </c>
    </row>
    <row r="36" spans="1:3">
      <c r="A36" s="2">
        <v>36</v>
      </c>
      <c r="B36">
        <f t="shared" si="2"/>
        <v>43.139423407900004</v>
      </c>
      <c r="C36">
        <f t="shared" si="3"/>
        <v>-33.508068520318012</v>
      </c>
    </row>
    <row r="37" spans="1:3">
      <c r="A37" s="2">
        <v>37</v>
      </c>
      <c r="B37">
        <f t="shared" si="2"/>
        <v>44.253561917600003</v>
      </c>
      <c r="C37">
        <f t="shared" si="3"/>
        <v>-32.396594201138889</v>
      </c>
    </row>
    <row r="38" spans="1:3">
      <c r="A38" s="2">
        <v>38</v>
      </c>
      <c r="B38">
        <f t="shared" si="2"/>
        <v>45.367700427300001</v>
      </c>
      <c r="C38">
        <f t="shared" si="3"/>
        <v>-31.285547071787526</v>
      </c>
    </row>
    <row r="39" spans="1:3">
      <c r="A39" s="2">
        <v>39</v>
      </c>
      <c r="B39">
        <f t="shared" si="2"/>
        <v>46.481838937000006</v>
      </c>
      <c r="C39">
        <f t="shared" si="3"/>
        <v>-30.174927080581369</v>
      </c>
    </row>
    <row r="40" spans="1:3">
      <c r="A40" s="2">
        <v>40</v>
      </c>
      <c r="B40">
        <f t="shared" si="2"/>
        <v>47.595977446700005</v>
      </c>
      <c r="C40">
        <f t="shared" si="3"/>
        <v>-29.064734168706991</v>
      </c>
    </row>
    <row r="41" spans="1:3">
      <c r="A41" s="2">
        <v>41</v>
      </c>
      <c r="B41">
        <f t="shared" si="2"/>
        <v>48.710115956400003</v>
      </c>
      <c r="C41">
        <f t="shared" si="3"/>
        <v>-27.954968270224967</v>
      </c>
    </row>
    <row r="42" spans="1:3">
      <c r="A42" s="2">
        <v>42</v>
      </c>
      <c r="B42">
        <f t="shared" si="2"/>
        <v>49.824254466100001</v>
      </c>
      <c r="C42">
        <f t="shared" si="3"/>
        <v>-26.845629312075431</v>
      </c>
    </row>
    <row r="43" spans="1:3">
      <c r="A43" s="2">
        <v>43</v>
      </c>
      <c r="B43">
        <f t="shared" si="2"/>
        <v>50.938392975799999</v>
      </c>
      <c r="C43">
        <f t="shared" si="3"/>
        <v>-25.736717214084209</v>
      </c>
    </row>
    <row r="44" spans="1:3">
      <c r="A44" s="2">
        <v>44</v>
      </c>
      <c r="B44">
        <f t="shared" si="2"/>
        <v>52.052531485500005</v>
      </c>
      <c r="C44">
        <f t="shared" si="3"/>
        <v>-24.628231888969388</v>
      </c>
    </row>
    <row r="45" spans="1:3">
      <c r="A45" s="2">
        <v>45</v>
      </c>
      <c r="B45">
        <f t="shared" si="2"/>
        <v>53.166669995200003</v>
      </c>
      <c r="C45">
        <f t="shared" si="3"/>
        <v>-23.520173242348726</v>
      </c>
    </row>
    <row r="46" spans="1:3">
      <c r="A46" s="2">
        <v>46</v>
      </c>
      <c r="B46">
        <f t="shared" si="2"/>
        <v>54.280808504900001</v>
      </c>
      <c r="C46">
        <f t="shared" si="3"/>
        <v>-22.412541172747446</v>
      </c>
    </row>
    <row r="47" spans="1:3">
      <c r="A47" s="2">
        <v>47</v>
      </c>
      <c r="B47">
        <f t="shared" si="2"/>
        <v>55.394947014600007</v>
      </c>
      <c r="C47">
        <f t="shared" si="3"/>
        <v>-21.305335571606719</v>
      </c>
    </row>
    <row r="48" spans="1:3">
      <c r="A48" s="2">
        <v>48</v>
      </c>
      <c r="B48">
        <f t="shared" si="2"/>
        <v>56.509085524300005</v>
      </c>
      <c r="C48">
        <f t="shared" si="3"/>
        <v>-20.198556323292678</v>
      </c>
    </row>
    <row r="49" spans="1:3">
      <c r="A49" s="2">
        <v>49</v>
      </c>
      <c r="B49">
        <f t="shared" si="2"/>
        <v>57.623224034000003</v>
      </c>
      <c r="C49">
        <f t="shared" si="3"/>
        <v>-19.092203305106082</v>
      </c>
    </row>
    <row r="50" spans="1:3">
      <c r="A50" s="2">
        <v>50</v>
      </c>
      <c r="B50">
        <f t="shared" si="2"/>
        <v>58.737362543700002</v>
      </c>
      <c r="C50">
        <f t="shared" si="3"/>
        <v>-17.986276387292477</v>
      </c>
    </row>
    <row r="51" spans="1:3">
      <c r="A51" s="2">
        <v>51</v>
      </c>
      <c r="B51">
        <f t="shared" si="2"/>
        <v>59.8515010534</v>
      </c>
      <c r="C51">
        <f t="shared" si="3"/>
        <v>-16.880775433052989</v>
      </c>
    </row>
    <row r="52" spans="1:3">
      <c r="A52" s="2">
        <v>52</v>
      </c>
      <c r="B52">
        <f t="shared" si="2"/>
        <v>60.965639563100005</v>
      </c>
      <c r="C52">
        <f t="shared" si="3"/>
        <v>-15.775700298555769</v>
      </c>
    </row>
    <row r="53" spans="1:3">
      <c r="A53" s="2">
        <v>53</v>
      </c>
      <c r="B53">
        <f t="shared" si="2"/>
        <v>62.079778072800003</v>
      </c>
      <c r="C53">
        <f t="shared" si="3"/>
        <v>-14.671050832947806</v>
      </c>
    </row>
    <row r="54" spans="1:3">
      <c r="A54" s="2">
        <v>54</v>
      </c>
      <c r="B54">
        <f t="shared" si="2"/>
        <v>63.193916582500002</v>
      </c>
      <c r="C54">
        <f t="shared" si="3"/>
        <v>-13.566826878367529</v>
      </c>
    </row>
    <row r="55" spans="1:3">
      <c r="A55" s="2">
        <v>55</v>
      </c>
      <c r="B55">
        <f t="shared" si="2"/>
        <v>64.308055092200007</v>
      </c>
      <c r="C55">
        <f t="shared" si="3"/>
        <v>-12.463028269957803</v>
      </c>
    </row>
    <row r="56" spans="1:3">
      <c r="A56" s="2">
        <v>56</v>
      </c>
      <c r="B56">
        <f t="shared" si="2"/>
        <v>65.422193601900005</v>
      </c>
      <c r="C56">
        <f t="shared" si="3"/>
        <v>-11.359654835879724</v>
      </c>
    </row>
    <row r="57" spans="1:3">
      <c r="A57" s="2">
        <v>57</v>
      </c>
      <c r="B57">
        <f t="shared" si="2"/>
        <v>66.536332111600004</v>
      </c>
      <c r="C57">
        <f t="shared" si="3"/>
        <v>-10.256706397326695</v>
      </c>
    </row>
    <row r="58" spans="1:3">
      <c r="A58" s="2">
        <v>58</v>
      </c>
      <c r="B58">
        <f t="shared" si="2"/>
        <v>67.650470621300002</v>
      </c>
      <c r="C58">
        <f t="shared" si="3"/>
        <v>-9.1541827685392576</v>
      </c>
    </row>
    <row r="59" spans="1:3">
      <c r="A59" s="2">
        <v>59</v>
      </c>
      <c r="B59">
        <f t="shared" si="2"/>
        <v>68.764609131</v>
      </c>
      <c r="C59">
        <f t="shared" si="3"/>
        <v>-8.0520837568204229</v>
      </c>
    </row>
    <row r="60" spans="1:3">
      <c r="A60" s="2">
        <v>60</v>
      </c>
      <c r="B60">
        <f t="shared" si="2"/>
        <v>69.878747640699999</v>
      </c>
      <c r="C60">
        <f t="shared" si="3"/>
        <v>-6.9504091625515798</v>
      </c>
    </row>
    <row r="61" spans="1:3">
      <c r="A61" s="2">
        <v>61</v>
      </c>
      <c r="B61">
        <f t="shared" si="2"/>
        <v>70.992886150400011</v>
      </c>
      <c r="C61">
        <f t="shared" si="3"/>
        <v>-5.8491587792089632</v>
      </c>
    </row>
    <row r="62" spans="1:3">
      <c r="A62" s="2">
        <v>62</v>
      </c>
      <c r="B62">
        <f t="shared" si="2"/>
        <v>72.107024660100009</v>
      </c>
      <c r="C62">
        <f t="shared" si="3"/>
        <v>-4.7483323933806219</v>
      </c>
    </row>
    <row r="63" spans="1:3">
      <c r="A63" s="2">
        <v>63</v>
      </c>
      <c r="B63">
        <f t="shared" si="2"/>
        <v>73.221163169800008</v>
      </c>
      <c r="C63">
        <f t="shared" si="3"/>
        <v>-3.6479297847839831</v>
      </c>
    </row>
    <row r="64" spans="1:3">
      <c r="A64" s="2">
        <v>64</v>
      </c>
      <c r="B64">
        <f t="shared" si="2"/>
        <v>74.335301679500006</v>
      </c>
      <c r="C64">
        <f t="shared" si="3"/>
        <v>-2.5479507262838865</v>
      </c>
    </row>
    <row r="65" spans="1:3">
      <c r="A65" s="2">
        <v>65</v>
      </c>
      <c r="B65">
        <f t="shared" ref="B65:B70" si="4">4.1445755684+(A65-1)*1.1141385097</f>
        <v>75.449440189200004</v>
      </c>
      <c r="C65">
        <f t="shared" ref="C65:C70" si="5">0+1*B65-76.3895951196715*(1.00657894736842+(B65-36.75)^2/221157.875070128)^0.5</f>
        <v>-1.4483949839113706</v>
      </c>
    </row>
    <row r="66" spans="1:3">
      <c r="A66" s="2">
        <v>66</v>
      </c>
      <c r="B66">
        <f t="shared" si="4"/>
        <v>76.563578698900002</v>
      </c>
      <c r="C66">
        <f t="shared" si="5"/>
        <v>-0.34926231688267251</v>
      </c>
    </row>
    <row r="67" spans="1:3">
      <c r="A67" s="2">
        <v>67</v>
      </c>
      <c r="B67">
        <f t="shared" si="4"/>
        <v>77.677717208600001</v>
      </c>
      <c r="C67">
        <f t="shared" si="5"/>
        <v>0.74944752238098999</v>
      </c>
    </row>
    <row r="68" spans="1:3">
      <c r="A68" s="2">
        <v>68</v>
      </c>
      <c r="B68">
        <f t="shared" si="4"/>
        <v>78.791855718299999</v>
      </c>
      <c r="C68">
        <f t="shared" si="5"/>
        <v>1.8477347882331543</v>
      </c>
    </row>
    <row r="69" spans="1:3">
      <c r="A69" s="2">
        <v>69</v>
      </c>
      <c r="B69">
        <f t="shared" si="4"/>
        <v>79.905994227999997</v>
      </c>
      <c r="C69">
        <f t="shared" si="5"/>
        <v>2.9455997417814217</v>
      </c>
    </row>
    <row r="70" spans="1:3">
      <c r="A70" s="2">
        <v>70</v>
      </c>
      <c r="B70">
        <f t="shared" si="4"/>
        <v>81.02013273770001</v>
      </c>
      <c r="C70">
        <f t="shared" si="5"/>
        <v>4.0430426508660986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enableFormatConditionsCalculation="0"/>
  <dimension ref="A1:C70"/>
  <sheetViews>
    <sheetView workbookViewId="0"/>
  </sheetViews>
  <sheetFormatPr baseColWidth="10" defaultRowHeight="15.75"/>
  <sheetData>
    <row r="1" spans="1:3">
      <c r="A1" s="2">
        <v>1</v>
      </c>
      <c r="B1">
        <f t="shared" ref="B1:B32" si="0">5.2655743537+(A1-1)*1.0978921505</f>
        <v>5.2655743536999999</v>
      </c>
      <c r="C1">
        <f t="shared" ref="C1:C32" si="1">0+1*B1+76.3895951196715*(1.00657894736842+(B1-36.75)^2/221157.875070128)^0.5</f>
        <v>82.076485081976443</v>
      </c>
    </row>
    <row r="2" spans="1:3">
      <c r="A2" s="2">
        <v>2</v>
      </c>
      <c r="B2">
        <f t="shared" si="0"/>
        <v>6.3634665041999998</v>
      </c>
      <c r="C2">
        <f t="shared" si="1"/>
        <v>83.162709334762113</v>
      </c>
    </row>
    <row r="3" spans="1:3">
      <c r="A3" s="2">
        <v>3</v>
      </c>
      <c r="B3">
        <f t="shared" si="0"/>
        <v>7.4613586546999997</v>
      </c>
      <c r="C3">
        <f t="shared" si="1"/>
        <v>84.249345998546318</v>
      </c>
    </row>
    <row r="4" spans="1:3">
      <c r="A4" s="2">
        <v>4</v>
      </c>
      <c r="B4">
        <f t="shared" si="0"/>
        <v>8.5592508052000014</v>
      </c>
      <c r="C4">
        <f t="shared" si="1"/>
        <v>85.336395254706758</v>
      </c>
    </row>
    <row r="5" spans="1:3">
      <c r="A5" s="2">
        <v>5</v>
      </c>
      <c r="B5">
        <f t="shared" si="0"/>
        <v>9.6571429556999995</v>
      </c>
      <c r="C5">
        <f t="shared" si="1"/>
        <v>86.42385727807293</v>
      </c>
    </row>
    <row r="6" spans="1:3">
      <c r="A6" s="2">
        <v>6</v>
      </c>
      <c r="B6">
        <f t="shared" si="0"/>
        <v>10.755035106200001</v>
      </c>
      <c r="C6">
        <f t="shared" si="1"/>
        <v>87.511732236912167</v>
      </c>
    </row>
    <row r="7" spans="1:3">
      <c r="A7" s="2">
        <v>7</v>
      </c>
      <c r="B7">
        <f t="shared" si="0"/>
        <v>11.852927256700001</v>
      </c>
      <c r="C7">
        <f t="shared" si="1"/>
        <v>88.600020292916042</v>
      </c>
    </row>
    <row r="8" spans="1:3">
      <c r="A8" s="2">
        <v>8</v>
      </c>
      <c r="B8">
        <f t="shared" si="0"/>
        <v>12.950819407200001</v>
      </c>
      <c r="C8">
        <f t="shared" si="1"/>
        <v>89.688721601187495</v>
      </c>
    </row>
    <row r="9" spans="1:3">
      <c r="A9" s="2">
        <v>9</v>
      </c>
      <c r="B9">
        <f t="shared" si="0"/>
        <v>14.048711557700001</v>
      </c>
      <c r="C9">
        <f t="shared" si="1"/>
        <v>90.777836310228267</v>
      </c>
    </row>
    <row r="10" spans="1:3">
      <c r="A10" s="2">
        <v>10</v>
      </c>
      <c r="B10">
        <f t="shared" si="0"/>
        <v>15.146603708200001</v>
      </c>
      <c r="C10">
        <f t="shared" si="1"/>
        <v>91.867364561927019</v>
      </c>
    </row>
    <row r="11" spans="1:3">
      <c r="A11" s="2">
        <v>11</v>
      </c>
      <c r="B11">
        <f t="shared" si="0"/>
        <v>16.244495858699999</v>
      </c>
      <c r="C11">
        <f t="shared" si="1"/>
        <v>92.957306491547769</v>
      </c>
    </row>
    <row r="12" spans="1:3">
      <c r="A12" s="2">
        <v>12</v>
      </c>
      <c r="B12">
        <f t="shared" si="0"/>
        <v>17.3423880092</v>
      </c>
      <c r="C12">
        <f t="shared" si="1"/>
        <v>94.047662227719144</v>
      </c>
    </row>
    <row r="13" spans="1:3">
      <c r="A13" s="2">
        <v>13</v>
      </c>
      <c r="B13">
        <f t="shared" si="0"/>
        <v>18.440280159700002</v>
      </c>
      <c r="C13">
        <f t="shared" si="1"/>
        <v>95.13843189242391</v>
      </c>
    </row>
    <row r="14" spans="1:3">
      <c r="A14" s="2">
        <v>14</v>
      </c>
      <c r="B14">
        <f t="shared" si="0"/>
        <v>19.538172310200004</v>
      </c>
      <c r="C14">
        <f t="shared" si="1"/>
        <v>96.229615600989149</v>
      </c>
    </row>
    <row r="15" spans="1:3">
      <c r="A15" s="2">
        <v>15</v>
      </c>
      <c r="B15">
        <f t="shared" si="0"/>
        <v>20.636064460700002</v>
      </c>
      <c r="C15">
        <f t="shared" si="1"/>
        <v>97.32121346207694</v>
      </c>
    </row>
    <row r="16" spans="1:3">
      <c r="A16" s="2">
        <v>16</v>
      </c>
      <c r="B16">
        <f t="shared" si="0"/>
        <v>21.7339566112</v>
      </c>
      <c r="C16">
        <f t="shared" si="1"/>
        <v>98.41322557767559</v>
      </c>
    </row>
    <row r="17" spans="1:3">
      <c r="A17" s="2">
        <v>17</v>
      </c>
      <c r="B17">
        <f t="shared" si="0"/>
        <v>22.831848761700002</v>
      </c>
      <c r="C17">
        <f t="shared" si="1"/>
        <v>99.505652043091317</v>
      </c>
    </row>
    <row r="18" spans="1:3">
      <c r="A18" s="2">
        <v>18</v>
      </c>
      <c r="B18">
        <f t="shared" si="0"/>
        <v>23.929740912200003</v>
      </c>
      <c r="C18">
        <f t="shared" si="1"/>
        <v>100.59849294694065</v>
      </c>
    </row>
    <row r="19" spans="1:3">
      <c r="A19" s="2">
        <v>19</v>
      </c>
      <c r="B19">
        <f t="shared" si="0"/>
        <v>25.027633062700001</v>
      </c>
      <c r="C19">
        <f t="shared" si="1"/>
        <v>101.69174837114316</v>
      </c>
    </row>
    <row r="20" spans="1:3">
      <c r="A20" s="2">
        <v>20</v>
      </c>
      <c r="B20">
        <f t="shared" si="0"/>
        <v>26.125525213200003</v>
      </c>
      <c r="C20">
        <f t="shared" si="1"/>
        <v>102.7854183909149</v>
      </c>
    </row>
    <row r="21" spans="1:3">
      <c r="A21" s="2">
        <v>21</v>
      </c>
      <c r="B21">
        <f t="shared" si="0"/>
        <v>27.223417363700001</v>
      </c>
      <c r="C21">
        <f t="shared" si="1"/>
        <v>103.87950307476217</v>
      </c>
    </row>
    <row r="22" spans="1:3">
      <c r="A22" s="2">
        <v>22</v>
      </c>
      <c r="B22">
        <f t="shared" si="0"/>
        <v>28.321309514200003</v>
      </c>
      <c r="C22">
        <f t="shared" si="1"/>
        <v>104.97400248447622</v>
      </c>
    </row>
    <row r="23" spans="1:3">
      <c r="A23" s="2">
        <v>23</v>
      </c>
      <c r="B23">
        <f t="shared" si="0"/>
        <v>29.419201664700001</v>
      </c>
      <c r="C23">
        <f t="shared" si="1"/>
        <v>106.06891667512792</v>
      </c>
    </row>
    <row r="24" spans="1:3">
      <c r="A24" s="2">
        <v>24</v>
      </c>
      <c r="B24">
        <f t="shared" si="0"/>
        <v>30.517093815200003</v>
      </c>
      <c r="C24">
        <f t="shared" si="1"/>
        <v>107.16424569506357</v>
      </c>
    </row>
    <row r="25" spans="1:3">
      <c r="A25" s="2">
        <v>25</v>
      </c>
      <c r="B25">
        <f t="shared" si="0"/>
        <v>31.614985965700004</v>
      </c>
      <c r="C25">
        <f t="shared" si="1"/>
        <v>108.25998958590078</v>
      </c>
    </row>
    <row r="26" spans="1:3">
      <c r="A26" s="2">
        <v>26</v>
      </c>
      <c r="B26">
        <f t="shared" si="0"/>
        <v>32.712878116200002</v>
      </c>
      <c r="C26">
        <f t="shared" si="1"/>
        <v>109.35614838252526</v>
      </c>
    </row>
    <row r="27" spans="1:3">
      <c r="A27" s="2">
        <v>27</v>
      </c>
      <c r="B27">
        <f t="shared" si="0"/>
        <v>33.810770266700004</v>
      </c>
      <c r="C27">
        <f t="shared" si="1"/>
        <v>110.45272211308783</v>
      </c>
    </row>
    <row r="28" spans="1:3">
      <c r="A28" s="2">
        <v>28</v>
      </c>
      <c r="B28">
        <f t="shared" si="0"/>
        <v>34.908662417200006</v>
      </c>
      <c r="C28">
        <f t="shared" si="1"/>
        <v>111.54971079900223</v>
      </c>
    </row>
    <row r="29" spans="1:3">
      <c r="A29" s="2">
        <v>29</v>
      </c>
      <c r="B29">
        <f t="shared" si="0"/>
        <v>36.006554567700007</v>
      </c>
      <c r="C29">
        <f t="shared" si="1"/>
        <v>112.64711445494335</v>
      </c>
    </row>
    <row r="30" spans="1:3">
      <c r="A30" s="2">
        <v>30</v>
      </c>
      <c r="B30">
        <f t="shared" si="0"/>
        <v>37.104446718200002</v>
      </c>
      <c r="C30">
        <f t="shared" si="1"/>
        <v>113.74493308884607</v>
      </c>
    </row>
    <row r="31" spans="1:3">
      <c r="A31" s="2">
        <v>31</v>
      </c>
      <c r="B31">
        <f t="shared" si="0"/>
        <v>38.202338868699997</v>
      </c>
      <c r="C31">
        <f t="shared" si="1"/>
        <v>114.84316670190456</v>
      </c>
    </row>
    <row r="32" spans="1:3">
      <c r="A32" s="2">
        <v>32</v>
      </c>
      <c r="B32">
        <f t="shared" si="0"/>
        <v>39.300231019199998</v>
      </c>
      <c r="C32">
        <f t="shared" si="1"/>
        <v>115.94181528857226</v>
      </c>
    </row>
    <row r="33" spans="1:3">
      <c r="A33" s="2">
        <v>33</v>
      </c>
      <c r="B33">
        <f t="shared" ref="B33:B64" si="2">5.2655743537+(A33-1)*1.0978921505</f>
        <v>40.3981231697</v>
      </c>
      <c r="C33">
        <f t="shared" ref="C33:C64" si="3">0+1*B33+76.3895951196715*(1.00657894736842+(B33-36.75)^2/221157.875070128)^0.5</f>
        <v>117.0408788365622</v>
      </c>
    </row>
    <row r="34" spans="1:3">
      <c r="A34" s="2">
        <v>34</v>
      </c>
      <c r="B34">
        <f t="shared" si="2"/>
        <v>41.496015320200001</v>
      </c>
      <c r="C34">
        <f t="shared" si="3"/>
        <v>118.14035732684819</v>
      </c>
    </row>
    <row r="35" spans="1:3">
      <c r="A35" s="2">
        <v>35</v>
      </c>
      <c r="B35">
        <f t="shared" si="2"/>
        <v>42.593907470700003</v>
      </c>
      <c r="C35">
        <f t="shared" si="3"/>
        <v>119.24025073366619</v>
      </c>
    </row>
    <row r="36" spans="1:3">
      <c r="A36" s="2">
        <v>36</v>
      </c>
      <c r="B36">
        <f t="shared" si="2"/>
        <v>43.691799621200005</v>
      </c>
      <c r="C36">
        <f t="shared" si="3"/>
        <v>120.34055902451644</v>
      </c>
    </row>
    <row r="37" spans="1:3">
      <c r="A37" s="2">
        <v>37</v>
      </c>
      <c r="B37">
        <f t="shared" si="2"/>
        <v>44.789691771700006</v>
      </c>
      <c r="C37">
        <f t="shared" si="3"/>
        <v>121.44128216016622</v>
      </c>
    </row>
    <row r="38" spans="1:3">
      <c r="A38" s="2">
        <v>38</v>
      </c>
      <c r="B38">
        <f t="shared" si="2"/>
        <v>45.887583922200008</v>
      </c>
      <c r="C38">
        <f t="shared" si="3"/>
        <v>122.54242009465288</v>
      </c>
    </row>
    <row r="39" spans="1:3">
      <c r="A39" s="2">
        <v>39</v>
      </c>
      <c r="B39">
        <f t="shared" si="2"/>
        <v>46.98547607270001</v>
      </c>
      <c r="C39">
        <f t="shared" si="3"/>
        <v>123.64397277528764</v>
      </c>
    </row>
    <row r="40" spans="1:3">
      <c r="A40" s="2">
        <v>40</v>
      </c>
      <c r="B40">
        <f t="shared" si="2"/>
        <v>48.083368223199997</v>
      </c>
      <c r="C40">
        <f t="shared" si="3"/>
        <v>124.74594014265986</v>
      </c>
    </row>
    <row r="41" spans="1:3">
      <c r="A41" s="2">
        <v>41</v>
      </c>
      <c r="B41">
        <f t="shared" si="2"/>
        <v>49.181260373699999</v>
      </c>
      <c r="C41">
        <f t="shared" si="3"/>
        <v>125.84832213064186</v>
      </c>
    </row>
    <row r="42" spans="1:3">
      <c r="A42" s="2">
        <v>42</v>
      </c>
      <c r="B42">
        <f t="shared" si="2"/>
        <v>50.279152524200001</v>
      </c>
      <c r="C42">
        <f t="shared" si="3"/>
        <v>126.95111866639427</v>
      </c>
    </row>
    <row r="43" spans="1:3">
      <c r="A43" s="2">
        <v>43</v>
      </c>
      <c r="B43">
        <f t="shared" si="2"/>
        <v>51.377044674700002</v>
      </c>
      <c r="C43">
        <f t="shared" si="3"/>
        <v>128.05432967037194</v>
      </c>
    </row>
    <row r="44" spans="1:3">
      <c r="A44" s="2">
        <v>44</v>
      </c>
      <c r="B44">
        <f t="shared" si="2"/>
        <v>52.474936825200004</v>
      </c>
      <c r="C44">
        <f t="shared" si="3"/>
        <v>129.15795505633042</v>
      </c>
    </row>
    <row r="45" spans="1:3">
      <c r="A45" s="2">
        <v>45</v>
      </c>
      <c r="B45">
        <f t="shared" si="2"/>
        <v>53.572828975700006</v>
      </c>
      <c r="C45">
        <f t="shared" si="3"/>
        <v>130.26199473133283</v>
      </c>
    </row>
    <row r="46" spans="1:3">
      <c r="A46" s="2">
        <v>46</v>
      </c>
      <c r="B46">
        <f t="shared" si="2"/>
        <v>54.670721126200007</v>
      </c>
      <c r="C46">
        <f t="shared" si="3"/>
        <v>131.36644859575756</v>
      </c>
    </row>
    <row r="47" spans="1:3">
      <c r="A47" s="2">
        <v>47</v>
      </c>
      <c r="B47">
        <f t="shared" si="2"/>
        <v>55.768613276700009</v>
      </c>
      <c r="C47">
        <f t="shared" si="3"/>
        <v>132.4713165433061</v>
      </c>
    </row>
    <row r="48" spans="1:3">
      <c r="A48" s="2">
        <v>48</v>
      </c>
      <c r="B48">
        <f t="shared" si="2"/>
        <v>56.866505427200011</v>
      </c>
      <c r="C48">
        <f t="shared" si="3"/>
        <v>133.57659846101188</v>
      </c>
    </row>
    <row r="49" spans="1:3">
      <c r="A49" s="2">
        <v>49</v>
      </c>
      <c r="B49">
        <f t="shared" si="2"/>
        <v>57.964397577700012</v>
      </c>
      <c r="C49">
        <f t="shared" si="3"/>
        <v>134.68229422924924</v>
      </c>
    </row>
    <row r="50" spans="1:3">
      <c r="A50" s="2">
        <v>50</v>
      </c>
      <c r="B50">
        <f t="shared" si="2"/>
        <v>59.0622897282</v>
      </c>
      <c r="C50">
        <f t="shared" si="3"/>
        <v>135.78840372174307</v>
      </c>
    </row>
    <row r="51" spans="1:3">
      <c r="A51" s="2">
        <v>51</v>
      </c>
      <c r="B51">
        <f t="shared" si="2"/>
        <v>60.160181878700001</v>
      </c>
      <c r="C51">
        <f t="shared" si="3"/>
        <v>136.89492680557919</v>
      </c>
    </row>
    <row r="52" spans="1:3">
      <c r="A52" s="2">
        <v>52</v>
      </c>
      <c r="B52">
        <f t="shared" si="2"/>
        <v>61.258074029200003</v>
      </c>
      <c r="C52">
        <f t="shared" si="3"/>
        <v>138.00186334121486</v>
      </c>
    </row>
    <row r="53" spans="1:3">
      <c r="A53" s="2">
        <v>53</v>
      </c>
      <c r="B53">
        <f t="shared" si="2"/>
        <v>62.355966179700005</v>
      </c>
      <c r="C53">
        <f t="shared" si="3"/>
        <v>139.10921318249007</v>
      </c>
    </row>
    <row r="54" spans="1:3">
      <c r="A54" s="2">
        <v>54</v>
      </c>
      <c r="B54">
        <f t="shared" si="2"/>
        <v>63.453858330200006</v>
      </c>
      <c r="C54">
        <f t="shared" si="3"/>
        <v>140.21697617663943</v>
      </c>
    </row>
    <row r="55" spans="1:3">
      <c r="A55" s="2">
        <v>55</v>
      </c>
      <c r="B55">
        <f t="shared" si="2"/>
        <v>64.551750480700008</v>
      </c>
      <c r="C55">
        <f t="shared" si="3"/>
        <v>141.32515216430434</v>
      </c>
    </row>
    <row r="56" spans="1:3">
      <c r="A56" s="2">
        <v>56</v>
      </c>
      <c r="B56">
        <f t="shared" si="2"/>
        <v>65.64964263120001</v>
      </c>
      <c r="C56">
        <f t="shared" si="3"/>
        <v>142.4337409795458</v>
      </c>
    </row>
    <row r="57" spans="1:3">
      <c r="A57" s="2">
        <v>57</v>
      </c>
      <c r="B57">
        <f t="shared" si="2"/>
        <v>66.747534781700011</v>
      </c>
      <c r="C57">
        <f t="shared" si="3"/>
        <v>143.54274244985783</v>
      </c>
    </row>
    <row r="58" spans="1:3">
      <c r="A58" s="2">
        <v>58</v>
      </c>
      <c r="B58">
        <f t="shared" si="2"/>
        <v>67.845426932200013</v>
      </c>
      <c r="C58">
        <f t="shared" si="3"/>
        <v>144.6521563961812</v>
      </c>
    </row>
    <row r="59" spans="1:3">
      <c r="A59" s="2">
        <v>59</v>
      </c>
      <c r="B59">
        <f t="shared" si="2"/>
        <v>68.9433190827</v>
      </c>
      <c r="C59">
        <f t="shared" si="3"/>
        <v>145.76198263291786</v>
      </c>
    </row>
    <row r="60" spans="1:3">
      <c r="A60" s="2">
        <v>60</v>
      </c>
      <c r="B60">
        <f t="shared" si="2"/>
        <v>70.041211233200016</v>
      </c>
      <c r="C60">
        <f t="shared" si="3"/>
        <v>146.87222096794591</v>
      </c>
    </row>
    <row r="61" spans="1:3">
      <c r="A61" s="2">
        <v>61</v>
      </c>
      <c r="B61">
        <f t="shared" si="2"/>
        <v>71.139103383700004</v>
      </c>
      <c r="C61">
        <f t="shared" si="3"/>
        <v>147.98287120263461</v>
      </c>
    </row>
    <row r="62" spans="1:3">
      <c r="A62" s="2">
        <v>62</v>
      </c>
      <c r="B62">
        <f t="shared" si="2"/>
        <v>72.236995534200005</v>
      </c>
      <c r="C62">
        <f t="shared" si="3"/>
        <v>149.09393313186067</v>
      </c>
    </row>
    <row r="63" spans="1:3">
      <c r="A63" s="2">
        <v>63</v>
      </c>
      <c r="B63">
        <f t="shared" si="2"/>
        <v>73.334887684700007</v>
      </c>
      <c r="C63">
        <f t="shared" si="3"/>
        <v>150.20540654402441</v>
      </c>
    </row>
    <row r="64" spans="1:3">
      <c r="A64" s="2">
        <v>64</v>
      </c>
      <c r="B64">
        <f t="shared" si="2"/>
        <v>74.432779835200009</v>
      </c>
      <c r="C64">
        <f t="shared" si="3"/>
        <v>151.31729122106665</v>
      </c>
    </row>
    <row r="65" spans="1:3">
      <c r="A65" s="2">
        <v>65</v>
      </c>
      <c r="B65">
        <f t="shared" ref="B65:B70" si="4">5.2655743537+(A65-1)*1.0978921505</f>
        <v>75.53067198570001</v>
      </c>
      <c r="C65">
        <f t="shared" ref="C65:C70" si="5">0+1*B65+76.3895951196715*(1.00657894736842+(B65-36.75)^2/221157.875070128)^0.5</f>
        <v>152.42958693848615</v>
      </c>
    </row>
    <row r="66" spans="1:3">
      <c r="A66" s="2">
        <v>66</v>
      </c>
      <c r="B66">
        <f t="shared" si="4"/>
        <v>76.628564136200012</v>
      </c>
      <c r="C66">
        <f t="shared" si="5"/>
        <v>153.54229346535735</v>
      </c>
    </row>
    <row r="67" spans="1:3">
      <c r="A67" s="2">
        <v>67</v>
      </c>
      <c r="B67">
        <f t="shared" si="4"/>
        <v>77.726456286700014</v>
      </c>
      <c r="C67">
        <f t="shared" si="5"/>
        <v>154.65541056434887</v>
      </c>
    </row>
    <row r="68" spans="1:3">
      <c r="A68" s="2">
        <v>68</v>
      </c>
      <c r="B68">
        <f t="shared" si="4"/>
        <v>78.824348437200015</v>
      </c>
      <c r="C68">
        <f t="shared" si="5"/>
        <v>155.76893799174221</v>
      </c>
    </row>
    <row r="69" spans="1:3">
      <c r="A69" s="2">
        <v>69</v>
      </c>
      <c r="B69">
        <f t="shared" si="4"/>
        <v>79.922240587700017</v>
      </c>
      <c r="C69">
        <f t="shared" si="5"/>
        <v>156.88287549745115</v>
      </c>
    </row>
    <row r="70" spans="1:3">
      <c r="A70" s="2">
        <v>70</v>
      </c>
      <c r="B70">
        <f t="shared" si="4"/>
        <v>81.020132738200004</v>
      </c>
      <c r="C70">
        <f t="shared" si="5"/>
        <v>157.99722282504149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C11"/>
  <sheetViews>
    <sheetView tabSelected="1" workbookViewId="0">
      <selection activeCell="C8" sqref="C8"/>
    </sheetView>
  </sheetViews>
  <sheetFormatPr baseColWidth="10" defaultRowHeight="57" customHeight="1"/>
  <cols>
    <col min="1" max="1" width="10.625" customWidth="1"/>
    <col min="2" max="2" width="43.125" customWidth="1"/>
    <col min="3" max="3" width="130.125" customWidth="1"/>
  </cols>
  <sheetData>
    <row r="1" spans="1:3" ht="57" customHeight="1">
      <c r="A1" s="229" t="s">
        <v>4472</v>
      </c>
    </row>
    <row r="2" spans="1:3" ht="57" customHeight="1">
      <c r="A2" s="227"/>
      <c r="B2" t="s">
        <v>4476</v>
      </c>
      <c r="C2" s="230" t="s">
        <v>4480</v>
      </c>
    </row>
    <row r="3" spans="1:3" ht="57" customHeight="1">
      <c r="A3" s="228"/>
      <c r="B3" t="s">
        <v>4475</v>
      </c>
      <c r="C3" s="232" t="s">
        <v>4483</v>
      </c>
    </row>
    <row r="4" spans="1:3" ht="57" customHeight="1">
      <c r="A4" s="231"/>
      <c r="B4" t="s">
        <v>4473</v>
      </c>
      <c r="C4" s="232" t="s">
        <v>4477</v>
      </c>
    </row>
    <row r="5" spans="1:3" ht="57" customHeight="1">
      <c r="A5" s="233"/>
      <c r="B5" t="s">
        <v>4474</v>
      </c>
      <c r="C5" s="232" t="s">
        <v>4481</v>
      </c>
    </row>
    <row r="7" spans="1:3" ht="57" customHeight="1">
      <c r="A7" s="229"/>
      <c r="C7" s="232" t="s">
        <v>4484</v>
      </c>
    </row>
    <row r="8" spans="1:3" ht="57" customHeight="1">
      <c r="A8" s="334"/>
    </row>
    <row r="9" spans="1:3" ht="57" customHeight="1">
      <c r="A9" s="334"/>
    </row>
    <row r="10" spans="1:3" ht="57" customHeight="1">
      <c r="A10" s="334"/>
    </row>
    <row r="11" spans="1:3" ht="57" customHeight="1">
      <c r="A11" s="334"/>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H163"/>
  <sheetViews>
    <sheetView showGridLines="0" workbookViewId="0">
      <pane xSplit="1" topLeftCell="B1" activePane="topRight" state="frozen"/>
      <selection pane="topRight" activeCell="C17" sqref="C17"/>
    </sheetView>
  </sheetViews>
  <sheetFormatPr baseColWidth="10" defaultColWidth="10.875" defaultRowHeight="15.75"/>
  <cols>
    <col min="1" max="1" width="21.125" style="63" hidden="1" customWidth="1"/>
    <col min="2" max="2" width="18.625" style="92" customWidth="1"/>
    <col min="3" max="3" width="13.5" style="63" customWidth="1"/>
    <col min="4" max="4" width="7.125" style="84" customWidth="1"/>
    <col min="5" max="5" width="12.375" style="63" customWidth="1"/>
    <col min="6" max="6" width="13.625" style="89" customWidth="1"/>
    <col min="7" max="7" width="4.625" style="84" customWidth="1"/>
    <col min="8" max="8" width="9.5" style="84" customWidth="1"/>
    <col min="9" max="9" width="4.125" style="84" customWidth="1"/>
    <col min="10" max="10" width="7.875" style="84" customWidth="1"/>
    <col min="11" max="11" width="4" style="84" customWidth="1"/>
    <col min="12" max="12" width="8" style="84" customWidth="1"/>
    <col min="13" max="13" width="5.125" style="84" customWidth="1"/>
    <col min="14" max="14" width="8.375" style="84" customWidth="1"/>
    <col min="15" max="15" width="8.125" style="84" customWidth="1"/>
    <col min="16" max="16" width="13" style="87" hidden="1" customWidth="1"/>
    <col min="17" max="17" width="7.625" style="88" customWidth="1"/>
    <col min="18" max="18" width="8.875" style="88" customWidth="1"/>
    <col min="19" max="16384" width="10.875" style="63"/>
  </cols>
  <sheetData>
    <row r="1" spans="1:34" s="90" customFormat="1">
      <c r="A1" s="103" t="s">
        <v>207</v>
      </c>
      <c r="B1" s="290" t="s">
        <v>1708</v>
      </c>
      <c r="C1" s="291" t="s">
        <v>839</v>
      </c>
      <c r="D1" s="292" t="s">
        <v>1713</v>
      </c>
      <c r="E1" s="292" t="s">
        <v>1720</v>
      </c>
      <c r="F1" s="293" t="s">
        <v>270</v>
      </c>
      <c r="G1" s="292" t="s">
        <v>1709</v>
      </c>
      <c r="H1" s="292" t="s">
        <v>1702</v>
      </c>
      <c r="I1" s="292" t="s">
        <v>1710</v>
      </c>
      <c r="J1" s="292" t="s">
        <v>1701</v>
      </c>
      <c r="K1" s="292" t="s">
        <v>1711</v>
      </c>
      <c r="L1" s="292" t="s">
        <v>1703</v>
      </c>
      <c r="M1" s="292" t="s">
        <v>1712</v>
      </c>
      <c r="N1" s="292" t="s">
        <v>1704</v>
      </c>
      <c r="O1" s="292" t="s">
        <v>1719</v>
      </c>
      <c r="P1" s="294" t="s">
        <v>875</v>
      </c>
      <c r="Q1" s="295" t="s">
        <v>1714</v>
      </c>
      <c r="R1" s="295" t="s">
        <v>1694</v>
      </c>
    </row>
    <row r="2" spans="1:34" s="84" customFormat="1">
      <c r="A2" s="84" t="s">
        <v>1717</v>
      </c>
      <c r="B2" s="296" t="s">
        <v>19</v>
      </c>
      <c r="C2" s="165">
        <v>1</v>
      </c>
      <c r="D2" s="165">
        <v>8</v>
      </c>
      <c r="E2" s="165">
        <v>97</v>
      </c>
      <c r="F2" s="297">
        <f>D2/E2</f>
        <v>8.247422680412371E-2</v>
      </c>
      <c r="G2" s="298">
        <v>30.03</v>
      </c>
      <c r="H2" s="165"/>
      <c r="I2" s="165">
        <v>51.53</v>
      </c>
      <c r="J2" s="165"/>
      <c r="K2" s="165">
        <v>53.3</v>
      </c>
      <c r="L2" s="165"/>
      <c r="M2" s="165">
        <v>8.26</v>
      </c>
      <c r="N2" s="165"/>
      <c r="O2" s="163">
        <f>P2*100</f>
        <v>2.4</v>
      </c>
      <c r="P2" s="299">
        <v>2.4E-2</v>
      </c>
      <c r="Q2" s="168">
        <v>5.8</v>
      </c>
      <c r="R2" s="168">
        <f>'Trade Data'!B5</f>
        <v>0.64345331184822074</v>
      </c>
      <c r="S2" s="321"/>
      <c r="T2" s="322"/>
      <c r="U2" s="322"/>
      <c r="V2" s="321"/>
      <c r="W2" s="321"/>
      <c r="X2" s="322"/>
      <c r="Y2" s="322"/>
      <c r="Z2" s="321"/>
      <c r="AA2" s="321"/>
      <c r="AB2" s="322"/>
      <c r="AC2" s="322"/>
      <c r="AD2" s="321"/>
      <c r="AE2" s="321"/>
      <c r="AF2" s="322"/>
      <c r="AG2" s="322"/>
      <c r="AH2" s="321"/>
    </row>
    <row r="3" spans="1:34" s="84" customFormat="1">
      <c r="A3" s="84" t="s">
        <v>1716</v>
      </c>
      <c r="B3" s="145" t="s">
        <v>20</v>
      </c>
      <c r="C3" s="300">
        <v>1</v>
      </c>
      <c r="D3" s="300">
        <v>9</v>
      </c>
      <c r="E3" s="300">
        <v>97</v>
      </c>
      <c r="F3" s="301">
        <f t="shared" ref="F3:F66" si="0">D3/E3</f>
        <v>9.2783505154639179E-2</v>
      </c>
      <c r="G3" s="302">
        <v>16.59</v>
      </c>
      <c r="H3" s="300">
        <f>ABS(G3-G2)</f>
        <v>13.440000000000001</v>
      </c>
      <c r="I3" s="300">
        <v>18.739999999999998</v>
      </c>
      <c r="J3" s="300">
        <f>ABS(I3-I2)</f>
        <v>32.790000000000006</v>
      </c>
      <c r="K3" s="300">
        <v>46.66</v>
      </c>
      <c r="L3" s="300">
        <f>ABS(K3-K2)</f>
        <v>6.6400000000000006</v>
      </c>
      <c r="M3" s="300">
        <v>8.26</v>
      </c>
      <c r="N3" s="300"/>
      <c r="O3" s="303">
        <f t="shared" ref="O3:O66" si="1">P3*100</f>
        <v>2.4</v>
      </c>
      <c r="P3" s="304">
        <v>2.4E-2</v>
      </c>
      <c r="Q3" s="305">
        <v>5.8</v>
      </c>
      <c r="R3" s="305">
        <f>'Trade Data'!B5</f>
        <v>0.64345331184822074</v>
      </c>
      <c r="S3" s="99"/>
      <c r="T3" s="99"/>
      <c r="U3" s="99"/>
      <c r="V3" s="99"/>
      <c r="W3" s="99"/>
      <c r="X3" s="99"/>
      <c r="Y3" s="99"/>
      <c r="Z3" s="99"/>
      <c r="AA3" s="99"/>
      <c r="AB3" s="99"/>
      <c r="AC3" s="99"/>
      <c r="AD3" s="99"/>
    </row>
    <row r="4" spans="1:34" s="84" customFormat="1">
      <c r="A4" s="84" t="s">
        <v>1718</v>
      </c>
      <c r="B4" s="145" t="s">
        <v>21</v>
      </c>
      <c r="C4" s="300">
        <v>1</v>
      </c>
      <c r="D4" s="300">
        <v>6</v>
      </c>
      <c r="E4" s="300">
        <v>97</v>
      </c>
      <c r="F4" s="301">
        <f t="shared" si="0"/>
        <v>6.1855670103092786E-2</v>
      </c>
      <c r="G4" s="302">
        <v>26.49</v>
      </c>
      <c r="H4" s="300">
        <f t="shared" ref="H4:H67" si="2">ABS(G4-G3)</f>
        <v>9.8999999999999986</v>
      </c>
      <c r="I4" s="300">
        <v>49.55</v>
      </c>
      <c r="J4" s="300">
        <f t="shared" ref="J4:J67" si="3">ABS(I4-I3)</f>
        <v>30.81</v>
      </c>
      <c r="K4" s="300">
        <v>42.16</v>
      </c>
      <c r="L4" s="300">
        <f t="shared" ref="L4:L67" si="4">ABS(K4-K3)</f>
        <v>4.5</v>
      </c>
      <c r="M4" s="300">
        <v>8.26</v>
      </c>
      <c r="N4" s="300"/>
      <c r="O4" s="303">
        <f t="shared" si="1"/>
        <v>2.4</v>
      </c>
      <c r="P4" s="304">
        <v>2.4E-2</v>
      </c>
      <c r="Q4" s="305">
        <v>5.8</v>
      </c>
      <c r="R4" s="305">
        <f>'Trade Data'!B5</f>
        <v>0.64345331184822074</v>
      </c>
      <c r="S4" s="99"/>
      <c r="T4" s="99"/>
      <c r="U4" s="99"/>
      <c r="V4" s="99"/>
      <c r="W4" s="99"/>
      <c r="X4" s="99"/>
      <c r="Y4" s="99"/>
      <c r="Z4" s="99"/>
      <c r="AA4" s="99"/>
      <c r="AB4" s="99"/>
      <c r="AC4" s="99"/>
      <c r="AD4" s="99"/>
    </row>
    <row r="5" spans="1:34" s="84" customFormat="1">
      <c r="A5" s="84" t="s">
        <v>21</v>
      </c>
      <c r="B5" s="145" t="s">
        <v>22</v>
      </c>
      <c r="C5" s="300">
        <v>1</v>
      </c>
      <c r="D5" s="300">
        <v>10</v>
      </c>
      <c r="E5" s="300">
        <v>95</v>
      </c>
      <c r="F5" s="301">
        <f t="shared" si="0"/>
        <v>0.10526315789473684</v>
      </c>
      <c r="G5" s="302">
        <v>19.149999999999999</v>
      </c>
      <c r="H5" s="300">
        <f t="shared" si="2"/>
        <v>7.34</v>
      </c>
      <c r="I5" s="300">
        <v>37.130000000000003</v>
      </c>
      <c r="J5" s="300">
        <f t="shared" si="3"/>
        <v>12.419999999999995</v>
      </c>
      <c r="K5" s="300">
        <v>33.32</v>
      </c>
      <c r="L5" s="300">
        <f t="shared" si="4"/>
        <v>8.8399999999999963</v>
      </c>
      <c r="M5" s="300">
        <v>8.26</v>
      </c>
      <c r="N5" s="300"/>
      <c r="O5" s="303">
        <f t="shared" si="1"/>
        <v>2.4</v>
      </c>
      <c r="P5" s="304">
        <v>2.4E-2</v>
      </c>
      <c r="Q5" s="305">
        <v>5.8</v>
      </c>
      <c r="R5" s="305">
        <f>'Trade Data'!B5</f>
        <v>0.64345331184822074</v>
      </c>
      <c r="S5" s="99"/>
      <c r="T5" s="99"/>
      <c r="U5" s="99"/>
      <c r="V5" s="99"/>
      <c r="W5" s="99"/>
      <c r="X5" s="99"/>
      <c r="Y5" s="99"/>
      <c r="Z5" s="99"/>
      <c r="AA5" s="99"/>
      <c r="AB5" s="99"/>
      <c r="AC5" s="99"/>
      <c r="AD5" s="99"/>
    </row>
    <row r="6" spans="1:34" s="84" customFormat="1">
      <c r="A6" s="84" t="s">
        <v>22</v>
      </c>
      <c r="B6" s="145" t="s">
        <v>24</v>
      </c>
      <c r="C6" s="300">
        <v>1</v>
      </c>
      <c r="D6" s="300">
        <v>9</v>
      </c>
      <c r="E6" s="300">
        <v>95</v>
      </c>
      <c r="F6" s="301">
        <f t="shared" si="0"/>
        <v>9.4736842105263161E-2</v>
      </c>
      <c r="G6" s="302">
        <v>17.45</v>
      </c>
      <c r="H6" s="300">
        <f t="shared" si="2"/>
        <v>1.6999999999999993</v>
      </c>
      <c r="I6" s="300">
        <v>21.31</v>
      </c>
      <c r="J6" s="300">
        <f t="shared" si="3"/>
        <v>15.820000000000004</v>
      </c>
      <c r="K6" s="300">
        <v>43.87</v>
      </c>
      <c r="L6" s="300">
        <f t="shared" si="4"/>
        <v>10.549999999999997</v>
      </c>
      <c r="M6" s="300">
        <v>8.26</v>
      </c>
      <c r="N6" s="300"/>
      <c r="O6" s="303">
        <f t="shared" si="1"/>
        <v>-2.5</v>
      </c>
      <c r="P6" s="304">
        <v>-2.5000000000000001E-2</v>
      </c>
      <c r="Q6" s="306">
        <v>5</v>
      </c>
      <c r="R6" s="305">
        <f>'Trade Data'!D5</f>
        <v>0.59136484071720108</v>
      </c>
      <c r="S6" s="99"/>
      <c r="T6" s="99"/>
      <c r="U6" s="99"/>
      <c r="V6" s="99"/>
      <c r="W6" s="99"/>
      <c r="X6" s="99"/>
      <c r="Y6" s="99"/>
      <c r="Z6" s="99"/>
      <c r="AA6" s="99"/>
      <c r="AB6" s="99"/>
      <c r="AC6" s="99"/>
      <c r="AD6" s="99"/>
    </row>
    <row r="7" spans="1:34" s="84" customFormat="1">
      <c r="A7" s="84" t="s">
        <v>24</v>
      </c>
      <c r="B7" s="145" t="s">
        <v>23</v>
      </c>
      <c r="C7" s="300">
        <v>1</v>
      </c>
      <c r="D7" s="300">
        <v>11</v>
      </c>
      <c r="E7" s="300">
        <v>95</v>
      </c>
      <c r="F7" s="301">
        <f t="shared" si="0"/>
        <v>0.11578947368421053</v>
      </c>
      <c r="G7" s="302">
        <v>25.83</v>
      </c>
      <c r="H7" s="300">
        <f t="shared" si="2"/>
        <v>8.379999999999999</v>
      </c>
      <c r="I7" s="300">
        <v>60.54</v>
      </c>
      <c r="J7" s="300">
        <f t="shared" si="3"/>
        <v>39.230000000000004</v>
      </c>
      <c r="K7" s="300">
        <v>32.75</v>
      </c>
      <c r="L7" s="300">
        <f t="shared" si="4"/>
        <v>11.119999999999997</v>
      </c>
      <c r="M7" s="300">
        <v>8.26</v>
      </c>
      <c r="N7" s="300"/>
      <c r="O7" s="303">
        <f t="shared" si="1"/>
        <v>-2.5</v>
      </c>
      <c r="P7" s="304">
        <v>-2.5000000000000001E-2</v>
      </c>
      <c r="Q7" s="306">
        <v>5</v>
      </c>
      <c r="R7" s="305">
        <v>0.59</v>
      </c>
      <c r="S7" s="99"/>
      <c r="T7" s="99"/>
      <c r="U7" s="99"/>
      <c r="V7" s="99"/>
      <c r="W7" s="99"/>
      <c r="X7" s="99"/>
      <c r="Y7" s="99"/>
      <c r="Z7" s="99"/>
      <c r="AA7" s="99"/>
      <c r="AB7" s="99"/>
      <c r="AC7" s="99"/>
      <c r="AD7" s="99"/>
    </row>
    <row r="8" spans="1:34" s="84" customFormat="1">
      <c r="A8" s="84" t="s">
        <v>23</v>
      </c>
      <c r="B8" s="145" t="s">
        <v>25</v>
      </c>
      <c r="C8" s="300">
        <v>1</v>
      </c>
      <c r="D8" s="300">
        <v>6</v>
      </c>
      <c r="E8" s="300">
        <v>95</v>
      </c>
      <c r="F8" s="301">
        <f t="shared" si="0"/>
        <v>6.3157894736842107E-2</v>
      </c>
      <c r="G8" s="302">
        <v>21.71</v>
      </c>
      <c r="H8" s="300">
        <f t="shared" si="2"/>
        <v>4.1199999999999974</v>
      </c>
      <c r="I8" s="300">
        <v>44</v>
      </c>
      <c r="J8" s="300">
        <f t="shared" si="3"/>
        <v>16.54</v>
      </c>
      <c r="K8" s="300">
        <v>37.159999999999997</v>
      </c>
      <c r="L8" s="300">
        <f t="shared" si="4"/>
        <v>4.4099999999999966</v>
      </c>
      <c r="M8" s="300">
        <v>8.26</v>
      </c>
      <c r="N8" s="300"/>
      <c r="O8" s="303">
        <f t="shared" si="1"/>
        <v>-2.5</v>
      </c>
      <c r="P8" s="304">
        <v>-2.5000000000000001E-2</v>
      </c>
      <c r="Q8" s="306">
        <v>5</v>
      </c>
      <c r="R8" s="305">
        <v>0.59</v>
      </c>
      <c r="S8" s="99"/>
      <c r="T8" s="99"/>
      <c r="U8" s="99"/>
      <c r="V8" s="99"/>
      <c r="W8" s="99"/>
      <c r="X8" s="99"/>
      <c r="Y8" s="99"/>
      <c r="Z8" s="99"/>
      <c r="AA8" s="99"/>
      <c r="AB8" s="99"/>
      <c r="AC8" s="99"/>
      <c r="AD8" s="99"/>
    </row>
    <row r="9" spans="1:34" s="84" customFormat="1">
      <c r="A9" s="84" t="s">
        <v>25</v>
      </c>
      <c r="B9" s="145" t="s">
        <v>26</v>
      </c>
      <c r="C9" s="300">
        <v>1</v>
      </c>
      <c r="D9" s="300">
        <v>5</v>
      </c>
      <c r="E9" s="300">
        <v>93</v>
      </c>
      <c r="F9" s="301">
        <f t="shared" si="0"/>
        <v>5.3763440860215055E-2</v>
      </c>
      <c r="G9" s="302">
        <v>16.41</v>
      </c>
      <c r="H9" s="300">
        <f t="shared" si="2"/>
        <v>5.3000000000000007</v>
      </c>
      <c r="I9" s="300">
        <v>18.809999999999999</v>
      </c>
      <c r="J9" s="300">
        <f t="shared" si="3"/>
        <v>25.19</v>
      </c>
      <c r="K9" s="300">
        <v>42.1</v>
      </c>
      <c r="L9" s="300">
        <f t="shared" si="4"/>
        <v>4.9400000000000048</v>
      </c>
      <c r="M9" s="300">
        <v>7.68</v>
      </c>
      <c r="N9" s="300">
        <f t="shared" ref="N9:N66" si="5">ABS(M9-M8)</f>
        <v>0.58000000000000007</v>
      </c>
      <c r="O9" s="303">
        <f t="shared" si="1"/>
        <v>-2.5</v>
      </c>
      <c r="P9" s="304">
        <v>-2.5000000000000001E-2</v>
      </c>
      <c r="Q9" s="306">
        <v>5</v>
      </c>
      <c r="R9" s="305">
        <f>'Trade Data'!D5</f>
        <v>0.59136484071720108</v>
      </c>
      <c r="S9" s="99"/>
      <c r="T9" s="99"/>
      <c r="U9" s="99"/>
      <c r="V9" s="99"/>
      <c r="W9" s="99"/>
      <c r="X9" s="99"/>
      <c r="Y9" s="99"/>
      <c r="Z9" s="99"/>
      <c r="AA9" s="99"/>
      <c r="AB9" s="99"/>
      <c r="AC9" s="99"/>
      <c r="AD9" s="99"/>
    </row>
    <row r="10" spans="1:34" s="84" customFormat="1">
      <c r="A10" s="84" t="s">
        <v>26</v>
      </c>
      <c r="B10" s="145" t="s">
        <v>27</v>
      </c>
      <c r="C10" s="300">
        <v>1</v>
      </c>
      <c r="D10" s="300">
        <v>4</v>
      </c>
      <c r="E10" s="300">
        <v>93</v>
      </c>
      <c r="F10" s="301">
        <f t="shared" si="0"/>
        <v>4.3010752688172046E-2</v>
      </c>
      <c r="G10" s="302">
        <v>34.42</v>
      </c>
      <c r="H10" s="300">
        <f t="shared" si="2"/>
        <v>18.010000000000002</v>
      </c>
      <c r="I10" s="300">
        <v>64.06</v>
      </c>
      <c r="J10" s="300">
        <f t="shared" si="3"/>
        <v>45.25</v>
      </c>
      <c r="K10" s="300">
        <v>50.43</v>
      </c>
      <c r="L10" s="300">
        <f t="shared" si="4"/>
        <v>8.3299999999999983</v>
      </c>
      <c r="M10" s="300">
        <v>7.68</v>
      </c>
      <c r="N10" s="300"/>
      <c r="O10" s="303">
        <f t="shared" si="1"/>
        <v>2.6</v>
      </c>
      <c r="P10" s="304">
        <v>2.5999999999999999E-2</v>
      </c>
      <c r="Q10" s="306">
        <v>5.75</v>
      </c>
      <c r="R10" s="305">
        <f>'Trade Data'!F5</f>
        <v>0.61215508806410301</v>
      </c>
      <c r="S10" s="99"/>
      <c r="T10" s="99"/>
      <c r="U10" s="99"/>
      <c r="V10" s="99"/>
      <c r="W10" s="99"/>
      <c r="X10" s="99"/>
      <c r="Y10" s="99"/>
      <c r="Z10" s="99"/>
      <c r="AA10" s="99"/>
      <c r="AB10" s="99"/>
      <c r="AC10" s="99"/>
      <c r="AD10" s="99"/>
    </row>
    <row r="11" spans="1:34" s="84" customFormat="1">
      <c r="A11" s="84" t="s">
        <v>27</v>
      </c>
      <c r="B11" s="145" t="s">
        <v>28</v>
      </c>
      <c r="C11" s="300">
        <v>1</v>
      </c>
      <c r="D11" s="300">
        <v>1</v>
      </c>
      <c r="E11" s="300">
        <v>93</v>
      </c>
      <c r="F11" s="301">
        <f t="shared" si="0"/>
        <v>1.0752688172043012E-2</v>
      </c>
      <c r="G11" s="302">
        <v>35.11</v>
      </c>
      <c r="H11" s="300">
        <f t="shared" si="2"/>
        <v>0.68999999999999773</v>
      </c>
      <c r="I11" s="300">
        <v>57.4</v>
      </c>
      <c r="J11" s="300">
        <f t="shared" si="3"/>
        <v>6.6600000000000037</v>
      </c>
      <c r="K11" s="300">
        <v>63.55</v>
      </c>
      <c r="L11" s="300">
        <f t="shared" si="4"/>
        <v>13.119999999999997</v>
      </c>
      <c r="M11" s="300">
        <v>7.68</v>
      </c>
      <c r="N11" s="300"/>
      <c r="O11" s="303">
        <f t="shared" si="1"/>
        <v>2.6</v>
      </c>
      <c r="P11" s="304">
        <v>2.5999999999999999E-2</v>
      </c>
      <c r="Q11" s="306">
        <v>5.75</v>
      </c>
      <c r="R11" s="306">
        <f>'Trade Data'!F5</f>
        <v>0.61215508806410301</v>
      </c>
    </row>
    <row r="12" spans="1:34" s="84" customFormat="1">
      <c r="A12" s="84" t="s">
        <v>28</v>
      </c>
      <c r="B12" s="145" t="s">
        <v>29</v>
      </c>
      <c r="C12" s="300">
        <v>1</v>
      </c>
      <c r="D12" s="300">
        <v>6</v>
      </c>
      <c r="E12" s="300">
        <v>93</v>
      </c>
      <c r="F12" s="301">
        <f t="shared" si="0"/>
        <v>6.4516129032258063E-2</v>
      </c>
      <c r="G12" s="302">
        <v>17.920000000000002</v>
      </c>
      <c r="H12" s="300">
        <f t="shared" si="2"/>
        <v>17.189999999999998</v>
      </c>
      <c r="I12" s="300">
        <v>15.47</v>
      </c>
      <c r="J12" s="300">
        <f t="shared" si="3"/>
        <v>41.93</v>
      </c>
      <c r="K12" s="300">
        <v>52.02</v>
      </c>
      <c r="L12" s="300">
        <f t="shared" si="4"/>
        <v>11.529999999999994</v>
      </c>
      <c r="M12" s="300">
        <v>7.68</v>
      </c>
      <c r="N12" s="300"/>
      <c r="O12" s="303">
        <f t="shared" si="1"/>
        <v>2.6</v>
      </c>
      <c r="P12" s="304">
        <v>2.5999999999999999E-2</v>
      </c>
      <c r="Q12" s="306">
        <v>5.75</v>
      </c>
      <c r="R12" s="305">
        <f>'Trade Data'!F5</f>
        <v>0.61215508806410301</v>
      </c>
      <c r="S12" s="196"/>
    </row>
    <row r="13" spans="1:34" s="84" customFormat="1">
      <c r="A13" s="84" t="s">
        <v>29</v>
      </c>
      <c r="B13" s="145" t="s">
        <v>30</v>
      </c>
      <c r="C13" s="300">
        <v>1</v>
      </c>
      <c r="D13" s="300">
        <v>8</v>
      </c>
      <c r="E13" s="300">
        <v>93</v>
      </c>
      <c r="F13" s="301">
        <f t="shared" si="0"/>
        <v>8.6021505376344093E-2</v>
      </c>
      <c r="G13" s="302">
        <v>13.77</v>
      </c>
      <c r="H13" s="300">
        <f t="shared" si="2"/>
        <v>4.1500000000000021</v>
      </c>
      <c r="I13" s="300">
        <v>23.69</v>
      </c>
      <c r="J13" s="300">
        <f t="shared" si="3"/>
        <v>8.2200000000000006</v>
      </c>
      <c r="K13" s="300">
        <v>22.56</v>
      </c>
      <c r="L13" s="300">
        <f t="shared" si="4"/>
        <v>29.460000000000004</v>
      </c>
      <c r="M13" s="300">
        <v>8.65</v>
      </c>
      <c r="N13" s="300">
        <f t="shared" si="5"/>
        <v>0.97000000000000064</v>
      </c>
      <c r="O13" s="303">
        <f t="shared" si="1"/>
        <v>2.6</v>
      </c>
      <c r="P13" s="304">
        <v>2.5999999999999999E-2</v>
      </c>
      <c r="Q13" s="306">
        <v>5.75</v>
      </c>
      <c r="R13" s="305">
        <f>'Trade Data'!F5</f>
        <v>0.61215508806410301</v>
      </c>
      <c r="S13" s="99"/>
    </row>
    <row r="14" spans="1:34" s="84" customFormat="1">
      <c r="A14" s="84" t="s">
        <v>30</v>
      </c>
      <c r="B14" s="145" t="s">
        <v>31</v>
      </c>
      <c r="C14" s="300">
        <v>1</v>
      </c>
      <c r="D14" s="300">
        <v>5</v>
      </c>
      <c r="E14" s="300">
        <v>93</v>
      </c>
      <c r="F14" s="301">
        <f t="shared" si="0"/>
        <v>5.3763440860215055E-2</v>
      </c>
      <c r="G14" s="302">
        <v>18.53</v>
      </c>
      <c r="H14" s="300">
        <f t="shared" si="2"/>
        <v>4.7600000000000016</v>
      </c>
      <c r="I14" s="300">
        <v>25</v>
      </c>
      <c r="J14" s="300">
        <f t="shared" si="3"/>
        <v>1.3099999999999987</v>
      </c>
      <c r="K14" s="300">
        <v>40.229999999999997</v>
      </c>
      <c r="L14" s="300">
        <f t="shared" si="4"/>
        <v>17.669999999999998</v>
      </c>
      <c r="M14" s="300">
        <v>8.65</v>
      </c>
      <c r="N14" s="300"/>
      <c r="O14" s="303">
        <f t="shared" si="1"/>
        <v>-2.2999999999999998</v>
      </c>
      <c r="P14" s="304">
        <v>-2.3E-2</v>
      </c>
      <c r="Q14" s="306">
        <v>6.25</v>
      </c>
      <c r="R14" s="305">
        <v>0.65</v>
      </c>
      <c r="S14" s="196"/>
      <c r="T14" s="196"/>
      <c r="U14" s="196"/>
      <c r="V14" s="196"/>
    </row>
    <row r="15" spans="1:34" s="84" customFormat="1">
      <c r="A15" s="84" t="s">
        <v>31</v>
      </c>
      <c r="B15" s="145" t="s">
        <v>32</v>
      </c>
      <c r="C15" s="300">
        <v>1</v>
      </c>
      <c r="D15" s="300">
        <v>11</v>
      </c>
      <c r="E15" s="300">
        <v>93</v>
      </c>
      <c r="F15" s="301">
        <f t="shared" si="0"/>
        <v>0.11827956989247312</v>
      </c>
      <c r="G15" s="302">
        <v>23.03</v>
      </c>
      <c r="H15" s="300">
        <f t="shared" si="2"/>
        <v>4.5</v>
      </c>
      <c r="I15" s="300">
        <v>54.9</v>
      </c>
      <c r="J15" s="300">
        <f t="shared" si="3"/>
        <v>29.9</v>
      </c>
      <c r="K15" s="300">
        <v>29.79</v>
      </c>
      <c r="L15" s="300">
        <f t="shared" si="4"/>
        <v>10.439999999999998</v>
      </c>
      <c r="M15" s="300">
        <v>8.65</v>
      </c>
      <c r="N15" s="300"/>
      <c r="O15" s="303">
        <f t="shared" si="1"/>
        <v>-2.2999999999999998</v>
      </c>
      <c r="P15" s="304">
        <v>-2.3E-2</v>
      </c>
      <c r="Q15" s="306">
        <v>6.25</v>
      </c>
      <c r="R15" s="305">
        <v>0.65</v>
      </c>
      <c r="S15" s="99"/>
      <c r="T15" s="99"/>
      <c r="U15" s="99"/>
      <c r="V15" s="99"/>
    </row>
    <row r="16" spans="1:34" s="84" customFormat="1">
      <c r="A16" s="84" t="s">
        <v>32</v>
      </c>
      <c r="B16" s="145" t="s">
        <v>33</v>
      </c>
      <c r="C16" s="300">
        <v>1</v>
      </c>
      <c r="D16" s="300">
        <v>17</v>
      </c>
      <c r="E16" s="300">
        <v>93</v>
      </c>
      <c r="F16" s="301">
        <f t="shared" si="0"/>
        <v>0.18279569892473119</v>
      </c>
      <c r="G16" s="302">
        <v>16.260000000000002</v>
      </c>
      <c r="H16" s="300">
        <f t="shared" si="2"/>
        <v>6.77</v>
      </c>
      <c r="I16" s="300">
        <v>40.22</v>
      </c>
      <c r="J16" s="300">
        <f t="shared" si="3"/>
        <v>14.68</v>
      </c>
      <c r="K16" s="300">
        <v>19.649999999999999</v>
      </c>
      <c r="L16" s="300">
        <f t="shared" si="4"/>
        <v>10.14</v>
      </c>
      <c r="M16" s="300">
        <v>8.65</v>
      </c>
      <c r="N16" s="300"/>
      <c r="O16" s="303">
        <f t="shared" si="1"/>
        <v>-2.2999999999999998</v>
      </c>
      <c r="P16" s="304">
        <v>-2.3E-2</v>
      </c>
      <c r="Q16" s="306">
        <v>6.25</v>
      </c>
      <c r="R16" s="305">
        <v>0.65</v>
      </c>
      <c r="S16" s="99"/>
      <c r="T16" s="99"/>
      <c r="U16" s="99"/>
      <c r="V16" s="99"/>
    </row>
    <row r="17" spans="1:22" s="84" customFormat="1">
      <c r="A17" s="84" t="s">
        <v>33</v>
      </c>
      <c r="B17" s="145" t="s">
        <v>34</v>
      </c>
      <c r="C17" s="300">
        <v>1</v>
      </c>
      <c r="D17" s="300">
        <v>14</v>
      </c>
      <c r="E17" s="300">
        <v>96</v>
      </c>
      <c r="F17" s="301">
        <f t="shared" si="0"/>
        <v>0.14583333333333334</v>
      </c>
      <c r="G17" s="302">
        <v>17.940000000000001</v>
      </c>
      <c r="H17" s="300">
        <f t="shared" si="2"/>
        <v>1.6799999999999997</v>
      </c>
      <c r="I17" s="300">
        <v>20.399999999999999</v>
      </c>
      <c r="J17" s="300">
        <f t="shared" si="3"/>
        <v>19.82</v>
      </c>
      <c r="K17" s="300">
        <v>36.880000000000003</v>
      </c>
      <c r="L17" s="300">
        <f t="shared" si="4"/>
        <v>17.230000000000004</v>
      </c>
      <c r="M17" s="300">
        <v>11.82</v>
      </c>
      <c r="N17" s="300">
        <f t="shared" si="5"/>
        <v>3.17</v>
      </c>
      <c r="O17" s="303">
        <f t="shared" si="1"/>
        <v>-2.2999999999999998</v>
      </c>
      <c r="P17" s="304">
        <v>-2.3E-2</v>
      </c>
      <c r="Q17" s="306">
        <v>6.25</v>
      </c>
      <c r="R17" s="305">
        <v>0.65</v>
      </c>
      <c r="S17" s="99"/>
      <c r="T17" s="99"/>
      <c r="U17" s="99"/>
      <c r="V17" s="99"/>
    </row>
    <row r="18" spans="1:22" s="84" customFormat="1">
      <c r="A18" s="84" t="s">
        <v>34</v>
      </c>
      <c r="B18" s="145" t="s">
        <v>35</v>
      </c>
      <c r="C18" s="300">
        <v>1</v>
      </c>
      <c r="D18" s="300">
        <v>9</v>
      </c>
      <c r="E18" s="300">
        <v>96</v>
      </c>
      <c r="F18" s="301">
        <f t="shared" si="0"/>
        <v>9.375E-2</v>
      </c>
      <c r="G18" s="302">
        <v>35.090000000000003</v>
      </c>
      <c r="H18" s="300">
        <f t="shared" si="2"/>
        <v>17.150000000000002</v>
      </c>
      <c r="I18" s="300">
        <v>59.98</v>
      </c>
      <c r="J18" s="300">
        <f t="shared" si="3"/>
        <v>39.58</v>
      </c>
      <c r="K18" s="300">
        <v>50.68</v>
      </c>
      <c r="L18" s="300">
        <f t="shared" si="4"/>
        <v>13.799999999999997</v>
      </c>
      <c r="M18" s="300">
        <v>11.82</v>
      </c>
      <c r="N18" s="300"/>
      <c r="O18" s="303">
        <f t="shared" si="1"/>
        <v>2.1999999999999997</v>
      </c>
      <c r="P18" s="304">
        <v>2.1999999999999999E-2</v>
      </c>
      <c r="Q18" s="306">
        <v>5.69</v>
      </c>
      <c r="R18" s="305">
        <v>0.65</v>
      </c>
      <c r="S18" s="99"/>
      <c r="T18" s="99"/>
      <c r="U18" s="99"/>
      <c r="V18" s="99"/>
    </row>
    <row r="19" spans="1:22" s="84" customFormat="1">
      <c r="A19" s="84" t="s">
        <v>35</v>
      </c>
      <c r="B19" s="145" t="s">
        <v>36</v>
      </c>
      <c r="C19" s="300">
        <v>1</v>
      </c>
      <c r="D19" s="300">
        <v>11</v>
      </c>
      <c r="E19" s="300">
        <v>96</v>
      </c>
      <c r="F19" s="301">
        <f t="shared" si="0"/>
        <v>0.11458333333333333</v>
      </c>
      <c r="G19" s="302">
        <v>18.11</v>
      </c>
      <c r="H19" s="300">
        <f t="shared" si="2"/>
        <v>16.980000000000004</v>
      </c>
      <c r="I19" s="300">
        <v>33.799999999999997</v>
      </c>
      <c r="J19" s="300">
        <f t="shared" si="3"/>
        <v>26.18</v>
      </c>
      <c r="K19" s="300">
        <v>24.06</v>
      </c>
      <c r="L19" s="300">
        <f t="shared" si="4"/>
        <v>26.62</v>
      </c>
      <c r="M19" s="300">
        <v>11.82</v>
      </c>
      <c r="N19" s="300"/>
      <c r="O19" s="303">
        <f t="shared" si="1"/>
        <v>2.1999999999999997</v>
      </c>
      <c r="P19" s="304">
        <v>2.1999999999999999E-2</v>
      </c>
      <c r="Q19" s="306">
        <v>5.69</v>
      </c>
      <c r="R19" s="305">
        <v>0.65</v>
      </c>
      <c r="S19" s="99"/>
      <c r="T19" s="99"/>
      <c r="U19" s="99"/>
      <c r="V19" s="99"/>
    </row>
    <row r="20" spans="1:22" s="84" customFormat="1">
      <c r="A20" s="84" t="s">
        <v>36</v>
      </c>
      <c r="B20" s="145" t="s">
        <v>840</v>
      </c>
      <c r="C20" s="300">
        <v>1</v>
      </c>
      <c r="D20" s="300">
        <v>13</v>
      </c>
      <c r="E20" s="300">
        <v>96</v>
      </c>
      <c r="F20" s="301">
        <f t="shared" si="0"/>
        <v>0.13541666666666666</v>
      </c>
      <c r="G20" s="302">
        <v>21.24</v>
      </c>
      <c r="H20" s="300">
        <f t="shared" si="2"/>
        <v>3.129999999999999</v>
      </c>
      <c r="I20" s="300">
        <v>32.29</v>
      </c>
      <c r="J20" s="300">
        <f t="shared" si="3"/>
        <v>1.509999999999998</v>
      </c>
      <c r="K20" s="300">
        <v>35</v>
      </c>
      <c r="L20" s="300">
        <f t="shared" si="4"/>
        <v>10.940000000000001</v>
      </c>
      <c r="M20" s="300">
        <v>11.82</v>
      </c>
      <c r="N20" s="300"/>
      <c r="O20" s="303">
        <f t="shared" si="1"/>
        <v>2.1999999999999997</v>
      </c>
      <c r="P20" s="304">
        <v>2.1999999999999999E-2</v>
      </c>
      <c r="Q20" s="306">
        <v>5.69</v>
      </c>
      <c r="R20" s="305">
        <v>0.65</v>
      </c>
      <c r="S20" s="99"/>
      <c r="T20" s="99"/>
      <c r="U20" s="99"/>
      <c r="V20" s="99"/>
    </row>
    <row r="21" spans="1:22" s="84" customFormat="1">
      <c r="A21" s="84" t="s">
        <v>0</v>
      </c>
      <c r="B21" s="307" t="s">
        <v>1</v>
      </c>
      <c r="C21" s="184">
        <v>1</v>
      </c>
      <c r="D21" s="184">
        <v>44</v>
      </c>
      <c r="E21" s="184">
        <v>352</v>
      </c>
      <c r="F21" s="308">
        <f t="shared" si="0"/>
        <v>0.125</v>
      </c>
      <c r="G21" s="182">
        <v>35.770000000000003</v>
      </c>
      <c r="H21" s="184"/>
      <c r="I21" s="184">
        <v>34.43</v>
      </c>
      <c r="J21" s="184"/>
      <c r="K21" s="184">
        <v>66.790000000000006</v>
      </c>
      <c r="L21" s="184"/>
      <c r="M21" s="184">
        <v>17.03</v>
      </c>
      <c r="N21" s="184"/>
      <c r="O21" s="182">
        <f t="shared" si="1"/>
        <v>3</v>
      </c>
      <c r="P21" s="309">
        <v>0.03</v>
      </c>
      <c r="Q21" s="187">
        <v>5.8</v>
      </c>
      <c r="R21" s="187">
        <f>'Trade Data'!B8</f>
        <v>2.1643702144485442</v>
      </c>
      <c r="S21" s="99"/>
      <c r="T21" s="99"/>
      <c r="U21" s="99"/>
      <c r="V21" s="99"/>
    </row>
    <row r="22" spans="1:22">
      <c r="A22" s="63" t="s">
        <v>1</v>
      </c>
      <c r="B22" s="145" t="s">
        <v>2</v>
      </c>
      <c r="C22" s="123">
        <v>1</v>
      </c>
      <c r="D22" s="300">
        <v>54</v>
      </c>
      <c r="E22" s="123">
        <v>352</v>
      </c>
      <c r="F22" s="301">
        <f t="shared" si="0"/>
        <v>0.15340909090909091</v>
      </c>
      <c r="G22" s="303">
        <v>20.02</v>
      </c>
      <c r="H22" s="300">
        <f t="shared" si="2"/>
        <v>15.750000000000004</v>
      </c>
      <c r="I22" s="300">
        <v>6.66</v>
      </c>
      <c r="J22" s="300">
        <f t="shared" si="3"/>
        <v>27.77</v>
      </c>
      <c r="K22" s="300">
        <v>63.76</v>
      </c>
      <c r="L22" s="300">
        <f t="shared" si="4"/>
        <v>3.0300000000000082</v>
      </c>
      <c r="M22" s="300">
        <v>17.03</v>
      </c>
      <c r="N22" s="300"/>
      <c r="O22" s="303">
        <f t="shared" si="1"/>
        <v>3</v>
      </c>
      <c r="P22" s="304">
        <v>0.03</v>
      </c>
      <c r="Q22" s="305">
        <v>5.8</v>
      </c>
      <c r="R22" s="305">
        <v>2.16</v>
      </c>
      <c r="S22" s="34"/>
      <c r="T22" s="34"/>
      <c r="U22" s="34"/>
      <c r="V22" s="34"/>
    </row>
    <row r="23" spans="1:22">
      <c r="A23" s="63" t="s">
        <v>2</v>
      </c>
      <c r="B23" s="145" t="s">
        <v>3</v>
      </c>
      <c r="C23" s="123">
        <v>1</v>
      </c>
      <c r="D23" s="300">
        <v>47</v>
      </c>
      <c r="E23" s="123">
        <v>352</v>
      </c>
      <c r="F23" s="301">
        <f t="shared" si="0"/>
        <v>0.13352272727272727</v>
      </c>
      <c r="G23" s="303">
        <v>33.24</v>
      </c>
      <c r="H23" s="300">
        <f t="shared" si="2"/>
        <v>13.220000000000002</v>
      </c>
      <c r="I23" s="300">
        <v>34.049999999999997</v>
      </c>
      <c r="J23" s="300">
        <f t="shared" si="3"/>
        <v>27.389999999999997</v>
      </c>
      <c r="K23" s="300">
        <v>60.1</v>
      </c>
      <c r="L23" s="300">
        <f t="shared" si="4"/>
        <v>3.6599999999999966</v>
      </c>
      <c r="M23" s="300">
        <v>17.03</v>
      </c>
      <c r="N23" s="300"/>
      <c r="O23" s="303">
        <f t="shared" si="1"/>
        <v>3</v>
      </c>
      <c r="P23" s="304">
        <v>0.03</v>
      </c>
      <c r="Q23" s="305">
        <v>5.8</v>
      </c>
      <c r="R23" s="305">
        <v>2.16</v>
      </c>
      <c r="S23" s="34"/>
      <c r="T23" s="34"/>
      <c r="U23" s="34"/>
      <c r="V23" s="34"/>
    </row>
    <row r="24" spans="1:22">
      <c r="A24" s="63" t="s">
        <v>3</v>
      </c>
      <c r="B24" s="145" t="s">
        <v>4</v>
      </c>
      <c r="C24" s="123">
        <v>1</v>
      </c>
      <c r="D24" s="300">
        <v>38</v>
      </c>
      <c r="E24" s="123">
        <v>351</v>
      </c>
      <c r="F24" s="301">
        <f t="shared" si="0"/>
        <v>0.10826210826210826</v>
      </c>
      <c r="G24" s="303">
        <v>21.53</v>
      </c>
      <c r="H24" s="300">
        <f t="shared" si="2"/>
        <v>11.71</v>
      </c>
      <c r="I24" s="300">
        <v>12.28</v>
      </c>
      <c r="J24" s="300">
        <f t="shared" si="3"/>
        <v>21.769999999999996</v>
      </c>
      <c r="K24" s="300">
        <v>55.65</v>
      </c>
      <c r="L24" s="300">
        <f t="shared" si="4"/>
        <v>4.4500000000000028</v>
      </c>
      <c r="M24" s="300">
        <v>17.03</v>
      </c>
      <c r="N24" s="300"/>
      <c r="O24" s="303">
        <f t="shared" si="1"/>
        <v>3</v>
      </c>
      <c r="P24" s="304">
        <v>0.03</v>
      </c>
      <c r="Q24" s="305">
        <v>5.8</v>
      </c>
      <c r="R24" s="305">
        <f>'Trade Data'!B8</f>
        <v>2.1643702144485442</v>
      </c>
      <c r="S24" s="34"/>
      <c r="T24" s="34"/>
      <c r="U24" s="34"/>
      <c r="V24" s="34"/>
    </row>
    <row r="25" spans="1:22">
      <c r="A25" s="63" t="s">
        <v>4</v>
      </c>
      <c r="B25" s="145" t="s">
        <v>5</v>
      </c>
      <c r="C25" s="123">
        <v>1</v>
      </c>
      <c r="D25" s="300">
        <v>38</v>
      </c>
      <c r="E25" s="123">
        <v>351</v>
      </c>
      <c r="F25" s="301">
        <f t="shared" si="0"/>
        <v>0.10826210826210826</v>
      </c>
      <c r="G25" s="303">
        <v>26</v>
      </c>
      <c r="H25" s="300">
        <f t="shared" si="2"/>
        <v>4.4699999999999989</v>
      </c>
      <c r="I25" s="300">
        <v>16.28</v>
      </c>
      <c r="J25" s="300">
        <f t="shared" si="3"/>
        <v>4.0000000000000018</v>
      </c>
      <c r="K25" s="300">
        <v>62.49</v>
      </c>
      <c r="L25" s="300">
        <f t="shared" si="4"/>
        <v>6.8400000000000034</v>
      </c>
      <c r="M25" s="300">
        <v>17.03</v>
      </c>
      <c r="N25" s="300"/>
      <c r="O25" s="303">
        <f t="shared" si="1"/>
        <v>0.5</v>
      </c>
      <c r="P25" s="304">
        <v>5.0000000000000001E-3</v>
      </c>
      <c r="Q25" s="306">
        <v>5</v>
      </c>
      <c r="R25" s="305">
        <f>'Trade Data'!D8</f>
        <v>2.1175705424135502</v>
      </c>
      <c r="S25" s="34"/>
      <c r="T25" s="34"/>
      <c r="U25" s="34"/>
      <c r="V25" s="34"/>
    </row>
    <row r="26" spans="1:22">
      <c r="A26" s="63" t="s">
        <v>5</v>
      </c>
      <c r="B26" s="145" t="s">
        <v>6</v>
      </c>
      <c r="C26" s="123">
        <v>1</v>
      </c>
      <c r="D26" s="300">
        <v>41</v>
      </c>
      <c r="E26" s="123">
        <v>351</v>
      </c>
      <c r="F26" s="301">
        <f t="shared" si="0"/>
        <v>0.11680911680911681</v>
      </c>
      <c r="G26" s="303">
        <v>29.5</v>
      </c>
      <c r="H26" s="300">
        <f t="shared" si="2"/>
        <v>3.5</v>
      </c>
      <c r="I26" s="300">
        <v>39.090000000000003</v>
      </c>
      <c r="J26" s="300">
        <f t="shared" si="3"/>
        <v>22.810000000000002</v>
      </c>
      <c r="K26" s="300">
        <v>45.81</v>
      </c>
      <c r="L26" s="300">
        <f t="shared" si="4"/>
        <v>16.68</v>
      </c>
      <c r="M26" s="300">
        <v>17.03</v>
      </c>
      <c r="N26" s="300"/>
      <c r="O26" s="303">
        <f t="shared" si="1"/>
        <v>0.5</v>
      </c>
      <c r="P26" s="304">
        <v>5.0000000000000001E-3</v>
      </c>
      <c r="Q26" s="306">
        <v>5</v>
      </c>
      <c r="R26" s="305">
        <v>2.12</v>
      </c>
      <c r="S26" s="34"/>
      <c r="T26" s="34"/>
      <c r="U26" s="34"/>
      <c r="V26" s="34"/>
    </row>
    <row r="27" spans="1:22">
      <c r="A27" s="63" t="s">
        <v>6</v>
      </c>
      <c r="B27" s="145" t="s">
        <v>7</v>
      </c>
      <c r="C27" s="123">
        <v>1</v>
      </c>
      <c r="D27" s="300">
        <v>58</v>
      </c>
      <c r="E27" s="123">
        <v>351</v>
      </c>
      <c r="F27" s="301">
        <f t="shared" si="0"/>
        <v>0.16524216524216523</v>
      </c>
      <c r="G27" s="303">
        <v>23.34</v>
      </c>
      <c r="H27" s="300">
        <f t="shared" si="2"/>
        <v>6.16</v>
      </c>
      <c r="I27" s="300">
        <v>30.51</v>
      </c>
      <c r="J27" s="300">
        <f t="shared" si="3"/>
        <v>8.5800000000000018</v>
      </c>
      <c r="K27" s="300">
        <v>37.79</v>
      </c>
      <c r="L27" s="300">
        <f t="shared" si="4"/>
        <v>8.0200000000000031</v>
      </c>
      <c r="M27" s="300">
        <v>17.03</v>
      </c>
      <c r="N27" s="300"/>
      <c r="O27" s="303">
        <f t="shared" si="1"/>
        <v>0.5</v>
      </c>
      <c r="P27" s="304">
        <v>5.0000000000000001E-3</v>
      </c>
      <c r="Q27" s="306">
        <v>5</v>
      </c>
      <c r="R27" s="305">
        <v>2.12</v>
      </c>
      <c r="S27" s="34"/>
      <c r="T27" s="34"/>
      <c r="U27" s="34"/>
      <c r="V27" s="34"/>
    </row>
    <row r="28" spans="1:22">
      <c r="A28" s="63" t="s">
        <v>7</v>
      </c>
      <c r="B28" s="310" t="s">
        <v>8</v>
      </c>
      <c r="C28" s="123">
        <v>1</v>
      </c>
      <c r="D28" s="300">
        <v>55</v>
      </c>
      <c r="E28" s="123">
        <v>345</v>
      </c>
      <c r="F28" s="301">
        <f t="shared" si="0"/>
        <v>0.15942028985507245</v>
      </c>
      <c r="G28" s="303">
        <v>17.93</v>
      </c>
      <c r="H28" s="300">
        <f t="shared" si="2"/>
        <v>5.41</v>
      </c>
      <c r="I28" s="300">
        <v>21.26</v>
      </c>
      <c r="J28" s="300">
        <f t="shared" si="3"/>
        <v>9.25</v>
      </c>
      <c r="K28" s="300">
        <v>34.24</v>
      </c>
      <c r="L28" s="300">
        <f t="shared" si="4"/>
        <v>3.5499999999999972</v>
      </c>
      <c r="M28" s="300">
        <v>12.15</v>
      </c>
      <c r="N28" s="300">
        <f t="shared" si="5"/>
        <v>4.8800000000000008</v>
      </c>
      <c r="O28" s="303">
        <f t="shared" si="1"/>
        <v>0.5</v>
      </c>
      <c r="P28" s="304">
        <v>5.0000000000000001E-3</v>
      </c>
      <c r="Q28" s="306">
        <v>5</v>
      </c>
      <c r="R28" s="305">
        <f>'Trade Data'!D8</f>
        <v>2.1175705424135502</v>
      </c>
      <c r="S28" s="34"/>
      <c r="T28" s="34"/>
      <c r="U28" s="34"/>
      <c r="V28" s="34"/>
    </row>
    <row r="29" spans="1:22">
      <c r="A29" s="38" t="s">
        <v>8</v>
      </c>
      <c r="B29" s="310" t="s">
        <v>9</v>
      </c>
      <c r="C29" s="123">
        <v>1</v>
      </c>
      <c r="D29" s="300">
        <v>53</v>
      </c>
      <c r="E29" s="123">
        <v>345</v>
      </c>
      <c r="F29" s="301">
        <f t="shared" si="0"/>
        <v>0.15362318840579711</v>
      </c>
      <c r="G29" s="303">
        <v>14.56</v>
      </c>
      <c r="H29" s="300">
        <f t="shared" si="2"/>
        <v>3.3699999999999992</v>
      </c>
      <c r="I29" s="300">
        <v>17.149999999999999</v>
      </c>
      <c r="J29" s="300">
        <f t="shared" si="3"/>
        <v>4.110000000000003</v>
      </c>
      <c r="K29" s="300">
        <v>27.17</v>
      </c>
      <c r="L29" s="300">
        <f t="shared" si="4"/>
        <v>7.07</v>
      </c>
      <c r="M29" s="300">
        <v>12.15</v>
      </c>
      <c r="N29" s="300"/>
      <c r="O29" s="303">
        <f t="shared" si="1"/>
        <v>-3.8</v>
      </c>
      <c r="P29" s="304">
        <v>-3.7999999999999999E-2</v>
      </c>
      <c r="Q29" s="306">
        <v>5.75</v>
      </c>
      <c r="R29" s="305">
        <v>1.95</v>
      </c>
      <c r="S29" s="34"/>
      <c r="T29" s="34"/>
      <c r="U29" s="34"/>
      <c r="V29" s="34"/>
    </row>
    <row r="30" spans="1:22">
      <c r="A30" s="38" t="s">
        <v>9</v>
      </c>
      <c r="B30" s="310" t="s">
        <v>10</v>
      </c>
      <c r="C30" s="123">
        <v>1</v>
      </c>
      <c r="D30" s="300">
        <v>46</v>
      </c>
      <c r="E30" s="123">
        <v>345</v>
      </c>
      <c r="F30" s="301">
        <f t="shared" si="0"/>
        <v>0.13333333333333333</v>
      </c>
      <c r="G30" s="303">
        <v>16.5</v>
      </c>
      <c r="H30" s="300">
        <f t="shared" si="2"/>
        <v>1.9399999999999995</v>
      </c>
      <c r="I30" s="300">
        <v>26.8</v>
      </c>
      <c r="J30" s="300">
        <f t="shared" si="3"/>
        <v>9.6500000000000021</v>
      </c>
      <c r="K30" s="300">
        <v>25.37</v>
      </c>
      <c r="L30" s="300">
        <f t="shared" si="4"/>
        <v>1.8000000000000007</v>
      </c>
      <c r="M30" s="300">
        <v>12.15</v>
      </c>
      <c r="N30" s="300"/>
      <c r="O30" s="303">
        <f t="shared" si="1"/>
        <v>-3.8</v>
      </c>
      <c r="P30" s="304">
        <v>-3.7999999999999999E-2</v>
      </c>
      <c r="Q30" s="306">
        <v>5.75</v>
      </c>
      <c r="R30" s="305">
        <v>1.95</v>
      </c>
      <c r="S30" s="34"/>
      <c r="T30" s="34"/>
      <c r="U30" s="34"/>
      <c r="V30" s="34"/>
    </row>
    <row r="31" spans="1:22">
      <c r="A31" s="38" t="s">
        <v>10</v>
      </c>
      <c r="B31" s="310" t="s">
        <v>11</v>
      </c>
      <c r="C31" s="123">
        <v>1</v>
      </c>
      <c r="D31" s="300">
        <v>64</v>
      </c>
      <c r="E31" s="123">
        <v>345</v>
      </c>
      <c r="F31" s="301">
        <f t="shared" si="0"/>
        <v>0.1855072463768116</v>
      </c>
      <c r="G31" s="303">
        <v>9</v>
      </c>
      <c r="H31" s="300">
        <f t="shared" si="2"/>
        <v>7.5</v>
      </c>
      <c r="I31" s="300">
        <v>4.95</v>
      </c>
      <c r="J31" s="300">
        <f t="shared" si="3"/>
        <v>21.85</v>
      </c>
      <c r="K31" s="300">
        <v>24.06</v>
      </c>
      <c r="L31" s="300">
        <f t="shared" si="4"/>
        <v>1.3100000000000023</v>
      </c>
      <c r="M31" s="300">
        <v>12.15</v>
      </c>
      <c r="N31" s="300"/>
      <c r="O31" s="303">
        <f t="shared" si="1"/>
        <v>-3.8</v>
      </c>
      <c r="P31" s="304">
        <v>-3.7999999999999999E-2</v>
      </c>
      <c r="Q31" s="306">
        <v>5.75</v>
      </c>
      <c r="R31" s="306">
        <v>1.95</v>
      </c>
    </row>
    <row r="32" spans="1:22">
      <c r="A32" s="38" t="s">
        <v>11</v>
      </c>
      <c r="B32" s="310" t="s">
        <v>12</v>
      </c>
      <c r="C32" s="123">
        <v>1</v>
      </c>
      <c r="D32" s="300">
        <v>41</v>
      </c>
      <c r="E32" s="123">
        <v>338</v>
      </c>
      <c r="F32" s="301">
        <f t="shared" si="0"/>
        <v>0.12130177514792899</v>
      </c>
      <c r="G32" s="303">
        <v>10.64</v>
      </c>
      <c r="H32" s="300">
        <f t="shared" si="2"/>
        <v>1.6400000000000006</v>
      </c>
      <c r="I32" s="300">
        <v>9.99</v>
      </c>
      <c r="J32" s="300">
        <f t="shared" si="3"/>
        <v>5.04</v>
      </c>
      <c r="K32" s="300">
        <v>22.13</v>
      </c>
      <c r="L32" s="300">
        <f t="shared" si="4"/>
        <v>1.9299999999999997</v>
      </c>
      <c r="M32" s="300">
        <v>11.76</v>
      </c>
      <c r="N32" s="300">
        <f t="shared" si="5"/>
        <v>0.39000000000000057</v>
      </c>
      <c r="O32" s="303">
        <f t="shared" si="1"/>
        <v>-3.8</v>
      </c>
      <c r="P32" s="304">
        <v>-3.7999999999999999E-2</v>
      </c>
      <c r="Q32" s="306">
        <v>5.75</v>
      </c>
      <c r="R32" s="306">
        <v>1.95</v>
      </c>
    </row>
    <row r="33" spans="1:18">
      <c r="A33" s="38" t="s">
        <v>12</v>
      </c>
      <c r="B33" s="310" t="s">
        <v>13</v>
      </c>
      <c r="C33" s="123">
        <v>1</v>
      </c>
      <c r="D33" s="300">
        <v>30</v>
      </c>
      <c r="E33" s="123">
        <v>338</v>
      </c>
      <c r="F33" s="301">
        <f t="shared" si="0"/>
        <v>8.8757396449704137E-2</v>
      </c>
      <c r="G33" s="303">
        <v>20.91</v>
      </c>
      <c r="H33" s="300">
        <f t="shared" si="2"/>
        <v>10.27</v>
      </c>
      <c r="I33" s="300">
        <v>44.83</v>
      </c>
      <c r="J33" s="300">
        <f t="shared" si="3"/>
        <v>34.839999999999996</v>
      </c>
      <c r="K33" s="300">
        <v>25.35</v>
      </c>
      <c r="L33" s="300">
        <f t="shared" si="4"/>
        <v>3.2200000000000024</v>
      </c>
      <c r="M33" s="300">
        <v>11.76</v>
      </c>
      <c r="N33" s="300"/>
      <c r="O33" s="303">
        <f t="shared" si="1"/>
        <v>-3.5999999999999996</v>
      </c>
      <c r="P33" s="311">
        <v>-3.5999999999999997E-2</v>
      </c>
      <c r="Q33" s="306">
        <v>6.25</v>
      </c>
      <c r="R33" s="306">
        <v>1.87</v>
      </c>
    </row>
    <row r="34" spans="1:18">
      <c r="A34" s="38" t="s">
        <v>13</v>
      </c>
      <c r="B34" s="310" t="s">
        <v>14</v>
      </c>
      <c r="C34" s="123">
        <v>1</v>
      </c>
      <c r="D34" s="300">
        <v>52</v>
      </c>
      <c r="E34" s="123">
        <v>338</v>
      </c>
      <c r="F34" s="301">
        <f t="shared" si="0"/>
        <v>0.15384615384615385</v>
      </c>
      <c r="G34" s="303">
        <v>21.37</v>
      </c>
      <c r="H34" s="300">
        <f t="shared" si="2"/>
        <v>0.46000000000000085</v>
      </c>
      <c r="I34" s="300">
        <v>39.130000000000003</v>
      </c>
      <c r="J34" s="300">
        <f t="shared" si="3"/>
        <v>5.6999999999999957</v>
      </c>
      <c r="K34" s="300">
        <v>31.18</v>
      </c>
      <c r="L34" s="300">
        <f t="shared" si="4"/>
        <v>5.8299999999999983</v>
      </c>
      <c r="M34" s="300">
        <v>11.76</v>
      </c>
      <c r="N34" s="300"/>
      <c r="O34" s="303">
        <f t="shared" si="1"/>
        <v>-3.5999999999999996</v>
      </c>
      <c r="P34" s="311">
        <v>-3.5999999999999997E-2</v>
      </c>
      <c r="Q34" s="306">
        <v>6.25</v>
      </c>
      <c r="R34" s="306">
        <v>1.87</v>
      </c>
    </row>
    <row r="35" spans="1:18">
      <c r="A35" s="38" t="s">
        <v>14</v>
      </c>
      <c r="B35" s="310" t="s">
        <v>15</v>
      </c>
      <c r="C35" s="123">
        <v>1</v>
      </c>
      <c r="D35" s="300">
        <v>70</v>
      </c>
      <c r="E35" s="123">
        <v>338</v>
      </c>
      <c r="F35" s="301">
        <f t="shared" si="0"/>
        <v>0.20710059171597633</v>
      </c>
      <c r="G35" s="303">
        <v>28.07</v>
      </c>
      <c r="H35" s="300">
        <f t="shared" si="2"/>
        <v>6.6999999999999993</v>
      </c>
      <c r="I35" s="300">
        <v>55.23</v>
      </c>
      <c r="J35" s="300">
        <f t="shared" si="3"/>
        <v>16.099999999999994</v>
      </c>
      <c r="K35" s="300">
        <v>35.74</v>
      </c>
      <c r="L35" s="300">
        <f t="shared" si="4"/>
        <v>4.5600000000000023</v>
      </c>
      <c r="M35" s="300">
        <v>11.76</v>
      </c>
      <c r="N35" s="300"/>
      <c r="O35" s="303">
        <f t="shared" si="1"/>
        <v>-3.5999999999999996</v>
      </c>
      <c r="P35" s="311">
        <v>-3.5999999999999997E-2</v>
      </c>
      <c r="Q35" s="306">
        <v>6.25</v>
      </c>
      <c r="R35" s="306">
        <v>1.87</v>
      </c>
    </row>
    <row r="36" spans="1:18">
      <c r="A36" s="38" t="s">
        <v>15</v>
      </c>
      <c r="B36" s="310" t="s">
        <v>16</v>
      </c>
      <c r="C36" s="123">
        <v>1</v>
      </c>
      <c r="D36" s="300">
        <v>44</v>
      </c>
      <c r="E36" s="123">
        <v>335</v>
      </c>
      <c r="F36" s="301">
        <f t="shared" si="0"/>
        <v>0.13134328358208955</v>
      </c>
      <c r="G36" s="303">
        <v>15.42</v>
      </c>
      <c r="H36" s="300">
        <f t="shared" si="2"/>
        <v>12.65</v>
      </c>
      <c r="I36" s="300">
        <v>26.82</v>
      </c>
      <c r="J36" s="300">
        <f t="shared" si="3"/>
        <v>28.409999999999997</v>
      </c>
      <c r="K36" s="300">
        <v>22.16</v>
      </c>
      <c r="L36" s="300">
        <f t="shared" si="4"/>
        <v>13.580000000000002</v>
      </c>
      <c r="M36" s="300">
        <v>11.14</v>
      </c>
      <c r="N36" s="300">
        <f t="shared" si="5"/>
        <v>0.61999999999999922</v>
      </c>
      <c r="O36" s="303">
        <f t="shared" si="1"/>
        <v>-3.5999999999999996</v>
      </c>
      <c r="P36" s="311">
        <v>-3.5999999999999997E-2</v>
      </c>
      <c r="Q36" s="306">
        <v>6.25</v>
      </c>
      <c r="R36" s="306">
        <v>1.87</v>
      </c>
    </row>
    <row r="37" spans="1:18">
      <c r="A37" s="38" t="s">
        <v>16</v>
      </c>
      <c r="B37" s="310" t="s">
        <v>17</v>
      </c>
      <c r="C37" s="123">
        <v>1</v>
      </c>
      <c r="D37" s="300">
        <v>42</v>
      </c>
      <c r="E37" s="123">
        <v>335</v>
      </c>
      <c r="F37" s="301">
        <f t="shared" si="0"/>
        <v>0.1253731343283582</v>
      </c>
      <c r="G37" s="303">
        <v>26.08</v>
      </c>
      <c r="H37" s="300">
        <f t="shared" si="2"/>
        <v>10.659999999999998</v>
      </c>
      <c r="I37" s="300">
        <v>53</v>
      </c>
      <c r="J37" s="300">
        <f t="shared" si="3"/>
        <v>26.18</v>
      </c>
      <c r="K37" s="300">
        <v>32.83</v>
      </c>
      <c r="L37" s="300">
        <f t="shared" si="4"/>
        <v>10.669999999999998</v>
      </c>
      <c r="M37" s="300">
        <v>11.14</v>
      </c>
      <c r="N37" s="300"/>
      <c r="O37" s="303">
        <f t="shared" si="1"/>
        <v>2</v>
      </c>
      <c r="P37" s="311">
        <v>0.02</v>
      </c>
      <c r="Q37" s="306">
        <v>5.69</v>
      </c>
      <c r="R37" s="306">
        <v>1.91</v>
      </c>
    </row>
    <row r="38" spans="1:18">
      <c r="A38" s="38" t="s">
        <v>17</v>
      </c>
      <c r="B38" s="310" t="s">
        <v>18</v>
      </c>
      <c r="C38" s="123">
        <v>1</v>
      </c>
      <c r="D38" s="300">
        <v>52</v>
      </c>
      <c r="E38" s="123">
        <v>335</v>
      </c>
      <c r="F38" s="301">
        <f t="shared" si="0"/>
        <v>0.15522388059701492</v>
      </c>
      <c r="G38" s="303">
        <v>12.23</v>
      </c>
      <c r="H38" s="300">
        <f t="shared" si="2"/>
        <v>13.849999999999998</v>
      </c>
      <c r="I38" s="300">
        <v>10.26</v>
      </c>
      <c r="J38" s="300">
        <f t="shared" si="3"/>
        <v>42.74</v>
      </c>
      <c r="K38" s="300">
        <v>29.58</v>
      </c>
      <c r="L38" s="300">
        <f t="shared" si="4"/>
        <v>3.25</v>
      </c>
      <c r="M38" s="300">
        <v>11.14</v>
      </c>
      <c r="N38" s="300"/>
      <c r="O38" s="303">
        <f t="shared" si="1"/>
        <v>2</v>
      </c>
      <c r="P38" s="311">
        <v>0.02</v>
      </c>
      <c r="Q38" s="306">
        <v>5.69</v>
      </c>
      <c r="R38" s="306">
        <v>1.91</v>
      </c>
    </row>
    <row r="39" spans="1:18">
      <c r="A39" s="38" t="s">
        <v>18</v>
      </c>
      <c r="B39" s="310" t="s">
        <v>841</v>
      </c>
      <c r="C39" s="123">
        <v>1</v>
      </c>
      <c r="D39" s="300">
        <v>21</v>
      </c>
      <c r="E39" s="123">
        <v>335</v>
      </c>
      <c r="F39" s="301">
        <f t="shared" si="0"/>
        <v>6.2686567164179099E-2</v>
      </c>
      <c r="G39" s="303">
        <v>33.74</v>
      </c>
      <c r="H39" s="300">
        <f t="shared" si="2"/>
        <v>21.51</v>
      </c>
      <c r="I39" s="300">
        <v>70.010000000000005</v>
      </c>
      <c r="J39" s="300">
        <f t="shared" si="3"/>
        <v>59.750000000000007</v>
      </c>
      <c r="K39" s="300">
        <v>39.17</v>
      </c>
      <c r="L39" s="300">
        <f t="shared" si="4"/>
        <v>9.5900000000000034</v>
      </c>
      <c r="M39" s="300">
        <v>11.14</v>
      </c>
      <c r="N39" s="300"/>
      <c r="O39" s="303">
        <f t="shared" si="1"/>
        <v>2</v>
      </c>
      <c r="P39" s="311">
        <v>0.02</v>
      </c>
      <c r="Q39" s="306">
        <v>5.69</v>
      </c>
      <c r="R39" s="306">
        <v>1.91</v>
      </c>
    </row>
    <row r="40" spans="1:18" s="84" customFormat="1">
      <c r="A40" s="84" t="s">
        <v>37</v>
      </c>
      <c r="B40" s="296" t="s">
        <v>38</v>
      </c>
      <c r="C40" s="165">
        <v>1</v>
      </c>
      <c r="D40" s="165">
        <v>12</v>
      </c>
      <c r="E40" s="165">
        <v>227</v>
      </c>
      <c r="F40" s="297">
        <f t="shared" si="0"/>
        <v>5.2863436123348019E-2</v>
      </c>
      <c r="G40" s="163">
        <v>85.85</v>
      </c>
      <c r="H40" s="165"/>
      <c r="I40" s="165">
        <v>78.180000000000007</v>
      </c>
      <c r="J40" s="165"/>
      <c r="K40" s="165">
        <v>78.55</v>
      </c>
      <c r="L40" s="165"/>
      <c r="M40" s="165">
        <v>86.75</v>
      </c>
      <c r="N40" s="165"/>
      <c r="O40" s="163">
        <f t="shared" si="1"/>
        <v>4</v>
      </c>
      <c r="P40" s="313">
        <v>0.04</v>
      </c>
      <c r="Q40" s="168">
        <v>5.8</v>
      </c>
      <c r="R40" s="170">
        <v>0.64</v>
      </c>
    </row>
    <row r="41" spans="1:18">
      <c r="A41" s="63" t="s">
        <v>38</v>
      </c>
      <c r="B41" s="145" t="s">
        <v>39</v>
      </c>
      <c r="C41" s="123">
        <v>1</v>
      </c>
      <c r="D41" s="300">
        <v>6</v>
      </c>
      <c r="E41" s="123">
        <v>227</v>
      </c>
      <c r="F41" s="301">
        <f t="shared" si="0"/>
        <v>2.643171806167401E-2</v>
      </c>
      <c r="G41" s="303">
        <v>72.2</v>
      </c>
      <c r="H41" s="300">
        <f t="shared" si="2"/>
        <v>13.649999999999991</v>
      </c>
      <c r="I41" s="300">
        <v>22.75</v>
      </c>
      <c r="J41" s="300">
        <f t="shared" si="3"/>
        <v>55.430000000000007</v>
      </c>
      <c r="K41" s="300">
        <v>83.35</v>
      </c>
      <c r="L41" s="300">
        <f t="shared" si="4"/>
        <v>4.7999999999999972</v>
      </c>
      <c r="M41" s="300">
        <v>86.75</v>
      </c>
      <c r="N41" s="300"/>
      <c r="O41" s="303">
        <f t="shared" si="1"/>
        <v>4</v>
      </c>
      <c r="P41" s="311">
        <v>0.04</v>
      </c>
      <c r="Q41" s="305">
        <v>5.8</v>
      </c>
      <c r="R41" s="306">
        <v>0.64</v>
      </c>
    </row>
    <row r="42" spans="1:18">
      <c r="A42" s="63" t="s">
        <v>39</v>
      </c>
      <c r="B42" s="145" t="s">
        <v>40</v>
      </c>
      <c r="C42" s="123">
        <v>1</v>
      </c>
      <c r="D42" s="300">
        <v>12</v>
      </c>
      <c r="E42" s="123">
        <v>227</v>
      </c>
      <c r="F42" s="301">
        <f t="shared" si="0"/>
        <v>5.2863436123348019E-2</v>
      </c>
      <c r="G42" s="303">
        <v>75.680000000000007</v>
      </c>
      <c r="H42" s="300">
        <f t="shared" si="2"/>
        <v>3.480000000000004</v>
      </c>
      <c r="I42" s="300">
        <v>44.28</v>
      </c>
      <c r="J42" s="300">
        <f t="shared" si="3"/>
        <v>21.53</v>
      </c>
      <c r="K42" s="300">
        <v>78.790000000000006</v>
      </c>
      <c r="L42" s="300">
        <f t="shared" si="4"/>
        <v>4.5599999999999881</v>
      </c>
      <c r="M42" s="300">
        <v>86.75</v>
      </c>
      <c r="N42" s="300"/>
      <c r="O42" s="303">
        <f t="shared" si="1"/>
        <v>4</v>
      </c>
      <c r="P42" s="311">
        <v>0.04</v>
      </c>
      <c r="Q42" s="305">
        <v>5.8</v>
      </c>
      <c r="R42" s="306">
        <v>0.64</v>
      </c>
    </row>
    <row r="43" spans="1:18">
      <c r="A43" s="63" t="s">
        <v>40</v>
      </c>
      <c r="B43" s="145" t="s">
        <v>41</v>
      </c>
      <c r="C43" s="123">
        <v>1</v>
      </c>
      <c r="D43" s="300">
        <v>9</v>
      </c>
      <c r="E43" s="123">
        <v>230</v>
      </c>
      <c r="F43" s="301">
        <f t="shared" si="0"/>
        <v>3.9130434782608699E-2</v>
      </c>
      <c r="G43" s="303">
        <v>69.489999999999995</v>
      </c>
      <c r="H43" s="300">
        <f t="shared" si="2"/>
        <v>6.1900000000000119</v>
      </c>
      <c r="I43" s="300">
        <v>36.65</v>
      </c>
      <c r="J43" s="300">
        <f t="shared" si="3"/>
        <v>7.6300000000000026</v>
      </c>
      <c r="K43" s="300">
        <v>67.510000000000005</v>
      </c>
      <c r="L43" s="300">
        <f t="shared" si="4"/>
        <v>11.280000000000001</v>
      </c>
      <c r="M43" s="300">
        <v>86.75</v>
      </c>
      <c r="N43" s="300"/>
      <c r="O43" s="303">
        <f t="shared" si="1"/>
        <v>4</v>
      </c>
      <c r="P43" s="311">
        <v>0.04</v>
      </c>
      <c r="Q43" s="305">
        <v>5.8</v>
      </c>
      <c r="R43" s="306">
        <v>0.64</v>
      </c>
    </row>
    <row r="44" spans="1:18">
      <c r="A44" s="63" t="s">
        <v>41</v>
      </c>
      <c r="B44" s="145" t="s">
        <v>42</v>
      </c>
      <c r="C44" s="123">
        <v>1</v>
      </c>
      <c r="D44" s="300">
        <v>9</v>
      </c>
      <c r="E44" s="123">
        <v>230</v>
      </c>
      <c r="F44" s="301">
        <f t="shared" si="0"/>
        <v>3.9130434782608699E-2</v>
      </c>
      <c r="G44" s="303">
        <v>72.33</v>
      </c>
      <c r="H44" s="300">
        <f t="shared" si="2"/>
        <v>2.8400000000000034</v>
      </c>
      <c r="I44" s="300">
        <v>41.49</v>
      </c>
      <c r="J44" s="300">
        <f t="shared" si="3"/>
        <v>4.8400000000000034</v>
      </c>
      <c r="K44" s="300">
        <v>70.95</v>
      </c>
      <c r="L44" s="300">
        <f t="shared" si="4"/>
        <v>3.4399999999999977</v>
      </c>
      <c r="M44" s="300">
        <v>86.75</v>
      </c>
      <c r="N44" s="300"/>
      <c r="O44" s="303">
        <f t="shared" si="1"/>
        <v>2</v>
      </c>
      <c r="P44" s="311">
        <v>0.02</v>
      </c>
      <c r="Q44" s="306">
        <v>5</v>
      </c>
      <c r="R44" s="306">
        <v>0.61</v>
      </c>
    </row>
    <row r="45" spans="1:18">
      <c r="A45" s="63" t="s">
        <v>42</v>
      </c>
      <c r="B45" s="145" t="s">
        <v>43</v>
      </c>
      <c r="C45" s="123">
        <v>1</v>
      </c>
      <c r="D45" s="300">
        <v>8</v>
      </c>
      <c r="E45" s="123">
        <v>230</v>
      </c>
      <c r="F45" s="301">
        <f t="shared" si="0"/>
        <v>3.4782608695652174E-2</v>
      </c>
      <c r="G45" s="303">
        <v>72.83</v>
      </c>
      <c r="H45" s="300">
        <f t="shared" si="2"/>
        <v>0.5</v>
      </c>
      <c r="I45" s="300">
        <v>48.71</v>
      </c>
      <c r="J45" s="300">
        <f t="shared" si="3"/>
        <v>7.2199999999999989</v>
      </c>
      <c r="K45" s="300">
        <v>65.739999999999995</v>
      </c>
      <c r="L45" s="300">
        <f t="shared" si="4"/>
        <v>5.210000000000008</v>
      </c>
      <c r="M45" s="300">
        <v>86.75</v>
      </c>
      <c r="N45" s="300"/>
      <c r="O45" s="303">
        <f t="shared" si="1"/>
        <v>2</v>
      </c>
      <c r="P45" s="311">
        <v>0.02</v>
      </c>
      <c r="Q45" s="306">
        <v>5</v>
      </c>
      <c r="R45" s="306">
        <v>0.61</v>
      </c>
    </row>
    <row r="46" spans="1:18">
      <c r="A46" s="63" t="s">
        <v>43</v>
      </c>
      <c r="B46" s="145" t="s">
        <v>44</v>
      </c>
      <c r="C46" s="123">
        <v>1</v>
      </c>
      <c r="D46" s="300">
        <v>9</v>
      </c>
      <c r="E46" s="123">
        <v>230</v>
      </c>
      <c r="F46" s="301">
        <f t="shared" si="0"/>
        <v>3.9130434782608699E-2</v>
      </c>
      <c r="G46" s="303">
        <v>71.650000000000006</v>
      </c>
      <c r="H46" s="300">
        <f t="shared" si="2"/>
        <v>1.1799999999999926</v>
      </c>
      <c r="I46" s="300">
        <v>46.32</v>
      </c>
      <c r="J46" s="300">
        <f t="shared" si="3"/>
        <v>2.3900000000000006</v>
      </c>
      <c r="K46" s="300">
        <v>62.98</v>
      </c>
      <c r="L46" s="300">
        <f t="shared" si="4"/>
        <v>2.759999999999998</v>
      </c>
      <c r="M46" s="300">
        <v>86.75</v>
      </c>
      <c r="N46" s="300"/>
      <c r="O46" s="303">
        <f t="shared" si="1"/>
        <v>2</v>
      </c>
      <c r="P46" s="311">
        <v>0.02</v>
      </c>
      <c r="Q46" s="306">
        <v>5</v>
      </c>
      <c r="R46" s="306">
        <v>0.61</v>
      </c>
    </row>
    <row r="47" spans="1:18">
      <c r="A47" s="63" t="s">
        <v>44</v>
      </c>
      <c r="B47" s="310" t="s">
        <v>45</v>
      </c>
      <c r="C47" s="123">
        <v>1</v>
      </c>
      <c r="D47" s="300">
        <v>14</v>
      </c>
      <c r="E47" s="123">
        <v>223</v>
      </c>
      <c r="F47" s="301">
        <f t="shared" si="0"/>
        <v>6.2780269058295965E-2</v>
      </c>
      <c r="G47" s="303">
        <v>76.17</v>
      </c>
      <c r="H47" s="300">
        <f t="shared" si="2"/>
        <v>4.519999999999996</v>
      </c>
      <c r="I47" s="300">
        <v>67.02</v>
      </c>
      <c r="J47" s="300">
        <f t="shared" si="3"/>
        <v>20.699999999999996</v>
      </c>
      <c r="K47" s="300">
        <v>68.53</v>
      </c>
      <c r="L47" s="300">
        <f t="shared" si="4"/>
        <v>5.5500000000000043</v>
      </c>
      <c r="M47" s="300">
        <v>82.25</v>
      </c>
      <c r="N47" s="300">
        <f t="shared" si="5"/>
        <v>4.5</v>
      </c>
      <c r="O47" s="303">
        <f t="shared" si="1"/>
        <v>2</v>
      </c>
      <c r="P47" s="311">
        <v>0.02</v>
      </c>
      <c r="Q47" s="306">
        <v>5</v>
      </c>
      <c r="R47" s="306">
        <v>0.61</v>
      </c>
    </row>
    <row r="48" spans="1:18">
      <c r="A48" s="38" t="s">
        <v>45</v>
      </c>
      <c r="B48" s="310" t="s">
        <v>46</v>
      </c>
      <c r="C48" s="123">
        <v>1</v>
      </c>
      <c r="D48" s="300">
        <v>8</v>
      </c>
      <c r="E48" s="123">
        <v>223</v>
      </c>
      <c r="F48" s="301">
        <f t="shared" si="0"/>
        <v>3.5874439461883408E-2</v>
      </c>
      <c r="G48" s="303">
        <v>75.290000000000006</v>
      </c>
      <c r="H48" s="300">
        <f t="shared" si="2"/>
        <v>0.87999999999999545</v>
      </c>
      <c r="I48" s="300">
        <v>61.6</v>
      </c>
      <c r="J48" s="300">
        <f t="shared" si="3"/>
        <v>5.4199999999999946</v>
      </c>
      <c r="K48" s="300">
        <v>71.38</v>
      </c>
      <c r="L48" s="300">
        <f t="shared" si="4"/>
        <v>2.8499999999999943</v>
      </c>
      <c r="M48" s="300">
        <v>82.25</v>
      </c>
      <c r="N48" s="300"/>
      <c r="O48" s="303">
        <f t="shared" si="1"/>
        <v>2.2999999999999998</v>
      </c>
      <c r="P48" s="311">
        <v>2.3E-2</v>
      </c>
      <c r="Q48" s="306">
        <v>5.75</v>
      </c>
      <c r="R48" s="306">
        <v>0.6</v>
      </c>
    </row>
    <row r="49" spans="1:18">
      <c r="A49" s="38" t="s">
        <v>46</v>
      </c>
      <c r="B49" s="310" t="s">
        <v>47</v>
      </c>
      <c r="C49" s="123">
        <v>1</v>
      </c>
      <c r="D49" s="300">
        <v>10</v>
      </c>
      <c r="E49" s="123">
        <v>223</v>
      </c>
      <c r="F49" s="301">
        <f t="shared" si="0"/>
        <v>4.4843049327354258E-2</v>
      </c>
      <c r="G49" s="303">
        <v>80.14</v>
      </c>
      <c r="H49" s="300">
        <f t="shared" si="2"/>
        <v>4.8499999999999943</v>
      </c>
      <c r="I49" s="300">
        <v>74.81</v>
      </c>
      <c r="J49" s="300">
        <f t="shared" si="3"/>
        <v>13.21</v>
      </c>
      <c r="K49" s="300">
        <v>70.84</v>
      </c>
      <c r="L49" s="300">
        <f t="shared" si="4"/>
        <v>0.53999999999999204</v>
      </c>
      <c r="M49" s="300">
        <v>82.25</v>
      </c>
      <c r="N49" s="300"/>
      <c r="O49" s="303">
        <f t="shared" si="1"/>
        <v>2.2999999999999998</v>
      </c>
      <c r="P49" s="311">
        <v>2.3E-2</v>
      </c>
      <c r="Q49" s="306">
        <v>5.75</v>
      </c>
      <c r="R49" s="306">
        <v>0.6</v>
      </c>
    </row>
    <row r="50" spans="1:18">
      <c r="A50" s="38" t="s">
        <v>47</v>
      </c>
      <c r="B50" s="310" t="s">
        <v>48</v>
      </c>
      <c r="C50" s="123">
        <v>1</v>
      </c>
      <c r="D50" s="300">
        <v>10</v>
      </c>
      <c r="E50" s="123">
        <v>223</v>
      </c>
      <c r="F50" s="301">
        <f t="shared" si="0"/>
        <v>4.4843049327354258E-2</v>
      </c>
      <c r="G50" s="303">
        <v>76.36</v>
      </c>
      <c r="H50" s="300">
        <f t="shared" si="2"/>
        <v>3.7800000000000011</v>
      </c>
      <c r="I50" s="300">
        <v>64.930000000000007</v>
      </c>
      <c r="J50" s="300">
        <f t="shared" si="3"/>
        <v>9.8799999999999955</v>
      </c>
      <c r="K50" s="300">
        <v>70.14</v>
      </c>
      <c r="L50" s="300">
        <f t="shared" si="4"/>
        <v>0.70000000000000284</v>
      </c>
      <c r="M50" s="300">
        <v>82.25</v>
      </c>
      <c r="N50" s="300"/>
      <c r="O50" s="303">
        <f t="shared" si="1"/>
        <v>2.2999999999999998</v>
      </c>
      <c r="P50" s="311">
        <v>2.3E-2</v>
      </c>
      <c r="Q50" s="306">
        <v>5.75</v>
      </c>
      <c r="R50" s="306">
        <v>0.6</v>
      </c>
    </row>
    <row r="51" spans="1:18">
      <c r="A51" s="38" t="s">
        <v>48</v>
      </c>
      <c r="B51" s="310" t="s">
        <v>49</v>
      </c>
      <c r="C51" s="123">
        <v>1</v>
      </c>
      <c r="D51" s="300">
        <v>10</v>
      </c>
      <c r="E51" s="123">
        <v>214</v>
      </c>
      <c r="F51" s="301">
        <f t="shared" si="0"/>
        <v>4.6728971962616821E-2</v>
      </c>
      <c r="G51" s="303">
        <v>77.31</v>
      </c>
      <c r="H51" s="300">
        <f t="shared" si="2"/>
        <v>0.95000000000000284</v>
      </c>
      <c r="I51" s="300">
        <v>58.98</v>
      </c>
      <c r="J51" s="300">
        <f t="shared" si="3"/>
        <v>5.9500000000000099</v>
      </c>
      <c r="K51" s="300">
        <v>83.17</v>
      </c>
      <c r="L51" s="300">
        <f t="shared" si="4"/>
        <v>13.030000000000001</v>
      </c>
      <c r="M51" s="300">
        <v>78.150000000000006</v>
      </c>
      <c r="N51" s="300">
        <f t="shared" si="5"/>
        <v>4.0999999999999943</v>
      </c>
      <c r="O51" s="303">
        <f t="shared" si="1"/>
        <v>2.2999999999999998</v>
      </c>
      <c r="P51" s="311">
        <v>2.3E-2</v>
      </c>
      <c r="Q51" s="306">
        <v>5.75</v>
      </c>
      <c r="R51" s="306">
        <v>0.6</v>
      </c>
    </row>
    <row r="52" spans="1:18">
      <c r="A52" s="38" t="s">
        <v>49</v>
      </c>
      <c r="B52" s="310" t="s">
        <v>50</v>
      </c>
      <c r="C52" s="123">
        <v>1</v>
      </c>
      <c r="D52" s="300">
        <v>12</v>
      </c>
      <c r="E52" s="123">
        <v>214</v>
      </c>
      <c r="F52" s="301">
        <f t="shared" si="0"/>
        <v>5.6074766355140186E-2</v>
      </c>
      <c r="G52" s="303">
        <v>81.180000000000007</v>
      </c>
      <c r="H52" s="300">
        <f t="shared" si="2"/>
        <v>3.8700000000000045</v>
      </c>
      <c r="I52" s="300">
        <v>84.1</v>
      </c>
      <c r="J52" s="300">
        <f t="shared" si="3"/>
        <v>25.119999999999997</v>
      </c>
      <c r="K52" s="300">
        <v>70.430000000000007</v>
      </c>
      <c r="L52" s="300">
        <f t="shared" si="4"/>
        <v>12.739999999999995</v>
      </c>
      <c r="M52" s="300">
        <v>78.150000000000006</v>
      </c>
      <c r="N52" s="300"/>
      <c r="O52" s="303">
        <f t="shared" si="1"/>
        <v>1.6</v>
      </c>
      <c r="P52" s="311">
        <v>1.6E-2</v>
      </c>
      <c r="Q52" s="306">
        <v>6.25</v>
      </c>
      <c r="R52" s="306">
        <v>0.61</v>
      </c>
    </row>
    <row r="53" spans="1:18">
      <c r="A53" s="38" t="s">
        <v>50</v>
      </c>
      <c r="B53" s="310" t="s">
        <v>51</v>
      </c>
      <c r="C53" s="123">
        <v>1</v>
      </c>
      <c r="D53" s="300">
        <v>13</v>
      </c>
      <c r="E53" s="123">
        <v>214</v>
      </c>
      <c r="F53" s="301">
        <f t="shared" si="0"/>
        <v>6.0747663551401869E-2</v>
      </c>
      <c r="G53" s="303">
        <v>77.42</v>
      </c>
      <c r="H53" s="300">
        <f t="shared" si="2"/>
        <v>3.7600000000000051</v>
      </c>
      <c r="I53" s="300">
        <v>73.06</v>
      </c>
      <c r="J53" s="300">
        <f t="shared" si="3"/>
        <v>11.039999999999992</v>
      </c>
      <c r="K53" s="300">
        <v>69.45</v>
      </c>
      <c r="L53" s="300">
        <f t="shared" si="4"/>
        <v>0.98000000000000398</v>
      </c>
      <c r="M53" s="300">
        <v>78.150000000000006</v>
      </c>
      <c r="N53" s="300"/>
      <c r="O53" s="303">
        <f t="shared" si="1"/>
        <v>1.6</v>
      </c>
      <c r="P53" s="311">
        <v>1.6E-2</v>
      </c>
      <c r="Q53" s="306">
        <v>6.25</v>
      </c>
      <c r="R53" s="306">
        <v>0.61</v>
      </c>
    </row>
    <row r="54" spans="1:18">
      <c r="A54" s="38" t="s">
        <v>51</v>
      </c>
      <c r="B54" s="310" t="s">
        <v>52</v>
      </c>
      <c r="C54" s="123">
        <v>1</v>
      </c>
      <c r="D54" s="300">
        <v>17</v>
      </c>
      <c r="E54" s="123">
        <v>214</v>
      </c>
      <c r="F54" s="301">
        <f t="shared" si="0"/>
        <v>7.9439252336448593E-2</v>
      </c>
      <c r="G54" s="303">
        <v>70.5</v>
      </c>
      <c r="H54" s="300">
        <f t="shared" si="2"/>
        <v>6.9200000000000017</v>
      </c>
      <c r="I54" s="300">
        <v>53.44</v>
      </c>
      <c r="J54" s="300">
        <f t="shared" si="3"/>
        <v>19.620000000000005</v>
      </c>
      <c r="K54" s="300">
        <v>68.510000000000005</v>
      </c>
      <c r="L54" s="300">
        <f t="shared" si="4"/>
        <v>0.93999999999999773</v>
      </c>
      <c r="M54" s="300">
        <v>78.150000000000006</v>
      </c>
      <c r="N54" s="300"/>
      <c r="O54" s="303">
        <f t="shared" si="1"/>
        <v>1.6</v>
      </c>
      <c r="P54" s="311">
        <v>1.6E-2</v>
      </c>
      <c r="Q54" s="306">
        <v>6.25</v>
      </c>
      <c r="R54" s="306">
        <v>0.61</v>
      </c>
    </row>
    <row r="55" spans="1:18">
      <c r="A55" s="38" t="s">
        <v>52</v>
      </c>
      <c r="B55" s="310" t="s">
        <v>53</v>
      </c>
      <c r="C55" s="123">
        <v>1</v>
      </c>
      <c r="D55" s="300">
        <v>10</v>
      </c>
      <c r="E55" s="123">
        <v>212</v>
      </c>
      <c r="F55" s="301">
        <f t="shared" si="0"/>
        <v>4.716981132075472E-2</v>
      </c>
      <c r="G55" s="303">
        <v>75.86</v>
      </c>
      <c r="H55" s="300">
        <f t="shared" si="2"/>
        <v>5.3599999999999994</v>
      </c>
      <c r="I55" s="300">
        <v>69.19</v>
      </c>
      <c r="J55" s="300">
        <f t="shared" si="3"/>
        <v>15.75</v>
      </c>
      <c r="K55" s="300">
        <v>73.36</v>
      </c>
      <c r="L55" s="300">
        <f t="shared" si="4"/>
        <v>4.8499999999999943</v>
      </c>
      <c r="M55" s="300">
        <v>75.34</v>
      </c>
      <c r="N55" s="300">
        <f t="shared" si="5"/>
        <v>2.8100000000000023</v>
      </c>
      <c r="O55" s="303">
        <f t="shared" si="1"/>
        <v>1.6</v>
      </c>
      <c r="P55" s="311">
        <v>1.6E-2</v>
      </c>
      <c r="Q55" s="306">
        <v>6.25</v>
      </c>
      <c r="R55" s="306">
        <v>0.61</v>
      </c>
    </row>
    <row r="56" spans="1:18">
      <c r="A56" s="38" t="s">
        <v>53</v>
      </c>
      <c r="B56" s="310" t="s">
        <v>54</v>
      </c>
      <c r="C56" s="123">
        <v>1</v>
      </c>
      <c r="D56" s="300">
        <v>8</v>
      </c>
      <c r="E56" s="123">
        <v>212</v>
      </c>
      <c r="F56" s="301">
        <f t="shared" si="0"/>
        <v>3.7735849056603772E-2</v>
      </c>
      <c r="G56" s="303">
        <v>77.739999999999995</v>
      </c>
      <c r="H56" s="300">
        <f t="shared" si="2"/>
        <v>1.8799999999999955</v>
      </c>
      <c r="I56" s="300">
        <v>88.81</v>
      </c>
      <c r="J56" s="300">
        <f t="shared" si="3"/>
        <v>19.620000000000005</v>
      </c>
      <c r="K56" s="300">
        <v>54.52</v>
      </c>
      <c r="L56" s="300">
        <f t="shared" si="4"/>
        <v>18.839999999999996</v>
      </c>
      <c r="M56" s="300">
        <v>75.34</v>
      </c>
      <c r="N56" s="300"/>
      <c r="O56" s="303">
        <f t="shared" si="1"/>
        <v>1.7000000000000002</v>
      </c>
      <c r="P56" s="311">
        <v>1.7000000000000001E-2</v>
      </c>
      <c r="Q56" s="306">
        <v>5.69</v>
      </c>
      <c r="R56" s="306">
        <v>0.62</v>
      </c>
    </row>
    <row r="57" spans="1:18">
      <c r="A57" s="38" t="s">
        <v>54</v>
      </c>
      <c r="B57" s="310" t="s">
        <v>55</v>
      </c>
      <c r="C57" s="123">
        <v>1</v>
      </c>
      <c r="D57" s="300">
        <v>12</v>
      </c>
      <c r="E57" s="123">
        <v>212</v>
      </c>
      <c r="F57" s="301">
        <f t="shared" si="0"/>
        <v>5.6603773584905662E-2</v>
      </c>
      <c r="G57" s="303">
        <v>66.8</v>
      </c>
      <c r="H57" s="300">
        <f t="shared" si="2"/>
        <v>10.939999999999998</v>
      </c>
      <c r="I57" s="300">
        <v>59.21</v>
      </c>
      <c r="J57" s="300">
        <f t="shared" si="3"/>
        <v>29.6</v>
      </c>
      <c r="K57" s="300">
        <v>57.21</v>
      </c>
      <c r="L57" s="300">
        <f t="shared" si="4"/>
        <v>2.6899999999999977</v>
      </c>
      <c r="M57" s="300">
        <v>75.34</v>
      </c>
      <c r="N57" s="300"/>
      <c r="O57" s="303">
        <f t="shared" si="1"/>
        <v>1.7000000000000002</v>
      </c>
      <c r="P57" s="311">
        <v>1.7000000000000001E-2</v>
      </c>
      <c r="Q57" s="306">
        <v>5.69</v>
      </c>
      <c r="R57" s="306">
        <v>0.62</v>
      </c>
    </row>
    <row r="58" spans="1:18">
      <c r="A58" s="38" t="s">
        <v>55</v>
      </c>
      <c r="B58" s="310" t="s">
        <v>842</v>
      </c>
      <c r="C58" s="123">
        <v>1</v>
      </c>
      <c r="D58" s="300">
        <v>5</v>
      </c>
      <c r="E58" s="123">
        <v>212</v>
      </c>
      <c r="F58" s="301">
        <f t="shared" si="0"/>
        <v>2.358490566037736E-2</v>
      </c>
      <c r="G58" s="303">
        <v>80.5</v>
      </c>
      <c r="H58" s="300">
        <f t="shared" si="2"/>
        <v>13.700000000000003</v>
      </c>
      <c r="I58" s="300">
        <v>90.62</v>
      </c>
      <c r="J58" s="300">
        <f t="shared" si="3"/>
        <v>31.410000000000004</v>
      </c>
      <c r="K58" s="300">
        <v>61.27</v>
      </c>
      <c r="L58" s="300">
        <f t="shared" si="4"/>
        <v>4.0600000000000023</v>
      </c>
      <c r="M58" s="300">
        <v>75.34</v>
      </c>
      <c r="N58" s="300"/>
      <c r="O58" s="303">
        <f t="shared" si="1"/>
        <v>1.7000000000000002</v>
      </c>
      <c r="P58" s="311">
        <v>1.7000000000000001E-2</v>
      </c>
      <c r="Q58" s="306">
        <v>5.69</v>
      </c>
      <c r="R58" s="306">
        <v>0.62</v>
      </c>
    </row>
    <row r="59" spans="1:18" s="84" customFormat="1">
      <c r="A59" s="84" t="s">
        <v>56</v>
      </c>
      <c r="B59" s="315" t="s">
        <v>57</v>
      </c>
      <c r="C59" s="316">
        <v>1</v>
      </c>
      <c r="D59" s="316">
        <v>11</v>
      </c>
      <c r="E59" s="316">
        <v>72</v>
      </c>
      <c r="F59" s="317">
        <f t="shared" si="0"/>
        <v>0.15277777777777779</v>
      </c>
      <c r="G59" s="318">
        <v>56.2</v>
      </c>
      <c r="H59" s="316"/>
      <c r="I59" s="316">
        <v>54.85</v>
      </c>
      <c r="J59" s="316"/>
      <c r="K59" s="316">
        <v>75.819999999999993</v>
      </c>
      <c r="L59" s="316"/>
      <c r="M59" s="316">
        <v>33.43</v>
      </c>
      <c r="N59" s="316"/>
      <c r="O59" s="318">
        <f t="shared" si="1"/>
        <v>4.9000000000000004</v>
      </c>
      <c r="P59" s="319">
        <v>4.9000000000000002E-2</v>
      </c>
      <c r="Q59" s="320">
        <v>5.8</v>
      </c>
      <c r="R59" s="323">
        <v>0.49</v>
      </c>
    </row>
    <row r="60" spans="1:18">
      <c r="A60" s="63" t="s">
        <v>57</v>
      </c>
      <c r="B60" s="145" t="s">
        <v>58</v>
      </c>
      <c r="C60" s="123">
        <v>1</v>
      </c>
      <c r="D60" s="300">
        <v>9</v>
      </c>
      <c r="E60" s="123">
        <v>72</v>
      </c>
      <c r="F60" s="301">
        <f t="shared" si="0"/>
        <v>0.125</v>
      </c>
      <c r="G60" s="303">
        <v>46.21</v>
      </c>
      <c r="H60" s="300">
        <f t="shared" si="2"/>
        <v>9.990000000000002</v>
      </c>
      <c r="I60" s="300">
        <v>25.18</v>
      </c>
      <c r="J60" s="300">
        <f t="shared" si="3"/>
        <v>29.67</v>
      </c>
      <c r="K60" s="300">
        <v>79.989999999999995</v>
      </c>
      <c r="L60" s="300">
        <f t="shared" si="4"/>
        <v>4.1700000000000017</v>
      </c>
      <c r="M60" s="300">
        <v>33.43</v>
      </c>
      <c r="N60" s="300"/>
      <c r="O60" s="303">
        <f t="shared" si="1"/>
        <v>4.9000000000000004</v>
      </c>
      <c r="P60" s="304">
        <v>4.9000000000000002E-2</v>
      </c>
      <c r="Q60" s="305">
        <v>5.8</v>
      </c>
      <c r="R60" s="306">
        <v>0.49</v>
      </c>
    </row>
    <row r="61" spans="1:18">
      <c r="A61" s="63" t="s">
        <v>58</v>
      </c>
      <c r="B61" s="145" t="s">
        <v>59</v>
      </c>
      <c r="C61" s="123">
        <v>1</v>
      </c>
      <c r="D61" s="300">
        <v>20</v>
      </c>
      <c r="E61" s="123">
        <v>72</v>
      </c>
      <c r="F61" s="301">
        <f t="shared" si="0"/>
        <v>0.27777777777777779</v>
      </c>
      <c r="G61" s="303">
        <v>64.209999999999994</v>
      </c>
      <c r="H61" s="300">
        <f t="shared" si="2"/>
        <v>17.999999999999993</v>
      </c>
      <c r="I61" s="300">
        <v>71.2</v>
      </c>
      <c r="J61" s="300">
        <f t="shared" si="3"/>
        <v>46.02</v>
      </c>
      <c r="K61" s="300">
        <v>79.13</v>
      </c>
      <c r="L61" s="300">
        <f t="shared" si="4"/>
        <v>0.85999999999999943</v>
      </c>
      <c r="M61" s="300">
        <v>33.43</v>
      </c>
      <c r="N61" s="300"/>
      <c r="O61" s="303">
        <f t="shared" si="1"/>
        <v>4.9000000000000004</v>
      </c>
      <c r="P61" s="304">
        <v>4.9000000000000002E-2</v>
      </c>
      <c r="Q61" s="305">
        <v>5.8</v>
      </c>
      <c r="R61" s="306">
        <v>0.49</v>
      </c>
    </row>
    <row r="62" spans="1:18">
      <c r="A62" s="63" t="s">
        <v>59</v>
      </c>
      <c r="B62" s="145" t="s">
        <v>60</v>
      </c>
      <c r="C62" s="123">
        <v>1</v>
      </c>
      <c r="D62" s="300">
        <v>13</v>
      </c>
      <c r="E62" s="123">
        <v>70</v>
      </c>
      <c r="F62" s="301">
        <f t="shared" si="0"/>
        <v>0.18571428571428572</v>
      </c>
      <c r="G62" s="303">
        <v>49.7</v>
      </c>
      <c r="H62" s="300">
        <f t="shared" si="2"/>
        <v>14.509999999999991</v>
      </c>
      <c r="I62" s="300">
        <v>39.700000000000003</v>
      </c>
      <c r="J62" s="300">
        <f t="shared" si="3"/>
        <v>31.5</v>
      </c>
      <c r="K62" s="300">
        <v>75.53</v>
      </c>
      <c r="L62" s="300">
        <f t="shared" si="4"/>
        <v>3.5999999999999943</v>
      </c>
      <c r="M62" s="300">
        <v>33.43</v>
      </c>
      <c r="N62" s="300"/>
      <c r="O62" s="303">
        <f t="shared" si="1"/>
        <v>4.9000000000000004</v>
      </c>
      <c r="P62" s="304">
        <v>4.9000000000000002E-2</v>
      </c>
      <c r="Q62" s="305">
        <v>5.8</v>
      </c>
      <c r="R62" s="306">
        <v>0.49</v>
      </c>
    </row>
    <row r="63" spans="1:18">
      <c r="A63" s="63" t="s">
        <v>60</v>
      </c>
      <c r="B63" s="145" t="s">
        <v>61</v>
      </c>
      <c r="C63" s="123">
        <v>1</v>
      </c>
      <c r="D63" s="300">
        <v>9</v>
      </c>
      <c r="E63" s="123">
        <v>70</v>
      </c>
      <c r="F63" s="301">
        <f t="shared" si="0"/>
        <v>0.12857142857142856</v>
      </c>
      <c r="G63" s="303">
        <v>54.41</v>
      </c>
      <c r="H63" s="300">
        <f t="shared" si="2"/>
        <v>4.7099999999999937</v>
      </c>
      <c r="I63" s="300">
        <v>53.3</v>
      </c>
      <c r="J63" s="300">
        <f t="shared" si="3"/>
        <v>13.599999999999994</v>
      </c>
      <c r="K63" s="300">
        <v>73.930000000000007</v>
      </c>
      <c r="L63" s="300">
        <f t="shared" si="4"/>
        <v>1.5999999999999943</v>
      </c>
      <c r="M63" s="300">
        <v>33.43</v>
      </c>
      <c r="N63" s="300"/>
      <c r="O63" s="303">
        <f t="shared" si="1"/>
        <v>4.3999999999999995</v>
      </c>
      <c r="P63" s="304">
        <v>4.3999999999999997E-2</v>
      </c>
      <c r="Q63" s="306">
        <v>5</v>
      </c>
      <c r="R63" s="306">
        <v>0.51</v>
      </c>
    </row>
    <row r="64" spans="1:18">
      <c r="A64" s="63" t="s">
        <v>61</v>
      </c>
      <c r="B64" s="145" t="s">
        <v>63</v>
      </c>
      <c r="C64" s="123">
        <v>1</v>
      </c>
      <c r="D64" s="300">
        <v>6</v>
      </c>
      <c r="E64" s="123">
        <v>70</v>
      </c>
      <c r="F64" s="301">
        <f t="shared" si="0"/>
        <v>8.5714285714285715E-2</v>
      </c>
      <c r="G64" s="303">
        <v>51.47</v>
      </c>
      <c r="H64" s="300">
        <f t="shared" si="2"/>
        <v>2.9399999999999977</v>
      </c>
      <c r="I64" s="300">
        <v>53.3</v>
      </c>
      <c r="J64" s="300">
        <f t="shared" si="3"/>
        <v>0</v>
      </c>
      <c r="K64" s="300">
        <v>67.81</v>
      </c>
      <c r="L64" s="300">
        <f t="shared" si="4"/>
        <v>6.1200000000000045</v>
      </c>
      <c r="M64" s="300">
        <v>33.43</v>
      </c>
      <c r="N64" s="300"/>
      <c r="O64" s="303">
        <f t="shared" si="1"/>
        <v>4.3999999999999995</v>
      </c>
      <c r="P64" s="304">
        <v>4.3999999999999997E-2</v>
      </c>
      <c r="Q64" s="306">
        <v>5</v>
      </c>
      <c r="R64" s="306">
        <v>0.51</v>
      </c>
    </row>
    <row r="65" spans="1:18">
      <c r="A65" s="63" t="s">
        <v>63</v>
      </c>
      <c r="B65" s="145" t="s">
        <v>62</v>
      </c>
      <c r="C65" s="123">
        <v>1</v>
      </c>
      <c r="D65" s="300">
        <v>8</v>
      </c>
      <c r="E65" s="123">
        <v>70</v>
      </c>
      <c r="F65" s="301">
        <f t="shared" si="0"/>
        <v>0.11428571428571428</v>
      </c>
      <c r="G65" s="303">
        <v>45.9</v>
      </c>
      <c r="H65" s="300">
        <f t="shared" si="2"/>
        <v>5.57</v>
      </c>
      <c r="I65" s="300">
        <v>32.08</v>
      </c>
      <c r="J65" s="300">
        <f t="shared" si="3"/>
        <v>21.22</v>
      </c>
      <c r="K65" s="300">
        <v>74.650000000000006</v>
      </c>
      <c r="L65" s="300">
        <f t="shared" si="4"/>
        <v>6.8400000000000034</v>
      </c>
      <c r="M65" s="300">
        <v>33.43</v>
      </c>
      <c r="N65" s="300"/>
      <c r="O65" s="303">
        <f t="shared" si="1"/>
        <v>4.3999999999999995</v>
      </c>
      <c r="P65" s="304">
        <v>4.3999999999999997E-2</v>
      </c>
      <c r="Q65" s="306">
        <v>5</v>
      </c>
      <c r="R65" s="306">
        <v>0.51</v>
      </c>
    </row>
    <row r="66" spans="1:18">
      <c r="A66" s="63" t="s">
        <v>62</v>
      </c>
      <c r="B66" s="310" t="s">
        <v>64</v>
      </c>
      <c r="C66" s="123">
        <v>1</v>
      </c>
      <c r="D66" s="300">
        <v>10</v>
      </c>
      <c r="E66" s="123">
        <v>69</v>
      </c>
      <c r="F66" s="301">
        <f t="shared" si="0"/>
        <v>0.14492753623188406</v>
      </c>
      <c r="G66" s="303">
        <v>34.92</v>
      </c>
      <c r="H66" s="300">
        <f t="shared" si="2"/>
        <v>10.979999999999997</v>
      </c>
      <c r="I66" s="300">
        <v>22.09</v>
      </c>
      <c r="J66" s="300">
        <f t="shared" si="3"/>
        <v>9.9899999999999984</v>
      </c>
      <c r="K66" s="300">
        <v>63.88</v>
      </c>
      <c r="L66" s="300">
        <f t="shared" si="4"/>
        <v>10.770000000000003</v>
      </c>
      <c r="M66" s="300">
        <v>28.93</v>
      </c>
      <c r="N66" s="300">
        <f t="shared" si="5"/>
        <v>4.5</v>
      </c>
      <c r="O66" s="303">
        <f t="shared" si="1"/>
        <v>4.3999999999999995</v>
      </c>
      <c r="P66" s="304">
        <v>4.3999999999999997E-2</v>
      </c>
      <c r="Q66" s="306">
        <v>5</v>
      </c>
      <c r="R66" s="306">
        <v>0.51</v>
      </c>
    </row>
    <row r="67" spans="1:18">
      <c r="A67" s="38" t="s">
        <v>64</v>
      </c>
      <c r="B67" s="310" t="s">
        <v>65</v>
      </c>
      <c r="C67" s="123">
        <v>1</v>
      </c>
      <c r="D67" s="300">
        <v>10</v>
      </c>
      <c r="E67" s="123">
        <v>69</v>
      </c>
      <c r="F67" s="301">
        <f t="shared" ref="F67:F130" si="6">D67/E67</f>
        <v>0.14492753623188406</v>
      </c>
      <c r="G67" s="303">
        <v>28.71</v>
      </c>
      <c r="H67" s="300">
        <f t="shared" si="2"/>
        <v>6.2100000000000009</v>
      </c>
      <c r="I67" s="300">
        <v>16.97</v>
      </c>
      <c r="J67" s="300">
        <f t="shared" si="3"/>
        <v>5.120000000000001</v>
      </c>
      <c r="K67" s="300">
        <v>53.86</v>
      </c>
      <c r="L67" s="300">
        <f t="shared" si="4"/>
        <v>10.020000000000003</v>
      </c>
      <c r="M67" s="300">
        <v>28.93</v>
      </c>
      <c r="N67" s="300"/>
      <c r="O67" s="303">
        <f t="shared" ref="O67:O130" si="7">P67*100</f>
        <v>3.1</v>
      </c>
      <c r="P67" s="304">
        <v>3.1E-2</v>
      </c>
      <c r="Q67" s="306">
        <v>5.75</v>
      </c>
      <c r="R67" s="306">
        <v>0.46</v>
      </c>
    </row>
    <row r="68" spans="1:18">
      <c r="A68" s="38" t="s">
        <v>65</v>
      </c>
      <c r="B68" s="310" t="s">
        <v>66</v>
      </c>
      <c r="C68" s="123">
        <v>1</v>
      </c>
      <c r="D68" s="300">
        <v>10</v>
      </c>
      <c r="E68" s="123">
        <v>69</v>
      </c>
      <c r="F68" s="301">
        <f t="shared" si="6"/>
        <v>0.14492753623188406</v>
      </c>
      <c r="G68" s="303">
        <v>41.35</v>
      </c>
      <c r="H68" s="300">
        <f t="shared" ref="H68:H129" si="8">ABS(G68-G67)</f>
        <v>12.64</v>
      </c>
      <c r="I68" s="300">
        <v>45.17</v>
      </c>
      <c r="J68" s="300">
        <f t="shared" ref="J68:J131" si="9">ABS(I68-I67)</f>
        <v>28.200000000000003</v>
      </c>
      <c r="K68" s="300">
        <v>55.52</v>
      </c>
      <c r="L68" s="300">
        <f t="shared" ref="L68:L131" si="10">ABS(K68-K67)</f>
        <v>1.6600000000000037</v>
      </c>
      <c r="M68" s="300">
        <v>28.93</v>
      </c>
      <c r="N68" s="300"/>
      <c r="O68" s="303">
        <f t="shared" si="7"/>
        <v>3.1</v>
      </c>
      <c r="P68" s="304">
        <v>3.1E-2</v>
      </c>
      <c r="Q68" s="306">
        <v>5.75</v>
      </c>
      <c r="R68" s="306">
        <v>0.46</v>
      </c>
    </row>
    <row r="69" spans="1:18">
      <c r="A69" s="38" t="s">
        <v>66</v>
      </c>
      <c r="B69" s="310" t="s">
        <v>67</v>
      </c>
      <c r="C69" s="123">
        <v>1</v>
      </c>
      <c r="D69" s="300">
        <v>7</v>
      </c>
      <c r="E69" s="123">
        <v>69</v>
      </c>
      <c r="F69" s="301">
        <f t="shared" si="6"/>
        <v>0.10144927536231885</v>
      </c>
      <c r="G69" s="303">
        <v>31.52</v>
      </c>
      <c r="H69" s="300">
        <f t="shared" si="8"/>
        <v>9.8300000000000018</v>
      </c>
      <c r="I69" s="300">
        <v>20.170000000000002</v>
      </c>
      <c r="J69" s="300">
        <f t="shared" si="9"/>
        <v>25</v>
      </c>
      <c r="K69" s="300">
        <v>54.29</v>
      </c>
      <c r="L69" s="300">
        <f t="shared" si="10"/>
        <v>1.230000000000004</v>
      </c>
      <c r="M69" s="300">
        <v>28.93</v>
      </c>
      <c r="N69" s="300"/>
      <c r="O69" s="303">
        <f t="shared" si="7"/>
        <v>3.1</v>
      </c>
      <c r="P69" s="304">
        <v>3.1E-2</v>
      </c>
      <c r="Q69" s="306">
        <v>5.75</v>
      </c>
      <c r="R69" s="306">
        <v>0.46</v>
      </c>
    </row>
    <row r="70" spans="1:18">
      <c r="A70" s="38" t="s">
        <v>67</v>
      </c>
      <c r="B70" s="310" t="s">
        <v>68</v>
      </c>
      <c r="C70" s="123">
        <v>1</v>
      </c>
      <c r="D70" s="300">
        <v>19</v>
      </c>
      <c r="E70" s="123">
        <v>68</v>
      </c>
      <c r="F70" s="301">
        <f t="shared" si="6"/>
        <v>0.27941176470588236</v>
      </c>
      <c r="G70" s="303">
        <v>31.06</v>
      </c>
      <c r="H70" s="300">
        <f t="shared" si="8"/>
        <v>0.46000000000000085</v>
      </c>
      <c r="I70" s="300">
        <v>19.71</v>
      </c>
      <c r="J70" s="300">
        <f t="shared" si="9"/>
        <v>0.46000000000000085</v>
      </c>
      <c r="K70" s="300">
        <v>53.72</v>
      </c>
      <c r="L70" s="300">
        <f t="shared" si="10"/>
        <v>0.57000000000000028</v>
      </c>
      <c r="M70" s="300">
        <v>30.53</v>
      </c>
      <c r="N70" s="300">
        <f t="shared" ref="N70:N131" si="11">ABS(M70-M69)</f>
        <v>1.6000000000000014</v>
      </c>
      <c r="O70" s="303">
        <f t="shared" si="7"/>
        <v>3.1</v>
      </c>
      <c r="P70" s="304">
        <v>3.1E-2</v>
      </c>
      <c r="Q70" s="306">
        <v>5.75</v>
      </c>
      <c r="R70" s="306">
        <v>0.46</v>
      </c>
    </row>
    <row r="71" spans="1:18">
      <c r="A71" s="38" t="s">
        <v>68</v>
      </c>
      <c r="B71" s="310" t="s">
        <v>69</v>
      </c>
      <c r="C71" s="123">
        <v>1</v>
      </c>
      <c r="D71" s="300">
        <v>6</v>
      </c>
      <c r="E71" s="123">
        <v>68</v>
      </c>
      <c r="F71" s="301">
        <f t="shared" si="6"/>
        <v>8.8235294117647065E-2</v>
      </c>
      <c r="G71" s="303">
        <v>43</v>
      </c>
      <c r="H71" s="300">
        <f t="shared" si="8"/>
        <v>11.940000000000001</v>
      </c>
      <c r="I71" s="300">
        <v>53.41</v>
      </c>
      <c r="J71" s="300">
        <f t="shared" si="9"/>
        <v>33.699999999999996</v>
      </c>
      <c r="K71" s="300">
        <v>50.43</v>
      </c>
      <c r="L71" s="300">
        <f t="shared" si="10"/>
        <v>3.2899999999999991</v>
      </c>
      <c r="M71" s="300">
        <v>30.53</v>
      </c>
      <c r="N71" s="300"/>
      <c r="O71" s="303">
        <f t="shared" si="7"/>
        <v>2</v>
      </c>
      <c r="P71" s="304">
        <v>0.02</v>
      </c>
      <c r="Q71" s="306">
        <v>6.25</v>
      </c>
      <c r="R71" s="306">
        <v>0.43</v>
      </c>
    </row>
    <row r="72" spans="1:18">
      <c r="A72" s="38" t="s">
        <v>69</v>
      </c>
      <c r="B72" s="310" t="s">
        <v>70</v>
      </c>
      <c r="C72" s="123">
        <v>1</v>
      </c>
      <c r="D72" s="300">
        <v>11</v>
      </c>
      <c r="E72" s="123">
        <v>68</v>
      </c>
      <c r="F72" s="301">
        <f t="shared" si="6"/>
        <v>0.16176470588235295</v>
      </c>
      <c r="G72" s="303">
        <v>35.78</v>
      </c>
      <c r="H72" s="300">
        <f t="shared" si="8"/>
        <v>7.2199999999999989</v>
      </c>
      <c r="I72" s="300">
        <v>35.94</v>
      </c>
      <c r="J72" s="300">
        <f t="shared" si="9"/>
        <v>17.47</v>
      </c>
      <c r="K72" s="300">
        <v>47.98</v>
      </c>
      <c r="L72" s="300">
        <f t="shared" si="10"/>
        <v>2.4500000000000028</v>
      </c>
      <c r="M72" s="300">
        <v>30.53</v>
      </c>
      <c r="N72" s="300"/>
      <c r="O72" s="303">
        <f t="shared" si="7"/>
        <v>2</v>
      </c>
      <c r="P72" s="304">
        <v>0.02</v>
      </c>
      <c r="Q72" s="306">
        <v>6.25</v>
      </c>
      <c r="R72" s="306">
        <v>0.43</v>
      </c>
    </row>
    <row r="73" spans="1:18">
      <c r="A73" s="38" t="s">
        <v>70</v>
      </c>
      <c r="B73" s="310" t="s">
        <v>71</v>
      </c>
      <c r="C73" s="123">
        <v>1</v>
      </c>
      <c r="D73" s="300">
        <v>5</v>
      </c>
      <c r="E73" s="123">
        <v>68</v>
      </c>
      <c r="F73" s="301">
        <f t="shared" si="6"/>
        <v>7.3529411764705885E-2</v>
      </c>
      <c r="G73" s="303">
        <v>31.39</v>
      </c>
      <c r="H73" s="300">
        <f t="shared" si="8"/>
        <v>4.3900000000000006</v>
      </c>
      <c r="I73" s="300">
        <v>32.83</v>
      </c>
      <c r="J73" s="300">
        <f t="shared" si="9"/>
        <v>3.1099999999999994</v>
      </c>
      <c r="K73" s="300">
        <v>38.72</v>
      </c>
      <c r="L73" s="300">
        <f t="shared" si="10"/>
        <v>9.259999999999998</v>
      </c>
      <c r="M73" s="300">
        <v>30.53</v>
      </c>
      <c r="N73" s="300"/>
      <c r="O73" s="303">
        <f t="shared" si="7"/>
        <v>2</v>
      </c>
      <c r="P73" s="304">
        <v>0.02</v>
      </c>
      <c r="Q73" s="306">
        <v>6.25</v>
      </c>
      <c r="R73" s="306">
        <v>0.43</v>
      </c>
    </row>
    <row r="74" spans="1:18">
      <c r="A74" s="38" t="s">
        <v>71</v>
      </c>
      <c r="B74" s="310" t="s">
        <v>72</v>
      </c>
      <c r="C74" s="123">
        <v>1</v>
      </c>
      <c r="D74" s="300">
        <v>8</v>
      </c>
      <c r="E74" s="123">
        <v>67</v>
      </c>
      <c r="F74" s="301">
        <f t="shared" si="6"/>
        <v>0.11940298507462686</v>
      </c>
      <c r="G74" s="303">
        <v>31.74</v>
      </c>
      <c r="H74" s="300">
        <f t="shared" si="8"/>
        <v>0.34999999999999787</v>
      </c>
      <c r="I74" s="300">
        <v>32.24</v>
      </c>
      <c r="J74" s="300">
        <f t="shared" si="9"/>
        <v>0.58999999999999631</v>
      </c>
      <c r="K74" s="300">
        <v>40.81</v>
      </c>
      <c r="L74" s="300">
        <f t="shared" si="10"/>
        <v>2.0900000000000034</v>
      </c>
      <c r="M74" s="300">
        <v>29.8</v>
      </c>
      <c r="N74" s="300">
        <f t="shared" si="11"/>
        <v>0.73000000000000043</v>
      </c>
      <c r="O74" s="303">
        <f t="shared" si="7"/>
        <v>2</v>
      </c>
      <c r="P74" s="304">
        <v>0.02</v>
      </c>
      <c r="Q74" s="306">
        <v>6.25</v>
      </c>
      <c r="R74" s="306">
        <v>0.43</v>
      </c>
    </row>
    <row r="75" spans="1:18">
      <c r="A75" s="38" t="s">
        <v>72</v>
      </c>
      <c r="B75" s="310" t="s">
        <v>73</v>
      </c>
      <c r="C75" s="123">
        <v>1</v>
      </c>
      <c r="D75" s="300">
        <v>10</v>
      </c>
      <c r="E75" s="123">
        <v>67</v>
      </c>
      <c r="F75" s="301">
        <f t="shared" si="6"/>
        <v>0.14925373134328357</v>
      </c>
      <c r="G75" s="303">
        <v>30.38</v>
      </c>
      <c r="H75" s="300">
        <f t="shared" si="8"/>
        <v>1.3599999999999994</v>
      </c>
      <c r="I75" s="300">
        <v>35.17</v>
      </c>
      <c r="J75" s="300">
        <f t="shared" si="9"/>
        <v>2.9299999999999997</v>
      </c>
      <c r="K75" s="300">
        <v>33.99</v>
      </c>
      <c r="L75" s="300">
        <f t="shared" si="10"/>
        <v>6.82</v>
      </c>
      <c r="M75" s="300">
        <v>29.8</v>
      </c>
      <c r="N75" s="300"/>
      <c r="O75" s="303">
        <f t="shared" si="7"/>
        <v>2.2999999999999998</v>
      </c>
      <c r="P75" s="304">
        <v>2.3E-2</v>
      </c>
      <c r="Q75" s="306">
        <v>5.69</v>
      </c>
      <c r="R75" s="306">
        <v>0.42</v>
      </c>
    </row>
    <row r="76" spans="1:18">
      <c r="A76" s="38" t="s">
        <v>73</v>
      </c>
      <c r="B76" s="310" t="s">
        <v>74</v>
      </c>
      <c r="C76" s="123">
        <v>1</v>
      </c>
      <c r="D76" s="300">
        <v>7</v>
      </c>
      <c r="E76" s="123">
        <v>67</v>
      </c>
      <c r="F76" s="301">
        <f t="shared" si="6"/>
        <v>0.1044776119402985</v>
      </c>
      <c r="G76" s="303">
        <v>35.74</v>
      </c>
      <c r="H76" s="300">
        <f t="shared" si="8"/>
        <v>5.360000000000003</v>
      </c>
      <c r="I76" s="300">
        <v>51.23</v>
      </c>
      <c r="J76" s="300">
        <f t="shared" si="9"/>
        <v>16.059999999999995</v>
      </c>
      <c r="K76" s="300">
        <v>34.25</v>
      </c>
      <c r="L76" s="300">
        <f t="shared" si="10"/>
        <v>0.25999999999999801</v>
      </c>
      <c r="M76" s="300">
        <v>29.8</v>
      </c>
      <c r="N76" s="300"/>
      <c r="O76" s="303">
        <f t="shared" si="7"/>
        <v>2.2999999999999998</v>
      </c>
      <c r="P76" s="304">
        <v>2.3E-2</v>
      </c>
      <c r="Q76" s="306">
        <v>5.69</v>
      </c>
      <c r="R76" s="306">
        <v>0.42</v>
      </c>
    </row>
    <row r="77" spans="1:18">
      <c r="A77" s="38" t="s">
        <v>74</v>
      </c>
      <c r="B77" s="310" t="s">
        <v>843</v>
      </c>
      <c r="C77" s="123">
        <v>1</v>
      </c>
      <c r="D77" s="300">
        <v>10</v>
      </c>
      <c r="E77" s="123">
        <v>67</v>
      </c>
      <c r="F77" s="301">
        <f t="shared" si="6"/>
        <v>0.14925373134328357</v>
      </c>
      <c r="G77" s="303">
        <v>33.15</v>
      </c>
      <c r="H77" s="300">
        <f t="shared" si="8"/>
        <v>2.5900000000000034</v>
      </c>
      <c r="I77" s="300">
        <v>38.89</v>
      </c>
      <c r="J77" s="300">
        <f t="shared" si="9"/>
        <v>12.339999999999996</v>
      </c>
      <c r="K77" s="300">
        <v>38.119999999999997</v>
      </c>
      <c r="L77" s="300">
        <f t="shared" si="10"/>
        <v>3.8699999999999974</v>
      </c>
      <c r="M77" s="300">
        <v>29.8</v>
      </c>
      <c r="N77" s="300"/>
      <c r="O77" s="303">
        <f t="shared" si="7"/>
        <v>2.2999999999999998</v>
      </c>
      <c r="P77" s="304">
        <v>2.3E-2</v>
      </c>
      <c r="Q77" s="306">
        <v>5.69</v>
      </c>
      <c r="R77" s="306">
        <v>0.42</v>
      </c>
    </row>
    <row r="78" spans="1:18" s="314" customFormat="1">
      <c r="A78" s="314" t="s">
        <v>75</v>
      </c>
      <c r="B78" s="296" t="s">
        <v>76</v>
      </c>
      <c r="C78" s="165">
        <v>0</v>
      </c>
      <c r="D78" s="165">
        <v>0</v>
      </c>
      <c r="E78" s="165">
        <v>46</v>
      </c>
      <c r="F78" s="297">
        <f t="shared" si="6"/>
        <v>0</v>
      </c>
      <c r="G78" s="163">
        <v>13.97</v>
      </c>
      <c r="H78" s="165"/>
      <c r="I78" s="165">
        <v>23.22</v>
      </c>
      <c r="J78" s="165"/>
      <c r="K78" s="165">
        <v>32.51</v>
      </c>
      <c r="L78" s="165"/>
      <c r="M78" s="165">
        <v>6.53</v>
      </c>
      <c r="N78" s="165"/>
      <c r="O78" s="163">
        <f t="shared" si="7"/>
        <v>4.9000000000000004</v>
      </c>
      <c r="P78" s="299">
        <v>4.9000000000000002E-2</v>
      </c>
      <c r="Q78" s="168">
        <v>5.8</v>
      </c>
      <c r="R78" s="170">
        <v>0.2</v>
      </c>
    </row>
    <row r="79" spans="1:18">
      <c r="A79" s="63" t="s">
        <v>76</v>
      </c>
      <c r="B79" s="145" t="s">
        <v>77</v>
      </c>
      <c r="C79" s="123">
        <v>1</v>
      </c>
      <c r="D79" s="300">
        <v>1</v>
      </c>
      <c r="E79" s="123">
        <v>46</v>
      </c>
      <c r="F79" s="301">
        <f t="shared" si="6"/>
        <v>2.1739130434782608E-2</v>
      </c>
      <c r="G79" s="303">
        <v>9.44</v>
      </c>
      <c r="H79" s="300">
        <f t="shared" si="8"/>
        <v>4.5300000000000011</v>
      </c>
      <c r="I79" s="300">
        <v>28.75</v>
      </c>
      <c r="J79" s="300">
        <f t="shared" si="9"/>
        <v>5.5300000000000011</v>
      </c>
      <c r="K79" s="300">
        <v>13.64</v>
      </c>
      <c r="L79" s="300">
        <f t="shared" si="10"/>
        <v>18.869999999999997</v>
      </c>
      <c r="M79" s="300">
        <v>6.53</v>
      </c>
      <c r="N79" s="300"/>
      <c r="O79" s="303">
        <f t="shared" si="7"/>
        <v>4.9000000000000004</v>
      </c>
      <c r="P79" s="304">
        <v>4.9000000000000002E-2</v>
      </c>
      <c r="Q79" s="305">
        <v>5.8</v>
      </c>
      <c r="R79" s="306">
        <v>0.2</v>
      </c>
    </row>
    <row r="80" spans="1:18">
      <c r="A80" s="63" t="s">
        <v>77</v>
      </c>
      <c r="B80" s="145" t="s">
        <v>78</v>
      </c>
      <c r="C80" s="123">
        <v>1</v>
      </c>
      <c r="D80" s="300">
        <v>1</v>
      </c>
      <c r="E80" s="123">
        <v>46</v>
      </c>
      <c r="F80" s="301">
        <f t="shared" si="6"/>
        <v>2.1739130434782608E-2</v>
      </c>
      <c r="G80" s="303">
        <v>19.28</v>
      </c>
      <c r="H80" s="300">
        <f t="shared" si="8"/>
        <v>9.8400000000000016</v>
      </c>
      <c r="I80" s="300">
        <v>42.11</v>
      </c>
      <c r="J80" s="300">
        <f t="shared" si="9"/>
        <v>13.36</v>
      </c>
      <c r="K80" s="300">
        <v>30.85</v>
      </c>
      <c r="L80" s="300">
        <f t="shared" si="10"/>
        <v>17.21</v>
      </c>
      <c r="M80" s="300">
        <v>6.53</v>
      </c>
      <c r="N80" s="300"/>
      <c r="O80" s="303">
        <f t="shared" si="7"/>
        <v>4.9000000000000004</v>
      </c>
      <c r="P80" s="304">
        <v>4.9000000000000002E-2</v>
      </c>
      <c r="Q80" s="305">
        <v>5.8</v>
      </c>
      <c r="R80" s="306">
        <v>0.2</v>
      </c>
    </row>
    <row r="81" spans="1:18">
      <c r="A81" s="63" t="s">
        <v>78</v>
      </c>
      <c r="B81" s="145" t="s">
        <v>79</v>
      </c>
      <c r="C81" s="123">
        <v>0</v>
      </c>
      <c r="D81" s="300">
        <v>0</v>
      </c>
      <c r="E81" s="123">
        <v>49</v>
      </c>
      <c r="F81" s="301">
        <f t="shared" si="6"/>
        <v>0</v>
      </c>
      <c r="G81" s="303">
        <v>18.91</v>
      </c>
      <c r="H81" s="300">
        <f t="shared" si="8"/>
        <v>0.37000000000000099</v>
      </c>
      <c r="I81" s="300">
        <v>50.66</v>
      </c>
      <c r="J81" s="300">
        <f t="shared" si="9"/>
        <v>8.5499999999999972</v>
      </c>
      <c r="K81" s="300">
        <v>25.41</v>
      </c>
      <c r="L81" s="300">
        <f t="shared" si="10"/>
        <v>5.4400000000000013</v>
      </c>
      <c r="M81" s="300">
        <v>6.53</v>
      </c>
      <c r="N81" s="300"/>
      <c r="O81" s="303">
        <f t="shared" si="7"/>
        <v>4.9000000000000004</v>
      </c>
      <c r="P81" s="304">
        <v>4.9000000000000002E-2</v>
      </c>
      <c r="Q81" s="305">
        <v>5.8</v>
      </c>
      <c r="R81" s="306">
        <v>0.2</v>
      </c>
    </row>
    <row r="82" spans="1:18">
      <c r="A82" s="63" t="s">
        <v>79</v>
      </c>
      <c r="B82" s="145" t="s">
        <v>80</v>
      </c>
      <c r="C82" s="123">
        <v>1</v>
      </c>
      <c r="D82" s="300">
        <v>1</v>
      </c>
      <c r="E82" s="123">
        <v>49</v>
      </c>
      <c r="F82" s="301">
        <f t="shared" si="6"/>
        <v>2.0408163265306121E-2</v>
      </c>
      <c r="G82" s="303">
        <v>13.76</v>
      </c>
      <c r="H82" s="300">
        <f t="shared" si="8"/>
        <v>5.15</v>
      </c>
      <c r="I82" s="300">
        <v>45.69</v>
      </c>
      <c r="J82" s="300">
        <f t="shared" si="9"/>
        <v>4.9699999999999989</v>
      </c>
      <c r="K82" s="300">
        <v>13.92</v>
      </c>
      <c r="L82" s="300">
        <f t="shared" si="10"/>
        <v>11.49</v>
      </c>
      <c r="M82" s="300">
        <v>6.53</v>
      </c>
      <c r="N82" s="300"/>
      <c r="O82" s="303">
        <f t="shared" si="7"/>
        <v>4</v>
      </c>
      <c r="P82" s="304">
        <v>0.04</v>
      </c>
      <c r="Q82" s="306">
        <v>5</v>
      </c>
      <c r="R82" s="306">
        <v>0.21</v>
      </c>
    </row>
    <row r="83" spans="1:18">
      <c r="A83" s="63" t="s">
        <v>80</v>
      </c>
      <c r="B83" s="145" t="s">
        <v>81</v>
      </c>
      <c r="C83" s="123">
        <v>1</v>
      </c>
      <c r="D83" s="300">
        <v>4</v>
      </c>
      <c r="E83" s="123">
        <v>49</v>
      </c>
      <c r="F83" s="301">
        <f t="shared" si="6"/>
        <v>8.1632653061224483E-2</v>
      </c>
      <c r="G83" s="303">
        <v>19.22</v>
      </c>
      <c r="H83" s="300">
        <f t="shared" si="8"/>
        <v>5.4599999999999991</v>
      </c>
      <c r="I83" s="300">
        <v>43.15</v>
      </c>
      <c r="J83" s="300">
        <f t="shared" si="9"/>
        <v>2.5399999999999991</v>
      </c>
      <c r="K83" s="300">
        <v>32.31</v>
      </c>
      <c r="L83" s="300">
        <f t="shared" si="10"/>
        <v>18.39</v>
      </c>
      <c r="M83" s="300">
        <v>6.53</v>
      </c>
      <c r="N83" s="300"/>
      <c r="O83" s="303">
        <f t="shared" si="7"/>
        <v>4</v>
      </c>
      <c r="P83" s="304">
        <v>0.04</v>
      </c>
      <c r="Q83" s="306">
        <v>5</v>
      </c>
      <c r="R83" s="306">
        <v>0.21</v>
      </c>
    </row>
    <row r="84" spans="1:18">
      <c r="A84" s="63" t="s">
        <v>81</v>
      </c>
      <c r="B84" s="145" t="s">
        <v>82</v>
      </c>
      <c r="C84" s="123">
        <v>1</v>
      </c>
      <c r="D84" s="300">
        <v>3</v>
      </c>
      <c r="E84" s="123">
        <v>49</v>
      </c>
      <c r="F84" s="301">
        <f t="shared" si="6"/>
        <v>6.1224489795918366E-2</v>
      </c>
      <c r="G84" s="303">
        <v>17.05</v>
      </c>
      <c r="H84" s="300">
        <f t="shared" si="8"/>
        <v>2.1699999999999982</v>
      </c>
      <c r="I84" s="300">
        <v>40.270000000000003</v>
      </c>
      <c r="J84" s="300">
        <f t="shared" si="9"/>
        <v>2.8799999999999955</v>
      </c>
      <c r="K84" s="300">
        <v>29.76</v>
      </c>
      <c r="L84" s="300">
        <f t="shared" si="10"/>
        <v>2.5500000000000007</v>
      </c>
      <c r="M84" s="300">
        <v>6.53</v>
      </c>
      <c r="N84" s="300"/>
      <c r="O84" s="303">
        <f t="shared" si="7"/>
        <v>4</v>
      </c>
      <c r="P84" s="304">
        <v>0.04</v>
      </c>
      <c r="Q84" s="306">
        <v>5</v>
      </c>
      <c r="R84" s="306">
        <v>0.21</v>
      </c>
    </row>
    <row r="85" spans="1:18">
      <c r="A85" s="63" t="s">
        <v>82</v>
      </c>
      <c r="B85" s="310" t="s">
        <v>83</v>
      </c>
      <c r="C85" s="123">
        <v>0</v>
      </c>
      <c r="D85" s="300">
        <v>0</v>
      </c>
      <c r="E85" s="123">
        <v>50</v>
      </c>
      <c r="F85" s="301">
        <f t="shared" si="6"/>
        <v>0</v>
      </c>
      <c r="G85" s="303">
        <v>12.74</v>
      </c>
      <c r="H85" s="300">
        <f t="shared" si="8"/>
        <v>4.3100000000000005</v>
      </c>
      <c r="I85" s="300">
        <v>46.24</v>
      </c>
      <c r="J85" s="300">
        <f t="shared" si="9"/>
        <v>5.9699999999999989</v>
      </c>
      <c r="K85" s="300">
        <v>8.36</v>
      </c>
      <c r="L85" s="300">
        <f t="shared" si="10"/>
        <v>21.400000000000002</v>
      </c>
      <c r="M85" s="300">
        <v>6.46</v>
      </c>
      <c r="N85" s="300">
        <f t="shared" si="11"/>
        <v>7.0000000000000284E-2</v>
      </c>
      <c r="O85" s="303">
        <f t="shared" si="7"/>
        <v>4</v>
      </c>
      <c r="P85" s="304">
        <v>0.04</v>
      </c>
      <c r="Q85" s="306">
        <v>5</v>
      </c>
      <c r="R85" s="306">
        <v>0.21</v>
      </c>
    </row>
    <row r="86" spans="1:18">
      <c r="A86" s="38" t="s">
        <v>83</v>
      </c>
      <c r="B86" s="310" t="s">
        <v>84</v>
      </c>
      <c r="C86" s="123">
        <v>0</v>
      </c>
      <c r="D86" s="300">
        <v>0</v>
      </c>
      <c r="E86" s="123">
        <v>50</v>
      </c>
      <c r="F86" s="301">
        <f t="shared" si="6"/>
        <v>0</v>
      </c>
      <c r="G86" s="303">
        <v>12.69</v>
      </c>
      <c r="H86" s="300">
        <f t="shared" si="8"/>
        <v>5.0000000000000711E-2</v>
      </c>
      <c r="I86" s="300">
        <v>35.590000000000003</v>
      </c>
      <c r="J86" s="300">
        <f t="shared" si="9"/>
        <v>10.649999999999999</v>
      </c>
      <c r="K86" s="300">
        <v>13.46</v>
      </c>
      <c r="L86" s="300">
        <f t="shared" si="10"/>
        <v>5.1000000000000014</v>
      </c>
      <c r="M86" s="300">
        <v>6.46</v>
      </c>
      <c r="N86" s="300"/>
      <c r="O86" s="303">
        <f t="shared" si="7"/>
        <v>0.2</v>
      </c>
      <c r="P86" s="304">
        <v>2E-3</v>
      </c>
      <c r="Q86" s="306">
        <v>5.75</v>
      </c>
      <c r="R86" s="306">
        <v>0.19</v>
      </c>
    </row>
    <row r="87" spans="1:18">
      <c r="A87" s="38" t="s">
        <v>84</v>
      </c>
      <c r="B87" s="310" t="s">
        <v>85</v>
      </c>
      <c r="C87" s="123">
        <v>1</v>
      </c>
      <c r="D87" s="300">
        <v>2</v>
      </c>
      <c r="E87" s="123">
        <v>50</v>
      </c>
      <c r="F87" s="301">
        <f t="shared" si="6"/>
        <v>0.04</v>
      </c>
      <c r="G87" s="303">
        <v>12.75</v>
      </c>
      <c r="H87" s="300">
        <f t="shared" si="8"/>
        <v>6.0000000000000497E-2</v>
      </c>
      <c r="I87" s="300">
        <v>34.380000000000003</v>
      </c>
      <c r="J87" s="300">
        <f t="shared" si="9"/>
        <v>1.2100000000000009</v>
      </c>
      <c r="K87" s="300">
        <v>18.07</v>
      </c>
      <c r="L87" s="300">
        <f t="shared" si="10"/>
        <v>4.6099999999999994</v>
      </c>
      <c r="M87" s="300">
        <v>6.46</v>
      </c>
      <c r="N87" s="300"/>
      <c r="O87" s="303">
        <f t="shared" si="7"/>
        <v>0.2</v>
      </c>
      <c r="P87" s="304">
        <v>2E-3</v>
      </c>
      <c r="Q87" s="306">
        <v>5.75</v>
      </c>
      <c r="R87" s="306">
        <v>0.19</v>
      </c>
    </row>
    <row r="88" spans="1:18">
      <c r="A88" s="38" t="s">
        <v>85</v>
      </c>
      <c r="B88" s="310" t="s">
        <v>86</v>
      </c>
      <c r="C88" s="123">
        <v>1</v>
      </c>
      <c r="D88" s="300">
        <v>1</v>
      </c>
      <c r="E88" s="123">
        <v>50</v>
      </c>
      <c r="F88" s="301">
        <f t="shared" si="6"/>
        <v>0.02</v>
      </c>
      <c r="G88" s="303">
        <v>9.73</v>
      </c>
      <c r="H88" s="300">
        <f t="shared" si="8"/>
        <v>3.0199999999999996</v>
      </c>
      <c r="I88" s="300">
        <v>44.05</v>
      </c>
      <c r="J88" s="300">
        <f t="shared" si="9"/>
        <v>9.6699999999999946</v>
      </c>
      <c r="K88" s="300">
        <v>5.41</v>
      </c>
      <c r="L88" s="300">
        <f t="shared" si="10"/>
        <v>12.66</v>
      </c>
      <c r="M88" s="300">
        <v>6.46</v>
      </c>
      <c r="N88" s="300"/>
      <c r="O88" s="303">
        <f t="shared" si="7"/>
        <v>0.2</v>
      </c>
      <c r="P88" s="304">
        <v>2E-3</v>
      </c>
      <c r="Q88" s="306">
        <v>5.75</v>
      </c>
      <c r="R88" s="306">
        <v>0.19</v>
      </c>
    </row>
    <row r="89" spans="1:18">
      <c r="A89" s="38" t="s">
        <v>86</v>
      </c>
      <c r="B89" s="310" t="s">
        <v>87</v>
      </c>
      <c r="C89" s="123">
        <v>1</v>
      </c>
      <c r="D89" s="300">
        <v>2</v>
      </c>
      <c r="E89" s="123">
        <v>52</v>
      </c>
      <c r="F89" s="301">
        <f t="shared" si="6"/>
        <v>3.8461538461538464E-2</v>
      </c>
      <c r="G89" s="303">
        <v>8.09</v>
      </c>
      <c r="H89" s="300">
        <f t="shared" si="8"/>
        <v>1.6400000000000006</v>
      </c>
      <c r="I89" s="300">
        <v>31.46</v>
      </c>
      <c r="J89" s="300">
        <f t="shared" si="9"/>
        <v>12.589999999999996</v>
      </c>
      <c r="K89" s="300">
        <v>4.5199999999999996</v>
      </c>
      <c r="L89" s="300">
        <f t="shared" si="10"/>
        <v>0.89000000000000057</v>
      </c>
      <c r="M89" s="300">
        <v>6.82</v>
      </c>
      <c r="N89" s="300">
        <f t="shared" si="11"/>
        <v>0.36000000000000032</v>
      </c>
      <c r="O89" s="303">
        <f t="shared" si="7"/>
        <v>0.2</v>
      </c>
      <c r="P89" s="304">
        <v>2E-3</v>
      </c>
      <c r="Q89" s="306">
        <v>5.75</v>
      </c>
      <c r="R89" s="306">
        <v>0.19</v>
      </c>
    </row>
    <row r="90" spans="1:18">
      <c r="A90" s="38" t="s">
        <v>87</v>
      </c>
      <c r="B90" s="310" t="s">
        <v>88</v>
      </c>
      <c r="C90" s="123">
        <v>1</v>
      </c>
      <c r="D90" s="300">
        <v>1</v>
      </c>
      <c r="E90" s="123">
        <v>52</v>
      </c>
      <c r="F90" s="301">
        <f t="shared" si="6"/>
        <v>1.9230769230769232E-2</v>
      </c>
      <c r="G90" s="303">
        <v>7.99</v>
      </c>
      <c r="H90" s="300">
        <f t="shared" si="8"/>
        <v>9.9999999999999645E-2</v>
      </c>
      <c r="I90" s="300">
        <v>29.73</v>
      </c>
      <c r="J90" s="300">
        <f t="shared" si="9"/>
        <v>1.7300000000000004</v>
      </c>
      <c r="K90" s="300">
        <v>7.12</v>
      </c>
      <c r="L90" s="300">
        <f t="shared" si="10"/>
        <v>2.6000000000000005</v>
      </c>
      <c r="M90" s="300">
        <v>6.82</v>
      </c>
      <c r="N90" s="300"/>
      <c r="O90" s="303">
        <f t="shared" si="7"/>
        <v>-2.1999999999999997</v>
      </c>
      <c r="P90" s="304">
        <v>-2.1999999999999999E-2</v>
      </c>
      <c r="Q90" s="306">
        <v>6.25</v>
      </c>
      <c r="R90" s="306">
        <v>0.17</v>
      </c>
    </row>
    <row r="91" spans="1:18">
      <c r="A91" s="38" t="s">
        <v>88</v>
      </c>
      <c r="B91" s="310" t="s">
        <v>89</v>
      </c>
      <c r="C91" s="123">
        <v>1</v>
      </c>
      <c r="D91" s="300">
        <v>2</v>
      </c>
      <c r="E91" s="123">
        <v>52</v>
      </c>
      <c r="F91" s="301">
        <f t="shared" si="6"/>
        <v>3.8461538461538464E-2</v>
      </c>
      <c r="G91" s="303">
        <v>11.56</v>
      </c>
      <c r="H91" s="300">
        <f t="shared" si="8"/>
        <v>3.5700000000000003</v>
      </c>
      <c r="I91" s="300">
        <v>32.729999999999997</v>
      </c>
      <c r="J91" s="300">
        <f t="shared" si="9"/>
        <v>2.9999999999999964</v>
      </c>
      <c r="K91" s="300">
        <v>15.25</v>
      </c>
      <c r="L91" s="300">
        <f t="shared" si="10"/>
        <v>8.129999999999999</v>
      </c>
      <c r="M91" s="300">
        <v>6.82</v>
      </c>
      <c r="N91" s="300"/>
      <c r="O91" s="303">
        <f t="shared" si="7"/>
        <v>-2.1999999999999997</v>
      </c>
      <c r="P91" s="304">
        <v>-2.1999999999999999E-2</v>
      </c>
      <c r="Q91" s="306">
        <v>6.25</v>
      </c>
      <c r="R91" s="306">
        <v>0.17</v>
      </c>
    </row>
    <row r="92" spans="1:18">
      <c r="A92" s="38" t="s">
        <v>89</v>
      </c>
      <c r="B92" s="310" t="s">
        <v>90</v>
      </c>
      <c r="C92" s="123">
        <v>1</v>
      </c>
      <c r="D92" s="300">
        <v>3</v>
      </c>
      <c r="E92" s="123">
        <v>52</v>
      </c>
      <c r="F92" s="301">
        <f t="shared" si="6"/>
        <v>5.7692307692307696E-2</v>
      </c>
      <c r="G92" s="303">
        <v>9.7100000000000009</v>
      </c>
      <c r="H92" s="300">
        <f t="shared" si="8"/>
        <v>1.8499999999999996</v>
      </c>
      <c r="I92" s="300">
        <v>22.85</v>
      </c>
      <c r="J92" s="300">
        <f t="shared" si="9"/>
        <v>9.8799999999999955</v>
      </c>
      <c r="K92" s="300">
        <v>14.48</v>
      </c>
      <c r="L92" s="300">
        <f t="shared" si="10"/>
        <v>0.76999999999999957</v>
      </c>
      <c r="M92" s="300">
        <v>6.82</v>
      </c>
      <c r="N92" s="300"/>
      <c r="O92" s="303">
        <f t="shared" si="7"/>
        <v>-2.1999999999999997</v>
      </c>
      <c r="P92" s="304">
        <v>-2.1999999999999999E-2</v>
      </c>
      <c r="Q92" s="306">
        <v>6.25</v>
      </c>
      <c r="R92" s="306">
        <v>0.17</v>
      </c>
    </row>
    <row r="93" spans="1:18">
      <c r="A93" s="38" t="s">
        <v>90</v>
      </c>
      <c r="B93" s="310" t="s">
        <v>91</v>
      </c>
      <c r="C93" s="123">
        <v>1</v>
      </c>
      <c r="D93" s="300">
        <v>1</v>
      </c>
      <c r="E93" s="121">
        <v>52</v>
      </c>
      <c r="F93" s="301">
        <f t="shared" si="6"/>
        <v>1.9230769230769232E-2</v>
      </c>
      <c r="G93" s="303">
        <v>9.1999999999999993</v>
      </c>
      <c r="H93" s="300">
        <f t="shared" si="8"/>
        <v>0.51000000000000156</v>
      </c>
      <c r="I93" s="300">
        <v>31.76</v>
      </c>
      <c r="J93" s="300">
        <f t="shared" si="9"/>
        <v>8.91</v>
      </c>
      <c r="K93" s="300">
        <v>7.19</v>
      </c>
      <c r="L93" s="300">
        <f t="shared" si="10"/>
        <v>7.29</v>
      </c>
      <c r="M93" s="300">
        <v>7.21</v>
      </c>
      <c r="N93" s="300">
        <f t="shared" si="11"/>
        <v>0.38999999999999968</v>
      </c>
      <c r="O93" s="303">
        <f t="shared" si="7"/>
        <v>-2.1999999999999997</v>
      </c>
      <c r="P93" s="304">
        <v>-2.1999999999999999E-2</v>
      </c>
      <c r="Q93" s="306">
        <v>6.25</v>
      </c>
      <c r="R93" s="306">
        <v>0.17</v>
      </c>
    </row>
    <row r="94" spans="1:18">
      <c r="A94" s="38" t="s">
        <v>91</v>
      </c>
      <c r="B94" s="310" t="s">
        <v>92</v>
      </c>
      <c r="C94" s="123">
        <v>1</v>
      </c>
      <c r="D94" s="300">
        <v>1</v>
      </c>
      <c r="E94" s="121">
        <v>52</v>
      </c>
      <c r="F94" s="301">
        <f t="shared" si="6"/>
        <v>1.9230769230769232E-2</v>
      </c>
      <c r="G94" s="303">
        <v>11.61</v>
      </c>
      <c r="H94" s="300">
        <f t="shared" si="8"/>
        <v>2.41</v>
      </c>
      <c r="I94" s="300">
        <v>48.61</v>
      </c>
      <c r="J94" s="300">
        <f t="shared" si="9"/>
        <v>16.849999999999998</v>
      </c>
      <c r="K94" s="300">
        <v>6.47</v>
      </c>
      <c r="L94" s="300">
        <f t="shared" si="10"/>
        <v>0.72000000000000064</v>
      </c>
      <c r="M94" s="300">
        <v>7.21</v>
      </c>
      <c r="N94" s="300"/>
      <c r="O94" s="303">
        <f t="shared" si="7"/>
        <v>-1.6</v>
      </c>
      <c r="P94" s="304">
        <v>-1.6E-2</v>
      </c>
      <c r="Q94" s="306">
        <v>5.69</v>
      </c>
      <c r="R94" s="306">
        <v>0.18</v>
      </c>
    </row>
    <row r="95" spans="1:18">
      <c r="A95" s="38" t="s">
        <v>92</v>
      </c>
      <c r="B95" s="310" t="s">
        <v>93</v>
      </c>
      <c r="C95" s="123">
        <v>0</v>
      </c>
      <c r="D95" s="300">
        <v>0</v>
      </c>
      <c r="E95" s="121">
        <v>52</v>
      </c>
      <c r="F95" s="301">
        <f t="shared" si="6"/>
        <v>0</v>
      </c>
      <c r="G95" s="303">
        <v>17.98</v>
      </c>
      <c r="H95" s="300">
        <f t="shared" si="8"/>
        <v>6.370000000000001</v>
      </c>
      <c r="I95" s="300">
        <v>51.35</v>
      </c>
      <c r="J95" s="300">
        <f t="shared" si="9"/>
        <v>2.740000000000002</v>
      </c>
      <c r="K95" s="300">
        <v>19.940000000000001</v>
      </c>
      <c r="L95" s="300">
        <f t="shared" si="10"/>
        <v>13.470000000000002</v>
      </c>
      <c r="M95" s="300">
        <v>7.21</v>
      </c>
      <c r="N95" s="300"/>
      <c r="O95" s="303">
        <f t="shared" si="7"/>
        <v>-1.6</v>
      </c>
      <c r="P95" s="304">
        <v>-1.6E-2</v>
      </c>
      <c r="Q95" s="306">
        <v>5.69</v>
      </c>
      <c r="R95" s="306">
        <v>0.18</v>
      </c>
    </row>
    <row r="96" spans="1:18">
      <c r="A96" s="38" t="s">
        <v>93</v>
      </c>
      <c r="B96" s="310" t="s">
        <v>844</v>
      </c>
      <c r="C96" s="123">
        <v>1</v>
      </c>
      <c r="D96" s="300">
        <v>1</v>
      </c>
      <c r="E96" s="121">
        <v>52</v>
      </c>
      <c r="F96" s="301">
        <f t="shared" si="6"/>
        <v>1.9230769230769232E-2</v>
      </c>
      <c r="G96" s="303">
        <v>12.44</v>
      </c>
      <c r="H96" s="300">
        <f t="shared" si="8"/>
        <v>5.5400000000000009</v>
      </c>
      <c r="I96" s="300">
        <v>55.37</v>
      </c>
      <c r="J96" s="300">
        <f t="shared" si="9"/>
        <v>4.019999999999996</v>
      </c>
      <c r="K96" s="300">
        <v>6.27</v>
      </c>
      <c r="L96" s="300">
        <f t="shared" si="10"/>
        <v>13.670000000000002</v>
      </c>
      <c r="M96" s="300">
        <v>7.21</v>
      </c>
      <c r="N96" s="300"/>
      <c r="O96" s="303">
        <f t="shared" si="7"/>
        <v>-1.6</v>
      </c>
      <c r="P96" s="304">
        <v>-1.6E-2</v>
      </c>
      <c r="Q96" s="306">
        <v>5.69</v>
      </c>
      <c r="R96" s="306">
        <v>0.18</v>
      </c>
    </row>
    <row r="97" spans="1:18" s="84" customFormat="1">
      <c r="A97" s="84" t="s">
        <v>94</v>
      </c>
      <c r="B97" s="307" t="s">
        <v>95</v>
      </c>
      <c r="C97" s="184">
        <v>1</v>
      </c>
      <c r="D97" s="184">
        <v>23</v>
      </c>
      <c r="E97" s="184">
        <v>138</v>
      </c>
      <c r="F97" s="308">
        <f t="shared" si="6"/>
        <v>0.16666666666666666</v>
      </c>
      <c r="G97" s="182">
        <v>61.99</v>
      </c>
      <c r="H97" s="184"/>
      <c r="I97" s="184">
        <v>61.25</v>
      </c>
      <c r="J97" s="184"/>
      <c r="K97" s="184">
        <v>77.8</v>
      </c>
      <c r="L97" s="184"/>
      <c r="M97" s="184">
        <v>39.020000000000003</v>
      </c>
      <c r="N97" s="184"/>
      <c r="O97" s="182">
        <f t="shared" si="7"/>
        <v>1.4000000000000001</v>
      </c>
      <c r="P97" s="312">
        <v>1.4E-2</v>
      </c>
      <c r="Q97" s="187">
        <v>5.8</v>
      </c>
      <c r="R97" s="189">
        <v>2.91</v>
      </c>
    </row>
    <row r="98" spans="1:18">
      <c r="A98" s="63" t="s">
        <v>95</v>
      </c>
      <c r="B98" s="145" t="s">
        <v>96</v>
      </c>
      <c r="C98" s="123">
        <v>1</v>
      </c>
      <c r="D98" s="300">
        <v>19</v>
      </c>
      <c r="E98" s="123">
        <v>138</v>
      </c>
      <c r="F98" s="301">
        <f t="shared" si="6"/>
        <v>0.13768115942028986</v>
      </c>
      <c r="G98" s="303">
        <v>49.44</v>
      </c>
      <c r="H98" s="300">
        <f t="shared" si="8"/>
        <v>12.550000000000004</v>
      </c>
      <c r="I98" s="300">
        <v>32.67</v>
      </c>
      <c r="J98" s="300">
        <f t="shared" si="9"/>
        <v>28.58</v>
      </c>
      <c r="K98" s="300">
        <v>75.099999999999994</v>
      </c>
      <c r="L98" s="300">
        <f t="shared" si="10"/>
        <v>2.7000000000000028</v>
      </c>
      <c r="M98" s="300">
        <v>39.020000000000003</v>
      </c>
      <c r="N98" s="300"/>
      <c r="O98" s="303">
        <f t="shared" si="7"/>
        <v>1.4000000000000001</v>
      </c>
      <c r="P98" s="311">
        <v>1.4E-2</v>
      </c>
      <c r="Q98" s="305">
        <v>5.8</v>
      </c>
      <c r="R98" s="306">
        <v>2.91</v>
      </c>
    </row>
    <row r="99" spans="1:18">
      <c r="A99" s="63" t="s">
        <v>96</v>
      </c>
      <c r="B99" s="145" t="s">
        <v>97</v>
      </c>
      <c r="C99" s="123">
        <v>1</v>
      </c>
      <c r="D99" s="300">
        <v>31</v>
      </c>
      <c r="E99" s="123">
        <v>138</v>
      </c>
      <c r="F99" s="301">
        <f t="shared" si="6"/>
        <v>0.22463768115942029</v>
      </c>
      <c r="G99" s="303">
        <v>46.97</v>
      </c>
      <c r="H99" s="300">
        <f t="shared" si="8"/>
        <v>2.4699999999999989</v>
      </c>
      <c r="I99" s="300">
        <v>30.92</v>
      </c>
      <c r="J99" s="300">
        <f t="shared" si="9"/>
        <v>1.75</v>
      </c>
      <c r="K99" s="300">
        <v>71.8</v>
      </c>
      <c r="L99" s="300">
        <f t="shared" si="10"/>
        <v>3.2999999999999972</v>
      </c>
      <c r="M99" s="300">
        <v>39.020000000000003</v>
      </c>
      <c r="N99" s="300"/>
      <c r="O99" s="303">
        <f t="shared" si="7"/>
        <v>1.4000000000000001</v>
      </c>
      <c r="P99" s="311">
        <v>1.4E-2</v>
      </c>
      <c r="Q99" s="305">
        <v>5.8</v>
      </c>
      <c r="R99" s="306">
        <v>2.91</v>
      </c>
    </row>
    <row r="100" spans="1:18">
      <c r="A100" s="63" t="s">
        <v>97</v>
      </c>
      <c r="B100" s="145" t="s">
        <v>98</v>
      </c>
      <c r="C100" s="123">
        <v>1</v>
      </c>
      <c r="D100" s="300">
        <v>22</v>
      </c>
      <c r="E100" s="123">
        <v>141</v>
      </c>
      <c r="F100" s="301">
        <f t="shared" si="6"/>
        <v>0.15602836879432624</v>
      </c>
      <c r="G100" s="303">
        <v>52.53</v>
      </c>
      <c r="H100" s="300">
        <f t="shared" si="8"/>
        <v>5.5600000000000023</v>
      </c>
      <c r="I100" s="300">
        <v>45.44</v>
      </c>
      <c r="J100" s="300">
        <f t="shared" si="9"/>
        <v>14.519999999999996</v>
      </c>
      <c r="K100" s="300">
        <v>71.56</v>
      </c>
      <c r="L100" s="300">
        <f t="shared" si="10"/>
        <v>0.23999999999999488</v>
      </c>
      <c r="M100" s="300">
        <v>39.020000000000003</v>
      </c>
      <c r="N100" s="300"/>
      <c r="O100" s="303">
        <f t="shared" si="7"/>
        <v>1.4000000000000001</v>
      </c>
      <c r="P100" s="311">
        <v>1.4E-2</v>
      </c>
      <c r="Q100" s="305">
        <v>5.8</v>
      </c>
      <c r="R100" s="306">
        <v>2.91</v>
      </c>
    </row>
    <row r="101" spans="1:18">
      <c r="A101" s="63" t="s">
        <v>98</v>
      </c>
      <c r="B101" s="145" t="s">
        <v>99</v>
      </c>
      <c r="C101" s="123">
        <v>1</v>
      </c>
      <c r="D101" s="300">
        <v>20</v>
      </c>
      <c r="E101" s="123">
        <v>141</v>
      </c>
      <c r="F101" s="301">
        <f t="shared" si="6"/>
        <v>0.14184397163120568</v>
      </c>
      <c r="G101" s="303">
        <v>49.65</v>
      </c>
      <c r="H101" s="300">
        <f t="shared" si="8"/>
        <v>2.8800000000000026</v>
      </c>
      <c r="I101" s="300">
        <v>38.78</v>
      </c>
      <c r="J101" s="300">
        <f t="shared" si="9"/>
        <v>6.6599999999999966</v>
      </c>
      <c r="K101" s="300">
        <v>70.64</v>
      </c>
      <c r="L101" s="300">
        <f t="shared" si="10"/>
        <v>0.92000000000000171</v>
      </c>
      <c r="M101" s="300">
        <v>39.020000000000003</v>
      </c>
      <c r="N101" s="300"/>
      <c r="O101" s="303">
        <f t="shared" si="7"/>
        <v>2.2999999999999998</v>
      </c>
      <c r="P101" s="311">
        <v>2.3E-2</v>
      </c>
      <c r="Q101" s="306">
        <v>5</v>
      </c>
      <c r="R101" s="306">
        <v>3.1</v>
      </c>
    </row>
    <row r="102" spans="1:18">
      <c r="A102" s="63" t="s">
        <v>99</v>
      </c>
      <c r="B102" s="145" t="s">
        <v>100</v>
      </c>
      <c r="C102" s="123">
        <v>1</v>
      </c>
      <c r="D102" s="300">
        <v>24</v>
      </c>
      <c r="E102" s="123">
        <v>141</v>
      </c>
      <c r="F102" s="301">
        <f t="shared" si="6"/>
        <v>0.1702127659574468</v>
      </c>
      <c r="G102" s="303">
        <v>62.69</v>
      </c>
      <c r="H102" s="300">
        <f t="shared" si="8"/>
        <v>13.04</v>
      </c>
      <c r="I102" s="300">
        <v>70.7</v>
      </c>
      <c r="J102" s="300">
        <f t="shared" si="9"/>
        <v>31.92</v>
      </c>
      <c r="K102" s="300">
        <v>72.37</v>
      </c>
      <c r="L102" s="300">
        <f t="shared" si="10"/>
        <v>1.730000000000004</v>
      </c>
      <c r="M102" s="300">
        <v>39.020000000000003</v>
      </c>
      <c r="N102" s="300"/>
      <c r="O102" s="303">
        <f t="shared" si="7"/>
        <v>2.2999999999999998</v>
      </c>
      <c r="P102" s="311">
        <v>2.3E-2</v>
      </c>
      <c r="Q102" s="306">
        <v>5</v>
      </c>
      <c r="R102" s="306">
        <v>3.1</v>
      </c>
    </row>
    <row r="103" spans="1:18">
      <c r="A103" s="63" t="s">
        <v>100</v>
      </c>
      <c r="B103" s="145" t="s">
        <v>101</v>
      </c>
      <c r="C103" s="123">
        <v>1</v>
      </c>
      <c r="D103" s="300">
        <v>29</v>
      </c>
      <c r="E103" s="123">
        <v>141</v>
      </c>
      <c r="F103" s="301">
        <f t="shared" si="6"/>
        <v>0.20567375886524822</v>
      </c>
      <c r="G103" s="303">
        <v>59.26</v>
      </c>
      <c r="H103" s="300">
        <f t="shared" si="8"/>
        <v>3.4299999999999997</v>
      </c>
      <c r="I103" s="300">
        <v>57.59</v>
      </c>
      <c r="J103" s="300">
        <f t="shared" si="9"/>
        <v>13.11</v>
      </c>
      <c r="K103" s="300">
        <v>76.239999999999995</v>
      </c>
      <c r="L103" s="300">
        <f t="shared" si="10"/>
        <v>3.8699999999999903</v>
      </c>
      <c r="M103" s="300">
        <v>39.020000000000003</v>
      </c>
      <c r="N103" s="300"/>
      <c r="O103" s="303">
        <f t="shared" si="7"/>
        <v>2.2999999999999998</v>
      </c>
      <c r="P103" s="311">
        <v>2.3E-2</v>
      </c>
      <c r="Q103" s="306">
        <v>5</v>
      </c>
      <c r="R103" s="306">
        <v>3.1</v>
      </c>
    </row>
    <row r="104" spans="1:18">
      <c r="A104" s="63" t="s">
        <v>101</v>
      </c>
      <c r="B104" s="310" t="s">
        <v>102</v>
      </c>
      <c r="C104" s="123">
        <v>1</v>
      </c>
      <c r="D104" s="300">
        <v>14</v>
      </c>
      <c r="E104" s="123">
        <v>136</v>
      </c>
      <c r="F104" s="301">
        <f t="shared" si="6"/>
        <v>0.10294117647058823</v>
      </c>
      <c r="G104" s="303">
        <v>56.36</v>
      </c>
      <c r="H104" s="300">
        <f t="shared" si="8"/>
        <v>2.8999999999999986</v>
      </c>
      <c r="I104" s="300">
        <v>55.59</v>
      </c>
      <c r="J104" s="300">
        <f t="shared" si="9"/>
        <v>2</v>
      </c>
      <c r="K104" s="300">
        <v>77.510000000000005</v>
      </c>
      <c r="L104" s="300">
        <f t="shared" si="10"/>
        <v>1.2700000000000102</v>
      </c>
      <c r="M104" s="300">
        <v>32.9</v>
      </c>
      <c r="N104" s="300">
        <f t="shared" si="11"/>
        <v>6.1200000000000045</v>
      </c>
      <c r="O104" s="303">
        <f t="shared" si="7"/>
        <v>2.2999999999999998</v>
      </c>
      <c r="P104" s="311">
        <v>2.3E-2</v>
      </c>
      <c r="Q104" s="306">
        <v>5</v>
      </c>
      <c r="R104" s="306">
        <v>3.1</v>
      </c>
    </row>
    <row r="105" spans="1:18">
      <c r="A105" s="38" t="s">
        <v>102</v>
      </c>
      <c r="B105" s="310" t="s">
        <v>103</v>
      </c>
      <c r="C105" s="123">
        <v>1</v>
      </c>
      <c r="D105" s="300">
        <v>35</v>
      </c>
      <c r="E105" s="123">
        <v>136</v>
      </c>
      <c r="F105" s="301">
        <f t="shared" si="6"/>
        <v>0.25735294117647056</v>
      </c>
      <c r="G105" s="303">
        <v>49.89</v>
      </c>
      <c r="H105" s="300">
        <f t="shared" si="8"/>
        <v>6.4699999999999989</v>
      </c>
      <c r="I105" s="300">
        <v>43.32</v>
      </c>
      <c r="J105" s="300">
        <f t="shared" si="9"/>
        <v>12.270000000000003</v>
      </c>
      <c r="K105" s="300">
        <v>73.760000000000005</v>
      </c>
      <c r="L105" s="300">
        <f t="shared" si="10"/>
        <v>3.75</v>
      </c>
      <c r="M105" s="300">
        <v>32.9</v>
      </c>
      <c r="N105" s="300"/>
      <c r="O105" s="303">
        <f t="shared" si="7"/>
        <v>2.6</v>
      </c>
      <c r="P105" s="311">
        <v>2.5999999999999999E-2</v>
      </c>
      <c r="Q105" s="306">
        <v>5.75</v>
      </c>
      <c r="R105" s="306">
        <v>3.47</v>
      </c>
    </row>
    <row r="106" spans="1:18">
      <c r="A106" s="38" t="s">
        <v>103</v>
      </c>
      <c r="B106" s="310" t="s">
        <v>104</v>
      </c>
      <c r="C106" s="123">
        <v>1</v>
      </c>
      <c r="D106" s="300">
        <v>26</v>
      </c>
      <c r="E106" s="123">
        <v>136</v>
      </c>
      <c r="F106" s="301">
        <f t="shared" si="6"/>
        <v>0.19117647058823528</v>
      </c>
      <c r="G106" s="303">
        <v>55.63</v>
      </c>
      <c r="H106" s="300">
        <f t="shared" si="8"/>
        <v>5.740000000000002</v>
      </c>
      <c r="I106" s="300">
        <v>64.19</v>
      </c>
      <c r="J106" s="300">
        <f t="shared" si="9"/>
        <v>20.869999999999997</v>
      </c>
      <c r="K106" s="300">
        <v>68.38</v>
      </c>
      <c r="L106" s="300">
        <f t="shared" si="10"/>
        <v>5.3800000000000097</v>
      </c>
      <c r="M106" s="300">
        <v>32.9</v>
      </c>
      <c r="N106" s="300"/>
      <c r="O106" s="303">
        <f t="shared" si="7"/>
        <v>2.6</v>
      </c>
      <c r="P106" s="311">
        <v>2.5999999999999999E-2</v>
      </c>
      <c r="Q106" s="306">
        <v>5.75</v>
      </c>
      <c r="R106" s="306">
        <v>3.47</v>
      </c>
    </row>
    <row r="107" spans="1:18">
      <c r="A107" s="38" t="s">
        <v>104</v>
      </c>
      <c r="B107" s="310" t="s">
        <v>105</v>
      </c>
      <c r="C107" s="123">
        <v>1</v>
      </c>
      <c r="D107" s="300">
        <v>18</v>
      </c>
      <c r="E107" s="123">
        <v>136</v>
      </c>
      <c r="F107" s="301">
        <f t="shared" si="6"/>
        <v>0.13235294117647059</v>
      </c>
      <c r="G107" s="303">
        <v>51.9</v>
      </c>
      <c r="H107" s="300">
        <f t="shared" si="8"/>
        <v>3.730000000000004</v>
      </c>
      <c r="I107" s="300">
        <v>52.64</v>
      </c>
      <c r="J107" s="300">
        <f t="shared" si="9"/>
        <v>11.549999999999997</v>
      </c>
      <c r="K107" s="300">
        <v>69.47</v>
      </c>
      <c r="L107" s="300">
        <f t="shared" si="10"/>
        <v>1.0900000000000034</v>
      </c>
      <c r="M107" s="300">
        <v>32.9</v>
      </c>
      <c r="N107" s="300"/>
      <c r="O107" s="303">
        <f t="shared" si="7"/>
        <v>2.6</v>
      </c>
      <c r="P107" s="311">
        <v>2.5999999999999999E-2</v>
      </c>
      <c r="Q107" s="306">
        <v>5.75</v>
      </c>
      <c r="R107" s="306">
        <v>3.47</v>
      </c>
    </row>
    <row r="108" spans="1:18">
      <c r="A108" s="38" t="s">
        <v>105</v>
      </c>
      <c r="B108" s="310" t="s">
        <v>106</v>
      </c>
      <c r="C108" s="123">
        <v>1</v>
      </c>
      <c r="D108" s="300">
        <v>15</v>
      </c>
      <c r="E108" s="123">
        <v>137</v>
      </c>
      <c r="F108" s="301">
        <f t="shared" si="6"/>
        <v>0.10948905109489052</v>
      </c>
      <c r="G108" s="303">
        <v>51.92</v>
      </c>
      <c r="H108" s="300">
        <f t="shared" si="8"/>
        <v>2.0000000000003126E-2</v>
      </c>
      <c r="I108" s="300">
        <v>54.78</v>
      </c>
      <c r="J108" s="300">
        <f t="shared" si="9"/>
        <v>2.1400000000000006</v>
      </c>
      <c r="K108" s="300">
        <v>68.47</v>
      </c>
      <c r="L108" s="300">
        <f t="shared" si="10"/>
        <v>1</v>
      </c>
      <c r="M108" s="300">
        <v>32.549999999999997</v>
      </c>
      <c r="N108" s="300">
        <f t="shared" si="11"/>
        <v>0.35000000000000142</v>
      </c>
      <c r="O108" s="303">
        <f t="shared" si="7"/>
        <v>2.6</v>
      </c>
      <c r="P108" s="311">
        <v>2.5999999999999999E-2</v>
      </c>
      <c r="Q108" s="306">
        <v>5.75</v>
      </c>
      <c r="R108" s="306">
        <v>3.47</v>
      </c>
    </row>
    <row r="109" spans="1:18">
      <c r="A109" s="38" t="s">
        <v>106</v>
      </c>
      <c r="B109" s="310" t="s">
        <v>107</v>
      </c>
      <c r="C109" s="123">
        <v>1</v>
      </c>
      <c r="D109" s="300">
        <v>28</v>
      </c>
      <c r="E109" s="123">
        <v>137</v>
      </c>
      <c r="F109" s="301">
        <f t="shared" si="6"/>
        <v>0.20437956204379562</v>
      </c>
      <c r="G109" s="303">
        <v>55.45</v>
      </c>
      <c r="H109" s="300">
        <f t="shared" si="8"/>
        <v>3.5300000000000011</v>
      </c>
      <c r="I109" s="300">
        <v>60.95</v>
      </c>
      <c r="J109" s="300">
        <f t="shared" si="9"/>
        <v>6.1700000000000017</v>
      </c>
      <c r="K109" s="300">
        <v>70.89</v>
      </c>
      <c r="L109" s="300">
        <f t="shared" si="10"/>
        <v>2.4200000000000017</v>
      </c>
      <c r="M109" s="300">
        <v>32.549999999999997</v>
      </c>
      <c r="N109" s="300"/>
      <c r="O109" s="303">
        <f t="shared" si="7"/>
        <v>2.2999999999999998</v>
      </c>
      <c r="P109" s="311">
        <v>2.3E-2</v>
      </c>
      <c r="Q109" s="306">
        <v>6.25</v>
      </c>
      <c r="R109" s="306">
        <v>3.64</v>
      </c>
    </row>
    <row r="110" spans="1:18">
      <c r="A110" s="38" t="s">
        <v>107</v>
      </c>
      <c r="B110" s="310" t="s">
        <v>108</v>
      </c>
      <c r="C110" s="123">
        <v>1</v>
      </c>
      <c r="D110" s="300">
        <v>17</v>
      </c>
      <c r="E110" s="123">
        <v>137</v>
      </c>
      <c r="F110" s="301">
        <f t="shared" si="6"/>
        <v>0.12408759124087591</v>
      </c>
      <c r="G110" s="303">
        <v>46.03</v>
      </c>
      <c r="H110" s="300">
        <f t="shared" si="8"/>
        <v>9.4200000000000017</v>
      </c>
      <c r="I110" s="300">
        <v>33.020000000000003</v>
      </c>
      <c r="J110" s="300">
        <f t="shared" si="9"/>
        <v>27.93</v>
      </c>
      <c r="K110" s="300">
        <v>73.25</v>
      </c>
      <c r="L110" s="300">
        <f t="shared" si="10"/>
        <v>2.3599999999999994</v>
      </c>
      <c r="M110" s="300">
        <v>32.549999999999997</v>
      </c>
      <c r="N110" s="300"/>
      <c r="O110" s="303">
        <f t="shared" si="7"/>
        <v>2.2999999999999998</v>
      </c>
      <c r="P110" s="311">
        <v>2.3E-2</v>
      </c>
      <c r="Q110" s="306">
        <v>6.25</v>
      </c>
      <c r="R110" s="306">
        <v>3.64</v>
      </c>
    </row>
    <row r="111" spans="1:18">
      <c r="A111" s="38" t="s">
        <v>108</v>
      </c>
      <c r="B111" s="310" t="s">
        <v>109</v>
      </c>
      <c r="C111" s="123">
        <v>1</v>
      </c>
      <c r="D111" s="300">
        <v>18</v>
      </c>
      <c r="E111" s="123">
        <v>137</v>
      </c>
      <c r="F111" s="301">
        <f t="shared" si="6"/>
        <v>0.13138686131386862</v>
      </c>
      <c r="G111" s="303">
        <v>41.05</v>
      </c>
      <c r="H111" s="300">
        <f t="shared" si="8"/>
        <v>4.980000000000004</v>
      </c>
      <c r="I111" s="300">
        <v>28.19</v>
      </c>
      <c r="J111" s="300">
        <f t="shared" si="9"/>
        <v>4.8300000000000018</v>
      </c>
      <c r="K111" s="300">
        <v>67.040000000000006</v>
      </c>
      <c r="L111" s="300">
        <f t="shared" si="10"/>
        <v>6.2099999999999937</v>
      </c>
      <c r="M111" s="300">
        <v>32.549999999999997</v>
      </c>
      <c r="N111" s="300"/>
      <c r="O111" s="303">
        <f t="shared" si="7"/>
        <v>2.2999999999999998</v>
      </c>
      <c r="P111" s="311">
        <v>2.3E-2</v>
      </c>
      <c r="Q111" s="306">
        <v>6.25</v>
      </c>
      <c r="R111" s="306">
        <v>3.64</v>
      </c>
    </row>
    <row r="112" spans="1:18">
      <c r="A112" s="38" t="s">
        <v>109</v>
      </c>
      <c r="B112" s="310" t="s">
        <v>110</v>
      </c>
      <c r="C112" s="123">
        <v>1</v>
      </c>
      <c r="D112" s="300">
        <v>23</v>
      </c>
      <c r="E112" s="123">
        <v>141</v>
      </c>
      <c r="F112" s="301">
        <f t="shared" si="6"/>
        <v>0.16312056737588654</v>
      </c>
      <c r="G112" s="303">
        <v>34.68</v>
      </c>
      <c r="H112" s="300">
        <f t="shared" si="8"/>
        <v>6.3699999999999974</v>
      </c>
      <c r="I112" s="300">
        <v>19.809999999999999</v>
      </c>
      <c r="J112" s="300">
        <f t="shared" si="9"/>
        <v>8.3800000000000026</v>
      </c>
      <c r="K112" s="300">
        <v>64.87</v>
      </c>
      <c r="L112" s="300">
        <f t="shared" si="10"/>
        <v>2.1700000000000017</v>
      </c>
      <c r="M112" s="300">
        <v>28.99</v>
      </c>
      <c r="N112" s="300">
        <f t="shared" si="11"/>
        <v>3.5599999999999987</v>
      </c>
      <c r="O112" s="303">
        <f t="shared" si="7"/>
        <v>2.2999999999999998</v>
      </c>
      <c r="P112" s="311">
        <v>2.3E-2</v>
      </c>
      <c r="Q112" s="306">
        <v>6.25</v>
      </c>
      <c r="R112" s="306">
        <v>3.64</v>
      </c>
    </row>
    <row r="113" spans="1:18">
      <c r="A113" s="38" t="s">
        <v>110</v>
      </c>
      <c r="B113" s="310" t="s">
        <v>111</v>
      </c>
      <c r="C113" s="123">
        <v>1</v>
      </c>
      <c r="D113" s="300">
        <v>23</v>
      </c>
      <c r="E113" s="123">
        <v>141</v>
      </c>
      <c r="F113" s="301">
        <f t="shared" si="6"/>
        <v>0.16312056737588654</v>
      </c>
      <c r="G113" s="303">
        <v>47.8</v>
      </c>
      <c r="H113" s="300">
        <f t="shared" si="8"/>
        <v>13.119999999999997</v>
      </c>
      <c r="I113" s="300">
        <v>49.99</v>
      </c>
      <c r="J113" s="300">
        <f t="shared" si="9"/>
        <v>30.180000000000003</v>
      </c>
      <c r="K113" s="300">
        <v>66.92</v>
      </c>
      <c r="L113" s="300">
        <f t="shared" si="10"/>
        <v>2.0499999999999972</v>
      </c>
      <c r="M113" s="300">
        <v>28.99</v>
      </c>
      <c r="N113" s="300"/>
      <c r="O113" s="303">
        <f t="shared" si="7"/>
        <v>1.7000000000000002</v>
      </c>
      <c r="P113" s="311">
        <v>1.7000000000000001E-2</v>
      </c>
      <c r="Q113" s="306">
        <v>5.69</v>
      </c>
      <c r="R113" s="306">
        <v>3.6</v>
      </c>
    </row>
    <row r="114" spans="1:18">
      <c r="A114" s="38" t="s">
        <v>111</v>
      </c>
      <c r="B114" s="310" t="s">
        <v>112</v>
      </c>
      <c r="C114" s="123">
        <v>1</v>
      </c>
      <c r="D114" s="300">
        <v>14</v>
      </c>
      <c r="E114" s="123">
        <v>141</v>
      </c>
      <c r="F114" s="301">
        <f t="shared" si="6"/>
        <v>9.9290780141843976E-2</v>
      </c>
      <c r="G114" s="303">
        <v>47.46</v>
      </c>
      <c r="H114" s="300">
        <f t="shared" si="8"/>
        <v>0.33999999999999631</v>
      </c>
      <c r="I114" s="300">
        <v>48.56</v>
      </c>
      <c r="J114" s="300">
        <f t="shared" si="9"/>
        <v>1.4299999999999997</v>
      </c>
      <c r="K114" s="300">
        <v>66.98</v>
      </c>
      <c r="L114" s="300">
        <f t="shared" si="10"/>
        <v>6.0000000000002274E-2</v>
      </c>
      <c r="M114" s="300">
        <v>28.99</v>
      </c>
      <c r="N114" s="300"/>
      <c r="O114" s="303">
        <f t="shared" si="7"/>
        <v>1.7000000000000002</v>
      </c>
      <c r="P114" s="311">
        <v>1.7000000000000001E-2</v>
      </c>
      <c r="Q114" s="306">
        <v>5.69</v>
      </c>
      <c r="R114" s="306">
        <v>3.6</v>
      </c>
    </row>
    <row r="115" spans="1:18">
      <c r="A115" s="38" t="s">
        <v>112</v>
      </c>
      <c r="B115" s="310" t="s">
        <v>845</v>
      </c>
      <c r="C115" s="123">
        <v>1</v>
      </c>
      <c r="D115" s="300">
        <v>27</v>
      </c>
      <c r="E115" s="123">
        <v>141</v>
      </c>
      <c r="F115" s="301">
        <f t="shared" si="6"/>
        <v>0.19148936170212766</v>
      </c>
      <c r="G115" s="303">
        <v>48.57</v>
      </c>
      <c r="H115" s="300">
        <f t="shared" si="8"/>
        <v>1.1099999999999994</v>
      </c>
      <c r="I115" s="300">
        <v>47.17</v>
      </c>
      <c r="J115" s="300">
        <f t="shared" si="9"/>
        <v>1.3900000000000006</v>
      </c>
      <c r="K115" s="300">
        <v>70.67</v>
      </c>
      <c r="L115" s="300">
        <f t="shared" si="10"/>
        <v>3.6899999999999977</v>
      </c>
      <c r="M115" s="300">
        <v>28.99</v>
      </c>
      <c r="N115" s="300"/>
      <c r="O115" s="303">
        <f t="shared" si="7"/>
        <v>1.7000000000000002</v>
      </c>
      <c r="P115" s="311">
        <v>1.7000000000000001E-2</v>
      </c>
      <c r="Q115" s="306">
        <v>5.69</v>
      </c>
      <c r="R115" s="306">
        <v>3.6</v>
      </c>
    </row>
    <row r="116" spans="1:18" s="84" customFormat="1">
      <c r="A116" s="84" t="s">
        <v>113</v>
      </c>
      <c r="B116" s="296" t="s">
        <v>114</v>
      </c>
      <c r="C116" s="165">
        <v>1</v>
      </c>
      <c r="D116" s="165">
        <v>14</v>
      </c>
      <c r="E116" s="165">
        <v>212</v>
      </c>
      <c r="F116" s="297">
        <f t="shared" si="6"/>
        <v>6.6037735849056603E-2</v>
      </c>
      <c r="G116" s="163">
        <v>65.900000000000006</v>
      </c>
      <c r="H116" s="165"/>
      <c r="I116" s="165">
        <v>72.86</v>
      </c>
      <c r="J116" s="165"/>
      <c r="K116" s="165">
        <v>80.14</v>
      </c>
      <c r="L116" s="165"/>
      <c r="M116" s="165">
        <v>34.54</v>
      </c>
      <c r="N116" s="165">
        <f t="shared" si="11"/>
        <v>5.5500000000000007</v>
      </c>
      <c r="O116" s="163">
        <f t="shared" si="7"/>
        <v>5.8000000000000007</v>
      </c>
      <c r="P116" s="313">
        <v>5.8000000000000003E-2</v>
      </c>
      <c r="Q116" s="168">
        <v>5.8</v>
      </c>
      <c r="R116" s="170">
        <v>0.35</v>
      </c>
    </row>
    <row r="117" spans="1:18">
      <c r="A117" s="63" t="s">
        <v>114</v>
      </c>
      <c r="B117" s="145" t="s">
        <v>115</v>
      </c>
      <c r="C117" s="123">
        <v>1</v>
      </c>
      <c r="D117" s="300">
        <v>6</v>
      </c>
      <c r="E117" s="123">
        <v>212</v>
      </c>
      <c r="F117" s="301">
        <f t="shared" si="6"/>
        <v>2.8301886792452831E-2</v>
      </c>
      <c r="G117" s="303">
        <v>48.81</v>
      </c>
      <c r="H117" s="300">
        <f t="shared" si="8"/>
        <v>17.090000000000003</v>
      </c>
      <c r="I117" s="300">
        <v>31.23</v>
      </c>
      <c r="J117" s="300">
        <f t="shared" si="9"/>
        <v>41.629999999999995</v>
      </c>
      <c r="K117" s="300">
        <v>78.84</v>
      </c>
      <c r="L117" s="300">
        <f t="shared" si="10"/>
        <v>1.2999999999999972</v>
      </c>
      <c r="M117" s="300">
        <v>34.54</v>
      </c>
      <c r="N117" s="300"/>
      <c r="O117" s="303">
        <f t="shared" si="7"/>
        <v>5.8000000000000007</v>
      </c>
      <c r="P117" s="311">
        <v>5.8000000000000003E-2</v>
      </c>
      <c r="Q117" s="305">
        <v>5.8</v>
      </c>
      <c r="R117" s="306">
        <v>0.35</v>
      </c>
    </row>
    <row r="118" spans="1:18">
      <c r="A118" s="63" t="s">
        <v>115</v>
      </c>
      <c r="B118" s="145" t="s">
        <v>116</v>
      </c>
      <c r="C118" s="123">
        <v>1</v>
      </c>
      <c r="D118" s="300">
        <v>6</v>
      </c>
      <c r="E118" s="123">
        <v>212</v>
      </c>
      <c r="F118" s="301">
        <f t="shared" si="6"/>
        <v>2.8301886792452831E-2</v>
      </c>
      <c r="G118" s="303">
        <v>60.1</v>
      </c>
      <c r="H118" s="300">
        <f t="shared" si="8"/>
        <v>11.29</v>
      </c>
      <c r="I118" s="300">
        <v>67.989999999999995</v>
      </c>
      <c r="J118" s="300">
        <f t="shared" si="9"/>
        <v>36.759999999999991</v>
      </c>
      <c r="K118" s="300">
        <v>72.400000000000006</v>
      </c>
      <c r="L118" s="300">
        <f t="shared" si="10"/>
        <v>6.4399999999999977</v>
      </c>
      <c r="M118" s="300">
        <v>34.54</v>
      </c>
      <c r="N118" s="300"/>
      <c r="O118" s="303">
        <f t="shared" si="7"/>
        <v>5.8000000000000007</v>
      </c>
      <c r="P118" s="311">
        <v>5.8000000000000003E-2</v>
      </c>
      <c r="Q118" s="305">
        <v>5.8</v>
      </c>
      <c r="R118" s="306">
        <v>0.35</v>
      </c>
    </row>
    <row r="119" spans="1:18">
      <c r="A119" s="63" t="s">
        <v>116</v>
      </c>
      <c r="B119" s="145" t="s">
        <v>117</v>
      </c>
      <c r="C119" s="123">
        <v>1</v>
      </c>
      <c r="D119" s="300">
        <v>8</v>
      </c>
      <c r="E119" s="123">
        <v>211</v>
      </c>
      <c r="F119" s="301">
        <f t="shared" si="6"/>
        <v>3.7914691943127965E-2</v>
      </c>
      <c r="G119" s="303">
        <v>56.92</v>
      </c>
      <c r="H119" s="300">
        <f t="shared" si="8"/>
        <v>3.1799999999999997</v>
      </c>
      <c r="I119" s="300">
        <v>63.64</v>
      </c>
      <c r="J119" s="300">
        <f t="shared" si="9"/>
        <v>4.3499999999999943</v>
      </c>
      <c r="K119" s="300">
        <v>69.930000000000007</v>
      </c>
      <c r="L119" s="300">
        <f t="shared" si="10"/>
        <v>2.4699999999999989</v>
      </c>
      <c r="M119" s="300">
        <v>34.54</v>
      </c>
      <c r="N119" s="300"/>
      <c r="O119" s="303">
        <f t="shared" si="7"/>
        <v>5.8000000000000007</v>
      </c>
      <c r="P119" s="311">
        <v>5.8000000000000003E-2</v>
      </c>
      <c r="Q119" s="305">
        <v>5.8</v>
      </c>
      <c r="R119" s="306">
        <v>0.35</v>
      </c>
    </row>
    <row r="120" spans="1:18">
      <c r="A120" s="63" t="s">
        <v>117</v>
      </c>
      <c r="B120" s="145" t="s">
        <v>118</v>
      </c>
      <c r="C120" s="123">
        <v>1</v>
      </c>
      <c r="D120" s="300">
        <v>10</v>
      </c>
      <c r="E120" s="123">
        <v>211</v>
      </c>
      <c r="F120" s="301">
        <f t="shared" si="6"/>
        <v>4.7393364928909949E-2</v>
      </c>
      <c r="G120" s="303">
        <v>55.14</v>
      </c>
      <c r="H120" s="300">
        <f t="shared" si="8"/>
        <v>1.7800000000000011</v>
      </c>
      <c r="I120" s="300">
        <v>60.46</v>
      </c>
      <c r="J120" s="300">
        <f t="shared" si="9"/>
        <v>3.1799999999999997</v>
      </c>
      <c r="K120" s="300">
        <v>68.400000000000006</v>
      </c>
      <c r="L120" s="300">
        <f t="shared" si="10"/>
        <v>1.5300000000000011</v>
      </c>
      <c r="M120" s="300">
        <v>34.54</v>
      </c>
      <c r="N120" s="300"/>
      <c r="O120" s="303">
        <f t="shared" si="7"/>
        <v>2.4</v>
      </c>
      <c r="P120" s="311">
        <v>2.4E-2</v>
      </c>
      <c r="Q120" s="306">
        <v>5</v>
      </c>
      <c r="R120" s="306">
        <v>0.34</v>
      </c>
    </row>
    <row r="121" spans="1:18">
      <c r="A121" s="63" t="s">
        <v>118</v>
      </c>
      <c r="B121" s="145" t="s">
        <v>119</v>
      </c>
      <c r="C121" s="123">
        <v>1</v>
      </c>
      <c r="D121" s="300">
        <v>9</v>
      </c>
      <c r="E121" s="123">
        <v>211</v>
      </c>
      <c r="F121" s="301">
        <f t="shared" si="6"/>
        <v>4.2654028436018961E-2</v>
      </c>
      <c r="G121" s="303">
        <v>68.709999999999994</v>
      </c>
      <c r="H121" s="300">
        <f t="shared" si="8"/>
        <v>13.569999999999993</v>
      </c>
      <c r="I121" s="300">
        <v>91.43</v>
      </c>
      <c r="J121" s="300">
        <f t="shared" si="9"/>
        <v>30.970000000000006</v>
      </c>
      <c r="K121" s="300">
        <v>63.68</v>
      </c>
      <c r="L121" s="300">
        <f t="shared" si="10"/>
        <v>4.720000000000006</v>
      </c>
      <c r="M121" s="300">
        <v>34.54</v>
      </c>
      <c r="N121" s="300"/>
      <c r="O121" s="303">
        <f t="shared" si="7"/>
        <v>2.4</v>
      </c>
      <c r="P121" s="311">
        <v>2.4E-2</v>
      </c>
      <c r="Q121" s="306">
        <v>5</v>
      </c>
      <c r="R121" s="306">
        <v>0.34</v>
      </c>
    </row>
    <row r="122" spans="1:18">
      <c r="A122" s="63" t="s">
        <v>119</v>
      </c>
      <c r="B122" s="145" t="s">
        <v>120</v>
      </c>
      <c r="C122" s="123">
        <v>1</v>
      </c>
      <c r="D122" s="300">
        <v>5</v>
      </c>
      <c r="E122" s="123">
        <v>211</v>
      </c>
      <c r="F122" s="301">
        <f t="shared" si="6"/>
        <v>2.3696682464454975E-2</v>
      </c>
      <c r="G122" s="303">
        <v>58.18</v>
      </c>
      <c r="H122" s="300">
        <f t="shared" si="8"/>
        <v>10.529999999999994</v>
      </c>
      <c r="I122" s="300">
        <v>68.44</v>
      </c>
      <c r="J122" s="300">
        <f t="shared" si="9"/>
        <v>22.990000000000009</v>
      </c>
      <c r="K122" s="300">
        <v>68.760000000000005</v>
      </c>
      <c r="L122" s="300">
        <f t="shared" si="10"/>
        <v>5.0800000000000054</v>
      </c>
      <c r="M122" s="300">
        <v>34.54</v>
      </c>
      <c r="N122" s="300"/>
      <c r="O122" s="303">
        <f t="shared" si="7"/>
        <v>2.4</v>
      </c>
      <c r="P122" s="311">
        <v>2.4E-2</v>
      </c>
      <c r="Q122" s="306">
        <v>5</v>
      </c>
      <c r="R122" s="306">
        <v>0.34</v>
      </c>
    </row>
    <row r="123" spans="1:18">
      <c r="A123" s="63" t="s">
        <v>120</v>
      </c>
      <c r="B123" s="310" t="s">
        <v>121</v>
      </c>
      <c r="C123" s="123">
        <v>1</v>
      </c>
      <c r="D123" s="300">
        <v>9</v>
      </c>
      <c r="E123" s="123">
        <v>212</v>
      </c>
      <c r="F123" s="301">
        <f t="shared" si="6"/>
        <v>4.2452830188679243E-2</v>
      </c>
      <c r="G123" s="303">
        <v>51.71</v>
      </c>
      <c r="H123" s="300">
        <f t="shared" si="8"/>
        <v>6.4699999999999989</v>
      </c>
      <c r="I123" s="300">
        <v>65.58</v>
      </c>
      <c r="J123" s="300">
        <f t="shared" si="9"/>
        <v>2.8599999999999994</v>
      </c>
      <c r="K123" s="300">
        <v>61.77</v>
      </c>
      <c r="L123" s="300">
        <f t="shared" si="10"/>
        <v>6.990000000000002</v>
      </c>
      <c r="M123" s="300">
        <v>28.33</v>
      </c>
      <c r="N123" s="300">
        <f t="shared" si="11"/>
        <v>6.2100000000000009</v>
      </c>
      <c r="O123" s="303">
        <f t="shared" si="7"/>
        <v>2.4</v>
      </c>
      <c r="P123" s="311">
        <v>2.4E-2</v>
      </c>
      <c r="Q123" s="306">
        <v>5</v>
      </c>
      <c r="R123" s="306">
        <v>0.34</v>
      </c>
    </row>
    <row r="124" spans="1:18">
      <c r="A124" s="38" t="s">
        <v>121</v>
      </c>
      <c r="B124" s="310" t="s">
        <v>122</v>
      </c>
      <c r="C124" s="123">
        <v>1</v>
      </c>
      <c r="D124" s="300">
        <v>10</v>
      </c>
      <c r="E124" s="123">
        <v>212</v>
      </c>
      <c r="F124" s="301">
        <f t="shared" si="6"/>
        <v>4.716981132075472E-2</v>
      </c>
      <c r="G124" s="303">
        <v>46.32</v>
      </c>
      <c r="H124" s="300">
        <f t="shared" si="8"/>
        <v>5.3900000000000006</v>
      </c>
      <c r="I124" s="300">
        <v>53.74</v>
      </c>
      <c r="J124" s="300">
        <f t="shared" si="9"/>
        <v>11.839999999999996</v>
      </c>
      <c r="K124" s="300">
        <v>59.69</v>
      </c>
      <c r="L124" s="300">
        <f t="shared" si="10"/>
        <v>2.0800000000000054</v>
      </c>
      <c r="M124" s="300">
        <v>28.33</v>
      </c>
      <c r="N124" s="300"/>
      <c r="O124" s="303">
        <f t="shared" si="7"/>
        <v>3.3000000000000003</v>
      </c>
      <c r="P124" s="311">
        <v>3.3000000000000002E-2</v>
      </c>
      <c r="Q124" s="306">
        <v>5.75</v>
      </c>
      <c r="R124" s="306">
        <v>0.36</v>
      </c>
    </row>
    <row r="125" spans="1:18">
      <c r="A125" s="38" t="s">
        <v>122</v>
      </c>
      <c r="B125" s="310" t="s">
        <v>123</v>
      </c>
      <c r="C125" s="123">
        <v>1</v>
      </c>
      <c r="D125" s="300">
        <v>9</v>
      </c>
      <c r="E125" s="123">
        <v>212</v>
      </c>
      <c r="F125" s="301">
        <f t="shared" si="6"/>
        <v>4.2452830188679243E-2</v>
      </c>
      <c r="G125" s="303">
        <v>61.09</v>
      </c>
      <c r="H125" s="300">
        <f t="shared" si="8"/>
        <v>14.770000000000003</v>
      </c>
      <c r="I125" s="300">
        <v>86.41</v>
      </c>
      <c r="J125" s="300">
        <f t="shared" si="9"/>
        <v>32.669999999999995</v>
      </c>
      <c r="K125" s="300">
        <v>61.29</v>
      </c>
      <c r="L125" s="300">
        <f t="shared" si="10"/>
        <v>1.6000000000000014</v>
      </c>
      <c r="M125" s="300">
        <v>28.33</v>
      </c>
      <c r="N125" s="300"/>
      <c r="O125" s="303">
        <f t="shared" si="7"/>
        <v>3.3000000000000003</v>
      </c>
      <c r="P125" s="311">
        <v>3.3000000000000002E-2</v>
      </c>
      <c r="Q125" s="306">
        <v>5.75</v>
      </c>
      <c r="R125" s="306">
        <v>0.36</v>
      </c>
    </row>
    <row r="126" spans="1:18">
      <c r="A126" s="38" t="s">
        <v>123</v>
      </c>
      <c r="B126" s="310" t="s">
        <v>124</v>
      </c>
      <c r="C126" s="123">
        <v>0</v>
      </c>
      <c r="D126" s="300">
        <v>0</v>
      </c>
      <c r="E126" s="123">
        <v>212</v>
      </c>
      <c r="F126" s="301">
        <f t="shared" si="6"/>
        <v>0</v>
      </c>
      <c r="G126" s="303">
        <v>46.72</v>
      </c>
      <c r="H126" s="300">
        <f t="shared" si="8"/>
        <v>14.370000000000005</v>
      </c>
      <c r="I126" s="300">
        <v>53.75</v>
      </c>
      <c r="J126" s="300">
        <f t="shared" si="9"/>
        <v>32.659999999999997</v>
      </c>
      <c r="K126" s="300">
        <v>61.3</v>
      </c>
      <c r="L126" s="300">
        <f t="shared" si="10"/>
        <v>9.9999999999980105E-3</v>
      </c>
      <c r="M126" s="300">
        <v>28.33</v>
      </c>
      <c r="N126" s="300"/>
      <c r="O126" s="303">
        <f t="shared" si="7"/>
        <v>3.3000000000000003</v>
      </c>
      <c r="P126" s="311">
        <v>3.3000000000000002E-2</v>
      </c>
      <c r="Q126" s="306">
        <v>5.75</v>
      </c>
      <c r="R126" s="306">
        <v>0.36</v>
      </c>
    </row>
    <row r="127" spans="1:18">
      <c r="A127" s="38" t="s">
        <v>124</v>
      </c>
      <c r="B127" s="310" t="s">
        <v>125</v>
      </c>
      <c r="C127" s="123">
        <v>1</v>
      </c>
      <c r="D127" s="300">
        <v>3</v>
      </c>
      <c r="E127" s="123">
        <v>217</v>
      </c>
      <c r="F127" s="301">
        <f t="shared" si="6"/>
        <v>1.3824884792626729E-2</v>
      </c>
      <c r="G127" s="303">
        <v>53.62</v>
      </c>
      <c r="H127" s="300">
        <f t="shared" si="8"/>
        <v>6.8999999999999986</v>
      </c>
      <c r="I127" s="300">
        <v>66.680000000000007</v>
      </c>
      <c r="J127" s="300">
        <f t="shared" si="9"/>
        <v>12.930000000000007</v>
      </c>
      <c r="K127" s="300">
        <v>67.8</v>
      </c>
      <c r="L127" s="300">
        <f t="shared" si="10"/>
        <v>6.5</v>
      </c>
      <c r="M127" s="300">
        <v>26.34</v>
      </c>
      <c r="N127" s="300">
        <f t="shared" si="11"/>
        <v>1.9899999999999984</v>
      </c>
      <c r="O127" s="303">
        <f t="shared" si="7"/>
        <v>3.3000000000000003</v>
      </c>
      <c r="P127" s="311">
        <v>3.3000000000000002E-2</v>
      </c>
      <c r="Q127" s="306">
        <v>5.75</v>
      </c>
      <c r="R127" s="306">
        <v>0.36</v>
      </c>
    </row>
    <row r="128" spans="1:18">
      <c r="A128" s="38" t="s">
        <v>125</v>
      </c>
      <c r="B128" s="310" t="s">
        <v>126</v>
      </c>
      <c r="C128" s="123">
        <v>1</v>
      </c>
      <c r="D128" s="300">
        <v>4</v>
      </c>
      <c r="E128" s="123">
        <v>217</v>
      </c>
      <c r="F128" s="301">
        <f t="shared" si="6"/>
        <v>1.8433179723502304E-2</v>
      </c>
      <c r="G128" s="303">
        <v>63.09</v>
      </c>
      <c r="H128" s="300">
        <f t="shared" si="8"/>
        <v>9.470000000000006</v>
      </c>
      <c r="I128" s="300">
        <v>89.76</v>
      </c>
      <c r="J128" s="300">
        <f t="shared" si="9"/>
        <v>23.08</v>
      </c>
      <c r="K128" s="300">
        <v>65.2</v>
      </c>
      <c r="L128" s="300">
        <f t="shared" si="10"/>
        <v>2.5999999999999943</v>
      </c>
      <c r="M128" s="300">
        <v>26.34</v>
      </c>
      <c r="N128" s="300"/>
      <c r="O128" s="303">
        <f t="shared" si="7"/>
        <v>3.9</v>
      </c>
      <c r="P128" s="311">
        <v>3.9E-2</v>
      </c>
      <c r="Q128" s="306">
        <v>6.25</v>
      </c>
      <c r="R128" s="306">
        <v>0.38</v>
      </c>
    </row>
    <row r="129" spans="1:18">
      <c r="A129" s="38" t="s">
        <v>126</v>
      </c>
      <c r="B129" s="310" t="s">
        <v>127</v>
      </c>
      <c r="C129" s="123">
        <v>1</v>
      </c>
      <c r="D129" s="300">
        <v>12</v>
      </c>
      <c r="E129" s="123">
        <v>217</v>
      </c>
      <c r="F129" s="301">
        <f t="shared" si="6"/>
        <v>5.5299539170506916E-2</v>
      </c>
      <c r="G129" s="303">
        <v>62.44</v>
      </c>
      <c r="H129" s="300">
        <f t="shared" si="8"/>
        <v>0.65000000000000568</v>
      </c>
      <c r="I129" s="300">
        <v>90.46</v>
      </c>
      <c r="J129" s="300">
        <f t="shared" si="9"/>
        <v>0.69999999999998863</v>
      </c>
      <c r="K129" s="300">
        <v>60.35</v>
      </c>
      <c r="L129" s="300">
        <f t="shared" si="10"/>
        <v>4.8500000000000014</v>
      </c>
      <c r="M129" s="300">
        <v>26.34</v>
      </c>
      <c r="N129" s="300"/>
      <c r="O129" s="303">
        <f t="shared" si="7"/>
        <v>3.9</v>
      </c>
      <c r="P129" s="311">
        <v>3.9E-2</v>
      </c>
      <c r="Q129" s="306">
        <v>6.25</v>
      </c>
      <c r="R129" s="306">
        <v>0.38</v>
      </c>
    </row>
    <row r="130" spans="1:18">
      <c r="A130" s="38" t="s">
        <v>127</v>
      </c>
      <c r="B130" s="310" t="s">
        <v>128</v>
      </c>
      <c r="C130" s="123">
        <v>1</v>
      </c>
      <c r="D130" s="300">
        <v>9</v>
      </c>
      <c r="E130" s="123">
        <v>217</v>
      </c>
      <c r="F130" s="301">
        <f t="shared" si="6"/>
        <v>4.1474654377880185E-2</v>
      </c>
      <c r="G130" s="303">
        <v>67</v>
      </c>
      <c r="H130" s="300">
        <f>ABS(G130-G129)</f>
        <v>4.5600000000000023</v>
      </c>
      <c r="I130" s="300">
        <v>88.99</v>
      </c>
      <c r="J130" s="300">
        <f t="shared" si="9"/>
        <v>1.4699999999999989</v>
      </c>
      <c r="K130" s="300">
        <v>73.650000000000006</v>
      </c>
      <c r="L130" s="300">
        <f t="shared" si="10"/>
        <v>13.300000000000004</v>
      </c>
      <c r="M130" s="300">
        <v>26.34</v>
      </c>
      <c r="N130" s="300"/>
      <c r="O130" s="303">
        <f t="shared" si="7"/>
        <v>3.9</v>
      </c>
      <c r="P130" s="311">
        <v>3.9E-2</v>
      </c>
      <c r="Q130" s="306">
        <v>6.25</v>
      </c>
      <c r="R130" s="306">
        <v>0.38</v>
      </c>
    </row>
    <row r="131" spans="1:18">
      <c r="A131" s="38" t="s">
        <v>128</v>
      </c>
      <c r="B131" s="310" t="s">
        <v>129</v>
      </c>
      <c r="C131" s="123">
        <v>1</v>
      </c>
      <c r="D131" s="300">
        <v>14</v>
      </c>
      <c r="E131" s="123">
        <v>218</v>
      </c>
      <c r="F131" s="301">
        <f t="shared" ref="F131:F153" si="12">D131/E131</f>
        <v>6.4220183486238536E-2</v>
      </c>
      <c r="G131" s="303">
        <v>52.66</v>
      </c>
      <c r="H131" s="300">
        <f t="shared" ref="H131:H153" si="13">ABS(G131-G130)</f>
        <v>14.340000000000003</v>
      </c>
      <c r="I131" s="300">
        <v>70.959999999999994</v>
      </c>
      <c r="J131" s="300">
        <f t="shared" si="9"/>
        <v>18.03</v>
      </c>
      <c r="K131" s="300">
        <v>63.54</v>
      </c>
      <c r="L131" s="300">
        <f t="shared" si="10"/>
        <v>10.110000000000007</v>
      </c>
      <c r="M131" s="300">
        <v>25.99</v>
      </c>
      <c r="N131" s="300">
        <f t="shared" si="11"/>
        <v>0.35000000000000142</v>
      </c>
      <c r="O131" s="303">
        <f t="shared" ref="O131:O153" si="14">P131*100</f>
        <v>3.9</v>
      </c>
      <c r="P131" s="311">
        <v>3.9E-2</v>
      </c>
      <c r="Q131" s="306">
        <v>6.25</v>
      </c>
      <c r="R131" s="306">
        <v>0.38</v>
      </c>
    </row>
    <row r="132" spans="1:18">
      <c r="A132" s="38" t="s">
        <v>129</v>
      </c>
      <c r="B132" s="310" t="s">
        <v>130</v>
      </c>
      <c r="C132" s="123">
        <v>1</v>
      </c>
      <c r="D132" s="300">
        <v>5</v>
      </c>
      <c r="E132" s="123">
        <v>218</v>
      </c>
      <c r="F132" s="301">
        <f t="shared" si="12"/>
        <v>2.2935779816513763E-2</v>
      </c>
      <c r="G132" s="303">
        <v>51</v>
      </c>
      <c r="H132" s="300">
        <f t="shared" si="13"/>
        <v>1.6599999999999966</v>
      </c>
      <c r="I132" s="300">
        <v>74.89</v>
      </c>
      <c r="J132" s="300">
        <f t="shared" ref="J132:J153" si="15">ABS(I132-I131)</f>
        <v>3.9300000000000068</v>
      </c>
      <c r="K132" s="300">
        <v>54.47</v>
      </c>
      <c r="L132" s="300">
        <f t="shared" ref="L132:L153" si="16">ABS(K132-K131)</f>
        <v>9.07</v>
      </c>
      <c r="M132" s="300">
        <v>25.99</v>
      </c>
      <c r="N132" s="300"/>
      <c r="O132" s="303">
        <f t="shared" si="14"/>
        <v>3.5000000000000004</v>
      </c>
      <c r="P132" s="311">
        <v>3.5000000000000003E-2</v>
      </c>
      <c r="Q132" s="306">
        <v>5.69</v>
      </c>
      <c r="R132" s="306">
        <v>0.4</v>
      </c>
    </row>
    <row r="133" spans="1:18">
      <c r="A133" s="38" t="s">
        <v>130</v>
      </c>
      <c r="B133" s="310" t="s">
        <v>131</v>
      </c>
      <c r="C133" s="123">
        <v>1</v>
      </c>
      <c r="D133" s="300">
        <v>12</v>
      </c>
      <c r="E133" s="123">
        <v>218</v>
      </c>
      <c r="F133" s="301">
        <f t="shared" si="12"/>
        <v>5.5045871559633031E-2</v>
      </c>
      <c r="G133" s="303">
        <v>52.4</v>
      </c>
      <c r="H133" s="300">
        <f t="shared" si="13"/>
        <v>1.3999999999999986</v>
      </c>
      <c r="I133" s="300">
        <v>78.42</v>
      </c>
      <c r="J133" s="300">
        <f t="shared" si="15"/>
        <v>3.5300000000000011</v>
      </c>
      <c r="K133" s="300">
        <v>53.96</v>
      </c>
      <c r="L133" s="300">
        <f t="shared" si="16"/>
        <v>0.50999999999999801</v>
      </c>
      <c r="M133" s="300">
        <v>25.99</v>
      </c>
      <c r="N133" s="300"/>
      <c r="O133" s="303">
        <f t="shared" si="14"/>
        <v>3.5000000000000004</v>
      </c>
      <c r="P133" s="311">
        <v>3.5000000000000003E-2</v>
      </c>
      <c r="Q133" s="306">
        <v>5.69</v>
      </c>
      <c r="R133" s="306">
        <v>0.4</v>
      </c>
    </row>
    <row r="134" spans="1:18">
      <c r="A134" s="38" t="s">
        <v>131</v>
      </c>
      <c r="B134" s="310" t="s">
        <v>846</v>
      </c>
      <c r="C134" s="123">
        <v>1</v>
      </c>
      <c r="D134" s="300">
        <v>8</v>
      </c>
      <c r="E134" s="123">
        <v>218</v>
      </c>
      <c r="F134" s="301">
        <f t="shared" si="12"/>
        <v>3.669724770642202E-2</v>
      </c>
      <c r="G134" s="303">
        <v>66.83</v>
      </c>
      <c r="H134" s="300">
        <f t="shared" si="13"/>
        <v>14.43</v>
      </c>
      <c r="I134" s="300">
        <v>95.25</v>
      </c>
      <c r="J134" s="300">
        <f t="shared" si="15"/>
        <v>16.829999999999998</v>
      </c>
      <c r="K134" s="300">
        <v>60.56</v>
      </c>
      <c r="L134" s="300">
        <f t="shared" si="16"/>
        <v>6.6000000000000014</v>
      </c>
      <c r="M134" s="300">
        <v>25.99</v>
      </c>
      <c r="N134" s="300"/>
      <c r="O134" s="303">
        <f t="shared" si="14"/>
        <v>3.5000000000000004</v>
      </c>
      <c r="P134" s="311">
        <v>3.5000000000000003E-2</v>
      </c>
      <c r="Q134" s="306">
        <v>5.69</v>
      </c>
      <c r="R134" s="306">
        <v>0.4</v>
      </c>
    </row>
    <row r="135" spans="1:18" s="84" customFormat="1">
      <c r="A135" s="84" t="s">
        <v>132</v>
      </c>
      <c r="B135" s="307" t="s">
        <v>133</v>
      </c>
      <c r="C135" s="184">
        <v>0</v>
      </c>
      <c r="D135" s="184">
        <v>0</v>
      </c>
      <c r="E135" s="184">
        <v>40</v>
      </c>
      <c r="F135" s="308">
        <f t="shared" si="12"/>
        <v>0</v>
      </c>
      <c r="G135" s="182">
        <v>4.99</v>
      </c>
      <c r="H135" s="184"/>
      <c r="I135" s="184">
        <v>17.04</v>
      </c>
      <c r="J135" s="184"/>
      <c r="K135" s="184">
        <v>7.6</v>
      </c>
      <c r="L135" s="184"/>
      <c r="M135" s="184">
        <v>4.3899999999999997</v>
      </c>
      <c r="N135" s="184"/>
      <c r="O135" s="182">
        <f t="shared" si="14"/>
        <v>1.3</v>
      </c>
      <c r="P135" s="312">
        <v>1.2999999999999999E-2</v>
      </c>
      <c r="Q135" s="187">
        <v>5.8</v>
      </c>
      <c r="R135" s="189">
        <v>0.6</v>
      </c>
    </row>
    <row r="136" spans="1:18">
      <c r="A136" s="63" t="s">
        <v>133</v>
      </c>
      <c r="B136" s="145" t="s">
        <v>134</v>
      </c>
      <c r="C136" s="123">
        <v>0</v>
      </c>
      <c r="D136" s="300">
        <v>0</v>
      </c>
      <c r="E136" s="123">
        <v>40</v>
      </c>
      <c r="F136" s="301">
        <f t="shared" si="12"/>
        <v>0</v>
      </c>
      <c r="G136" s="303">
        <v>5.78</v>
      </c>
      <c r="H136" s="300">
        <f t="shared" si="13"/>
        <v>0.79</v>
      </c>
      <c r="I136" s="300">
        <v>9.98</v>
      </c>
      <c r="J136" s="300">
        <f t="shared" si="15"/>
        <v>7.0599999999999987</v>
      </c>
      <c r="K136" s="300">
        <v>19.760000000000002</v>
      </c>
      <c r="L136" s="300">
        <f t="shared" si="16"/>
        <v>12.160000000000002</v>
      </c>
      <c r="M136" s="300">
        <v>4.3899999999999997</v>
      </c>
      <c r="N136" s="300"/>
      <c r="O136" s="303">
        <f t="shared" si="14"/>
        <v>1.3</v>
      </c>
      <c r="P136" s="311">
        <v>1.2999999999999999E-2</v>
      </c>
      <c r="Q136" s="305">
        <v>5.8</v>
      </c>
      <c r="R136" s="306">
        <v>0.6</v>
      </c>
    </row>
    <row r="137" spans="1:18">
      <c r="A137" s="63" t="s">
        <v>134</v>
      </c>
      <c r="B137" s="145" t="s">
        <v>135</v>
      </c>
      <c r="C137" s="123">
        <v>0</v>
      </c>
      <c r="D137" s="300">
        <v>0</v>
      </c>
      <c r="E137" s="123">
        <v>40</v>
      </c>
      <c r="F137" s="301">
        <f t="shared" si="12"/>
        <v>0</v>
      </c>
      <c r="G137" s="303">
        <v>3.28</v>
      </c>
      <c r="H137" s="300">
        <f t="shared" si="13"/>
        <v>2.5000000000000004</v>
      </c>
      <c r="I137" s="300">
        <v>12.63</v>
      </c>
      <c r="J137" s="300">
        <f t="shared" si="15"/>
        <v>2.6500000000000004</v>
      </c>
      <c r="K137" s="300">
        <v>3.14</v>
      </c>
      <c r="L137" s="300">
        <f t="shared" si="16"/>
        <v>16.62</v>
      </c>
      <c r="M137" s="300">
        <v>4.3899999999999997</v>
      </c>
      <c r="N137" s="300"/>
      <c r="O137" s="303">
        <f t="shared" si="14"/>
        <v>1.3</v>
      </c>
      <c r="P137" s="311">
        <v>1.2999999999999999E-2</v>
      </c>
      <c r="Q137" s="305">
        <v>5.8</v>
      </c>
      <c r="R137" s="306">
        <v>0.6</v>
      </c>
    </row>
    <row r="138" spans="1:18">
      <c r="A138" s="63" t="s">
        <v>135</v>
      </c>
      <c r="B138" s="145" t="s">
        <v>149</v>
      </c>
      <c r="C138" s="123">
        <v>1</v>
      </c>
      <c r="D138" s="300">
        <v>2</v>
      </c>
      <c r="E138" s="123">
        <v>40</v>
      </c>
      <c r="F138" s="301">
        <f t="shared" si="12"/>
        <v>0.05</v>
      </c>
      <c r="G138" s="303">
        <v>2.71</v>
      </c>
      <c r="H138" s="300">
        <f t="shared" si="13"/>
        <v>0.56999999999999984</v>
      </c>
      <c r="I138" s="300">
        <v>5.48</v>
      </c>
      <c r="J138" s="300">
        <f t="shared" si="15"/>
        <v>7.15</v>
      </c>
      <c r="K138" s="300">
        <v>6.37</v>
      </c>
      <c r="L138" s="300">
        <f t="shared" si="16"/>
        <v>3.23</v>
      </c>
      <c r="M138" s="300">
        <v>4.3899999999999997</v>
      </c>
      <c r="N138" s="300"/>
      <c r="O138" s="303">
        <f t="shared" si="14"/>
        <v>1.3</v>
      </c>
      <c r="P138" s="311">
        <v>1.2999999999999999E-2</v>
      </c>
      <c r="Q138" s="305">
        <v>5.8</v>
      </c>
      <c r="R138" s="306">
        <v>0.6</v>
      </c>
    </row>
    <row r="139" spans="1:18">
      <c r="A139" s="63" t="s">
        <v>149</v>
      </c>
      <c r="B139" s="145" t="s">
        <v>150</v>
      </c>
      <c r="C139" s="123">
        <v>0</v>
      </c>
      <c r="D139" s="300">
        <v>0</v>
      </c>
      <c r="E139" s="123">
        <v>40</v>
      </c>
      <c r="F139" s="301">
        <f t="shared" si="12"/>
        <v>0</v>
      </c>
      <c r="G139" s="303">
        <v>3.92</v>
      </c>
      <c r="H139" s="300">
        <f t="shared" si="13"/>
        <v>1.21</v>
      </c>
      <c r="I139" s="300">
        <v>5.65</v>
      </c>
      <c r="J139" s="300">
        <f t="shared" si="15"/>
        <v>0.16999999999999993</v>
      </c>
      <c r="K139" s="300">
        <v>12.82</v>
      </c>
      <c r="L139" s="300">
        <f t="shared" si="16"/>
        <v>6.45</v>
      </c>
      <c r="M139" s="300">
        <v>4.3899999999999997</v>
      </c>
      <c r="N139" s="300"/>
      <c r="O139" s="303">
        <f t="shared" si="14"/>
        <v>-3.9</v>
      </c>
      <c r="P139" s="311">
        <v>-3.9E-2</v>
      </c>
      <c r="Q139" s="306">
        <v>5</v>
      </c>
      <c r="R139" s="306">
        <v>0.51</v>
      </c>
    </row>
    <row r="140" spans="1:18">
      <c r="A140" s="63" t="s">
        <v>150</v>
      </c>
      <c r="B140" s="145" t="s">
        <v>136</v>
      </c>
      <c r="C140" s="123">
        <v>1</v>
      </c>
      <c r="D140" s="300">
        <v>2</v>
      </c>
      <c r="E140" s="123">
        <v>40</v>
      </c>
      <c r="F140" s="301">
        <f t="shared" si="12"/>
        <v>0.05</v>
      </c>
      <c r="G140" s="303">
        <v>5.32</v>
      </c>
      <c r="H140" s="300">
        <f t="shared" si="13"/>
        <v>1.4000000000000004</v>
      </c>
      <c r="I140" s="300">
        <v>16.739999999999998</v>
      </c>
      <c r="J140" s="300">
        <f t="shared" si="15"/>
        <v>11.089999999999998</v>
      </c>
      <c r="K140" s="300">
        <v>8.27</v>
      </c>
      <c r="L140" s="300">
        <f t="shared" si="16"/>
        <v>4.5500000000000007</v>
      </c>
      <c r="M140" s="300">
        <v>4.3899999999999997</v>
      </c>
      <c r="N140" s="300"/>
      <c r="O140" s="303">
        <f t="shared" si="14"/>
        <v>-3.9</v>
      </c>
      <c r="P140" s="311">
        <v>-3.9E-2</v>
      </c>
      <c r="Q140" s="306">
        <v>5</v>
      </c>
      <c r="R140" s="306">
        <v>0.51</v>
      </c>
    </row>
    <row r="141" spans="1:18">
      <c r="A141" s="63" t="s">
        <v>136</v>
      </c>
      <c r="B141" s="145" t="s">
        <v>137</v>
      </c>
      <c r="C141" s="123">
        <v>0</v>
      </c>
      <c r="D141" s="300">
        <v>0</v>
      </c>
      <c r="E141" s="123">
        <v>40</v>
      </c>
      <c r="F141" s="301">
        <f t="shared" si="12"/>
        <v>0</v>
      </c>
      <c r="G141" s="303">
        <v>4.9800000000000004</v>
      </c>
      <c r="H141" s="300">
        <f t="shared" si="13"/>
        <v>0.33999999999999986</v>
      </c>
      <c r="I141" s="300">
        <v>14.81</v>
      </c>
      <c r="J141" s="300">
        <f t="shared" si="15"/>
        <v>1.9299999999999979</v>
      </c>
      <c r="K141" s="300">
        <v>9.61</v>
      </c>
      <c r="L141" s="300">
        <f t="shared" si="16"/>
        <v>1.3399999999999999</v>
      </c>
      <c r="M141" s="300">
        <v>4.3899999999999997</v>
      </c>
      <c r="N141" s="300"/>
      <c r="O141" s="303">
        <f t="shared" si="14"/>
        <v>-3.9</v>
      </c>
      <c r="P141" s="311">
        <v>-3.9E-2</v>
      </c>
      <c r="Q141" s="306">
        <v>5</v>
      </c>
      <c r="R141" s="306">
        <v>0.51</v>
      </c>
    </row>
    <row r="142" spans="1:18">
      <c r="A142" s="63" t="s">
        <v>137</v>
      </c>
      <c r="B142" s="310" t="s">
        <v>138</v>
      </c>
      <c r="C142" s="123">
        <v>0</v>
      </c>
      <c r="D142" s="300">
        <v>0</v>
      </c>
      <c r="E142" s="123">
        <v>40</v>
      </c>
      <c r="F142" s="301">
        <f t="shared" si="12"/>
        <v>0</v>
      </c>
      <c r="G142" s="303">
        <v>3.41</v>
      </c>
      <c r="H142" s="300">
        <f t="shared" si="13"/>
        <v>1.5700000000000003</v>
      </c>
      <c r="I142" s="300">
        <v>3.87</v>
      </c>
      <c r="J142" s="300">
        <f t="shared" si="15"/>
        <v>10.940000000000001</v>
      </c>
      <c r="K142" s="300">
        <v>11.02</v>
      </c>
      <c r="L142" s="300">
        <f t="shared" si="16"/>
        <v>1.4100000000000001</v>
      </c>
      <c r="M142" s="300">
        <v>4.07</v>
      </c>
      <c r="N142" s="300">
        <f t="shared" ref="N142:N150" si="17">ABS(M142-M141)</f>
        <v>0.3199999999999994</v>
      </c>
      <c r="O142" s="303">
        <f t="shared" si="14"/>
        <v>-3.9</v>
      </c>
      <c r="P142" s="311">
        <v>-3.9E-2</v>
      </c>
      <c r="Q142" s="306">
        <v>5</v>
      </c>
      <c r="R142" s="306">
        <v>0.51</v>
      </c>
    </row>
    <row r="143" spans="1:18">
      <c r="A143" s="38" t="s">
        <v>138</v>
      </c>
      <c r="B143" s="310" t="s">
        <v>139</v>
      </c>
      <c r="C143" s="123">
        <v>1</v>
      </c>
      <c r="D143" s="300">
        <v>1</v>
      </c>
      <c r="E143" s="123">
        <v>40</v>
      </c>
      <c r="F143" s="301">
        <f t="shared" si="12"/>
        <v>2.5000000000000001E-2</v>
      </c>
      <c r="G143" s="303">
        <v>4.42</v>
      </c>
      <c r="H143" s="300">
        <f t="shared" si="13"/>
        <v>1.0099999999999998</v>
      </c>
      <c r="I143" s="300">
        <v>7.75</v>
      </c>
      <c r="J143" s="300">
        <f t="shared" si="15"/>
        <v>3.88</v>
      </c>
      <c r="K143" s="300">
        <v>10.6</v>
      </c>
      <c r="L143" s="300">
        <f t="shared" si="16"/>
        <v>0.41999999999999993</v>
      </c>
      <c r="M143" s="300">
        <v>4.07</v>
      </c>
      <c r="N143" s="300"/>
      <c r="O143" s="303">
        <f t="shared" si="14"/>
        <v>-6.2</v>
      </c>
      <c r="P143" s="311">
        <v>-6.2E-2</v>
      </c>
      <c r="Q143" s="306">
        <v>5.75</v>
      </c>
      <c r="R143" s="306">
        <v>0.36</v>
      </c>
    </row>
    <row r="144" spans="1:18">
      <c r="A144" s="38" t="s">
        <v>139</v>
      </c>
      <c r="B144" s="310" t="s">
        <v>140</v>
      </c>
      <c r="C144" s="123">
        <v>0</v>
      </c>
      <c r="D144" s="300">
        <v>0</v>
      </c>
      <c r="E144" s="123">
        <v>40</v>
      </c>
      <c r="F144" s="301">
        <f t="shared" si="12"/>
        <v>0</v>
      </c>
      <c r="G144" s="303">
        <v>1.89</v>
      </c>
      <c r="H144" s="300">
        <f t="shared" si="13"/>
        <v>2.5300000000000002</v>
      </c>
      <c r="I144" s="300">
        <v>4.84</v>
      </c>
      <c r="J144" s="300">
        <f t="shared" si="15"/>
        <v>2.91</v>
      </c>
      <c r="K144" s="300">
        <v>3.07</v>
      </c>
      <c r="L144" s="300">
        <f t="shared" si="16"/>
        <v>7.5299999999999994</v>
      </c>
      <c r="M144" s="300">
        <v>4.07</v>
      </c>
      <c r="N144" s="300"/>
      <c r="O144" s="303">
        <f t="shared" si="14"/>
        <v>-6.2</v>
      </c>
      <c r="P144" s="311">
        <v>-6.2E-2</v>
      </c>
      <c r="Q144" s="306">
        <v>5.75</v>
      </c>
      <c r="R144" s="306">
        <v>0.36</v>
      </c>
    </row>
    <row r="145" spans="1:18">
      <c r="A145" s="38" t="s">
        <v>140</v>
      </c>
      <c r="B145" s="310" t="s">
        <v>141</v>
      </c>
      <c r="C145" s="123">
        <v>0</v>
      </c>
      <c r="D145" s="300">
        <v>0</v>
      </c>
      <c r="E145" s="123">
        <v>40</v>
      </c>
      <c r="F145" s="301">
        <f t="shared" si="12"/>
        <v>0</v>
      </c>
      <c r="G145" s="303">
        <v>4.43</v>
      </c>
      <c r="H145" s="300">
        <f t="shared" si="13"/>
        <v>2.54</v>
      </c>
      <c r="I145" s="300">
        <v>8.64</v>
      </c>
      <c r="J145" s="300">
        <f t="shared" si="15"/>
        <v>3.8000000000000007</v>
      </c>
      <c r="K145" s="300">
        <v>9.73</v>
      </c>
      <c r="L145" s="300">
        <f t="shared" si="16"/>
        <v>6.66</v>
      </c>
      <c r="M145" s="300">
        <v>4.07</v>
      </c>
      <c r="N145" s="300"/>
      <c r="O145" s="303">
        <f t="shared" si="14"/>
        <v>-6.2</v>
      </c>
      <c r="P145" s="311">
        <v>-6.2E-2</v>
      </c>
      <c r="Q145" s="306">
        <v>5.75</v>
      </c>
      <c r="R145" s="306">
        <v>0.36</v>
      </c>
    </row>
    <row r="146" spans="1:18">
      <c r="A146" s="38" t="s">
        <v>141</v>
      </c>
      <c r="B146" s="310" t="s">
        <v>142</v>
      </c>
      <c r="C146" s="123">
        <v>0</v>
      </c>
      <c r="D146" s="300">
        <v>0</v>
      </c>
      <c r="E146" s="123">
        <v>37</v>
      </c>
      <c r="F146" s="301">
        <f t="shared" si="12"/>
        <v>0</v>
      </c>
      <c r="G146" s="303">
        <v>3.94</v>
      </c>
      <c r="H146" s="300">
        <f t="shared" si="13"/>
        <v>0.48999999999999977</v>
      </c>
      <c r="I146" s="300">
        <v>3.38</v>
      </c>
      <c r="J146" s="300">
        <f t="shared" si="15"/>
        <v>5.2600000000000007</v>
      </c>
      <c r="K146" s="300">
        <v>15.69</v>
      </c>
      <c r="L146" s="300">
        <f t="shared" si="16"/>
        <v>5.9599999999999991</v>
      </c>
      <c r="M146" s="300">
        <v>4.22</v>
      </c>
      <c r="N146" s="300">
        <f t="shared" si="17"/>
        <v>0.14999999999999947</v>
      </c>
      <c r="O146" s="303">
        <f t="shared" si="14"/>
        <v>-6.2</v>
      </c>
      <c r="P146" s="311">
        <v>-6.2E-2</v>
      </c>
      <c r="Q146" s="306">
        <v>5.75</v>
      </c>
      <c r="R146" s="306">
        <v>0.36</v>
      </c>
    </row>
    <row r="147" spans="1:18">
      <c r="A147" s="38" t="s">
        <v>142</v>
      </c>
      <c r="B147" s="310" t="s">
        <v>143</v>
      </c>
      <c r="C147" s="123">
        <v>0</v>
      </c>
      <c r="D147" s="300">
        <v>0</v>
      </c>
      <c r="E147" s="123">
        <v>37</v>
      </c>
      <c r="F147" s="301">
        <f t="shared" si="12"/>
        <v>0</v>
      </c>
      <c r="G147" s="303">
        <v>2.85</v>
      </c>
      <c r="H147" s="300">
        <f t="shared" si="13"/>
        <v>1.0899999999999999</v>
      </c>
      <c r="I147" s="300">
        <v>7.62</v>
      </c>
      <c r="J147" s="300">
        <f t="shared" si="15"/>
        <v>4.24</v>
      </c>
      <c r="K147" s="300">
        <v>4.54</v>
      </c>
      <c r="L147" s="300">
        <f t="shared" si="16"/>
        <v>11.149999999999999</v>
      </c>
      <c r="M147" s="300">
        <v>4.22</v>
      </c>
      <c r="N147" s="300"/>
      <c r="O147" s="303">
        <f t="shared" si="14"/>
        <v>-18</v>
      </c>
      <c r="P147" s="311">
        <v>-0.18</v>
      </c>
      <c r="Q147" s="306">
        <v>6.25</v>
      </c>
      <c r="R147" s="306">
        <v>0.24</v>
      </c>
    </row>
    <row r="148" spans="1:18">
      <c r="A148" s="38" t="s">
        <v>143</v>
      </c>
      <c r="B148" s="310" t="s">
        <v>144</v>
      </c>
      <c r="C148" s="123">
        <v>0</v>
      </c>
      <c r="D148" s="300">
        <v>0</v>
      </c>
      <c r="E148" s="123">
        <v>37</v>
      </c>
      <c r="F148" s="301">
        <f t="shared" si="12"/>
        <v>0</v>
      </c>
      <c r="G148" s="303">
        <v>2.14</v>
      </c>
      <c r="H148" s="300">
        <f t="shared" si="13"/>
        <v>0.71</v>
      </c>
      <c r="I148" s="300">
        <v>2.7</v>
      </c>
      <c r="J148" s="300">
        <f t="shared" si="15"/>
        <v>4.92</v>
      </c>
      <c r="K148" s="300">
        <v>6.65</v>
      </c>
      <c r="L148" s="300">
        <f t="shared" si="16"/>
        <v>2.1100000000000003</v>
      </c>
      <c r="M148" s="300">
        <v>4.22</v>
      </c>
      <c r="N148" s="300"/>
      <c r="O148" s="303">
        <f t="shared" si="14"/>
        <v>-18</v>
      </c>
      <c r="P148" s="311">
        <v>-0.18</v>
      </c>
      <c r="Q148" s="306">
        <v>6.25</v>
      </c>
      <c r="R148" s="306">
        <v>0.24</v>
      </c>
    </row>
    <row r="149" spans="1:18">
      <c r="A149" s="38" t="s">
        <v>144</v>
      </c>
      <c r="B149" s="310" t="s">
        <v>145</v>
      </c>
      <c r="C149" s="123">
        <v>0</v>
      </c>
      <c r="D149" s="300">
        <v>0</v>
      </c>
      <c r="E149" s="123">
        <v>37</v>
      </c>
      <c r="F149" s="301">
        <f t="shared" si="12"/>
        <v>0</v>
      </c>
      <c r="G149" s="303">
        <v>2.72</v>
      </c>
      <c r="H149" s="300">
        <f t="shared" si="13"/>
        <v>0.58000000000000007</v>
      </c>
      <c r="I149" s="300">
        <v>5.66</v>
      </c>
      <c r="J149" s="300">
        <f t="shared" si="15"/>
        <v>2.96</v>
      </c>
      <c r="K149" s="300">
        <v>5.3</v>
      </c>
      <c r="L149" s="300">
        <f t="shared" si="16"/>
        <v>1.3500000000000005</v>
      </c>
      <c r="M149" s="300">
        <v>4.22</v>
      </c>
      <c r="N149" s="300"/>
      <c r="O149" s="303">
        <f t="shared" si="14"/>
        <v>-18</v>
      </c>
      <c r="P149" s="311">
        <v>-0.18</v>
      </c>
      <c r="Q149" s="306">
        <v>6.25</v>
      </c>
      <c r="R149" s="306">
        <v>0.24</v>
      </c>
    </row>
    <row r="150" spans="1:18">
      <c r="A150" s="38" t="s">
        <v>145</v>
      </c>
      <c r="B150" s="310" t="s">
        <v>146</v>
      </c>
      <c r="C150" s="123">
        <v>1</v>
      </c>
      <c r="D150" s="300">
        <v>1</v>
      </c>
      <c r="E150" s="123">
        <v>46</v>
      </c>
      <c r="F150" s="301">
        <f t="shared" si="12"/>
        <v>2.1739130434782608E-2</v>
      </c>
      <c r="G150" s="303">
        <v>2.56</v>
      </c>
      <c r="H150" s="300">
        <f t="shared" si="13"/>
        <v>0.16000000000000014</v>
      </c>
      <c r="I150" s="300">
        <v>6.28</v>
      </c>
      <c r="J150" s="300">
        <f t="shared" si="15"/>
        <v>0.62000000000000011</v>
      </c>
      <c r="K150" s="300">
        <v>3.74</v>
      </c>
      <c r="L150" s="300">
        <f t="shared" si="16"/>
        <v>1.5599999999999996</v>
      </c>
      <c r="M150" s="300">
        <v>4.13</v>
      </c>
      <c r="N150" s="300">
        <f t="shared" si="17"/>
        <v>8.9999999999999858E-2</v>
      </c>
      <c r="O150" s="303">
        <f t="shared" si="14"/>
        <v>-18</v>
      </c>
      <c r="P150" s="311">
        <v>-0.18</v>
      </c>
      <c r="Q150" s="306">
        <v>6.25</v>
      </c>
      <c r="R150" s="306">
        <v>0.24</v>
      </c>
    </row>
    <row r="151" spans="1:18">
      <c r="A151" s="38" t="s">
        <v>146</v>
      </c>
      <c r="B151" s="310" t="s">
        <v>147</v>
      </c>
      <c r="C151" s="123">
        <v>0</v>
      </c>
      <c r="D151" s="300">
        <v>0</v>
      </c>
      <c r="E151" s="123">
        <v>46</v>
      </c>
      <c r="F151" s="301">
        <f t="shared" si="12"/>
        <v>0</v>
      </c>
      <c r="G151" s="303">
        <v>2.2999999999999998</v>
      </c>
      <c r="H151" s="300">
        <f t="shared" si="13"/>
        <v>0.26000000000000023</v>
      </c>
      <c r="I151" s="300">
        <v>3.24</v>
      </c>
      <c r="J151" s="300">
        <f t="shared" si="15"/>
        <v>3.04</v>
      </c>
      <c r="K151" s="300">
        <v>5.51</v>
      </c>
      <c r="L151" s="300">
        <f t="shared" si="16"/>
        <v>1.7699999999999996</v>
      </c>
      <c r="M151" s="300">
        <v>4.13</v>
      </c>
      <c r="N151" s="300"/>
      <c r="O151" s="303">
        <f t="shared" si="14"/>
        <v>-7.3999999999999995</v>
      </c>
      <c r="P151" s="311">
        <v>-7.3999999999999996E-2</v>
      </c>
      <c r="Q151" s="306">
        <v>5.69</v>
      </c>
      <c r="R151" s="306">
        <v>0.22</v>
      </c>
    </row>
    <row r="152" spans="1:18">
      <c r="A152" s="38" t="s">
        <v>147</v>
      </c>
      <c r="B152" s="310" t="s">
        <v>148</v>
      </c>
      <c r="C152" s="123">
        <v>1</v>
      </c>
      <c r="D152" s="300">
        <v>1</v>
      </c>
      <c r="E152" s="123">
        <v>46</v>
      </c>
      <c r="F152" s="301">
        <f t="shared" si="12"/>
        <v>2.1739130434782608E-2</v>
      </c>
      <c r="G152" s="303">
        <v>2.4300000000000002</v>
      </c>
      <c r="H152" s="300">
        <f t="shared" si="13"/>
        <v>0.13000000000000034</v>
      </c>
      <c r="I152" s="300">
        <v>3.55</v>
      </c>
      <c r="J152" s="300">
        <f t="shared" si="15"/>
        <v>0.30999999999999961</v>
      </c>
      <c r="K152" s="300">
        <v>5.99</v>
      </c>
      <c r="L152" s="300">
        <f t="shared" si="16"/>
        <v>0.48000000000000043</v>
      </c>
      <c r="M152" s="300">
        <v>4.13</v>
      </c>
      <c r="N152" s="300"/>
      <c r="O152" s="303">
        <f t="shared" si="14"/>
        <v>-7.3999999999999995</v>
      </c>
      <c r="P152" s="311">
        <v>-7.3999999999999996E-2</v>
      </c>
      <c r="Q152" s="306">
        <v>5.69</v>
      </c>
      <c r="R152" s="306">
        <v>0.22</v>
      </c>
    </row>
    <row r="153" spans="1:18">
      <c r="A153" s="38" t="s">
        <v>148</v>
      </c>
      <c r="B153" s="310" t="s">
        <v>847</v>
      </c>
      <c r="C153" s="123">
        <v>0</v>
      </c>
      <c r="D153" s="300">
        <v>0</v>
      </c>
      <c r="E153" s="123">
        <v>46</v>
      </c>
      <c r="F153" s="301">
        <f t="shared" si="12"/>
        <v>0</v>
      </c>
      <c r="G153" s="303">
        <v>2.65</v>
      </c>
      <c r="H153" s="300">
        <f t="shared" si="13"/>
        <v>0.21999999999999975</v>
      </c>
      <c r="I153" s="300">
        <v>3.75</v>
      </c>
      <c r="J153" s="300">
        <f t="shared" si="15"/>
        <v>0.20000000000000018</v>
      </c>
      <c r="K153" s="300">
        <v>6.6</v>
      </c>
      <c r="L153" s="300">
        <f t="shared" si="16"/>
        <v>0.60999999999999943</v>
      </c>
      <c r="M153" s="300">
        <v>4.13</v>
      </c>
      <c r="N153" s="300"/>
      <c r="O153" s="303">
        <f t="shared" si="14"/>
        <v>-7.3999999999999995</v>
      </c>
      <c r="P153" s="311">
        <v>-7.3999999999999996E-2</v>
      </c>
      <c r="Q153" s="306">
        <v>5.69</v>
      </c>
      <c r="R153" s="306">
        <v>0.22</v>
      </c>
    </row>
    <row r="154" spans="1:18" s="84" customFormat="1">
      <c r="B154" s="324" t="s">
        <v>836</v>
      </c>
      <c r="C154" s="325"/>
      <c r="D154" s="325"/>
      <c r="E154" s="326"/>
      <c r="F154" s="327">
        <f>AVERAGE(F2:F153)</f>
        <v>8.1267972399619984E-2</v>
      </c>
      <c r="G154" s="328"/>
      <c r="H154" s="329">
        <f>AVERAGE(H2:H153)</f>
        <v>5.8251388888888851</v>
      </c>
      <c r="I154" s="329"/>
      <c r="J154" s="329">
        <f>AVERAGE(J2:J153)</f>
        <v>14.662430555555558</v>
      </c>
      <c r="K154" s="329"/>
      <c r="L154" s="329">
        <f>AVERAGE(L2:L153)</f>
        <v>6.1472916666666668</v>
      </c>
      <c r="M154" s="329"/>
      <c r="N154" s="330">
        <f>AVERAGE(N2:N153)</f>
        <v>2.1743999999999999</v>
      </c>
      <c r="O154" s="331"/>
      <c r="P154" s="332"/>
      <c r="Q154" s="333"/>
      <c r="R154" s="333"/>
    </row>
    <row r="155" spans="1:18" s="84" customFormat="1">
      <c r="B155" s="105"/>
      <c r="C155" s="65"/>
      <c r="D155" s="65"/>
      <c r="E155" s="361"/>
      <c r="F155" s="362"/>
      <c r="G155" s="86"/>
      <c r="H155" s="363"/>
      <c r="I155" s="363"/>
      <c r="J155" s="363"/>
      <c r="K155" s="363"/>
      <c r="L155" s="363"/>
      <c r="M155" s="363"/>
      <c r="N155" s="364"/>
      <c r="P155" s="87"/>
      <c r="Q155" s="88"/>
      <c r="R155" s="88"/>
    </row>
    <row r="156" spans="1:18">
      <c r="B156" s="353" t="s">
        <v>4482</v>
      </c>
      <c r="C156" s="38"/>
      <c r="D156" s="65"/>
      <c r="E156" s="38"/>
      <c r="F156" s="85"/>
      <c r="G156" s="86"/>
      <c r="H156" s="65"/>
      <c r="I156" s="65"/>
      <c r="J156" s="65"/>
      <c r="K156" s="65"/>
      <c r="L156" s="65"/>
      <c r="M156" s="65"/>
      <c r="N156" s="65"/>
    </row>
    <row r="157" spans="1:18">
      <c r="B157" s="91"/>
      <c r="C157" s="38"/>
      <c r="D157" s="65"/>
      <c r="E157" s="38"/>
      <c r="F157" s="85"/>
      <c r="G157" s="86"/>
      <c r="H157" s="65"/>
      <c r="I157" s="86"/>
      <c r="J157" s="86"/>
      <c r="K157" s="86"/>
      <c r="L157" s="86"/>
      <c r="M157" s="86"/>
      <c r="N157" s="86"/>
    </row>
    <row r="158" spans="1:18">
      <c r="B158" s="91"/>
      <c r="C158" s="38"/>
      <c r="D158" s="65"/>
      <c r="E158" s="38"/>
      <c r="F158" s="85"/>
      <c r="G158" s="86"/>
      <c r="H158" s="65"/>
      <c r="I158" s="86"/>
      <c r="J158" s="86"/>
      <c r="K158" s="86"/>
      <c r="L158" s="86"/>
      <c r="M158" s="86"/>
      <c r="N158" s="86"/>
    </row>
    <row r="159" spans="1:18">
      <c r="B159" s="91"/>
      <c r="C159" s="38"/>
      <c r="D159" s="65"/>
      <c r="E159" s="38"/>
      <c r="F159" s="85"/>
      <c r="G159" s="86"/>
      <c r="H159" s="65"/>
      <c r="I159" s="86"/>
      <c r="J159" s="86"/>
      <c r="K159" s="86"/>
      <c r="L159" s="86"/>
      <c r="M159" s="86"/>
      <c r="N159" s="86"/>
    </row>
    <row r="160" spans="1:18">
      <c r="B160" s="91"/>
      <c r="C160" s="38"/>
      <c r="D160" s="65"/>
      <c r="E160" s="38"/>
      <c r="F160" s="85"/>
      <c r="G160" s="86"/>
      <c r="H160" s="65"/>
      <c r="I160" s="86"/>
      <c r="J160" s="86"/>
      <c r="K160" s="86"/>
      <c r="L160" s="86"/>
      <c r="M160" s="86"/>
      <c r="N160" s="86"/>
    </row>
    <row r="161" spans="2:14">
      <c r="B161" s="91"/>
      <c r="C161" s="38"/>
      <c r="D161" s="65"/>
      <c r="E161" s="38"/>
      <c r="F161" s="85"/>
      <c r="G161" s="86"/>
      <c r="H161" s="65"/>
      <c r="I161" s="86"/>
      <c r="J161" s="86"/>
      <c r="K161" s="86"/>
      <c r="L161" s="86"/>
      <c r="M161" s="86"/>
      <c r="N161" s="86"/>
    </row>
    <row r="162" spans="2:14">
      <c r="B162" s="91"/>
      <c r="C162" s="38"/>
      <c r="D162" s="65"/>
      <c r="E162" s="38"/>
      <c r="F162" s="85"/>
      <c r="G162" s="86"/>
      <c r="H162" s="65"/>
      <c r="I162" s="86"/>
      <c r="J162" s="86"/>
      <c r="K162" s="86"/>
      <c r="L162" s="86"/>
      <c r="M162" s="86"/>
      <c r="N162" s="86"/>
    </row>
    <row r="163" spans="2:14">
      <c r="B163" s="91"/>
      <c r="C163" s="38"/>
      <c r="D163" s="65"/>
      <c r="E163" s="65"/>
    </row>
  </sheetData>
  <pageMargins left="0.7" right="0.7" top="0.75" bottom="0.75" header="0.3" footer="0.3"/>
  <pageSetup paperSize="9" orientation="landscape"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enableFormatConditionsCalculation="0"/>
  <dimension ref="A1:C70"/>
  <sheetViews>
    <sheetView workbookViewId="0"/>
  </sheetViews>
  <sheetFormatPr baseColWidth="10" defaultRowHeight="15.75"/>
  <sheetData>
    <row r="1" spans="1:3">
      <c r="A1" s="2">
        <v>1</v>
      </c>
      <c r="B1">
        <f t="shared" ref="B1:B32" si="0">-0.0125302641+(A1-1)*0.0006607598</f>
        <v>-1.2530264100000001E-2</v>
      </c>
      <c r="C1">
        <f t="shared" ref="C1:C32" si="1">0+1*B1-0.046681479402183*(1.00657894736842+(B1-0.0103467566886897)^2/0.0825891914010576)^0.5</f>
        <v>-5.9512241365426301E-2</v>
      </c>
    </row>
    <row r="2" spans="1:3">
      <c r="A2" s="2">
        <v>2</v>
      </c>
      <c r="B2">
        <f t="shared" si="0"/>
        <v>-1.18695043E-2</v>
      </c>
      <c r="C2">
        <f t="shared" si="1"/>
        <v>-5.8843114005059913E-2</v>
      </c>
    </row>
    <row r="3" spans="1:3">
      <c r="A3" s="2">
        <v>3</v>
      </c>
      <c r="B3">
        <f t="shared" si="0"/>
        <v>-1.1208744500000001E-2</v>
      </c>
      <c r="C3">
        <f t="shared" si="1"/>
        <v>-5.8174230441461437E-2</v>
      </c>
    </row>
    <row r="4" spans="1:3">
      <c r="A4" s="2">
        <v>4</v>
      </c>
      <c r="B4">
        <f t="shared" si="0"/>
        <v>-1.0547984700000001E-2</v>
      </c>
      <c r="C4">
        <f t="shared" si="1"/>
        <v>-5.7505590801162902E-2</v>
      </c>
    </row>
    <row r="5" spans="1:3">
      <c r="A5" s="2">
        <v>5</v>
      </c>
      <c r="B5">
        <f t="shared" si="0"/>
        <v>-9.8872249000000016E-3</v>
      </c>
      <c r="C5">
        <f t="shared" si="1"/>
        <v>-5.6837195206980815E-2</v>
      </c>
    </row>
    <row r="6" spans="1:3">
      <c r="A6" s="2">
        <v>6</v>
      </c>
      <c r="B6">
        <f t="shared" si="0"/>
        <v>-9.226465100000001E-3</v>
      </c>
      <c r="C6">
        <f t="shared" si="1"/>
        <v>-5.6169043778006578E-2</v>
      </c>
    </row>
    <row r="7" spans="1:3">
      <c r="A7" s="2">
        <v>7</v>
      </c>
      <c r="B7">
        <f t="shared" si="0"/>
        <v>-8.5657053000000004E-3</v>
      </c>
      <c r="C7">
        <f t="shared" si="1"/>
        <v>-5.550113662959727E-2</v>
      </c>
    </row>
    <row r="8" spans="1:3">
      <c r="A8" s="2">
        <v>8</v>
      </c>
      <c r="B8">
        <f t="shared" si="0"/>
        <v>-7.9049454999999998E-3</v>
      </c>
      <c r="C8">
        <f t="shared" si="1"/>
        <v>-5.4833473873366803E-2</v>
      </c>
    </row>
    <row r="9" spans="1:3">
      <c r="A9" s="2">
        <v>9</v>
      </c>
      <c r="B9">
        <f t="shared" si="0"/>
        <v>-7.2441857000000009E-3</v>
      </c>
      <c r="C9">
        <f t="shared" si="1"/>
        <v>-5.4166055617177154E-2</v>
      </c>
    </row>
    <row r="10" spans="1:3">
      <c r="A10" s="2">
        <v>10</v>
      </c>
      <c r="B10">
        <f t="shared" si="0"/>
        <v>-6.5834259000000011E-3</v>
      </c>
      <c r="C10">
        <f t="shared" si="1"/>
        <v>-5.3498881965129995E-2</v>
      </c>
    </row>
    <row r="11" spans="1:3">
      <c r="A11" s="2">
        <v>11</v>
      </c>
      <c r="B11">
        <f t="shared" si="0"/>
        <v>-5.9226661000000014E-3</v>
      </c>
      <c r="C11">
        <f t="shared" si="1"/>
        <v>-5.2831953017558657E-2</v>
      </c>
    </row>
    <row r="12" spans="1:3">
      <c r="A12" s="2">
        <v>12</v>
      </c>
      <c r="B12">
        <f t="shared" si="0"/>
        <v>-5.2619063000000008E-3</v>
      </c>
      <c r="C12">
        <f t="shared" si="1"/>
        <v>-5.2165268871020264E-2</v>
      </c>
    </row>
    <row r="13" spans="1:3">
      <c r="A13" s="2">
        <v>13</v>
      </c>
      <c r="B13">
        <f t="shared" si="0"/>
        <v>-4.6011465000000001E-3</v>
      </c>
      <c r="C13">
        <f t="shared" si="1"/>
        <v>-5.1498829618288243E-2</v>
      </c>
    </row>
    <row r="14" spans="1:3">
      <c r="A14" s="2">
        <v>14</v>
      </c>
      <c r="B14">
        <f t="shared" si="0"/>
        <v>-3.9403867000000013E-3</v>
      </c>
      <c r="C14">
        <f t="shared" si="1"/>
        <v>-5.0832635348345055E-2</v>
      </c>
    </row>
    <row r="15" spans="1:3">
      <c r="A15" s="2">
        <v>15</v>
      </c>
      <c r="B15">
        <f t="shared" si="0"/>
        <v>-3.2796269000000006E-3</v>
      </c>
      <c r="C15">
        <f t="shared" si="1"/>
        <v>-5.0166686146375296E-2</v>
      </c>
    </row>
    <row r="16" spans="1:3">
      <c r="A16" s="2">
        <v>16</v>
      </c>
      <c r="B16">
        <f t="shared" si="0"/>
        <v>-2.6188671000000018E-3</v>
      </c>
      <c r="C16">
        <f t="shared" si="1"/>
        <v>-4.9500982093759027E-2</v>
      </c>
    </row>
    <row r="17" spans="1:3">
      <c r="A17" s="2">
        <v>17</v>
      </c>
      <c r="B17">
        <f t="shared" si="0"/>
        <v>-1.9581073000000011E-3</v>
      </c>
      <c r="C17">
        <f t="shared" si="1"/>
        <v>-4.8835523268065367E-2</v>
      </c>
    </row>
    <row r="18" spans="1:3">
      <c r="A18" s="2">
        <v>18</v>
      </c>
      <c r="B18">
        <f t="shared" si="0"/>
        <v>-1.2973475000000005E-3</v>
      </c>
      <c r="C18">
        <f t="shared" si="1"/>
        <v>-4.8170309743046508E-2</v>
      </c>
    </row>
    <row r="19" spans="1:3">
      <c r="A19" s="2">
        <v>19</v>
      </c>
      <c r="B19">
        <f t="shared" si="0"/>
        <v>-6.3658770000000163E-4</v>
      </c>
      <c r="C19">
        <f t="shared" si="1"/>
        <v>-4.7505341588631858E-2</v>
      </c>
    </row>
    <row r="20" spans="1:3">
      <c r="A20" s="2">
        <v>20</v>
      </c>
      <c r="B20">
        <f t="shared" si="0"/>
        <v>2.4172099999998989E-5</v>
      </c>
      <c r="C20">
        <f t="shared" si="1"/>
        <v>-4.6840618870922647E-2</v>
      </c>
    </row>
    <row r="21" spans="1:3">
      <c r="A21" s="2">
        <v>21</v>
      </c>
      <c r="B21">
        <f t="shared" si="0"/>
        <v>6.8493189999999787E-4</v>
      </c>
      <c r="C21">
        <f t="shared" si="1"/>
        <v>-4.617614165218669E-2</v>
      </c>
    </row>
    <row r="22" spans="1:3">
      <c r="A22" s="2">
        <v>22</v>
      </c>
      <c r="B22">
        <f t="shared" si="0"/>
        <v>1.3456916999999985E-3</v>
      </c>
      <c r="C22">
        <f t="shared" si="1"/>
        <v>-4.5511909990853486E-2</v>
      </c>
    </row>
    <row r="23" spans="1:3">
      <c r="A23" s="2">
        <v>23</v>
      </c>
      <c r="B23">
        <f t="shared" si="0"/>
        <v>2.0064514999999991E-3</v>
      </c>
      <c r="C23">
        <f t="shared" si="1"/>
        <v>-4.4847923941509722E-2</v>
      </c>
    </row>
    <row r="24" spans="1:3">
      <c r="A24" s="2">
        <v>24</v>
      </c>
      <c r="B24">
        <f t="shared" si="0"/>
        <v>2.667211299999998E-3</v>
      </c>
      <c r="C24">
        <f t="shared" si="1"/>
        <v>-4.4184183554894882E-2</v>
      </c>
    </row>
    <row r="25" spans="1:3">
      <c r="A25" s="2">
        <v>25</v>
      </c>
      <c r="B25">
        <f t="shared" si="0"/>
        <v>3.3279711000000003E-3</v>
      </c>
      <c r="C25">
        <f t="shared" si="1"/>
        <v>-4.3520688877897347E-2</v>
      </c>
    </row>
    <row r="26" spans="1:3">
      <c r="A26" s="2">
        <v>26</v>
      </c>
      <c r="B26">
        <f t="shared" si="0"/>
        <v>3.9887308999999975E-3</v>
      </c>
      <c r="C26">
        <f t="shared" si="1"/>
        <v>-4.2857439953550638E-2</v>
      </c>
    </row>
    <row r="27" spans="1:3">
      <c r="A27" s="2">
        <v>27</v>
      </c>
      <c r="B27">
        <f t="shared" si="0"/>
        <v>4.6494906999999981E-3</v>
      </c>
      <c r="C27">
        <f t="shared" si="1"/>
        <v>-4.2194436821030121E-2</v>
      </c>
    </row>
    <row r="28" spans="1:3">
      <c r="A28" s="2">
        <v>28</v>
      </c>
      <c r="B28">
        <f t="shared" si="0"/>
        <v>5.3102504999999987E-3</v>
      </c>
      <c r="C28">
        <f t="shared" si="1"/>
        <v>-4.1531679515649844E-2</v>
      </c>
    </row>
    <row r="29" spans="1:3">
      <c r="A29" s="2">
        <v>29</v>
      </c>
      <c r="B29">
        <f t="shared" si="0"/>
        <v>5.9710102999999994E-3</v>
      </c>
      <c r="C29">
        <f t="shared" si="1"/>
        <v>-4.0869168068859776E-2</v>
      </c>
    </row>
    <row r="30" spans="1:3">
      <c r="A30" s="2">
        <v>30</v>
      </c>
      <c r="B30">
        <f t="shared" si="0"/>
        <v>6.6317701E-3</v>
      </c>
      <c r="C30">
        <f t="shared" si="1"/>
        <v>-4.0206902508243381E-2</v>
      </c>
    </row>
    <row r="31" spans="1:3">
      <c r="A31" s="2">
        <v>31</v>
      </c>
      <c r="B31">
        <f t="shared" si="0"/>
        <v>7.2925298999999971E-3</v>
      </c>
      <c r="C31">
        <f t="shared" si="1"/>
        <v>-3.9544882857515402E-2</v>
      </c>
    </row>
    <row r="32" spans="1:3">
      <c r="A32" s="2">
        <v>32</v>
      </c>
      <c r="B32">
        <f t="shared" si="0"/>
        <v>7.9532896999999977E-3</v>
      </c>
      <c r="C32">
        <f t="shared" si="1"/>
        <v>-3.888310913652001E-2</v>
      </c>
    </row>
    <row r="33" spans="1:3">
      <c r="A33" s="2">
        <v>33</v>
      </c>
      <c r="B33">
        <f t="shared" ref="B33:B64" si="2">-0.0125302641+(A33-1)*0.0006607598</f>
        <v>8.6140494999999984E-3</v>
      </c>
      <c r="C33">
        <f t="shared" ref="C33:C64" si="3">0+1*B33-0.046681479402183*(1.00657894736842+(B33-0.0103467566886897)^2/0.0825891914010576)^0.5</f>
        <v>-3.8221581361229218E-2</v>
      </c>
    </row>
    <row r="34" spans="1:3">
      <c r="A34" s="2">
        <v>34</v>
      </c>
      <c r="B34">
        <f t="shared" si="2"/>
        <v>9.274809299999999E-3</v>
      </c>
      <c r="C34">
        <f t="shared" si="3"/>
        <v>-3.7560299543741668E-2</v>
      </c>
    </row>
    <row r="35" spans="1:3">
      <c r="A35" s="2">
        <v>35</v>
      </c>
      <c r="B35">
        <f t="shared" si="2"/>
        <v>9.9355690999999996E-3</v>
      </c>
      <c r="C35">
        <f t="shared" si="3"/>
        <v>-3.6899263692281629E-2</v>
      </c>
    </row>
    <row r="36" spans="1:3">
      <c r="A36" s="2">
        <v>36</v>
      </c>
      <c r="B36">
        <f t="shared" si="2"/>
        <v>1.0596328899999997E-2</v>
      </c>
      <c r="C36">
        <f t="shared" si="3"/>
        <v>-3.6238473811198407E-2</v>
      </c>
    </row>
    <row r="37" spans="1:3">
      <c r="A37" s="2">
        <v>37</v>
      </c>
      <c r="B37">
        <f t="shared" si="2"/>
        <v>1.1257088699999997E-2</v>
      </c>
      <c r="C37">
        <f t="shared" si="3"/>
        <v>-3.5577929900965921E-2</v>
      </c>
    </row>
    <row r="38" spans="1:3">
      <c r="A38" s="2">
        <v>38</v>
      </c>
      <c r="B38">
        <f t="shared" si="2"/>
        <v>1.1917848499999998E-2</v>
      </c>
      <c r="C38">
        <f t="shared" si="3"/>
        <v>-3.4917631958182732E-2</v>
      </c>
    </row>
    <row r="39" spans="1:3">
      <c r="A39" s="2">
        <v>39</v>
      </c>
      <c r="B39">
        <f t="shared" si="2"/>
        <v>1.2578608299999999E-2</v>
      </c>
      <c r="C39">
        <f t="shared" si="3"/>
        <v>-3.4257579975572341E-2</v>
      </c>
    </row>
    <row r="40" spans="1:3">
      <c r="A40" s="2">
        <v>40</v>
      </c>
      <c r="B40">
        <f t="shared" si="2"/>
        <v>1.3239368099999999E-2</v>
      </c>
      <c r="C40">
        <f t="shared" si="3"/>
        <v>-3.3597773941983627E-2</v>
      </c>
    </row>
    <row r="41" spans="1:3">
      <c r="A41" s="2">
        <v>41</v>
      </c>
      <c r="B41">
        <f t="shared" si="2"/>
        <v>1.3900127899999996E-2</v>
      </c>
      <c r="C41">
        <f t="shared" si="3"/>
        <v>-3.2938213842391872E-2</v>
      </c>
    </row>
    <row r="42" spans="1:3">
      <c r="A42" s="2">
        <v>42</v>
      </c>
      <c r="B42">
        <f t="shared" si="2"/>
        <v>1.4560887699999997E-2</v>
      </c>
      <c r="C42">
        <f t="shared" si="3"/>
        <v>-3.2278899657899852E-2</v>
      </c>
    </row>
    <row r="43" spans="1:3">
      <c r="A43" s="2">
        <v>43</v>
      </c>
      <c r="B43">
        <f t="shared" si="2"/>
        <v>1.5221647499999998E-2</v>
      </c>
      <c r="C43">
        <f t="shared" si="3"/>
        <v>-3.1619831365739391E-2</v>
      </c>
    </row>
    <row r="44" spans="1:3">
      <c r="A44" s="2">
        <v>44</v>
      </c>
      <c r="B44">
        <f t="shared" si="2"/>
        <v>1.5882407299999998E-2</v>
      </c>
      <c r="C44">
        <f t="shared" si="3"/>
        <v>-3.0961008939273074E-2</v>
      </c>
    </row>
    <row r="45" spans="1:3">
      <c r="A45" s="2">
        <v>45</v>
      </c>
      <c r="B45">
        <f t="shared" si="2"/>
        <v>1.6543167099999999E-2</v>
      </c>
      <c r="C45">
        <f t="shared" si="3"/>
        <v>-3.0302432347996427E-2</v>
      </c>
    </row>
    <row r="46" spans="1:3">
      <c r="A46" s="2">
        <v>46</v>
      </c>
      <c r="B46">
        <f t="shared" si="2"/>
        <v>1.7203926899999999E-2</v>
      </c>
      <c r="C46">
        <f t="shared" si="3"/>
        <v>-2.9644101557540249E-2</v>
      </c>
    </row>
    <row r="47" spans="1:3">
      <c r="A47" s="2">
        <v>47</v>
      </c>
      <c r="B47">
        <f t="shared" si="2"/>
        <v>1.7864686699999997E-2</v>
      </c>
      <c r="C47">
        <f t="shared" si="3"/>
        <v>-2.8986016529673388E-2</v>
      </c>
    </row>
    <row r="48" spans="1:3">
      <c r="A48" s="2">
        <v>48</v>
      </c>
      <c r="B48">
        <f t="shared" si="2"/>
        <v>1.8525446499999997E-2</v>
      </c>
      <c r="C48">
        <f t="shared" si="3"/>
        <v>-2.8328177222305653E-2</v>
      </c>
    </row>
    <row r="49" spans="1:3">
      <c r="A49" s="2">
        <v>49</v>
      </c>
      <c r="B49">
        <f t="shared" si="2"/>
        <v>1.9186206300000001E-2</v>
      </c>
      <c r="C49">
        <f t="shared" si="3"/>
        <v>-2.7670583589491211E-2</v>
      </c>
    </row>
    <row r="50" spans="1:3">
      <c r="A50" s="2">
        <v>50</v>
      </c>
      <c r="B50">
        <f t="shared" si="2"/>
        <v>1.9846966099999995E-2</v>
      </c>
      <c r="C50">
        <f t="shared" si="3"/>
        <v>-2.7013235581432163E-2</v>
      </c>
    </row>
    <row r="51" spans="1:3">
      <c r="A51" s="2">
        <v>51</v>
      </c>
      <c r="B51">
        <f t="shared" si="2"/>
        <v>2.0507725899999996E-2</v>
      </c>
      <c r="C51">
        <f t="shared" si="3"/>
        <v>-2.6356133144482409E-2</v>
      </c>
    </row>
    <row r="52" spans="1:3">
      <c r="A52" s="2">
        <v>52</v>
      </c>
      <c r="B52">
        <f t="shared" si="2"/>
        <v>2.1168485699999996E-2</v>
      </c>
      <c r="C52">
        <f t="shared" si="3"/>
        <v>-2.5699276221151979E-2</v>
      </c>
    </row>
    <row r="53" spans="1:3">
      <c r="A53" s="2">
        <v>53</v>
      </c>
      <c r="B53">
        <f t="shared" si="2"/>
        <v>2.1829245499999997E-2</v>
      </c>
      <c r="C53">
        <f t="shared" si="3"/>
        <v>-2.5042664750111403E-2</v>
      </c>
    </row>
    <row r="54" spans="1:3">
      <c r="A54" s="2">
        <v>54</v>
      </c>
      <c r="B54">
        <f t="shared" si="2"/>
        <v>2.2490005299999997E-2</v>
      </c>
      <c r="C54">
        <f t="shared" si="3"/>
        <v>-2.4386298666196619E-2</v>
      </c>
    </row>
    <row r="55" spans="1:3">
      <c r="A55" s="2">
        <v>55</v>
      </c>
      <c r="B55">
        <f t="shared" si="2"/>
        <v>2.3150765099999998E-2</v>
      </c>
      <c r="C55">
        <f t="shared" si="3"/>
        <v>-2.3730177900414068E-2</v>
      </c>
    </row>
    <row r="56" spans="1:3">
      <c r="A56" s="2">
        <v>56</v>
      </c>
      <c r="B56">
        <f t="shared" si="2"/>
        <v>2.3811524899999999E-2</v>
      </c>
      <c r="C56">
        <f t="shared" si="3"/>
        <v>-2.3074302379946031E-2</v>
      </c>
    </row>
    <row r="57" spans="1:3">
      <c r="A57" s="2">
        <v>57</v>
      </c>
      <c r="B57">
        <f t="shared" si="2"/>
        <v>2.4472284699999999E-2</v>
      </c>
      <c r="C57">
        <f t="shared" si="3"/>
        <v>-2.2418672028156429E-2</v>
      </c>
    </row>
    <row r="58" spans="1:3">
      <c r="A58" s="2">
        <v>58</v>
      </c>
      <c r="B58">
        <f t="shared" si="2"/>
        <v>2.51330445E-2</v>
      </c>
      <c r="C58">
        <f t="shared" si="3"/>
        <v>-2.176328676459674E-2</v>
      </c>
    </row>
    <row r="59" spans="1:3">
      <c r="A59" s="2">
        <v>59</v>
      </c>
      <c r="B59">
        <f t="shared" si="2"/>
        <v>2.5793804300000001E-2</v>
      </c>
      <c r="C59">
        <f t="shared" si="3"/>
        <v>-2.1108146505012339E-2</v>
      </c>
    </row>
    <row r="60" spans="1:3">
      <c r="A60" s="2">
        <v>60</v>
      </c>
      <c r="B60">
        <f t="shared" si="2"/>
        <v>2.6454564099999994E-2</v>
      </c>
      <c r="C60">
        <f t="shared" si="3"/>
        <v>-2.0453251161349044E-2</v>
      </c>
    </row>
    <row r="61" spans="1:3">
      <c r="A61" s="2">
        <v>61</v>
      </c>
      <c r="B61">
        <f t="shared" si="2"/>
        <v>2.7115323899999995E-2</v>
      </c>
      <c r="C61">
        <f t="shared" si="3"/>
        <v>-1.9798600641759978E-2</v>
      </c>
    </row>
    <row r="62" spans="1:3">
      <c r="A62" s="2">
        <v>62</v>
      </c>
      <c r="B62">
        <f t="shared" si="2"/>
        <v>2.7776083699999995E-2</v>
      </c>
      <c r="C62">
        <f t="shared" si="3"/>
        <v>-1.9144194850612806E-2</v>
      </c>
    </row>
    <row r="63" spans="1:3">
      <c r="A63" s="2">
        <v>63</v>
      </c>
      <c r="B63">
        <f t="shared" si="2"/>
        <v>2.8436843499999996E-2</v>
      </c>
      <c r="C63">
        <f t="shared" si="3"/>
        <v>-1.849003368849713E-2</v>
      </c>
    </row>
    <row r="64" spans="1:3">
      <c r="A64" s="2">
        <v>64</v>
      </c>
      <c r="B64">
        <f t="shared" si="2"/>
        <v>2.9097603299999997E-2</v>
      </c>
      <c r="C64">
        <f t="shared" si="3"/>
        <v>-1.783611705223221E-2</v>
      </c>
    </row>
    <row r="65" spans="1:3">
      <c r="A65" s="2">
        <v>65</v>
      </c>
      <c r="B65">
        <f t="shared" ref="B65:B70" si="4">-0.0125302641+(A65-1)*0.0006607598</f>
        <v>2.9758363099999997E-2</v>
      </c>
      <c r="C65">
        <f t="shared" ref="C65:C70" si="5">0+1*B65-0.046681479402183*(1.00657894736842+(B65-0.0103467566886897)^2/0.0825891914010576)^0.5</f>
        <v>-1.7182444834875035E-2</v>
      </c>
    </row>
    <row r="66" spans="1:3">
      <c r="A66" s="2">
        <v>66</v>
      </c>
      <c r="B66">
        <f t="shared" si="4"/>
        <v>3.0419122899999998E-2</v>
      </c>
      <c r="C66">
        <f t="shared" si="5"/>
        <v>-1.6529016925728633E-2</v>
      </c>
    </row>
    <row r="67" spans="1:3">
      <c r="A67" s="2">
        <v>67</v>
      </c>
      <c r="B67">
        <f t="shared" si="4"/>
        <v>3.1079882699999999E-2</v>
      </c>
      <c r="C67">
        <f t="shared" si="5"/>
        <v>-1.5875833210350625E-2</v>
      </c>
    </row>
    <row r="68" spans="1:3">
      <c r="A68" s="2">
        <v>68</v>
      </c>
      <c r="B68">
        <f t="shared" si="4"/>
        <v>3.1740642499999999E-2</v>
      </c>
      <c r="C68">
        <f t="shared" si="5"/>
        <v>-1.522289357056214E-2</v>
      </c>
    </row>
    <row r="69" spans="1:3">
      <c r="A69" s="2">
        <v>69</v>
      </c>
      <c r="B69">
        <f t="shared" si="4"/>
        <v>3.24014023E-2</v>
      </c>
      <c r="C69">
        <f t="shared" si="5"/>
        <v>-1.4570197884456945E-2</v>
      </c>
    </row>
    <row r="70" spans="1:3">
      <c r="A70" s="2">
        <v>70</v>
      </c>
      <c r="B70">
        <f t="shared" si="4"/>
        <v>3.30621621E-2</v>
      </c>
      <c r="C70">
        <f t="shared" si="5"/>
        <v>-1.3917746026410875E-2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enableFormatConditionsCalculation="0"/>
  <dimension ref="A1:C70"/>
  <sheetViews>
    <sheetView workbookViewId="0"/>
  </sheetViews>
  <sheetFormatPr baseColWidth="10" defaultRowHeight="15.75"/>
  <sheetData>
    <row r="1" spans="1:3">
      <c r="A1" s="2">
        <v>1</v>
      </c>
      <c r="B1">
        <f t="shared" ref="B1:B32" si="0">-0.0131863754+(A1-1)*0.0006702687</f>
        <v>-1.31863754E-2</v>
      </c>
      <c r="C1">
        <f t="shared" ref="C1:C32" si="1">0+1*B1+0.046681479402183*(1.00657894736842+(B1-0.0103467566886897)^2/0.0825891914010576)^0.5</f>
        <v>3.3804151660858622E-2</v>
      </c>
    </row>
    <row r="2" spans="1:3">
      <c r="A2" s="2">
        <v>2</v>
      </c>
      <c r="B2">
        <f t="shared" si="0"/>
        <v>-1.25161067E-2</v>
      </c>
      <c r="C2">
        <f t="shared" si="1"/>
        <v>3.4465688727644238E-2</v>
      </c>
    </row>
    <row r="3" spans="1:3">
      <c r="A3" s="2">
        <v>3</v>
      </c>
      <c r="B3">
        <f t="shared" si="0"/>
        <v>-1.1845838000000001E-2</v>
      </c>
      <c r="C3">
        <f t="shared" si="1"/>
        <v>3.5127476527465118E-2</v>
      </c>
    </row>
    <row r="4" spans="1:3">
      <c r="A4" s="2">
        <v>4</v>
      </c>
      <c r="B4">
        <f t="shared" si="0"/>
        <v>-1.11755693E-2</v>
      </c>
      <c r="C4">
        <f t="shared" si="1"/>
        <v>3.5789515196152456E-2</v>
      </c>
    </row>
    <row r="5" spans="1:3">
      <c r="A5" s="2">
        <v>5</v>
      </c>
      <c r="B5">
        <f t="shared" si="0"/>
        <v>-1.05053006E-2</v>
      </c>
      <c r="C5">
        <f t="shared" si="1"/>
        <v>3.6451804865613391E-2</v>
      </c>
    </row>
    <row r="6" spans="1:3">
      <c r="A6" s="2">
        <v>6</v>
      </c>
      <c r="B6">
        <f t="shared" si="0"/>
        <v>-9.8350318999999992E-3</v>
      </c>
      <c r="C6">
        <f t="shared" si="1"/>
        <v>3.7114345663820388E-2</v>
      </c>
    </row>
    <row r="7" spans="1:3">
      <c r="A7" s="2">
        <v>7</v>
      </c>
      <c r="B7">
        <f t="shared" si="0"/>
        <v>-9.1647632000000003E-3</v>
      </c>
      <c r="C7">
        <f t="shared" si="1"/>
        <v>3.777713771480113E-2</v>
      </c>
    </row>
    <row r="8" spans="1:3">
      <c r="A8" s="2">
        <v>8</v>
      </c>
      <c r="B8">
        <f t="shared" si="0"/>
        <v>-8.4944944999999997E-3</v>
      </c>
      <c r="C8">
        <f t="shared" si="1"/>
        <v>3.8440181138628599E-2</v>
      </c>
    </row>
    <row r="9" spans="1:3">
      <c r="A9" s="2">
        <v>9</v>
      </c>
      <c r="B9">
        <f t="shared" si="0"/>
        <v>-7.8242258000000009E-3</v>
      </c>
      <c r="C9">
        <f t="shared" si="1"/>
        <v>3.9103476051411505E-2</v>
      </c>
    </row>
    <row r="10" spans="1:3">
      <c r="A10" s="2">
        <v>10</v>
      </c>
      <c r="B10">
        <f t="shared" si="0"/>
        <v>-7.1539571000000003E-3</v>
      </c>
      <c r="C10">
        <f t="shared" si="1"/>
        <v>3.9767022565284985E-2</v>
      </c>
    </row>
    <row r="11" spans="1:3">
      <c r="A11" s="2">
        <v>11</v>
      </c>
      <c r="B11">
        <f t="shared" si="0"/>
        <v>-6.4836883999999997E-3</v>
      </c>
      <c r="C11">
        <f t="shared" si="1"/>
        <v>4.0430820788401704E-2</v>
      </c>
    </row>
    <row r="12" spans="1:3">
      <c r="A12" s="2">
        <v>12</v>
      </c>
      <c r="B12">
        <f t="shared" si="0"/>
        <v>-5.8134197E-3</v>
      </c>
      <c r="C12">
        <f t="shared" si="1"/>
        <v>4.1094870824923121E-2</v>
      </c>
    </row>
    <row r="13" spans="1:3">
      <c r="A13" s="2">
        <v>13</v>
      </c>
      <c r="B13">
        <f t="shared" si="0"/>
        <v>-5.1431510000000003E-3</v>
      </c>
      <c r="C13">
        <f t="shared" si="1"/>
        <v>4.1759172775011191E-2</v>
      </c>
    </row>
    <row r="14" spans="1:3">
      <c r="A14" s="2">
        <v>14</v>
      </c>
      <c r="B14">
        <f t="shared" si="0"/>
        <v>-4.4728822999999997E-3</v>
      </c>
      <c r="C14">
        <f t="shared" si="1"/>
        <v>4.2423726734820331E-2</v>
      </c>
    </row>
    <row r="15" spans="1:3">
      <c r="A15" s="2">
        <v>15</v>
      </c>
      <c r="B15">
        <f t="shared" si="0"/>
        <v>-3.8026135999999992E-3</v>
      </c>
      <c r="C15">
        <f t="shared" si="1"/>
        <v>4.3088532796489686E-2</v>
      </c>
    </row>
    <row r="16" spans="1:3">
      <c r="A16" s="2">
        <v>16</v>
      </c>
      <c r="B16">
        <f t="shared" si="0"/>
        <v>-3.1323449000000003E-3</v>
      </c>
      <c r="C16">
        <f t="shared" si="1"/>
        <v>4.3753591048135726E-2</v>
      </c>
    </row>
    <row r="17" spans="1:3">
      <c r="A17" s="2">
        <v>17</v>
      </c>
      <c r="B17">
        <f t="shared" si="0"/>
        <v>-2.4620761999999997E-3</v>
      </c>
      <c r="C17">
        <f t="shared" si="1"/>
        <v>4.4418901573845218E-2</v>
      </c>
    </row>
    <row r="18" spans="1:3">
      <c r="A18" s="2">
        <v>18</v>
      </c>
      <c r="B18">
        <f t="shared" si="0"/>
        <v>-1.7918074999999992E-3</v>
      </c>
      <c r="C18">
        <f t="shared" si="1"/>
        <v>4.5084464453668371E-2</v>
      </c>
    </row>
    <row r="19" spans="1:3">
      <c r="A19" s="2">
        <v>19</v>
      </c>
      <c r="B19">
        <f t="shared" si="0"/>
        <v>-1.1215388000000003E-3</v>
      </c>
      <c r="C19">
        <f t="shared" si="1"/>
        <v>4.5750279763612456E-2</v>
      </c>
    </row>
    <row r="20" spans="1:3">
      <c r="A20" s="2">
        <v>20</v>
      </c>
      <c r="B20">
        <f t="shared" si="0"/>
        <v>-4.5127009999999974E-4</v>
      </c>
      <c r="C20">
        <f t="shared" si="1"/>
        <v>4.6416347575635689E-2</v>
      </c>
    </row>
    <row r="21" spans="1:3">
      <c r="A21" s="2">
        <v>21</v>
      </c>
      <c r="B21">
        <f t="shared" si="0"/>
        <v>2.1899860000000083E-4</v>
      </c>
      <c r="C21">
        <f t="shared" si="1"/>
        <v>4.7082667957641385E-2</v>
      </c>
    </row>
    <row r="22" spans="1:3">
      <c r="A22" s="2">
        <v>22</v>
      </c>
      <c r="B22">
        <f t="shared" si="0"/>
        <v>8.8926729999999968E-4</v>
      </c>
      <c r="C22">
        <f t="shared" si="1"/>
        <v>4.7749240973472523E-2</v>
      </c>
    </row>
    <row r="23" spans="1:3">
      <c r="A23" s="2">
        <v>23</v>
      </c>
      <c r="B23">
        <f t="shared" si="0"/>
        <v>1.5595360000000003E-3</v>
      </c>
      <c r="C23">
        <f t="shared" si="1"/>
        <v>4.8416066682906538E-2</v>
      </c>
    </row>
    <row r="24" spans="1:3">
      <c r="A24" s="2">
        <v>24</v>
      </c>
      <c r="B24">
        <f t="shared" si="0"/>
        <v>2.2298047000000008E-3</v>
      </c>
      <c r="C24">
        <f t="shared" si="1"/>
        <v>4.9083145141650589E-2</v>
      </c>
    </row>
    <row r="25" spans="1:3">
      <c r="A25" s="2">
        <v>25</v>
      </c>
      <c r="B25">
        <f t="shared" si="0"/>
        <v>2.9000733999999997E-3</v>
      </c>
      <c r="C25">
        <f t="shared" si="1"/>
        <v>4.9750476401336952E-2</v>
      </c>
    </row>
    <row r="26" spans="1:3">
      <c r="A26" s="2">
        <v>26</v>
      </c>
      <c r="B26">
        <f t="shared" si="0"/>
        <v>3.5703421000000003E-3</v>
      </c>
      <c r="C26">
        <f t="shared" si="1"/>
        <v>5.0418060509518921E-2</v>
      </c>
    </row>
    <row r="27" spans="1:3">
      <c r="A27" s="2">
        <v>27</v>
      </c>
      <c r="B27">
        <f t="shared" si="0"/>
        <v>4.2406108000000008E-3</v>
      </c>
      <c r="C27">
        <f t="shared" si="1"/>
        <v>5.1085897509666939E-2</v>
      </c>
    </row>
    <row r="28" spans="1:3">
      <c r="A28" s="2">
        <v>28</v>
      </c>
      <c r="B28">
        <f t="shared" si="0"/>
        <v>4.9108795000000014E-3</v>
      </c>
      <c r="C28">
        <f t="shared" si="1"/>
        <v>5.175398744116505E-2</v>
      </c>
    </row>
    <row r="29" spans="1:3">
      <c r="A29" s="2">
        <v>29</v>
      </c>
      <c r="B29">
        <f t="shared" si="0"/>
        <v>5.581148200000002E-3</v>
      </c>
      <c r="C29">
        <f t="shared" si="1"/>
        <v>5.2422330339307786E-2</v>
      </c>
    </row>
    <row r="30" spans="1:3">
      <c r="A30" s="2">
        <v>30</v>
      </c>
      <c r="B30">
        <f t="shared" si="0"/>
        <v>6.2514168999999991E-3</v>
      </c>
      <c r="C30">
        <f t="shared" si="1"/>
        <v>5.3090926235297237E-2</v>
      </c>
    </row>
    <row r="31" spans="1:3">
      <c r="A31" s="2">
        <v>31</v>
      </c>
      <c r="B31">
        <f t="shared" si="0"/>
        <v>6.9216855999999997E-3</v>
      </c>
      <c r="C31">
        <f t="shared" si="1"/>
        <v>5.3759775156240558E-2</v>
      </c>
    </row>
    <row r="32" spans="1:3">
      <c r="A32" s="2">
        <v>32</v>
      </c>
      <c r="B32">
        <f t="shared" si="0"/>
        <v>7.5919543000000003E-3</v>
      </c>
      <c r="C32">
        <f t="shared" si="1"/>
        <v>5.4428877125147782E-2</v>
      </c>
    </row>
    <row r="33" spans="1:3">
      <c r="A33" s="2">
        <v>33</v>
      </c>
      <c r="B33">
        <f t="shared" ref="B33:B64" si="2">-0.0131863754+(A33-1)*0.0006702687</f>
        <v>8.2622230000000008E-3</v>
      </c>
      <c r="C33">
        <f t="shared" ref="C33:C64" si="3">0+1*B33+0.046681479402183*(1.00657894736842+(B33-0.0103467566886897)^2/0.0825891914010576)^0.5</f>
        <v>5.5098232160929898E-2</v>
      </c>
    </row>
    <row r="34" spans="1:3">
      <c r="A34" s="2">
        <v>34</v>
      </c>
      <c r="B34">
        <f t="shared" si="2"/>
        <v>8.9324917000000014E-3</v>
      </c>
      <c r="C34">
        <f t="shared" si="3"/>
        <v>5.5767840278397436E-2</v>
      </c>
    </row>
    <row r="35" spans="1:3">
      <c r="A35" s="2">
        <v>35</v>
      </c>
      <c r="B35">
        <f t="shared" si="2"/>
        <v>9.602760400000002E-3</v>
      </c>
      <c r="C35">
        <f t="shared" si="3"/>
        <v>5.6437701488259134E-2</v>
      </c>
    </row>
    <row r="36" spans="1:3">
      <c r="A36" s="2">
        <v>36</v>
      </c>
      <c r="B36">
        <f t="shared" si="2"/>
        <v>1.0273029100000003E-2</v>
      </c>
      <c r="C36">
        <f t="shared" si="3"/>
        <v>5.7107815797121146E-2</v>
      </c>
    </row>
    <row r="37" spans="1:3">
      <c r="A37" s="2">
        <v>37</v>
      </c>
      <c r="B37">
        <f t="shared" si="2"/>
        <v>1.09432978E-2</v>
      </c>
      <c r="C37">
        <f t="shared" si="3"/>
        <v>5.7778183207486504E-2</v>
      </c>
    </row>
    <row r="38" spans="1:3">
      <c r="A38" s="2">
        <v>38</v>
      </c>
      <c r="B38">
        <f t="shared" si="2"/>
        <v>1.16135665E-2</v>
      </c>
      <c r="C38">
        <f t="shared" si="3"/>
        <v>5.8448803717754877E-2</v>
      </c>
    </row>
    <row r="39" spans="1:3">
      <c r="A39" s="2">
        <v>39</v>
      </c>
      <c r="B39">
        <f t="shared" si="2"/>
        <v>1.2283835200000001E-2</v>
      </c>
      <c r="C39">
        <f t="shared" si="3"/>
        <v>5.9119677322222751E-2</v>
      </c>
    </row>
    <row r="40" spans="1:3">
      <c r="A40" s="2">
        <v>40</v>
      </c>
      <c r="B40">
        <f t="shared" si="2"/>
        <v>1.2954103900000001E-2</v>
      </c>
      <c r="C40">
        <f t="shared" si="3"/>
        <v>5.9790804011083845E-2</v>
      </c>
    </row>
    <row r="41" spans="1:3">
      <c r="A41" s="2">
        <v>41</v>
      </c>
      <c r="B41">
        <f t="shared" si="2"/>
        <v>1.3624372600000002E-2</v>
      </c>
      <c r="C41">
        <f t="shared" si="3"/>
        <v>6.0462183770429952E-2</v>
      </c>
    </row>
    <row r="42" spans="1:3">
      <c r="A42" s="2">
        <v>42</v>
      </c>
      <c r="B42">
        <f t="shared" si="2"/>
        <v>1.4294641300000003E-2</v>
      </c>
      <c r="C42">
        <f t="shared" si="3"/>
        <v>6.113381658225199E-2</v>
      </c>
    </row>
    <row r="43" spans="1:3">
      <c r="A43" s="2">
        <v>43</v>
      </c>
      <c r="B43">
        <f t="shared" si="2"/>
        <v>1.496491E-2</v>
      </c>
      <c r="C43">
        <f t="shared" si="3"/>
        <v>6.1805702424441583E-2</v>
      </c>
    </row>
    <row r="44" spans="1:3">
      <c r="A44" s="2">
        <v>44</v>
      </c>
      <c r="B44">
        <f t="shared" si="2"/>
        <v>1.5635178700000002E-2</v>
      </c>
      <c r="C44">
        <f t="shared" si="3"/>
        <v>6.2477841270792728E-2</v>
      </c>
    </row>
    <row r="45" spans="1:3">
      <c r="A45" s="2">
        <v>45</v>
      </c>
      <c r="B45">
        <f t="shared" si="2"/>
        <v>1.6305447399999999E-2</v>
      </c>
      <c r="C45">
        <f t="shared" si="3"/>
        <v>6.3150233091003982E-2</v>
      </c>
    </row>
    <row r="46" spans="1:3">
      <c r="A46" s="2">
        <v>46</v>
      </c>
      <c r="B46">
        <f t="shared" si="2"/>
        <v>1.6975716100000003E-2</v>
      </c>
      <c r="C46">
        <f t="shared" si="3"/>
        <v>6.3822877850680915E-2</v>
      </c>
    </row>
    <row r="47" spans="1:3">
      <c r="A47" s="2">
        <v>47</v>
      </c>
      <c r="B47">
        <f t="shared" si="2"/>
        <v>1.76459848E-2</v>
      </c>
      <c r="C47">
        <f t="shared" si="3"/>
        <v>6.4495775511338851E-2</v>
      </c>
    </row>
    <row r="48" spans="1:3">
      <c r="A48" s="2">
        <v>48</v>
      </c>
      <c r="B48">
        <f t="shared" si="2"/>
        <v>1.8316253500000004E-2</v>
      </c>
      <c r="C48">
        <f t="shared" si="3"/>
        <v>6.5168926030406082E-2</v>
      </c>
    </row>
    <row r="49" spans="1:3">
      <c r="A49" s="2">
        <v>49</v>
      </c>
      <c r="B49">
        <f t="shared" si="2"/>
        <v>1.8986522200000001E-2</v>
      </c>
      <c r="C49">
        <f t="shared" si="3"/>
        <v>6.5842329361227192E-2</v>
      </c>
    </row>
    <row r="50" spans="1:3">
      <c r="A50" s="2">
        <v>50</v>
      </c>
      <c r="B50">
        <f t="shared" si="2"/>
        <v>1.9656790900000005E-2</v>
      </c>
      <c r="C50">
        <f t="shared" si="3"/>
        <v>6.6515985453066889E-2</v>
      </c>
    </row>
    <row r="51" spans="1:3">
      <c r="A51" s="2">
        <v>51</v>
      </c>
      <c r="B51">
        <f t="shared" si="2"/>
        <v>2.0327059600000003E-2</v>
      </c>
      <c r="C51">
        <f t="shared" si="3"/>
        <v>6.7189894251114088E-2</v>
      </c>
    </row>
    <row r="52" spans="1:3">
      <c r="A52" s="2">
        <v>52</v>
      </c>
      <c r="B52">
        <f t="shared" si="2"/>
        <v>2.0997328300000007E-2</v>
      </c>
      <c r="C52">
        <f t="shared" si="3"/>
        <v>6.7864055696486431E-2</v>
      </c>
    </row>
    <row r="53" spans="1:3">
      <c r="A53" s="2">
        <v>53</v>
      </c>
      <c r="B53">
        <f t="shared" si="2"/>
        <v>2.1667597000000004E-2</v>
      </c>
      <c r="C53">
        <f t="shared" si="3"/>
        <v>6.8538469726234841E-2</v>
      </c>
    </row>
    <row r="54" spans="1:3">
      <c r="A54" s="2">
        <v>54</v>
      </c>
      <c r="B54">
        <f t="shared" si="2"/>
        <v>2.2337865700000001E-2</v>
      </c>
      <c r="C54">
        <f t="shared" si="3"/>
        <v>6.9213136273348838E-2</v>
      </c>
    </row>
    <row r="55" spans="1:3">
      <c r="A55" s="2">
        <v>55</v>
      </c>
      <c r="B55">
        <f t="shared" si="2"/>
        <v>2.3008134400000005E-2</v>
      </c>
      <c r="C55">
        <f t="shared" si="3"/>
        <v>6.9888055266761784E-2</v>
      </c>
    </row>
    <row r="56" spans="1:3">
      <c r="A56" s="2">
        <v>56</v>
      </c>
      <c r="B56">
        <f t="shared" si="2"/>
        <v>2.3678403100000002E-2</v>
      </c>
      <c r="C56">
        <f t="shared" si="3"/>
        <v>7.0563226631356613E-2</v>
      </c>
    </row>
    <row r="57" spans="1:3">
      <c r="A57" s="2">
        <v>57</v>
      </c>
      <c r="B57">
        <f t="shared" si="2"/>
        <v>2.4348671800000006E-2</v>
      </c>
      <c r="C57">
        <f t="shared" si="3"/>
        <v>7.123865028797205E-2</v>
      </c>
    </row>
    <row r="58" spans="1:3">
      <c r="A58" s="2">
        <v>58</v>
      </c>
      <c r="B58">
        <f t="shared" si="2"/>
        <v>2.5018940500000003E-2</v>
      </c>
      <c r="C58">
        <f t="shared" si="3"/>
        <v>7.1914326153408731E-2</v>
      </c>
    </row>
    <row r="59" spans="1:3">
      <c r="A59" s="2">
        <v>59</v>
      </c>
      <c r="B59">
        <f t="shared" si="2"/>
        <v>2.56892092E-2</v>
      </c>
      <c r="C59">
        <f t="shared" si="3"/>
        <v>7.2590254140436128E-2</v>
      </c>
    </row>
    <row r="60" spans="1:3">
      <c r="A60" s="2">
        <v>60</v>
      </c>
      <c r="B60">
        <f t="shared" si="2"/>
        <v>2.6359477900000004E-2</v>
      </c>
      <c r="C60">
        <f t="shared" si="3"/>
        <v>7.3266434157799445E-2</v>
      </c>
    </row>
    <row r="61" spans="1:3">
      <c r="A61" s="2">
        <v>61</v>
      </c>
      <c r="B61">
        <f t="shared" si="2"/>
        <v>2.7029746600000001E-2</v>
      </c>
      <c r="C61">
        <f t="shared" si="3"/>
        <v>7.3942866110226921E-2</v>
      </c>
    </row>
    <row r="62" spans="1:3">
      <c r="A62" s="2">
        <v>62</v>
      </c>
      <c r="B62">
        <f t="shared" si="2"/>
        <v>2.7700015300000005E-2</v>
      </c>
      <c r="C62">
        <f t="shared" si="3"/>
        <v>7.4619549898437582E-2</v>
      </c>
    </row>
    <row r="63" spans="1:3">
      <c r="A63" s="2">
        <v>63</v>
      </c>
      <c r="B63">
        <f t="shared" si="2"/>
        <v>2.8370284000000003E-2</v>
      </c>
      <c r="C63">
        <f t="shared" si="3"/>
        <v>7.5296485419149128E-2</v>
      </c>
    </row>
    <row r="64" spans="1:3">
      <c r="A64" s="2">
        <v>64</v>
      </c>
      <c r="B64">
        <f t="shared" si="2"/>
        <v>2.9040552700000007E-2</v>
      </c>
      <c r="C64">
        <f t="shared" si="3"/>
        <v>7.5973672565086192E-2</v>
      </c>
    </row>
    <row r="65" spans="1:3">
      <c r="A65" s="2">
        <v>65</v>
      </c>
      <c r="B65">
        <f t="shared" ref="B65:B70" si="4">-0.0131863754+(A65-1)*0.0006702687</f>
        <v>2.9710821400000004E-2</v>
      </c>
      <c r="C65">
        <f t="shared" ref="C65:C70" si="5">0+1*B65+0.046681479402183*(1.00657894736842+(B65-0.0103467566886897)^2/0.0825891914010576)^0.5</f>
        <v>7.6651111224989008E-2</v>
      </c>
    </row>
    <row r="66" spans="1:3">
      <c r="A66" s="2">
        <v>66</v>
      </c>
      <c r="B66">
        <f t="shared" si="4"/>
        <v>3.0381090100000001E-2</v>
      </c>
      <c r="C66">
        <f t="shared" si="5"/>
        <v>7.7328801283622239E-2</v>
      </c>
    </row>
    <row r="67" spans="1:3">
      <c r="A67" s="2">
        <v>67</v>
      </c>
      <c r="B67">
        <f t="shared" si="4"/>
        <v>3.1051358800000005E-2</v>
      </c>
      <c r="C67">
        <f t="shared" si="5"/>
        <v>7.8006742621784211E-2</v>
      </c>
    </row>
    <row r="68" spans="1:3">
      <c r="A68" s="2">
        <v>68</v>
      </c>
      <c r="B68">
        <f t="shared" si="4"/>
        <v>3.1721627500000002E-2</v>
      </c>
      <c r="C68">
        <f t="shared" si="5"/>
        <v>7.8684935116316412E-2</v>
      </c>
    </row>
    <row r="69" spans="1:3">
      <c r="A69" s="2">
        <v>69</v>
      </c>
      <c r="B69">
        <f t="shared" si="4"/>
        <v>3.2391896200000006E-2</v>
      </c>
      <c r="C69">
        <f t="shared" si="5"/>
        <v>7.9363378640113363E-2</v>
      </c>
    </row>
    <row r="70" spans="1:3">
      <c r="A70" s="2">
        <v>70</v>
      </c>
      <c r="B70">
        <f t="shared" si="4"/>
        <v>3.3062164900000003E-2</v>
      </c>
      <c r="C70">
        <f t="shared" si="5"/>
        <v>8.0042073062132596E-2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enableFormatConditionsCalculation="0"/>
  <dimension ref="A1:C70"/>
  <sheetViews>
    <sheetView workbookViewId="0"/>
  </sheetViews>
  <sheetFormatPr baseColWidth="10" defaultRowHeight="15.75"/>
  <sheetData>
    <row r="1" spans="1:3">
      <c r="A1" s="2">
        <v>1</v>
      </c>
      <c r="B1">
        <f t="shared" ref="B1:B32" si="0">-6.555+(A1-1)*1.6095652174</f>
        <v>-6.5549999999999997</v>
      </c>
      <c r="C1">
        <f t="shared" ref="C1:C32" si="1">0.00511410800996734+0.000125705105277966*B1-0.0482868197833907*(0.00657894736842105+(B1-41.6263815789474)^2/82237.1319098684)^0.5</f>
        <v>-4.7186652441226964E-3</v>
      </c>
    </row>
    <row r="2" spans="1:3">
      <c r="A2" s="2">
        <v>2</v>
      </c>
      <c r="B2">
        <f t="shared" si="0"/>
        <v>-4.9454347825999996</v>
      </c>
      <c r="C2">
        <f t="shared" si="1"/>
        <v>-4.2730583918180586E-3</v>
      </c>
    </row>
    <row r="3" spans="1:3">
      <c r="A3" s="2">
        <v>3</v>
      </c>
      <c r="B3">
        <f t="shared" si="0"/>
        <v>-3.3358695651999999</v>
      </c>
      <c r="C3">
        <f t="shared" si="1"/>
        <v>-3.8291257172515759E-3</v>
      </c>
    </row>
    <row r="4" spans="1:3">
      <c r="A4" s="2">
        <v>4</v>
      </c>
      <c r="B4">
        <f t="shared" si="0"/>
        <v>-1.7263043478000002</v>
      </c>
      <c r="C4">
        <f t="shared" si="1"/>
        <v>-3.387013701385509E-3</v>
      </c>
    </row>
    <row r="5" spans="1:3">
      <c r="A5" s="2">
        <v>5</v>
      </c>
      <c r="B5">
        <f t="shared" si="0"/>
        <v>-0.11673913040000006</v>
      </c>
      <c r="C5">
        <f t="shared" si="1"/>
        <v>-2.9468851135427089E-3</v>
      </c>
    </row>
    <row r="6" spans="1:3">
      <c r="A6" s="2">
        <v>6</v>
      </c>
      <c r="B6">
        <f t="shared" si="0"/>
        <v>1.4928260869999992</v>
      </c>
      <c r="C6">
        <f t="shared" si="1"/>
        <v>-2.5089211135316805E-3</v>
      </c>
    </row>
    <row r="7" spans="1:3">
      <c r="A7" s="2">
        <v>7</v>
      </c>
      <c r="B7">
        <f t="shared" si="0"/>
        <v>3.1023913043999993</v>
      </c>
      <c r="C7">
        <f t="shared" si="1"/>
        <v>-2.0733236392912061E-3</v>
      </c>
    </row>
    <row r="8" spans="1:3">
      <c r="A8" s="2">
        <v>8</v>
      </c>
      <c r="B8">
        <f t="shared" si="0"/>
        <v>4.7119565217999995</v>
      </c>
      <c r="C8">
        <f t="shared" si="1"/>
        <v>-1.6403181134116308E-3</v>
      </c>
    </row>
    <row r="9" spans="1:3">
      <c r="A9" s="2">
        <v>9</v>
      </c>
      <c r="B9">
        <f t="shared" si="0"/>
        <v>6.3215217391999996</v>
      </c>
      <c r="C9">
        <f t="shared" si="1"/>
        <v>-1.2101565019919597E-3</v>
      </c>
    </row>
    <row r="10" spans="1:3">
      <c r="A10" s="2">
        <v>10</v>
      </c>
      <c r="B10">
        <f t="shared" si="0"/>
        <v>7.9310869565999997</v>
      </c>
      <c r="C10">
        <f t="shared" si="1"/>
        <v>-7.8312075708283566E-4</v>
      </c>
    </row>
    <row r="11" spans="1:3">
      <c r="A11" s="2">
        <v>11</v>
      </c>
      <c r="B11">
        <f t="shared" si="0"/>
        <v>9.5406521739999981</v>
      </c>
      <c r="C11">
        <f t="shared" si="1"/>
        <v>-3.5952666812459882E-4</v>
      </c>
    </row>
    <row r="12" spans="1:3">
      <c r="A12" s="2">
        <v>12</v>
      </c>
      <c r="B12">
        <f t="shared" si="0"/>
        <v>11.150217391399998</v>
      </c>
      <c r="C12">
        <f t="shared" si="1"/>
        <v>6.0271863542699783E-5</v>
      </c>
    </row>
    <row r="13" spans="1:3">
      <c r="A13" s="2">
        <v>13</v>
      </c>
      <c r="B13">
        <f t="shared" si="0"/>
        <v>12.759782608799998</v>
      </c>
      <c r="C13">
        <f t="shared" si="1"/>
        <v>4.7587813240061467E-4</v>
      </c>
    </row>
    <row r="14" spans="1:3">
      <c r="A14" s="2">
        <v>14</v>
      </c>
      <c r="B14">
        <f t="shared" si="0"/>
        <v>14.369347826199999</v>
      </c>
      <c r="C14">
        <f t="shared" si="1"/>
        <v>8.8684755484371401E-4</v>
      </c>
    </row>
    <row r="15" spans="1:3">
      <c r="A15" s="2">
        <v>15</v>
      </c>
      <c r="B15">
        <f t="shared" si="0"/>
        <v>15.978913043599999</v>
      </c>
      <c r="C15">
        <f t="shared" si="1"/>
        <v>1.2926822964422829E-3</v>
      </c>
    </row>
    <row r="16" spans="1:3">
      <c r="A16" s="2">
        <v>16</v>
      </c>
      <c r="B16">
        <f t="shared" si="0"/>
        <v>17.588478260999999</v>
      </c>
      <c r="C16">
        <f t="shared" si="1"/>
        <v>1.6928257509797821E-3</v>
      </c>
    </row>
    <row r="17" spans="1:3">
      <c r="A17" s="2">
        <v>17</v>
      </c>
      <c r="B17">
        <f t="shared" si="0"/>
        <v>19.198043478399999</v>
      </c>
      <c r="C17">
        <f t="shared" si="1"/>
        <v>2.0866571167512671E-3</v>
      </c>
    </row>
    <row r="18" spans="1:3">
      <c r="A18" s="2">
        <v>18</v>
      </c>
      <c r="B18">
        <f t="shared" si="0"/>
        <v>20.807608695799999</v>
      </c>
      <c r="C18">
        <f t="shared" si="1"/>
        <v>2.4734864432845467E-3</v>
      </c>
    </row>
    <row r="19" spans="1:3">
      <c r="A19" s="2">
        <v>19</v>
      </c>
      <c r="B19">
        <f t="shared" si="0"/>
        <v>22.417173913199999</v>
      </c>
      <c r="C19">
        <f t="shared" si="1"/>
        <v>2.8525506858343031E-3</v>
      </c>
    </row>
    <row r="20" spans="1:3">
      <c r="A20" s="2">
        <v>20</v>
      </c>
      <c r="B20">
        <f t="shared" si="0"/>
        <v>24.026739130599999</v>
      </c>
      <c r="C20">
        <f t="shared" si="1"/>
        <v>3.2230115043171813E-3</v>
      </c>
    </row>
    <row r="21" spans="1:3">
      <c r="A21" s="2">
        <v>21</v>
      </c>
      <c r="B21">
        <f t="shared" si="0"/>
        <v>25.636304347999996</v>
      </c>
      <c r="C21">
        <f t="shared" si="1"/>
        <v>3.5839557664687155E-3</v>
      </c>
    </row>
    <row r="22" spans="1:3">
      <c r="A22" s="2">
        <v>22</v>
      </c>
      <c r="B22">
        <f t="shared" si="0"/>
        <v>27.2458695654</v>
      </c>
      <c r="C22">
        <f t="shared" si="1"/>
        <v>3.9343999340627003E-3</v>
      </c>
    </row>
    <row r="23" spans="1:3">
      <c r="A23" s="2">
        <v>23</v>
      </c>
      <c r="B23">
        <f t="shared" si="0"/>
        <v>28.855434782799996</v>
      </c>
      <c r="C23">
        <f t="shared" si="1"/>
        <v>4.2732996744465797E-3</v>
      </c>
    </row>
    <row r="24" spans="1:3">
      <c r="A24" s="2">
        <v>24</v>
      </c>
      <c r="B24">
        <f t="shared" si="0"/>
        <v>30.4650000002</v>
      </c>
      <c r="C24">
        <f t="shared" si="1"/>
        <v>4.5995660671668123E-3</v>
      </c>
    </row>
    <row r="25" spans="1:3">
      <c r="A25" s="2">
        <v>25</v>
      </c>
      <c r="B25">
        <f t="shared" si="0"/>
        <v>32.074565217599996</v>
      </c>
      <c r="C25">
        <f t="shared" si="1"/>
        <v>4.9120895612963754E-3</v>
      </c>
    </row>
    <row r="26" spans="1:3">
      <c r="A26" s="2">
        <v>26</v>
      </c>
      <c r="B26">
        <f t="shared" si="0"/>
        <v>33.684130435</v>
      </c>
      <c r="C26">
        <f t="shared" si="1"/>
        <v>5.2097722710192631E-3</v>
      </c>
    </row>
    <row r="27" spans="1:3">
      <c r="A27" s="2">
        <v>27</v>
      </c>
      <c r="B27">
        <f t="shared" si="0"/>
        <v>35.293695652399997</v>
      </c>
      <c r="C27">
        <f t="shared" si="1"/>
        <v>5.4915681985396869E-3</v>
      </c>
    </row>
    <row r="28" spans="1:3">
      <c r="A28" s="2">
        <v>28</v>
      </c>
      <c r="B28">
        <f t="shared" si="0"/>
        <v>36.9032608698</v>
      </c>
      <c r="C28">
        <f t="shared" si="1"/>
        <v>5.7565295671849247E-3</v>
      </c>
    </row>
    <row r="29" spans="1:3">
      <c r="A29" s="2">
        <v>29</v>
      </c>
      <c r="B29">
        <f t="shared" si="0"/>
        <v>38.512826087199997</v>
      </c>
      <c r="C29">
        <f t="shared" si="1"/>
        <v>6.0038558208496667E-3</v>
      </c>
    </row>
    <row r="30" spans="1:3">
      <c r="A30" s="2">
        <v>30</v>
      </c>
      <c r="B30">
        <f t="shared" si="0"/>
        <v>40.122391304600001</v>
      </c>
      <c r="C30">
        <f t="shared" si="1"/>
        <v>6.2329403751361047E-3</v>
      </c>
    </row>
    <row r="31" spans="1:3">
      <c r="A31" s="2">
        <v>31</v>
      </c>
      <c r="B31">
        <f t="shared" si="0"/>
        <v>41.731956521999997</v>
      </c>
      <c r="C31">
        <f t="shared" si="1"/>
        <v>6.4434093911009587E-3</v>
      </c>
    </row>
    <row r="32" spans="1:3">
      <c r="A32" s="2">
        <v>32</v>
      </c>
      <c r="B32">
        <f t="shared" si="0"/>
        <v>43.341521739400001</v>
      </c>
      <c r="C32">
        <f t="shared" si="1"/>
        <v>6.6351471348101015E-3</v>
      </c>
    </row>
    <row r="33" spans="1:3">
      <c r="A33" s="2">
        <v>33</v>
      </c>
      <c r="B33">
        <f t="shared" ref="B33:B64" si="2">-6.555+(A33-1)*1.6095652174</f>
        <v>44.951086956799998</v>
      </c>
      <c r="C33">
        <f t="shared" ref="C33:C64" si="3">0.00511410800996734+0.000125705105277966*B33-0.0482868197833907*(0.00657894736842105+(B33-41.6263815789474)^2/82237.1319098684)^0.5</f>
        <v>6.808304056671201E-3</v>
      </c>
    </row>
    <row r="34" spans="1:3">
      <c r="A34" s="2">
        <v>34</v>
      </c>
      <c r="B34">
        <f t="shared" si="2"/>
        <v>46.560652174199994</v>
      </c>
      <c r="C34">
        <f t="shared" si="3"/>
        <v>6.9632863096838133E-3</v>
      </c>
    </row>
    <row r="35" spans="1:3">
      <c r="A35" s="2">
        <v>35</v>
      </c>
      <c r="B35">
        <f t="shared" si="2"/>
        <v>48.170217391599998</v>
      </c>
      <c r="C35">
        <f t="shared" si="3"/>
        <v>7.1007283638157134E-3</v>
      </c>
    </row>
    <row r="36" spans="1:3">
      <c r="A36" s="2">
        <v>36</v>
      </c>
      <c r="B36">
        <f t="shared" si="2"/>
        <v>49.779782608999994</v>
      </c>
      <c r="C36">
        <f t="shared" si="3"/>
        <v>7.2214528567204365E-3</v>
      </c>
    </row>
    <row r="37" spans="1:3">
      <c r="A37" s="2">
        <v>37</v>
      </c>
      <c r="B37">
        <f t="shared" si="2"/>
        <v>51.389347826399998</v>
      </c>
      <c r="C37">
        <f t="shared" si="3"/>
        <v>7.3264232291231305E-3</v>
      </c>
    </row>
    <row r="38" spans="1:3">
      <c r="A38" s="2">
        <v>38</v>
      </c>
      <c r="B38">
        <f t="shared" si="2"/>
        <v>52.998913043799995</v>
      </c>
      <c r="C38">
        <f t="shared" si="3"/>
        <v>7.4166948223421316E-3</v>
      </c>
    </row>
    <row r="39" spans="1:3">
      <c r="A39" s="2">
        <v>39</v>
      </c>
      <c r="B39">
        <f t="shared" si="2"/>
        <v>54.608478261199998</v>
      </c>
      <c r="C39">
        <f t="shared" si="3"/>
        <v>7.4933691858552511E-3</v>
      </c>
    </row>
    <row r="40" spans="1:3">
      <c r="A40" s="2">
        <v>40</v>
      </c>
      <c r="B40">
        <f t="shared" si="2"/>
        <v>56.218043478599995</v>
      </c>
      <c r="C40">
        <f t="shared" si="3"/>
        <v>7.5575548244043861E-3</v>
      </c>
    </row>
    <row r="41" spans="1:3">
      <c r="A41" s="2">
        <v>41</v>
      </c>
      <c r="B41">
        <f t="shared" si="2"/>
        <v>57.827608695999992</v>
      </c>
      <c r="C41">
        <f t="shared" si="3"/>
        <v>7.6103359987722222E-3</v>
      </c>
    </row>
    <row r="42" spans="1:3">
      <c r="A42" s="2">
        <v>42</v>
      </c>
      <c r="B42">
        <f t="shared" si="2"/>
        <v>59.437173913399995</v>
      </c>
      <c r="C42">
        <f t="shared" si="3"/>
        <v>7.6527498350472158E-3</v>
      </c>
    </row>
    <row r="43" spans="1:3">
      <c r="A43" s="2">
        <v>43</v>
      </c>
      <c r="B43">
        <f t="shared" si="2"/>
        <v>61.046739130799999</v>
      </c>
      <c r="C43">
        <f t="shared" si="3"/>
        <v>7.6857710567246416E-3</v>
      </c>
    </row>
    <row r="44" spans="1:3">
      <c r="A44" s="2">
        <v>44</v>
      </c>
      <c r="B44">
        <f t="shared" si="2"/>
        <v>62.656304348200003</v>
      </c>
      <c r="C44">
        <f t="shared" si="3"/>
        <v>7.7103031380537455E-3</v>
      </c>
    </row>
    <row r="45" spans="1:3">
      <c r="A45" s="2">
        <v>45</v>
      </c>
      <c r="B45">
        <f t="shared" si="2"/>
        <v>64.265869565599985</v>
      </c>
      <c r="C45">
        <f t="shared" si="3"/>
        <v>7.7271745011564981E-3</v>
      </c>
    </row>
    <row r="46" spans="1:3">
      <c r="A46" s="2">
        <v>46</v>
      </c>
      <c r="B46">
        <f t="shared" si="2"/>
        <v>65.875434783000003</v>
      </c>
      <c r="C46">
        <f t="shared" si="3"/>
        <v>7.7371384303761889E-3</v>
      </c>
    </row>
    <row r="47" spans="1:3">
      <c r="A47" s="2">
        <v>47</v>
      </c>
      <c r="B47">
        <f t="shared" si="2"/>
        <v>67.485000000399992</v>
      </c>
      <c r="C47">
        <f t="shared" si="3"/>
        <v>7.7408755519665475E-3</v>
      </c>
    </row>
    <row r="48" spans="1:3">
      <c r="A48" s="2">
        <v>48</v>
      </c>
      <c r="B48">
        <f t="shared" si="2"/>
        <v>69.09456521780001</v>
      </c>
      <c r="C48">
        <f t="shared" si="3"/>
        <v>7.7389979491852261E-3</v>
      </c>
    </row>
    <row r="49" spans="1:3">
      <c r="A49" s="2">
        <v>49</v>
      </c>
      <c r="B49">
        <f t="shared" si="2"/>
        <v>70.7041304352</v>
      </c>
      <c r="C49">
        <f t="shared" si="3"/>
        <v>7.7320542040053078E-3</v>
      </c>
    </row>
    <row r="50" spans="1:3">
      <c r="A50" s="2">
        <v>50</v>
      </c>
      <c r="B50">
        <f t="shared" si="2"/>
        <v>72.313695652599989</v>
      </c>
      <c r="C50">
        <f t="shared" si="3"/>
        <v>7.7205348517405776E-3</v>
      </c>
    </row>
    <row r="51" spans="1:3">
      <c r="A51" s="2">
        <v>51</v>
      </c>
      <c r="B51">
        <f t="shared" si="2"/>
        <v>73.923260870000007</v>
      </c>
      <c r="C51">
        <f t="shared" si="3"/>
        <v>7.7048778942073416E-3</v>
      </c>
    </row>
    <row r="52" spans="1:3">
      <c r="A52" s="2">
        <v>52</v>
      </c>
      <c r="B52">
        <f t="shared" si="2"/>
        <v>75.532826087399997</v>
      </c>
      <c r="C52">
        <f t="shared" si="3"/>
        <v>7.6854741401398141E-3</v>
      </c>
    </row>
    <row r="53" spans="1:3">
      <c r="A53" s="2">
        <v>53</v>
      </c>
      <c r="B53">
        <f t="shared" si="2"/>
        <v>77.142391304799986</v>
      </c>
      <c r="C53">
        <f t="shared" si="3"/>
        <v>7.6626722325630501E-3</v>
      </c>
    </row>
    <row r="54" spans="1:3">
      <c r="A54" s="2">
        <v>54</v>
      </c>
      <c r="B54">
        <f t="shared" si="2"/>
        <v>78.751956522200004</v>
      </c>
      <c r="C54">
        <f t="shared" si="3"/>
        <v>7.6367832875255982E-3</v>
      </c>
    </row>
    <row r="55" spans="1:3">
      <c r="A55" s="2">
        <v>55</v>
      </c>
      <c r="B55">
        <f t="shared" si="2"/>
        <v>80.361521739599993</v>
      </c>
      <c r="C55">
        <f t="shared" si="3"/>
        <v>7.6080851128963421E-3</v>
      </c>
    </row>
    <row r="56" spans="1:3">
      <c r="A56" s="2">
        <v>56</v>
      </c>
      <c r="B56">
        <f t="shared" si="2"/>
        <v>81.971086956999983</v>
      </c>
      <c r="C56">
        <f t="shared" si="3"/>
        <v>7.5768260050348042E-3</v>
      </c>
    </row>
    <row r="57" spans="1:3">
      <c r="A57" s="2">
        <v>57</v>
      </c>
      <c r="B57">
        <f t="shared" si="2"/>
        <v>83.580652174400001</v>
      </c>
      <c r="C57">
        <f t="shared" si="3"/>
        <v>7.5432281392942245E-3</v>
      </c>
    </row>
    <row r="58" spans="1:3">
      <c r="A58" s="2">
        <v>58</v>
      </c>
      <c r="B58">
        <f t="shared" si="2"/>
        <v>85.19021739179999</v>
      </c>
      <c r="C58">
        <f t="shared" si="3"/>
        <v>7.5074905807995217E-3</v>
      </c>
    </row>
    <row r="59" spans="1:3">
      <c r="A59" s="2">
        <v>59</v>
      </c>
      <c r="B59">
        <f t="shared" si="2"/>
        <v>86.799782609200008</v>
      </c>
      <c r="C59">
        <f t="shared" si="3"/>
        <v>7.4697919472137744E-3</v>
      </c>
    </row>
    <row r="60" spans="1:3">
      <c r="A60" s="2">
        <v>60</v>
      </c>
      <c r="B60">
        <f t="shared" si="2"/>
        <v>88.409347826599998</v>
      </c>
      <c r="C60">
        <f t="shared" si="3"/>
        <v>7.4302927570475581E-3</v>
      </c>
    </row>
    <row r="61" spans="1:3">
      <c r="A61" s="2">
        <v>61</v>
      </c>
      <c r="B61">
        <f t="shared" si="2"/>
        <v>90.018913043999987</v>
      </c>
      <c r="C61">
        <f t="shared" si="3"/>
        <v>7.3891374967353027E-3</v>
      </c>
    </row>
    <row r="62" spans="1:3">
      <c r="A62" s="2">
        <v>62</v>
      </c>
      <c r="B62">
        <f t="shared" si="2"/>
        <v>91.628478261400005</v>
      </c>
      <c r="C62">
        <f t="shared" si="3"/>
        <v>7.3464564380735856E-3</v>
      </c>
    </row>
    <row r="63" spans="1:3">
      <c r="A63" s="2">
        <v>63</v>
      </c>
      <c r="B63">
        <f t="shared" si="2"/>
        <v>93.238043478799995</v>
      </c>
      <c r="C63">
        <f t="shared" si="3"/>
        <v>7.3023672352767275E-3</v>
      </c>
    </row>
    <row r="64" spans="1:3">
      <c r="A64" s="2">
        <v>64</v>
      </c>
      <c r="B64">
        <f t="shared" si="2"/>
        <v>94.847608696199984</v>
      </c>
      <c r="C64">
        <f t="shared" si="3"/>
        <v>7.2569763282436927E-3</v>
      </c>
    </row>
    <row r="65" spans="1:3">
      <c r="A65" s="2">
        <v>65</v>
      </c>
      <c r="B65">
        <f t="shared" ref="B65:B70" si="4">-6.555+(A65-1)*1.6095652174</f>
        <v>96.457173913600002</v>
      </c>
      <c r="C65">
        <f t="shared" ref="C65:C70" si="5">0.00511410800996734+0.000125705105277966*B65-0.0482868197833907*(0.00657894736842105+(B65-41.6263815789474)^2/82237.1319098684)^0.5</f>
        <v>7.2103801758949346E-3</v>
      </c>
    </row>
    <row r="66" spans="1:3">
      <c r="A66" s="2">
        <v>66</v>
      </c>
      <c r="B66">
        <f t="shared" si="4"/>
        <v>98.066739130999991</v>
      </c>
      <c r="C66">
        <f t="shared" si="5"/>
        <v>7.162666340780376E-3</v>
      </c>
    </row>
    <row r="67" spans="1:3">
      <c r="A67" s="2">
        <v>67</v>
      </c>
      <c r="B67">
        <f t="shared" si="4"/>
        <v>99.676304348399981</v>
      </c>
      <c r="C67">
        <f t="shared" si="5"/>
        <v>7.1139144436667828E-3</v>
      </c>
    </row>
    <row r="68" spans="1:3">
      <c r="A68" s="2">
        <v>68</v>
      </c>
      <c r="B68">
        <f t="shared" si="4"/>
        <v>101.2858695658</v>
      </c>
      <c r="C68">
        <f t="shared" si="5"/>
        <v>7.0641970045290381E-3</v>
      </c>
    </row>
    <row r="69" spans="1:3">
      <c r="A69" s="2">
        <v>69</v>
      </c>
      <c r="B69">
        <f t="shared" si="4"/>
        <v>102.89543478319999</v>
      </c>
      <c r="C69">
        <f t="shared" si="5"/>
        <v>7.0135801843111915E-3</v>
      </c>
    </row>
    <row r="70" spans="1:3">
      <c r="A70" s="2">
        <v>70</v>
      </c>
      <c r="B70">
        <f t="shared" si="4"/>
        <v>104.50500000060001</v>
      </c>
      <c r="C70">
        <f t="shared" si="5"/>
        <v>6.9621244399897496E-3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enableFormatConditionsCalculation="0"/>
  <dimension ref="A1:C70"/>
  <sheetViews>
    <sheetView workbookViewId="0"/>
  </sheetViews>
  <sheetFormatPr baseColWidth="10" defaultRowHeight="15.75"/>
  <sheetData>
    <row r="1" spans="1:3">
      <c r="A1" s="2">
        <v>1</v>
      </c>
      <c r="B1">
        <f t="shared" ref="B1:B32" si="0">-6.555+(A1-1)*1.6095652174</f>
        <v>-6.5549999999999997</v>
      </c>
      <c r="C1">
        <f t="shared" ref="C1:C32" si="1">0.00511410800996734+0.000125705105277966*B1+0.0482868197833907*(0.00657894736842105+(B1-41.6263815789474)^2/82237.1319098684)^0.5</f>
        <v>1.3298887333863243E-2</v>
      </c>
    </row>
    <row r="2" spans="1:3">
      <c r="A2" s="2">
        <v>2</v>
      </c>
      <c r="B2">
        <f t="shared" si="0"/>
        <v>-4.9454347825999996</v>
      </c>
      <c r="C2">
        <f t="shared" si="1"/>
        <v>1.3257941611768643E-2</v>
      </c>
    </row>
    <row r="3" spans="1:3">
      <c r="A3" s="2">
        <v>3</v>
      </c>
      <c r="B3">
        <f t="shared" si="0"/>
        <v>-3.3358695651999999</v>
      </c>
      <c r="C3">
        <f t="shared" si="1"/>
        <v>1.3218670067412199E-2</v>
      </c>
    </row>
    <row r="4" spans="1:3">
      <c r="A4" s="2">
        <v>4</v>
      </c>
      <c r="B4">
        <f t="shared" si="0"/>
        <v>-1.7263043478000002</v>
      </c>
      <c r="C4">
        <f t="shared" si="1"/>
        <v>1.318121918175617E-2</v>
      </c>
    </row>
    <row r="5" spans="1:3">
      <c r="A5" s="2">
        <v>5</v>
      </c>
      <c r="B5">
        <f t="shared" si="0"/>
        <v>-0.11673913040000006</v>
      </c>
      <c r="C5">
        <f t="shared" si="1"/>
        <v>1.3145751724123408E-2</v>
      </c>
    </row>
    <row r="6" spans="1:3">
      <c r="A6" s="2">
        <v>6</v>
      </c>
      <c r="B6">
        <f t="shared" si="0"/>
        <v>1.4928260869999992</v>
      </c>
      <c r="C6">
        <f t="shared" si="1"/>
        <v>1.3112448854322421E-2</v>
      </c>
    </row>
    <row r="7" spans="1:3">
      <c r="A7" s="2">
        <v>7</v>
      </c>
      <c r="B7">
        <f t="shared" si="0"/>
        <v>3.1023913043999993</v>
      </c>
      <c r="C7">
        <f t="shared" si="1"/>
        <v>1.3081512510291982E-2</v>
      </c>
    </row>
    <row r="8" spans="1:3">
      <c r="A8" s="2">
        <v>8</v>
      </c>
      <c r="B8">
        <f t="shared" si="0"/>
        <v>4.7119565217999995</v>
      </c>
      <c r="C8">
        <f t="shared" si="1"/>
        <v>1.3053168114622446E-2</v>
      </c>
    </row>
    <row r="9" spans="1:3">
      <c r="A9" s="2">
        <v>9</v>
      </c>
      <c r="B9">
        <f t="shared" si="0"/>
        <v>6.3215217391999996</v>
      </c>
      <c r="C9">
        <f t="shared" si="1"/>
        <v>1.3027667633412815E-2</v>
      </c>
    </row>
    <row r="10" spans="1:3">
      <c r="A10" s="2">
        <v>10</v>
      </c>
      <c r="B10">
        <f t="shared" si="0"/>
        <v>7.9310869565999997</v>
      </c>
      <c r="C10">
        <f t="shared" si="1"/>
        <v>1.3005293018713728E-2</v>
      </c>
    </row>
    <row r="11" spans="1:3">
      <c r="A11" s="2">
        <v>11</v>
      </c>
      <c r="B11">
        <f t="shared" si="0"/>
        <v>9.5406521739999981</v>
      </c>
      <c r="C11">
        <f t="shared" si="1"/>
        <v>1.2986360059965528E-2</v>
      </c>
    </row>
    <row r="12" spans="1:3">
      <c r="A12" s="2">
        <v>12</v>
      </c>
      <c r="B12">
        <f t="shared" si="0"/>
        <v>11.150217391399998</v>
      </c>
      <c r="C12">
        <f t="shared" si="1"/>
        <v>1.297122265850827E-2</v>
      </c>
    </row>
    <row r="13" spans="1:3">
      <c r="A13" s="2">
        <v>13</v>
      </c>
      <c r="B13">
        <f t="shared" si="0"/>
        <v>12.759782608799998</v>
      </c>
      <c r="C13">
        <f t="shared" si="1"/>
        <v>1.2960277519860394E-2</v>
      </c>
    </row>
    <row r="14" spans="1:3">
      <c r="A14" s="2">
        <v>14</v>
      </c>
      <c r="B14">
        <f t="shared" si="0"/>
        <v>14.369347826199999</v>
      </c>
      <c r="C14">
        <f t="shared" si="1"/>
        <v>1.2953969227627331E-2</v>
      </c>
    </row>
    <row r="15" spans="1:3">
      <c r="A15" s="2">
        <v>15</v>
      </c>
      <c r="B15">
        <f t="shared" si="0"/>
        <v>15.978913043599999</v>
      </c>
      <c r="C15">
        <f t="shared" si="1"/>
        <v>1.2952795616238803E-2</v>
      </c>
    </row>
    <row r="16" spans="1:3">
      <c r="A16" s="2">
        <v>16</v>
      </c>
      <c r="B16">
        <f t="shared" si="0"/>
        <v>17.588478260999999</v>
      </c>
      <c r="C16">
        <f t="shared" si="1"/>
        <v>1.2957313291911342E-2</v>
      </c>
    </row>
    <row r="17" spans="1:3">
      <c r="A17" s="2">
        <v>17</v>
      </c>
      <c r="B17">
        <f t="shared" si="0"/>
        <v>19.198043478399999</v>
      </c>
      <c r="C17">
        <f t="shared" si="1"/>
        <v>1.2968143056349895E-2</v>
      </c>
    </row>
    <row r="18" spans="1:3">
      <c r="A18" s="2">
        <v>18</v>
      </c>
      <c r="B18">
        <f t="shared" si="0"/>
        <v>20.807608695799999</v>
      </c>
      <c r="C18">
        <f t="shared" si="1"/>
        <v>1.2985974860026653E-2</v>
      </c>
    </row>
    <row r="19" spans="1:3">
      <c r="A19" s="2">
        <v>19</v>
      </c>
      <c r="B19">
        <f t="shared" si="0"/>
        <v>22.417173913199999</v>
      </c>
      <c r="C19">
        <f t="shared" si="1"/>
        <v>1.3011571747686934E-2</v>
      </c>
    </row>
    <row r="20" spans="1:3">
      <c r="A20" s="2">
        <v>20</v>
      </c>
      <c r="B20">
        <f t="shared" si="0"/>
        <v>24.026739130599999</v>
      </c>
      <c r="C20">
        <f t="shared" si="1"/>
        <v>1.3045772059414098E-2</v>
      </c>
    </row>
    <row r="21" spans="1:3">
      <c r="A21" s="2">
        <v>21</v>
      </c>
      <c r="B21">
        <f t="shared" si="0"/>
        <v>25.636304347999996</v>
      </c>
      <c r="C21">
        <f t="shared" si="1"/>
        <v>1.3089488927472599E-2</v>
      </c>
    </row>
    <row r="22" spans="1:3">
      <c r="A22" s="2">
        <v>22</v>
      </c>
      <c r="B22">
        <f t="shared" si="0"/>
        <v>27.2458695654</v>
      </c>
      <c r="C22">
        <f t="shared" si="1"/>
        <v>1.3143705890088654E-2</v>
      </c>
    </row>
    <row r="23" spans="1:3">
      <c r="A23" s="2">
        <v>23</v>
      </c>
      <c r="B23">
        <f t="shared" si="0"/>
        <v>28.855434782799996</v>
      </c>
      <c r="C23">
        <f t="shared" si="1"/>
        <v>1.3209467279914813E-2</v>
      </c>
    </row>
    <row r="24" spans="1:3">
      <c r="A24" s="2">
        <v>24</v>
      </c>
      <c r="B24">
        <f t="shared" si="0"/>
        <v>30.4650000002</v>
      </c>
      <c r="C24">
        <f t="shared" si="1"/>
        <v>1.3287862017404617E-2</v>
      </c>
    </row>
    <row r="25" spans="1:3">
      <c r="A25" s="2">
        <v>25</v>
      </c>
      <c r="B25">
        <f t="shared" si="0"/>
        <v>32.074565217599996</v>
      </c>
      <c r="C25">
        <f t="shared" si="1"/>
        <v>1.3379999653485092E-2</v>
      </c>
    </row>
    <row r="26" spans="1:3">
      <c r="A26" s="2">
        <v>26</v>
      </c>
      <c r="B26">
        <f t="shared" si="0"/>
        <v>33.684130435</v>
      </c>
      <c r="C26">
        <f t="shared" si="1"/>
        <v>1.3486978073972242E-2</v>
      </c>
    </row>
    <row r="27" spans="1:3">
      <c r="A27" s="2">
        <v>27</v>
      </c>
      <c r="B27">
        <f t="shared" si="0"/>
        <v>35.293695652399997</v>
      </c>
      <c r="C27">
        <f t="shared" si="1"/>
        <v>1.3609843276661857E-2</v>
      </c>
    </row>
    <row r="28" spans="1:3">
      <c r="A28" s="2">
        <v>28</v>
      </c>
      <c r="B28">
        <f t="shared" si="0"/>
        <v>36.9032608698</v>
      </c>
      <c r="C28">
        <f t="shared" si="1"/>
        <v>1.3749543038226661E-2</v>
      </c>
    </row>
    <row r="29" spans="1:3">
      <c r="A29" s="2">
        <v>29</v>
      </c>
      <c r="B29">
        <f t="shared" si="0"/>
        <v>38.512826087199997</v>
      </c>
      <c r="C29">
        <f t="shared" si="1"/>
        <v>1.3906877914771956E-2</v>
      </c>
    </row>
    <row r="30" spans="1:3">
      <c r="A30" s="2">
        <v>30</v>
      </c>
      <c r="B30">
        <f t="shared" si="0"/>
        <v>40.122391304600001</v>
      </c>
      <c r="C30">
        <f t="shared" si="1"/>
        <v>1.4082454490695558E-2</v>
      </c>
    </row>
    <row r="31" spans="1:3">
      <c r="A31" s="2">
        <v>31</v>
      </c>
      <c r="B31">
        <f t="shared" si="0"/>
        <v>41.731956521999997</v>
      </c>
      <c r="C31">
        <f t="shared" si="1"/>
        <v>1.4276646604940744E-2</v>
      </c>
    </row>
    <row r="32" spans="1:3">
      <c r="A32" s="2">
        <v>32</v>
      </c>
      <c r="B32">
        <f t="shared" si="0"/>
        <v>43.341521739400001</v>
      </c>
      <c r="C32">
        <f t="shared" si="1"/>
        <v>1.4489569991441638E-2</v>
      </c>
    </row>
    <row r="33" spans="1:3">
      <c r="A33" s="2">
        <v>33</v>
      </c>
      <c r="B33">
        <f t="shared" ref="B33:B64" si="2">-6.555+(A33-1)*1.6095652174</f>
        <v>44.951086956799998</v>
      </c>
      <c r="C33">
        <f t="shared" ref="C33:C64" si="3">0.00511410800996734+0.000125705105277966*B33+0.0482868197833907*(0.00657894736842105+(B33-41.6263815789474)^2/82237.1319098684)^0.5</f>
        <v>1.4721074199790577E-2</v>
      </c>
    </row>
    <row r="34" spans="1:3">
      <c r="A34" s="2">
        <v>34</v>
      </c>
      <c r="B34">
        <f t="shared" si="2"/>
        <v>46.560652174199994</v>
      </c>
      <c r="C34">
        <f t="shared" si="3"/>
        <v>1.4970753076988003E-2</v>
      </c>
    </row>
    <row r="35" spans="1:3">
      <c r="A35" s="2">
        <v>35</v>
      </c>
      <c r="B35">
        <f t="shared" si="2"/>
        <v>48.170217391599998</v>
      </c>
      <c r="C35">
        <f t="shared" si="3"/>
        <v>1.5237972153066139E-2</v>
      </c>
    </row>
    <row r="36" spans="1:3">
      <c r="A36" s="2">
        <v>36</v>
      </c>
      <c r="B36">
        <f t="shared" si="2"/>
        <v>49.779782608999994</v>
      </c>
      <c r="C36">
        <f t="shared" si="3"/>
        <v>1.5521908790371453E-2</v>
      </c>
    </row>
    <row r="37" spans="1:3">
      <c r="A37" s="2">
        <v>37</v>
      </c>
      <c r="B37">
        <f t="shared" si="2"/>
        <v>51.389347826399998</v>
      </c>
      <c r="C37">
        <f t="shared" si="3"/>
        <v>1.58215995481788E-2</v>
      </c>
    </row>
    <row r="38" spans="1:3">
      <c r="A38" s="2">
        <v>38</v>
      </c>
      <c r="B38">
        <f t="shared" si="2"/>
        <v>52.998913043799995</v>
      </c>
      <c r="C38">
        <f t="shared" si="3"/>
        <v>1.6135989085169833E-2</v>
      </c>
    </row>
    <row r="39" spans="1:3">
      <c r="A39" s="2">
        <v>39</v>
      </c>
      <c r="B39">
        <f t="shared" si="2"/>
        <v>54.608478261199998</v>
      </c>
      <c r="C39">
        <f t="shared" si="3"/>
        <v>1.6463975851866756E-2</v>
      </c>
    </row>
    <row r="40" spans="1:3">
      <c r="A40" s="2">
        <v>40</v>
      </c>
      <c r="B40">
        <f t="shared" si="2"/>
        <v>56.218043478599995</v>
      </c>
      <c r="C40">
        <f t="shared" si="3"/>
        <v>1.6804451343527659E-2</v>
      </c>
    </row>
    <row r="41" spans="1:3">
      <c r="A41" s="2">
        <v>41</v>
      </c>
      <c r="B41">
        <f t="shared" si="2"/>
        <v>57.827608695999992</v>
      </c>
      <c r="C41">
        <f t="shared" si="3"/>
        <v>1.7156331299369859E-2</v>
      </c>
    </row>
    <row r="42" spans="1:3">
      <c r="A42" s="2">
        <v>42</v>
      </c>
      <c r="B42">
        <f t="shared" si="2"/>
        <v>59.437173913399995</v>
      </c>
      <c r="C42">
        <f t="shared" si="3"/>
        <v>1.7518578593304905E-2</v>
      </c>
    </row>
    <row r="43" spans="1:3">
      <c r="A43" s="2">
        <v>43</v>
      </c>
      <c r="B43">
        <f t="shared" si="2"/>
        <v>61.046739130799999</v>
      </c>
      <c r="C43">
        <f t="shared" si="3"/>
        <v>1.7890218501837522E-2</v>
      </c>
    </row>
    <row r="44" spans="1:3">
      <c r="A44" s="2">
        <v>44</v>
      </c>
      <c r="B44">
        <f t="shared" si="2"/>
        <v>62.656304348200003</v>
      </c>
      <c r="C44">
        <f t="shared" si="3"/>
        <v>1.8270347550718456E-2</v>
      </c>
    </row>
    <row r="45" spans="1:3">
      <c r="A45" s="2">
        <v>45</v>
      </c>
      <c r="B45">
        <f t="shared" si="2"/>
        <v>64.265869565599985</v>
      </c>
      <c r="C45">
        <f t="shared" si="3"/>
        <v>1.8658137317825736E-2</v>
      </c>
    </row>
    <row r="46" spans="1:3">
      <c r="A46" s="2">
        <v>46</v>
      </c>
      <c r="B46">
        <f t="shared" si="2"/>
        <v>65.875434783000003</v>
      </c>
      <c r="C46">
        <f t="shared" si="3"/>
        <v>1.9052834518816092E-2</v>
      </c>
    </row>
    <row r="47" spans="1:3">
      <c r="A47" s="2">
        <v>47</v>
      </c>
      <c r="B47">
        <f t="shared" si="2"/>
        <v>67.485000000399992</v>
      </c>
      <c r="C47">
        <f t="shared" si="3"/>
        <v>1.9453758527435767E-2</v>
      </c>
    </row>
    <row r="48" spans="1:3">
      <c r="A48" s="2">
        <v>48</v>
      </c>
      <c r="B48">
        <f t="shared" si="2"/>
        <v>69.09456521780001</v>
      </c>
      <c r="C48">
        <f t="shared" si="3"/>
        <v>1.986029726042713E-2</v>
      </c>
    </row>
    <row r="49" spans="1:3">
      <c r="A49" s="2">
        <v>49</v>
      </c>
      <c r="B49">
        <f t="shared" si="2"/>
        <v>70.7041304352</v>
      </c>
      <c r="C49">
        <f t="shared" si="3"/>
        <v>2.0271902135817085E-2</v>
      </c>
    </row>
    <row r="50" spans="1:3">
      <c r="A50" s="2">
        <v>50</v>
      </c>
      <c r="B50">
        <f t="shared" si="2"/>
        <v>72.313695652599989</v>
      </c>
      <c r="C50">
        <f t="shared" si="3"/>
        <v>2.0688082618291848E-2</v>
      </c>
    </row>
    <row r="51" spans="1:3">
      <c r="A51" s="2">
        <v>51</v>
      </c>
      <c r="B51">
        <f t="shared" si="2"/>
        <v>73.923260870000007</v>
      </c>
      <c r="C51">
        <f t="shared" si="3"/>
        <v>2.1108400706035129E-2</v>
      </c>
    </row>
    <row r="52" spans="1:3">
      <c r="A52" s="2">
        <v>52</v>
      </c>
      <c r="B52">
        <f t="shared" si="2"/>
        <v>75.532826087399997</v>
      </c>
      <c r="C52">
        <f t="shared" si="3"/>
        <v>2.1532465590312692E-2</v>
      </c>
    </row>
    <row r="53" spans="1:3">
      <c r="A53" s="2">
        <v>53</v>
      </c>
      <c r="B53">
        <f t="shared" si="2"/>
        <v>77.142391304799986</v>
      </c>
      <c r="C53">
        <f t="shared" si="3"/>
        <v>2.1959928628099493E-2</v>
      </c>
    </row>
    <row r="54" spans="1:3">
      <c r="A54" s="2">
        <v>54</v>
      </c>
      <c r="B54">
        <f t="shared" si="2"/>
        <v>78.751956522200004</v>
      </c>
      <c r="C54">
        <f t="shared" si="3"/>
        <v>2.2390478703346987E-2</v>
      </c>
    </row>
    <row r="55" spans="1:3">
      <c r="A55" s="2">
        <v>55</v>
      </c>
      <c r="B55">
        <f t="shared" si="2"/>
        <v>80.361521739599993</v>
      </c>
      <c r="C55">
        <f t="shared" si="3"/>
        <v>2.2823838008186281E-2</v>
      </c>
    </row>
    <row r="56" spans="1:3">
      <c r="A56" s="2">
        <v>56</v>
      </c>
      <c r="B56">
        <f t="shared" si="2"/>
        <v>81.971086956999983</v>
      </c>
      <c r="C56">
        <f t="shared" si="3"/>
        <v>2.3259758246257853E-2</v>
      </c>
    </row>
    <row r="57" spans="1:3">
      <c r="A57" s="2">
        <v>57</v>
      </c>
      <c r="B57">
        <f t="shared" si="2"/>
        <v>83.580652174400001</v>
      </c>
      <c r="C57">
        <f t="shared" si="3"/>
        <v>2.3698017242208474E-2</v>
      </c>
    </row>
    <row r="58" spans="1:3">
      <c r="A58" s="2">
        <v>58</v>
      </c>
      <c r="B58">
        <f t="shared" si="2"/>
        <v>85.19021739179999</v>
      </c>
      <c r="C58">
        <f t="shared" si="3"/>
        <v>2.4138415930913214E-2</v>
      </c>
    </row>
    <row r="59" spans="1:3">
      <c r="A59" s="2">
        <v>59</v>
      </c>
      <c r="B59">
        <f t="shared" si="2"/>
        <v>86.799782609200008</v>
      </c>
      <c r="C59">
        <f t="shared" si="3"/>
        <v>2.4580775694709005E-2</v>
      </c>
    </row>
    <row r="60" spans="1:3">
      <c r="A60" s="2">
        <v>60</v>
      </c>
      <c r="B60">
        <f t="shared" si="2"/>
        <v>88.409347826599998</v>
      </c>
      <c r="C60">
        <f t="shared" si="3"/>
        <v>2.5024936015085261E-2</v>
      </c>
    </row>
    <row r="61" spans="1:3">
      <c r="A61" s="2">
        <v>61</v>
      </c>
      <c r="B61">
        <f t="shared" si="2"/>
        <v>90.018913043999987</v>
      </c>
      <c r="C61">
        <f t="shared" si="3"/>
        <v>2.5470752405607547E-2</v>
      </c>
    </row>
    <row r="62" spans="1:3">
      <c r="A62" s="2">
        <v>62</v>
      </c>
      <c r="B62">
        <f t="shared" si="2"/>
        <v>91.628478261400005</v>
      </c>
      <c r="C62">
        <f t="shared" si="3"/>
        <v>2.5918094594479309E-2</v>
      </c>
    </row>
    <row r="63" spans="1:3">
      <c r="A63" s="2">
        <v>63</v>
      </c>
      <c r="B63">
        <f t="shared" si="2"/>
        <v>93.238043478799995</v>
      </c>
      <c r="C63">
        <f t="shared" si="3"/>
        <v>2.6366844927486206E-2</v>
      </c>
    </row>
    <row r="64" spans="1:3">
      <c r="A64" s="2">
        <v>64</v>
      </c>
      <c r="B64">
        <f t="shared" si="2"/>
        <v>94.847608696199984</v>
      </c>
      <c r="C64">
        <f t="shared" si="3"/>
        <v>2.6816896964729275E-2</v>
      </c>
    </row>
    <row r="65" spans="1:3">
      <c r="A65" s="2">
        <v>65</v>
      </c>
      <c r="B65">
        <f t="shared" ref="B65:B70" si="4">-6.555+(A65-1)*1.6095652174</f>
        <v>96.457173913600002</v>
      </c>
      <c r="C65">
        <f t="shared" ref="C65:C70" si="5">0.00511410800996734+0.000125705105277966*B65+0.0482868197833907*(0.00657894736842105+(B65-41.6263815789474)^2/82237.1319098684)^0.5</f>
        <v>2.7268154247288075E-2</v>
      </c>
    </row>
    <row r="66" spans="1:3">
      <c r="A66" s="2">
        <v>66</v>
      </c>
      <c r="B66">
        <f t="shared" si="4"/>
        <v>98.066739130999991</v>
      </c>
      <c r="C66">
        <f t="shared" si="5"/>
        <v>2.7720529212612671E-2</v>
      </c>
    </row>
    <row r="67" spans="1:3">
      <c r="A67" s="2">
        <v>67</v>
      </c>
      <c r="B67">
        <f t="shared" si="4"/>
        <v>99.676304348399981</v>
      </c>
      <c r="C67">
        <f t="shared" si="5"/>
        <v>2.81739422399363E-2</v>
      </c>
    </row>
    <row r="68" spans="1:3">
      <c r="A68" s="2">
        <v>68</v>
      </c>
      <c r="B68">
        <f t="shared" si="4"/>
        <v>101.2858695658</v>
      </c>
      <c r="C68">
        <f t="shared" si="5"/>
        <v>2.8628320809284083E-2</v>
      </c>
    </row>
    <row r="69" spans="1:3">
      <c r="A69" s="2">
        <v>69</v>
      </c>
      <c r="B69">
        <f t="shared" si="4"/>
        <v>102.89543478319999</v>
      </c>
      <c r="C69">
        <f t="shared" si="5"/>
        <v>2.9083598759711969E-2</v>
      </c>
    </row>
    <row r="70" spans="1:3">
      <c r="A70" s="2">
        <v>70</v>
      </c>
      <c r="B70">
        <f t="shared" si="4"/>
        <v>104.50500000060001</v>
      </c>
      <c r="C70">
        <f t="shared" si="5"/>
        <v>2.9539715634243447E-2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enableFormatConditionsCalculation="0"/>
  <dimension ref="A1:C100"/>
  <sheetViews>
    <sheetView workbookViewId="0"/>
  </sheetViews>
  <sheetFormatPr baseColWidth="10" defaultRowHeight="15.75"/>
  <sheetData>
    <row r="1" spans="1:3">
      <c r="A1" s="2">
        <v>1</v>
      </c>
      <c r="B1">
        <f t="shared" ref="B1:B32" si="0">-6.555+(A1-1)*1.1218181818</f>
        <v>-6.5549999999999997</v>
      </c>
      <c r="C1">
        <f t="shared" ref="C1:C32" si="1">0.00511410800996734+0.000125705105277966*B1-0.0482868197833907*(1.00657894736842+(B1-41.6263815789474)^2/82237.1319098684)^0.5</f>
        <v>-4.482989521549955E-2</v>
      </c>
    </row>
    <row r="2" spans="1:3">
      <c r="A2" s="2">
        <v>2</v>
      </c>
      <c r="B2">
        <f t="shared" si="0"/>
        <v>-5.4331818181999996</v>
      </c>
      <c r="C2">
        <f t="shared" si="1"/>
        <v>-4.465803204110335E-2</v>
      </c>
    </row>
    <row r="3" spans="1:3">
      <c r="A3" s="2">
        <v>3</v>
      </c>
      <c r="B3">
        <f t="shared" si="0"/>
        <v>-4.3113636363999994</v>
      </c>
      <c r="C3">
        <f t="shared" si="1"/>
        <v>-4.4486876781542076E-2</v>
      </c>
    </row>
    <row r="4" spans="1:3">
      <c r="A4" s="2">
        <v>4</v>
      </c>
      <c r="B4">
        <f t="shared" si="0"/>
        <v>-3.1895454546000002</v>
      </c>
      <c r="C4">
        <f t="shared" si="1"/>
        <v>-4.431643074221623E-2</v>
      </c>
    </row>
    <row r="5" spans="1:3">
      <c r="A5" s="2">
        <v>5</v>
      </c>
      <c r="B5">
        <f t="shared" si="0"/>
        <v>-2.0677272728</v>
      </c>
      <c r="C5">
        <f t="shared" si="1"/>
        <v>-4.4146695200905008E-2</v>
      </c>
    </row>
    <row r="6" spans="1:3">
      <c r="A6" s="2">
        <v>6</v>
      </c>
      <c r="B6">
        <f t="shared" si="0"/>
        <v>-0.94590909099999987</v>
      </c>
      <c r="C6">
        <f t="shared" si="1"/>
        <v>-4.3977671407498073E-2</v>
      </c>
    </row>
    <row r="7" spans="1:3">
      <c r="A7" s="2">
        <v>7</v>
      </c>
      <c r="B7">
        <f t="shared" si="0"/>
        <v>0.17590909079999939</v>
      </c>
      <c r="C7">
        <f t="shared" si="1"/>
        <v>-4.380936058373211E-2</v>
      </c>
    </row>
    <row r="8" spans="1:3">
      <c r="A8" s="2">
        <v>8</v>
      </c>
      <c r="B8">
        <f t="shared" si="0"/>
        <v>1.2977272725999995</v>
      </c>
      <c r="C8">
        <f t="shared" si="1"/>
        <v>-4.3641763922932356E-2</v>
      </c>
    </row>
    <row r="9" spans="1:3">
      <c r="A9" s="2">
        <v>9</v>
      </c>
      <c r="B9">
        <f t="shared" si="0"/>
        <v>2.4195454543999997</v>
      </c>
      <c r="C9">
        <f t="shared" si="1"/>
        <v>-4.3474882589759213E-2</v>
      </c>
    </row>
    <row r="10" spans="1:3">
      <c r="A10" s="2">
        <v>10</v>
      </c>
      <c r="B10">
        <f t="shared" si="0"/>
        <v>3.5413636361999998</v>
      </c>
      <c r="C10">
        <f t="shared" si="1"/>
        <v>-4.3308717719959866E-2</v>
      </c>
    </row>
    <row r="11" spans="1:3">
      <c r="A11" s="2">
        <v>11</v>
      </c>
      <c r="B11">
        <f t="shared" si="0"/>
        <v>4.663181818</v>
      </c>
      <c r="C11">
        <f t="shared" si="1"/>
        <v>-4.3143270420125279E-2</v>
      </c>
    </row>
    <row r="12" spans="1:3">
      <c r="A12" s="2">
        <v>12</v>
      </c>
      <c r="B12">
        <f t="shared" si="0"/>
        <v>5.7849999998000001</v>
      </c>
      <c r="C12">
        <f t="shared" si="1"/>
        <v>-4.2978541767452666E-2</v>
      </c>
    </row>
    <row r="13" spans="1:3">
      <c r="A13" s="2">
        <v>13</v>
      </c>
      <c r="B13">
        <f t="shared" si="0"/>
        <v>6.9068181815999985</v>
      </c>
      <c r="C13">
        <f t="shared" si="1"/>
        <v>-4.2814532809513285E-2</v>
      </c>
    </row>
    <row r="14" spans="1:3">
      <c r="A14" s="2">
        <v>14</v>
      </c>
      <c r="B14">
        <f t="shared" si="0"/>
        <v>8.0286363633999986</v>
      </c>
      <c r="C14">
        <f t="shared" si="1"/>
        <v>-4.2651244564026067E-2</v>
      </c>
    </row>
    <row r="15" spans="1:3">
      <c r="A15" s="2">
        <v>15</v>
      </c>
      <c r="B15">
        <f t="shared" si="0"/>
        <v>9.1504545451999988</v>
      </c>
      <c r="C15">
        <f t="shared" si="1"/>
        <v>-4.2488678018636823E-2</v>
      </c>
    </row>
    <row r="16" spans="1:3">
      <c r="A16" s="2">
        <v>16</v>
      </c>
      <c r="B16">
        <f t="shared" si="0"/>
        <v>10.272272727000001</v>
      </c>
      <c r="C16">
        <f t="shared" si="1"/>
        <v>-4.2326834130703386E-2</v>
      </c>
    </row>
    <row r="17" spans="1:3">
      <c r="A17" s="2">
        <v>17</v>
      </c>
      <c r="B17">
        <f t="shared" si="0"/>
        <v>11.394090908799999</v>
      </c>
      <c r="C17">
        <f t="shared" si="1"/>
        <v>-4.2165713827086691E-2</v>
      </c>
    </row>
    <row r="18" spans="1:3">
      <c r="A18" s="2">
        <v>18</v>
      </c>
      <c r="B18">
        <f t="shared" si="0"/>
        <v>12.515909090599997</v>
      </c>
      <c r="C18">
        <f t="shared" si="1"/>
        <v>-4.2005318003947953E-2</v>
      </c>
    </row>
    <row r="19" spans="1:3">
      <c r="A19" s="2">
        <v>19</v>
      </c>
      <c r="B19">
        <f t="shared" si="0"/>
        <v>13.637727272399999</v>
      </c>
      <c r="C19">
        <f t="shared" si="1"/>
        <v>-4.1845647526551871E-2</v>
      </c>
    </row>
    <row r="20" spans="1:3">
      <c r="A20" s="2">
        <v>20</v>
      </c>
      <c r="B20">
        <f t="shared" si="0"/>
        <v>14.759545454199998</v>
      </c>
      <c r="C20">
        <f t="shared" si="1"/>
        <v>-4.1686703229076333E-2</v>
      </c>
    </row>
    <row r="21" spans="1:3">
      <c r="A21" s="2">
        <v>21</v>
      </c>
      <c r="B21">
        <f t="shared" si="0"/>
        <v>15.881363636</v>
      </c>
      <c r="C21">
        <f t="shared" si="1"/>
        <v>-4.1528485914428218E-2</v>
      </c>
    </row>
    <row r="22" spans="1:3">
      <c r="A22" s="2">
        <v>22</v>
      </c>
      <c r="B22">
        <f t="shared" si="0"/>
        <v>17.003181817799998</v>
      </c>
      <c r="C22">
        <f t="shared" si="1"/>
        <v>-4.1370996354065825E-2</v>
      </c>
    </row>
    <row r="23" spans="1:3">
      <c r="A23" s="2">
        <v>23</v>
      </c>
      <c r="B23">
        <f t="shared" si="0"/>
        <v>18.1249999996</v>
      </c>
      <c r="C23">
        <f t="shared" si="1"/>
        <v>-4.1214235287827819E-2</v>
      </c>
    </row>
    <row r="24" spans="1:3">
      <c r="A24" s="2">
        <v>24</v>
      </c>
      <c r="B24">
        <f t="shared" si="0"/>
        <v>19.246818181399998</v>
      </c>
      <c r="C24">
        <f t="shared" si="1"/>
        <v>-4.105820342376873E-2</v>
      </c>
    </row>
    <row r="25" spans="1:3">
      <c r="A25" s="2">
        <v>25</v>
      </c>
      <c r="B25">
        <f t="shared" si="0"/>
        <v>20.368636363199997</v>
      </c>
      <c r="C25">
        <f t="shared" si="1"/>
        <v>-4.0902901438001238E-2</v>
      </c>
    </row>
    <row r="26" spans="1:3">
      <c r="A26" s="2">
        <v>26</v>
      </c>
      <c r="B26">
        <f t="shared" si="0"/>
        <v>21.490454544999999</v>
      </c>
      <c r="C26">
        <f t="shared" si="1"/>
        <v>-4.074832997454525E-2</v>
      </c>
    </row>
    <row r="27" spans="1:3">
      <c r="A27" s="2">
        <v>27</v>
      </c>
      <c r="B27">
        <f t="shared" si="0"/>
        <v>22.612272726799997</v>
      </c>
      <c r="C27">
        <f t="shared" si="1"/>
        <v>-4.0594489645183821E-2</v>
      </c>
    </row>
    <row r="28" spans="1:3">
      <c r="A28" s="2">
        <v>28</v>
      </c>
      <c r="B28">
        <f t="shared" si="0"/>
        <v>23.734090908599999</v>
      </c>
      <c r="C28">
        <f t="shared" si="1"/>
        <v>-4.0441381029325985E-2</v>
      </c>
    </row>
    <row r="29" spans="1:3">
      <c r="A29" s="2">
        <v>29</v>
      </c>
      <c r="B29">
        <f t="shared" si="0"/>
        <v>24.855909090399997</v>
      </c>
      <c r="C29">
        <f t="shared" si="1"/>
        <v>-4.0289004673876798E-2</v>
      </c>
    </row>
    <row r="30" spans="1:3">
      <c r="A30" s="2">
        <v>30</v>
      </c>
      <c r="B30">
        <f t="shared" si="0"/>
        <v>25.977727272199999</v>
      </c>
      <c r="C30">
        <f t="shared" si="1"/>
        <v>-4.0137361093114166E-2</v>
      </c>
    </row>
    <row r="31" spans="1:3">
      <c r="A31" s="2">
        <v>31</v>
      </c>
      <c r="B31">
        <f t="shared" si="0"/>
        <v>27.099545454000001</v>
      </c>
      <c r="C31">
        <f t="shared" si="1"/>
        <v>-3.9986450768573066E-2</v>
      </c>
    </row>
    <row r="32" spans="1:3">
      <c r="A32" s="2">
        <v>32</v>
      </c>
      <c r="B32">
        <f t="shared" si="0"/>
        <v>28.221363635799996</v>
      </c>
      <c r="C32">
        <f t="shared" si="1"/>
        <v>-3.9836274148936923E-2</v>
      </c>
    </row>
    <row r="33" spans="1:3">
      <c r="A33" s="2">
        <v>33</v>
      </c>
      <c r="B33">
        <f t="shared" ref="B33:B64" si="2">-6.555+(A33-1)*1.1218181818</f>
        <v>29.343181817599998</v>
      </c>
      <c r="C33">
        <f t="shared" ref="C33:C64" si="3">0.00511410800996734+0.000125705105277966*B33-0.0482868197833907*(1.00657894736842+(B33-41.6263815789474)^2/82237.1319098684)^0.5</f>
        <v>-3.9686831649936152E-2</v>
      </c>
    </row>
    <row r="34" spans="1:3">
      <c r="A34" s="2">
        <v>34</v>
      </c>
      <c r="B34">
        <f t="shared" si="2"/>
        <v>30.4649999994</v>
      </c>
      <c r="C34">
        <f t="shared" si="3"/>
        <v>-3.953812365425418E-2</v>
      </c>
    </row>
    <row r="35" spans="1:3">
      <c r="A35" s="2">
        <v>35</v>
      </c>
      <c r="B35">
        <f t="shared" si="2"/>
        <v>31.586818181199995</v>
      </c>
      <c r="C35">
        <f t="shared" si="3"/>
        <v>-3.9390150511440708E-2</v>
      </c>
    </row>
    <row r="36" spans="1:3">
      <c r="A36" s="2">
        <v>36</v>
      </c>
      <c r="B36">
        <f t="shared" si="2"/>
        <v>32.708636362999997</v>
      </c>
      <c r="C36">
        <f t="shared" si="3"/>
        <v>-3.9242912537832485E-2</v>
      </c>
    </row>
    <row r="37" spans="1:3">
      <c r="A37" s="2">
        <v>37</v>
      </c>
      <c r="B37">
        <f t="shared" si="2"/>
        <v>33.830454544799998</v>
      </c>
      <c r="C37">
        <f t="shared" si="3"/>
        <v>-3.9096410016481481E-2</v>
      </c>
    </row>
    <row r="38" spans="1:3">
      <c r="A38" s="2">
        <v>38</v>
      </c>
      <c r="B38">
        <f t="shared" si="2"/>
        <v>34.9522727266</v>
      </c>
      <c r="C38">
        <f t="shared" si="3"/>
        <v>-3.8950643197090552E-2</v>
      </c>
    </row>
    <row r="39" spans="1:3">
      <c r="A39" s="2">
        <v>39</v>
      </c>
      <c r="B39">
        <f t="shared" si="2"/>
        <v>36.074090908399995</v>
      </c>
      <c r="C39">
        <f t="shared" si="3"/>
        <v>-3.8805612295956728E-2</v>
      </c>
    </row>
    <row r="40" spans="1:3">
      <c r="A40" s="2">
        <v>40</v>
      </c>
      <c r="B40">
        <f t="shared" si="2"/>
        <v>37.195909090199997</v>
      </c>
      <c r="C40">
        <f t="shared" si="3"/>
        <v>-3.8661317495921908E-2</v>
      </c>
    </row>
    <row r="41" spans="1:3">
      <c r="A41" s="2">
        <v>41</v>
      </c>
      <c r="B41">
        <f t="shared" si="2"/>
        <v>38.317727271999999</v>
      </c>
      <c r="C41">
        <f t="shared" si="3"/>
        <v>-3.8517758946331297E-2</v>
      </c>
    </row>
    <row r="42" spans="1:3">
      <c r="A42" s="2">
        <v>42</v>
      </c>
      <c r="B42">
        <f t="shared" si="2"/>
        <v>39.439545453799994</v>
      </c>
      <c r="C42">
        <f t="shared" si="3"/>
        <v>-3.8374936762999384E-2</v>
      </c>
    </row>
    <row r="43" spans="1:3">
      <c r="A43" s="2">
        <v>43</v>
      </c>
      <c r="B43">
        <f t="shared" si="2"/>
        <v>40.561363635599996</v>
      </c>
      <c r="C43">
        <f t="shared" si="3"/>
        <v>-3.8232851028183489E-2</v>
      </c>
    </row>
    <row r="44" spans="1:3">
      <c r="A44" s="2">
        <v>44</v>
      </c>
      <c r="B44">
        <f t="shared" si="2"/>
        <v>41.683181817399998</v>
      </c>
      <c r="C44">
        <f t="shared" si="3"/>
        <v>-3.8091501790565085E-2</v>
      </c>
    </row>
    <row r="45" spans="1:3">
      <c r="A45" s="2">
        <v>45</v>
      </c>
      <c r="B45">
        <f t="shared" si="2"/>
        <v>42.8049999992</v>
      </c>
      <c r="C45">
        <f t="shared" si="3"/>
        <v>-3.7950889065238656E-2</v>
      </c>
    </row>
    <row r="46" spans="1:3">
      <c r="A46" s="2">
        <v>46</v>
      </c>
      <c r="B46">
        <f t="shared" si="2"/>
        <v>43.926818180999994</v>
      </c>
      <c r="C46">
        <f t="shared" si="3"/>
        <v>-3.7811012833708246E-2</v>
      </c>
    </row>
    <row r="47" spans="1:3">
      <c r="A47" s="2">
        <v>47</v>
      </c>
      <c r="B47">
        <f t="shared" si="2"/>
        <v>45.048636362799996</v>
      </c>
      <c r="C47">
        <f t="shared" si="3"/>
        <v>-3.7671873043891739E-2</v>
      </c>
    </row>
    <row r="48" spans="1:3">
      <c r="A48" s="2">
        <v>48</v>
      </c>
      <c r="B48">
        <f t="shared" si="2"/>
        <v>46.170454544599998</v>
      </c>
      <c r="C48">
        <f t="shared" si="3"/>
        <v>-3.7533469610132639E-2</v>
      </c>
    </row>
    <row r="49" spans="1:3">
      <c r="A49" s="2">
        <v>49</v>
      </c>
      <c r="B49">
        <f t="shared" si="2"/>
        <v>47.292272726399993</v>
      </c>
      <c r="C49">
        <f t="shared" si="3"/>
        <v>-3.7395802413219693E-2</v>
      </c>
    </row>
    <row r="50" spans="1:3">
      <c r="A50" s="2">
        <v>50</v>
      </c>
      <c r="B50">
        <f t="shared" si="2"/>
        <v>48.414090908199995</v>
      </c>
      <c r="C50">
        <f t="shared" si="3"/>
        <v>-3.725887130041397E-2</v>
      </c>
    </row>
    <row r="51" spans="1:3">
      <c r="A51" s="2">
        <v>51</v>
      </c>
      <c r="B51">
        <f t="shared" si="2"/>
        <v>49.535909089999997</v>
      </c>
      <c r="C51">
        <f t="shared" si="3"/>
        <v>-3.7122676085483718E-2</v>
      </c>
    </row>
    <row r="52" spans="1:3">
      <c r="A52" s="2">
        <v>52</v>
      </c>
      <c r="B52">
        <f t="shared" si="2"/>
        <v>50.657727271799999</v>
      </c>
      <c r="C52">
        <f t="shared" si="3"/>
        <v>-3.6987216548746739E-2</v>
      </c>
    </row>
    <row r="53" spans="1:3">
      <c r="A53" s="2">
        <v>53</v>
      </c>
      <c r="B53">
        <f t="shared" si="2"/>
        <v>51.779545453599994</v>
      </c>
      <c r="C53">
        <f t="shared" si="3"/>
        <v>-3.6852492437120354E-2</v>
      </c>
    </row>
    <row r="54" spans="1:3">
      <c r="A54" s="2">
        <v>54</v>
      </c>
      <c r="B54">
        <f t="shared" si="2"/>
        <v>52.901363635399996</v>
      </c>
      <c r="C54">
        <f t="shared" si="3"/>
        <v>-3.6718503464179E-2</v>
      </c>
    </row>
    <row r="55" spans="1:3">
      <c r="A55" s="2">
        <v>55</v>
      </c>
      <c r="B55">
        <f t="shared" si="2"/>
        <v>54.023181817199998</v>
      </c>
      <c r="C55">
        <f t="shared" si="3"/>
        <v>-3.6585249310219226E-2</v>
      </c>
    </row>
    <row r="56" spans="1:3">
      <c r="A56" s="2">
        <v>56</v>
      </c>
      <c r="B56">
        <f t="shared" si="2"/>
        <v>55.144999998999999</v>
      </c>
      <c r="C56">
        <f t="shared" si="3"/>
        <v>-3.6452729622332321E-2</v>
      </c>
    </row>
    <row r="57" spans="1:3">
      <c r="A57" s="2">
        <v>57</v>
      </c>
      <c r="B57">
        <f t="shared" si="2"/>
        <v>56.266818180799994</v>
      </c>
      <c r="C57">
        <f t="shared" si="3"/>
        <v>-3.6320944014484324E-2</v>
      </c>
    </row>
    <row r="58" spans="1:3">
      <c r="A58" s="2">
        <v>58</v>
      </c>
      <c r="B58">
        <f t="shared" si="2"/>
        <v>57.388636362599996</v>
      </c>
      <c r="C58">
        <f t="shared" si="3"/>
        <v>-3.6189892067603396E-2</v>
      </c>
    </row>
    <row r="59" spans="1:3">
      <c r="A59" s="2">
        <v>59</v>
      </c>
      <c r="B59">
        <f t="shared" si="2"/>
        <v>58.510454544399998</v>
      </c>
      <c r="C59">
        <f t="shared" si="3"/>
        <v>-3.6059573329674716E-2</v>
      </c>
    </row>
    <row r="60" spans="1:3">
      <c r="A60" s="2">
        <v>60</v>
      </c>
      <c r="B60">
        <f t="shared" si="2"/>
        <v>59.632272726199993</v>
      </c>
      <c r="C60">
        <f t="shared" si="3"/>
        <v>-3.5929987315842529E-2</v>
      </c>
    </row>
    <row r="61" spans="1:3">
      <c r="A61" s="2">
        <v>61</v>
      </c>
      <c r="B61">
        <f t="shared" si="2"/>
        <v>60.754090908000002</v>
      </c>
      <c r="C61">
        <f t="shared" si="3"/>
        <v>-3.5801133508519559E-2</v>
      </c>
    </row>
    <row r="62" spans="1:3">
      <c r="A62" s="2">
        <v>62</v>
      </c>
      <c r="B62">
        <f t="shared" si="2"/>
        <v>61.875909089799997</v>
      </c>
      <c r="C62">
        <f t="shared" si="3"/>
        <v>-3.5673011357503545E-2</v>
      </c>
    </row>
    <row r="63" spans="1:3">
      <c r="A63" s="2">
        <v>63</v>
      </c>
      <c r="B63">
        <f t="shared" si="2"/>
        <v>62.997727271599992</v>
      </c>
      <c r="C63">
        <f t="shared" si="3"/>
        <v>-3.5545620280101053E-2</v>
      </c>
    </row>
    <row r="64" spans="1:3">
      <c r="A64" s="2">
        <v>64</v>
      </c>
      <c r="B64">
        <f t="shared" si="2"/>
        <v>64.119545453400008</v>
      </c>
      <c r="C64">
        <f t="shared" si="3"/>
        <v>-3.5418959661258242E-2</v>
      </c>
    </row>
    <row r="65" spans="1:3">
      <c r="A65" s="2">
        <v>65</v>
      </c>
      <c r="B65">
        <f t="shared" ref="B65:B96" si="4">-6.555+(A65-1)*1.1218181818</f>
        <v>65.241363635200003</v>
      </c>
      <c r="C65">
        <f t="shared" ref="C65:C96" si="5">0.00511410800996734+0.000125705105277966*B65-0.0482868197833907*(1.00657894736842+(B65-41.6263815789474)^2/82237.1319098684)^0.5</f>
        <v>-3.5293028853698657E-2</v>
      </c>
    </row>
    <row r="66" spans="1:3">
      <c r="A66" s="2">
        <v>66</v>
      </c>
      <c r="B66">
        <f t="shared" si="4"/>
        <v>66.363181816999997</v>
      </c>
      <c r="C66">
        <f t="shared" si="5"/>
        <v>-3.5167827178068073E-2</v>
      </c>
    </row>
    <row r="67" spans="1:3">
      <c r="A67" s="2">
        <v>67</v>
      </c>
      <c r="B67">
        <f t="shared" si="4"/>
        <v>67.484999998799992</v>
      </c>
      <c r="C67">
        <f t="shared" si="5"/>
        <v>-3.5043353923086031E-2</v>
      </c>
    </row>
    <row r="68" spans="1:3">
      <c r="A68" s="2">
        <v>68</v>
      </c>
      <c r="B68">
        <f t="shared" si="4"/>
        <v>68.606818180599987</v>
      </c>
      <c r="C68">
        <f t="shared" si="5"/>
        <v>-3.4919608345704345E-2</v>
      </c>
    </row>
    <row r="69" spans="1:3">
      <c r="A69" s="2">
        <v>69</v>
      </c>
      <c r="B69">
        <f t="shared" si="4"/>
        <v>69.728636362399982</v>
      </c>
      <c r="C69">
        <f t="shared" si="5"/>
        <v>-3.479658967127218E-2</v>
      </c>
    </row>
    <row r="70" spans="1:3">
      <c r="A70" s="2">
        <v>70</v>
      </c>
      <c r="B70">
        <f t="shared" si="4"/>
        <v>70.850454544200005</v>
      </c>
      <c r="C70">
        <f t="shared" si="5"/>
        <v>-3.4674297093707826E-2</v>
      </c>
    </row>
    <row r="71" spans="1:3">
      <c r="A71" s="2">
        <v>71</v>
      </c>
      <c r="B71">
        <f t="shared" si="4"/>
        <v>71.972272726</v>
      </c>
      <c r="C71">
        <f t="shared" si="5"/>
        <v>-3.4552729775676916E-2</v>
      </c>
    </row>
    <row r="72" spans="1:3">
      <c r="A72" s="2">
        <v>72</v>
      </c>
      <c r="B72">
        <f t="shared" si="4"/>
        <v>73.094090907799995</v>
      </c>
      <c r="C72">
        <f t="shared" si="5"/>
        <v>-3.4431886848777266E-2</v>
      </c>
    </row>
    <row r="73" spans="1:3">
      <c r="A73" s="2">
        <v>73</v>
      </c>
      <c r="B73">
        <f t="shared" si="4"/>
        <v>74.21590908959999</v>
      </c>
      <c r="C73">
        <f t="shared" si="5"/>
        <v>-3.43117674137298E-2</v>
      </c>
    </row>
    <row r="74" spans="1:3">
      <c r="A74" s="2">
        <v>74</v>
      </c>
      <c r="B74">
        <f t="shared" si="4"/>
        <v>75.337727271399984</v>
      </c>
      <c r="C74">
        <f t="shared" si="5"/>
        <v>-3.4192370540576E-2</v>
      </c>
    </row>
    <row r="75" spans="1:3">
      <c r="A75" s="2">
        <v>75</v>
      </c>
      <c r="B75">
        <f t="shared" si="4"/>
        <v>76.459545453200008</v>
      </c>
      <c r="C75">
        <f t="shared" si="5"/>
        <v>-3.4073695268881307E-2</v>
      </c>
    </row>
    <row r="76" spans="1:3">
      <c r="A76" s="2">
        <v>76</v>
      </c>
      <c r="B76">
        <f t="shared" si="4"/>
        <v>77.581363635000002</v>
      </c>
      <c r="C76">
        <f t="shared" si="5"/>
        <v>-3.3955740607944727E-2</v>
      </c>
    </row>
    <row r="77" spans="1:3">
      <c r="A77" s="2">
        <v>77</v>
      </c>
      <c r="B77">
        <f t="shared" si="4"/>
        <v>78.703181816799997</v>
      </c>
      <c r="C77">
        <f t="shared" si="5"/>
        <v>-3.3838505537014181E-2</v>
      </c>
    </row>
    <row r="78" spans="1:3">
      <c r="A78" s="2">
        <v>78</v>
      </c>
      <c r="B78">
        <f t="shared" si="4"/>
        <v>79.824999998599992</v>
      </c>
      <c r="C78">
        <f t="shared" si="5"/>
        <v>-3.3721989005507935E-2</v>
      </c>
    </row>
    <row r="79" spans="1:3">
      <c r="A79" s="2">
        <v>79</v>
      </c>
      <c r="B79">
        <f t="shared" si="4"/>
        <v>80.946818180399987</v>
      </c>
      <c r="C79">
        <f t="shared" si="5"/>
        <v>-3.3606189933241604E-2</v>
      </c>
    </row>
    <row r="80" spans="1:3">
      <c r="A80" s="2">
        <v>80</v>
      </c>
      <c r="B80">
        <f t="shared" si="4"/>
        <v>82.068636362199982</v>
      </c>
      <c r="C80">
        <f t="shared" si="5"/>
        <v>-3.3491107210660821E-2</v>
      </c>
    </row>
    <row r="81" spans="1:3">
      <c r="A81" s="2">
        <v>81</v>
      </c>
      <c r="B81">
        <f t="shared" si="4"/>
        <v>83.190454544000005</v>
      </c>
      <c r="C81">
        <f t="shared" si="5"/>
        <v>-3.3376739699079339E-2</v>
      </c>
    </row>
    <row r="82" spans="1:3">
      <c r="A82" s="2">
        <v>82</v>
      </c>
      <c r="B82">
        <f t="shared" si="4"/>
        <v>84.3122727258</v>
      </c>
      <c r="C82">
        <f t="shared" si="5"/>
        <v>-3.3263086230922674E-2</v>
      </c>
    </row>
    <row r="83" spans="1:3">
      <c r="A83" s="2">
        <v>83</v>
      </c>
      <c r="B83">
        <f t="shared" si="4"/>
        <v>85.434090907599995</v>
      </c>
      <c r="C83">
        <f t="shared" si="5"/>
        <v>-3.315014560997688E-2</v>
      </c>
    </row>
    <row r="84" spans="1:3">
      <c r="A84" s="2">
        <v>84</v>
      </c>
      <c r="B84">
        <f t="shared" si="4"/>
        <v>86.555909089399989</v>
      </c>
      <c r="C84">
        <f t="shared" si="5"/>
        <v>-3.3037916611642529E-2</v>
      </c>
    </row>
    <row r="85" spans="1:3">
      <c r="A85" s="2">
        <v>85</v>
      </c>
      <c r="B85">
        <f t="shared" si="4"/>
        <v>87.677727271199984</v>
      </c>
      <c r="C85">
        <f t="shared" si="5"/>
        <v>-3.2926397983193662E-2</v>
      </c>
    </row>
    <row r="86" spans="1:3">
      <c r="A86" s="2">
        <v>86</v>
      </c>
      <c r="B86">
        <f t="shared" si="4"/>
        <v>88.799545453000007</v>
      </c>
      <c r="C86">
        <f t="shared" si="5"/>
        <v>-3.2815588444041748E-2</v>
      </c>
    </row>
    <row r="87" spans="1:3">
      <c r="A87" s="2">
        <v>87</v>
      </c>
      <c r="B87">
        <f t="shared" si="4"/>
        <v>89.921363634800002</v>
      </c>
      <c r="C87">
        <f t="shared" si="5"/>
        <v>-3.2705486686004349E-2</v>
      </c>
    </row>
    <row r="88" spans="1:3">
      <c r="A88" s="2">
        <v>88</v>
      </c>
      <c r="B88">
        <f t="shared" si="4"/>
        <v>91.043181816599997</v>
      </c>
      <c r="C88">
        <f t="shared" si="5"/>
        <v>-3.2596091373578405E-2</v>
      </c>
    </row>
    <row r="89" spans="1:3">
      <c r="A89" s="2">
        <v>89</v>
      </c>
      <c r="B89">
        <f t="shared" si="4"/>
        <v>92.164999998399992</v>
      </c>
      <c r="C89">
        <f t="shared" si="5"/>
        <v>-3.248740114421813E-2</v>
      </c>
    </row>
    <row r="90" spans="1:3">
      <c r="A90" s="2">
        <v>90</v>
      </c>
      <c r="B90">
        <f t="shared" si="4"/>
        <v>93.286818180199987</v>
      </c>
      <c r="C90">
        <f t="shared" si="5"/>
        <v>-3.2379414608617256E-2</v>
      </c>
    </row>
    <row r="91" spans="1:3">
      <c r="A91" s="2">
        <v>91</v>
      </c>
      <c r="B91">
        <f t="shared" si="4"/>
        <v>94.408636361999982</v>
      </c>
      <c r="C91">
        <f t="shared" si="5"/>
        <v>-3.2272130350995472E-2</v>
      </c>
    </row>
    <row r="92" spans="1:3">
      <c r="A92" s="2">
        <v>92</v>
      </c>
      <c r="B92">
        <f t="shared" si="4"/>
        <v>95.530454543800005</v>
      </c>
      <c r="C92">
        <f t="shared" si="5"/>
        <v>-3.2165546929389131E-2</v>
      </c>
    </row>
    <row r="93" spans="1:3">
      <c r="A93" s="2">
        <v>93</v>
      </c>
      <c r="B93">
        <f t="shared" si="4"/>
        <v>96.6522727256</v>
      </c>
      <c r="C93">
        <f t="shared" si="5"/>
        <v>-3.2059662875945888E-2</v>
      </c>
    </row>
    <row r="94" spans="1:3">
      <c r="A94" s="2">
        <v>94</v>
      </c>
      <c r="B94">
        <f t="shared" si="4"/>
        <v>97.774090907399994</v>
      </c>
      <c r="C94">
        <f t="shared" si="5"/>
        <v>-3.1954476697223115E-2</v>
      </c>
    </row>
    <row r="95" spans="1:3">
      <c r="A95" s="2">
        <v>95</v>
      </c>
      <c r="B95">
        <f t="shared" si="4"/>
        <v>98.895909089199989</v>
      </c>
      <c r="C95">
        <f t="shared" si="5"/>
        <v>-3.1849986874490255E-2</v>
      </c>
    </row>
    <row r="96" spans="1:3">
      <c r="A96" s="2">
        <v>96</v>
      </c>
      <c r="B96">
        <f t="shared" si="4"/>
        <v>100.01772727099998</v>
      </c>
      <c r="C96">
        <f t="shared" si="5"/>
        <v>-3.174619186403449E-2</v>
      </c>
    </row>
    <row r="97" spans="1:3">
      <c r="A97" s="2">
        <v>97</v>
      </c>
      <c r="B97">
        <f t="shared" ref="B97:B100" si="6">-6.555+(A97-1)*1.1218181818</f>
        <v>101.13954545279998</v>
      </c>
      <c r="C97">
        <f t="shared" ref="C97:C100" si="7">0.00511410800996734+0.000125705105277966*B97-0.0482868197833907*(1.00657894736842+(B97-41.6263815789474)^2/82237.1319098684)^0.5</f>
        <v>-3.1643090097470183E-2</v>
      </c>
    </row>
    <row r="98" spans="1:3">
      <c r="A98" s="2">
        <v>98</v>
      </c>
      <c r="B98">
        <f t="shared" si="6"/>
        <v>102.2613636346</v>
      </c>
      <c r="C98">
        <f t="shared" si="7"/>
        <v>-3.1540679982051345E-2</v>
      </c>
    </row>
    <row r="99" spans="1:3">
      <c r="A99" s="2">
        <v>99</v>
      </c>
      <c r="B99">
        <f t="shared" si="6"/>
        <v>103.3831818164</v>
      </c>
      <c r="C99">
        <f t="shared" si="7"/>
        <v>-3.1438959900987516E-2</v>
      </c>
    </row>
    <row r="100" spans="1:3">
      <c r="A100" s="2">
        <v>100</v>
      </c>
      <c r="B100">
        <f t="shared" si="6"/>
        <v>104.50499999819999</v>
      </c>
      <c r="C100">
        <f t="shared" si="7"/>
        <v>-3.1337928213762592E-2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30.1437172995779+0.167053795618833*B1-78.837779537689*(1.00625+(B1-35.4678125)^2/90617.540334375)^0.5</f>
        <v>-50.787248019181973</v>
      </c>
    </row>
    <row r="2" spans="1:3">
      <c r="A2" s="2">
        <v>2</v>
      </c>
      <c r="B2">
        <f t="shared" si="0"/>
        <v>-5.4883030303</v>
      </c>
      <c r="C2">
        <f t="shared" si="1"/>
        <v>-50.580979197433557</v>
      </c>
    </row>
    <row r="3" spans="1:3">
      <c r="A3" s="2">
        <v>3</v>
      </c>
      <c r="B3">
        <f t="shared" si="0"/>
        <v>-4.4706060605999998</v>
      </c>
      <c r="C3">
        <f t="shared" si="1"/>
        <v>-50.375584413275206</v>
      </c>
    </row>
    <row r="4" spans="1:3">
      <c r="A4" s="2">
        <v>4</v>
      </c>
      <c r="B4">
        <f t="shared" si="0"/>
        <v>-3.4529090909000004</v>
      </c>
      <c r="C4">
        <f t="shared" si="1"/>
        <v>-50.171064830299784</v>
      </c>
    </row>
    <row r="5" spans="1:3">
      <c r="A5" s="2">
        <v>5</v>
      </c>
      <c r="B5">
        <f t="shared" si="0"/>
        <v>-2.4352121212000002</v>
      </c>
      <c r="C5">
        <f t="shared" si="1"/>
        <v>-49.967421585310255</v>
      </c>
    </row>
    <row r="6" spans="1:3">
      <c r="A6" s="2">
        <v>6</v>
      </c>
      <c r="B6">
        <f t="shared" si="0"/>
        <v>-1.4175151515</v>
      </c>
      <c r="C6">
        <f t="shared" si="1"/>
        <v>-49.764655788136594</v>
      </c>
    </row>
    <row r="7" spans="1:3">
      <c r="A7" s="2">
        <v>7</v>
      </c>
      <c r="B7">
        <f t="shared" si="0"/>
        <v>-0.39981818180000062</v>
      </c>
      <c r="C7">
        <f t="shared" si="1"/>
        <v>-49.562768521456633</v>
      </c>
    </row>
    <row r="8" spans="1:3">
      <c r="A8" s="2">
        <v>8</v>
      </c>
      <c r="B8">
        <f t="shared" si="0"/>
        <v>0.61787878789999962</v>
      </c>
      <c r="C8">
        <f t="shared" si="1"/>
        <v>-49.361760840620924</v>
      </c>
    </row>
    <row r="9" spans="1:3">
      <c r="A9" s="2">
        <v>9</v>
      </c>
      <c r="B9">
        <f t="shared" si="0"/>
        <v>1.6355757575999998</v>
      </c>
      <c r="C9">
        <f t="shared" si="1"/>
        <v>-49.161633773481341</v>
      </c>
    </row>
    <row r="10" spans="1:3">
      <c r="A10" s="2">
        <v>10</v>
      </c>
      <c r="B10">
        <f t="shared" si="0"/>
        <v>2.6532727272999992</v>
      </c>
      <c r="C10">
        <f t="shared" si="1"/>
        <v>-48.962388320223724</v>
      </c>
    </row>
    <row r="11" spans="1:3">
      <c r="A11" s="2">
        <v>11</v>
      </c>
      <c r="B11">
        <f t="shared" si="0"/>
        <v>3.6709696970000003</v>
      </c>
      <c r="C11">
        <f t="shared" si="1"/>
        <v>-48.764025453204823</v>
      </c>
    </row>
    <row r="12" spans="1:3">
      <c r="A12" s="2">
        <v>12</v>
      </c>
      <c r="B12">
        <f t="shared" si="0"/>
        <v>4.6886666666999997</v>
      </c>
      <c r="C12">
        <f t="shared" si="1"/>
        <v>-48.566546116793063</v>
      </c>
    </row>
    <row r="13" spans="1:3">
      <c r="A13" s="2">
        <v>13</v>
      </c>
      <c r="B13">
        <f t="shared" si="0"/>
        <v>5.706363636399999</v>
      </c>
      <c r="C13">
        <f t="shared" si="1"/>
        <v>-48.369951227213839</v>
      </c>
    </row>
    <row r="14" spans="1:3">
      <c r="A14" s="2">
        <v>14</v>
      </c>
      <c r="B14">
        <f t="shared" si="0"/>
        <v>6.7240606061000001</v>
      </c>
      <c r="C14">
        <f t="shared" si="1"/>
        <v>-48.174241672398736</v>
      </c>
    </row>
    <row r="15" spans="1:3">
      <c r="A15" s="2">
        <v>15</v>
      </c>
      <c r="B15">
        <f t="shared" si="0"/>
        <v>7.7417575757999995</v>
      </c>
      <c r="C15">
        <f t="shared" si="1"/>
        <v>-47.979418311839424</v>
      </c>
    </row>
    <row r="16" spans="1:3">
      <c r="A16" s="2">
        <v>16</v>
      </c>
      <c r="B16">
        <f t="shared" si="0"/>
        <v>8.7594545455000006</v>
      </c>
      <c r="C16">
        <f t="shared" si="1"/>
        <v>-47.785481976445574</v>
      </c>
    </row>
    <row r="17" spans="1:3">
      <c r="A17" s="2">
        <v>17</v>
      </c>
      <c r="B17">
        <f t="shared" si="0"/>
        <v>9.7771515151999999</v>
      </c>
      <c r="C17">
        <f t="shared" si="1"/>
        <v>-47.592433468407407</v>
      </c>
    </row>
    <row r="18" spans="1:3">
      <c r="A18" s="2">
        <v>18</v>
      </c>
      <c r="B18">
        <f t="shared" si="0"/>
        <v>10.794848484900001</v>
      </c>
      <c r="C18">
        <f t="shared" si="1"/>
        <v>-47.400273561062775</v>
      </c>
    </row>
    <row r="19" spans="1:3">
      <c r="A19" s="2">
        <v>19</v>
      </c>
      <c r="B19">
        <f t="shared" si="0"/>
        <v>11.812545454599999</v>
      </c>
      <c r="C19">
        <f t="shared" si="1"/>
        <v>-47.209002998768547</v>
      </c>
    </row>
    <row r="20" spans="1:3">
      <c r="A20" s="2">
        <v>20</v>
      </c>
      <c r="B20">
        <f t="shared" si="0"/>
        <v>12.8302424243</v>
      </c>
      <c r="C20">
        <f t="shared" si="1"/>
        <v>-47.0186224967768</v>
      </c>
    </row>
    <row r="21" spans="1:3">
      <c r="A21" s="2">
        <v>21</v>
      </c>
      <c r="B21">
        <f t="shared" si="0"/>
        <v>13.847939394000001</v>
      </c>
      <c r="C21">
        <f t="shared" si="1"/>
        <v>-46.829132741115387</v>
      </c>
    </row>
    <row r="22" spans="1:3">
      <c r="A22" s="2">
        <v>22</v>
      </c>
      <c r="B22">
        <f t="shared" si="0"/>
        <v>14.865636363699998</v>
      </c>
      <c r="C22">
        <f t="shared" si="1"/>
        <v>-46.640534388473561</v>
      </c>
    </row>
    <row r="23" spans="1:3">
      <c r="A23" s="2">
        <v>23</v>
      </c>
      <c r="B23">
        <f t="shared" si="0"/>
        <v>15.8833333334</v>
      </c>
      <c r="C23">
        <f t="shared" si="1"/>
        <v>-46.452828066091882</v>
      </c>
    </row>
    <row r="24" spans="1:3">
      <c r="A24" s="2">
        <v>24</v>
      </c>
      <c r="B24">
        <f t="shared" si="0"/>
        <v>16.901030303100001</v>
      </c>
      <c r="C24">
        <f t="shared" si="1"/>
        <v>-46.266014371657128</v>
      </c>
    </row>
    <row r="25" spans="1:3">
      <c r="A25" s="2">
        <v>25</v>
      </c>
      <c r="B25">
        <f t="shared" si="0"/>
        <v>17.918727272799998</v>
      </c>
      <c r="C25">
        <f t="shared" si="1"/>
        <v>-46.080093873202024</v>
      </c>
    </row>
    <row r="26" spans="1:3">
      <c r="A26" s="2">
        <v>26</v>
      </c>
      <c r="B26">
        <f t="shared" si="0"/>
        <v>18.936424242499999</v>
      </c>
      <c r="C26">
        <f t="shared" si="1"/>
        <v>-45.895067109009716</v>
      </c>
    </row>
    <row r="27" spans="1:3">
      <c r="A27" s="2">
        <v>27</v>
      </c>
      <c r="B27">
        <f t="shared" si="0"/>
        <v>19.9541212122</v>
      </c>
      <c r="C27">
        <f t="shared" si="1"/>
        <v>-45.710934587523148</v>
      </c>
    </row>
    <row r="28" spans="1:3">
      <c r="A28" s="2">
        <v>28</v>
      </c>
      <c r="B28">
        <f t="shared" si="0"/>
        <v>20.971818181900002</v>
      </c>
      <c r="C28">
        <f t="shared" si="1"/>
        <v>-45.527696787259281</v>
      </c>
    </row>
    <row r="29" spans="1:3">
      <c r="A29" s="2">
        <v>29</v>
      </c>
      <c r="B29">
        <f t="shared" si="0"/>
        <v>21.989515151599999</v>
      </c>
      <c r="C29">
        <f t="shared" si="1"/>
        <v>-45.345354156728476</v>
      </c>
    </row>
    <row r="30" spans="1:3">
      <c r="A30" s="2">
        <v>30</v>
      </c>
      <c r="B30">
        <f t="shared" si="0"/>
        <v>23.0072121213</v>
      </c>
      <c r="C30">
        <f t="shared" si="1"/>
        <v>-45.163907114358615</v>
      </c>
    </row>
    <row r="31" spans="1:3">
      <c r="A31" s="2">
        <v>31</v>
      </c>
      <c r="B31">
        <f t="shared" si="0"/>
        <v>24.024909091000001</v>
      </c>
      <c r="C31">
        <f t="shared" si="1"/>
        <v>-44.983356048424326</v>
      </c>
    </row>
    <row r="32" spans="1:3">
      <c r="A32" s="2">
        <v>32</v>
      </c>
      <c r="B32">
        <f t="shared" si="0"/>
        <v>25.042606060699999</v>
      </c>
      <c r="C32">
        <f t="shared" si="1"/>
        <v>-44.803701316981247</v>
      </c>
    </row>
    <row r="33" spans="1:3">
      <c r="A33" s="2">
        <v>33</v>
      </c>
      <c r="B33">
        <f t="shared" ref="B33:B64" si="2">-6.506+(A33-1)*1.0176969697</f>
        <v>26.0603030304</v>
      </c>
      <c r="C33">
        <f t="shared" ref="C33:C64" si="3">30.1437172995779+0.167053795618833*B33-78.837779537689*(1.00625+(B33-35.4678125)^2/90617.540334375)^0.5</f>
        <v>-44.624943247805412</v>
      </c>
    </row>
    <row r="34" spans="1:3">
      <c r="A34" s="2">
        <v>34</v>
      </c>
      <c r="B34">
        <f t="shared" si="2"/>
        <v>27.078000000099998</v>
      </c>
      <c r="C34">
        <f t="shared" si="3"/>
        <v>-44.447082138337521</v>
      </c>
    </row>
    <row r="35" spans="1:3">
      <c r="A35" s="2">
        <v>35</v>
      </c>
      <c r="B35">
        <f t="shared" si="2"/>
        <v>28.095696969800002</v>
      </c>
      <c r="C35">
        <f t="shared" si="3"/>
        <v>-44.270118255632553</v>
      </c>
    </row>
    <row r="36" spans="1:3">
      <c r="A36" s="2">
        <v>36</v>
      </c>
      <c r="B36">
        <f t="shared" si="2"/>
        <v>29.1133939395</v>
      </c>
      <c r="C36">
        <f t="shared" si="3"/>
        <v>-44.094051836314385</v>
      </c>
    </row>
    <row r="37" spans="1:3">
      <c r="A37" s="2">
        <v>37</v>
      </c>
      <c r="B37">
        <f t="shared" si="2"/>
        <v>30.131090909199997</v>
      </c>
      <c r="C37">
        <f t="shared" si="3"/>
        <v>-43.918883086535487</v>
      </c>
    </row>
    <row r="38" spans="1:3">
      <c r="A38" s="2">
        <v>38</v>
      </c>
      <c r="B38">
        <f t="shared" si="2"/>
        <v>31.148787878900002</v>
      </c>
      <c r="C38">
        <f t="shared" si="3"/>
        <v>-43.744612181942017</v>
      </c>
    </row>
    <row r="39" spans="1:3">
      <c r="A39" s="2">
        <v>39</v>
      </c>
      <c r="B39">
        <f t="shared" si="2"/>
        <v>32.1664848486</v>
      </c>
      <c r="C39">
        <f t="shared" si="3"/>
        <v>-43.571239267643769</v>
      </c>
    </row>
    <row r="40" spans="1:3">
      <c r="A40" s="2">
        <v>40</v>
      </c>
      <c r="B40">
        <f t="shared" si="2"/>
        <v>33.184181818299997</v>
      </c>
      <c r="C40">
        <f t="shared" si="3"/>
        <v>-43.398764458189589</v>
      </c>
    </row>
    <row r="41" spans="1:3">
      <c r="A41" s="2">
        <v>41</v>
      </c>
      <c r="B41">
        <f t="shared" si="2"/>
        <v>34.201878788000002</v>
      </c>
      <c r="C41">
        <f t="shared" si="3"/>
        <v>-43.22718783754781</v>
      </c>
    </row>
    <row r="42" spans="1:3">
      <c r="A42" s="2">
        <v>42</v>
      </c>
      <c r="B42">
        <f t="shared" si="2"/>
        <v>35.219575757699999</v>
      </c>
      <c r="C42">
        <f t="shared" si="3"/>
        <v>-43.056509459091949</v>
      </c>
    </row>
    <row r="43" spans="1:3">
      <c r="A43" s="2">
        <v>43</v>
      </c>
      <c r="B43">
        <f t="shared" si="2"/>
        <v>36.237272727399997</v>
      </c>
      <c r="C43">
        <f t="shared" si="3"/>
        <v>-42.886729345591704</v>
      </c>
    </row>
    <row r="44" spans="1:3">
      <c r="A44" s="2">
        <v>44</v>
      </c>
      <c r="B44">
        <f t="shared" si="2"/>
        <v>37.254969697100002</v>
      </c>
      <c r="C44">
        <f t="shared" si="3"/>
        <v>-42.717847489208914</v>
      </c>
    </row>
    <row r="45" spans="1:3">
      <c r="A45" s="2">
        <v>45</v>
      </c>
      <c r="B45">
        <f t="shared" si="2"/>
        <v>38.272666666799999</v>
      </c>
      <c r="C45">
        <f t="shared" si="3"/>
        <v>-42.549863851499069</v>
      </c>
    </row>
    <row r="46" spans="1:3">
      <c r="A46" s="2">
        <v>46</v>
      </c>
      <c r="B46">
        <f t="shared" si="2"/>
        <v>39.290363636499997</v>
      </c>
      <c r="C46">
        <f t="shared" si="3"/>
        <v>-42.382778363417714</v>
      </c>
    </row>
    <row r="47" spans="1:3">
      <c r="A47" s="2">
        <v>47</v>
      </c>
      <c r="B47">
        <f t="shared" si="2"/>
        <v>40.308060606200002</v>
      </c>
      <c r="C47">
        <f t="shared" si="3"/>
        <v>-42.216590925332305</v>
      </c>
    </row>
    <row r="48" spans="1:3">
      <c r="A48" s="2">
        <v>48</v>
      </c>
      <c r="B48">
        <f t="shared" si="2"/>
        <v>41.325757575899999</v>
      </c>
      <c r="C48">
        <f t="shared" si="3"/>
        <v>-42.051301407039148</v>
      </c>
    </row>
    <row r="49" spans="1:3">
      <c r="A49" s="2">
        <v>49</v>
      </c>
      <c r="B49">
        <f t="shared" si="2"/>
        <v>42.343454545599997</v>
      </c>
      <c r="C49">
        <f t="shared" si="3"/>
        <v>-41.886909647785529</v>
      </c>
    </row>
    <row r="50" spans="1:3">
      <c r="A50" s="2">
        <v>50</v>
      </c>
      <c r="B50">
        <f t="shared" si="2"/>
        <v>43.361151515300001</v>
      </c>
      <c r="C50">
        <f t="shared" si="3"/>
        <v>-41.72341545629714</v>
      </c>
    </row>
    <row r="51" spans="1:3">
      <c r="A51" s="2">
        <v>51</v>
      </c>
      <c r="B51">
        <f t="shared" si="2"/>
        <v>44.378848484999999</v>
      </c>
      <c r="C51">
        <f t="shared" si="3"/>
        <v>-41.560818610810557</v>
      </c>
    </row>
    <row r="52" spans="1:3">
      <c r="A52" s="2">
        <v>52</v>
      </c>
      <c r="B52">
        <f t="shared" si="2"/>
        <v>45.396545454700004</v>
      </c>
      <c r="C52">
        <f t="shared" si="3"/>
        <v>-41.39911885911097</v>
      </c>
    </row>
    <row r="53" spans="1:3">
      <c r="A53" s="2">
        <v>53</v>
      </c>
      <c r="B53">
        <f t="shared" si="2"/>
        <v>46.414242424400001</v>
      </c>
      <c r="C53">
        <f t="shared" si="3"/>
        <v>-41.238315918575076</v>
      </c>
    </row>
    <row r="54" spans="1:3">
      <c r="A54" s="2">
        <v>54</v>
      </c>
      <c r="B54">
        <f t="shared" si="2"/>
        <v>47.431939394099999</v>
      </c>
      <c r="C54">
        <f t="shared" si="3"/>
        <v>-41.078409476218994</v>
      </c>
    </row>
    <row r="55" spans="1:3">
      <c r="A55" s="2">
        <v>55</v>
      </c>
      <c r="B55">
        <f t="shared" si="2"/>
        <v>48.449636363800003</v>
      </c>
      <c r="C55">
        <f t="shared" si="3"/>
        <v>-40.919399188751427</v>
      </c>
    </row>
    <row r="56" spans="1:3">
      <c r="A56" s="2">
        <v>56</v>
      </c>
      <c r="B56">
        <f t="shared" si="2"/>
        <v>49.467333333500001</v>
      </c>
      <c r="C56">
        <f t="shared" si="3"/>
        <v>-40.761284682631889</v>
      </c>
    </row>
    <row r="57" spans="1:3">
      <c r="A57" s="2">
        <v>57</v>
      </c>
      <c r="B57">
        <f t="shared" si="2"/>
        <v>50.485030303199999</v>
      </c>
      <c r="C57">
        <f t="shared" si="3"/>
        <v>-40.604065554133967</v>
      </c>
    </row>
    <row r="58" spans="1:3">
      <c r="A58" s="2">
        <v>58</v>
      </c>
      <c r="B58">
        <f t="shared" si="2"/>
        <v>51.502727272900003</v>
      </c>
      <c r="C58">
        <f t="shared" si="3"/>
        <v>-40.447741369413521</v>
      </c>
    </row>
    <row r="59" spans="1:3">
      <c r="A59" s="2">
        <v>59</v>
      </c>
      <c r="B59">
        <f t="shared" si="2"/>
        <v>52.520424242600001</v>
      </c>
      <c r="C59">
        <f t="shared" si="3"/>
        <v>-40.292311664582286</v>
      </c>
    </row>
    <row r="60" spans="1:3">
      <c r="A60" s="2">
        <v>60</v>
      </c>
      <c r="B60">
        <f t="shared" si="2"/>
        <v>53.538121212299998</v>
      </c>
      <c r="C60">
        <f t="shared" si="3"/>
        <v>-40.137775945785975</v>
      </c>
    </row>
    <row r="61" spans="1:3">
      <c r="A61" s="2">
        <v>61</v>
      </c>
      <c r="B61">
        <f t="shared" si="2"/>
        <v>54.555818182000003</v>
      </c>
      <c r="C61">
        <f t="shared" si="3"/>
        <v>-39.984133689287724</v>
      </c>
    </row>
    <row r="62" spans="1:3">
      <c r="A62" s="2">
        <v>62</v>
      </c>
      <c r="B62">
        <f t="shared" si="2"/>
        <v>55.573515151700001</v>
      </c>
      <c r="C62">
        <f t="shared" si="3"/>
        <v>-39.831384341556173</v>
      </c>
    </row>
    <row r="63" spans="1:3">
      <c r="A63" s="2">
        <v>63</v>
      </c>
      <c r="B63">
        <f t="shared" si="2"/>
        <v>56.591212121399998</v>
      </c>
      <c r="C63">
        <f t="shared" si="3"/>
        <v>-39.679527319358769</v>
      </c>
    </row>
    <row r="64" spans="1:3">
      <c r="A64" s="2">
        <v>64</v>
      </c>
      <c r="B64">
        <f t="shared" si="2"/>
        <v>57.608909091100003</v>
      </c>
      <c r="C64">
        <f t="shared" si="3"/>
        <v>-39.52856200985962</v>
      </c>
    </row>
    <row r="65" spans="1:3">
      <c r="A65" s="2">
        <v>65</v>
      </c>
      <c r="B65">
        <f t="shared" ref="B65:B96" si="4">-6.506+(A65-1)*1.0176969697</f>
        <v>58.6266060608</v>
      </c>
      <c r="C65">
        <f t="shared" ref="C65:C96" si="5">30.1437172995779+0.167053795618833*B65-78.837779537689*(1.00625+(B65-35.4678125)^2/90617.540334375)^0.5</f>
        <v>-39.37848777072233</v>
      </c>
    </row>
    <row r="66" spans="1:3">
      <c r="A66" s="2">
        <v>66</v>
      </c>
      <c r="B66">
        <f t="shared" si="4"/>
        <v>59.644303030499998</v>
      </c>
      <c r="C66">
        <f t="shared" si="5"/>
        <v>-39.229303930217526</v>
      </c>
    </row>
    <row r="67" spans="1:3">
      <c r="A67" s="2">
        <v>67</v>
      </c>
      <c r="B67">
        <f t="shared" si="4"/>
        <v>60.662000000199995</v>
      </c>
      <c r="C67">
        <f t="shared" si="5"/>
        <v>-39.081009787335297</v>
      </c>
    </row>
    <row r="68" spans="1:3">
      <c r="A68" s="2">
        <v>68</v>
      </c>
      <c r="B68">
        <f t="shared" si="4"/>
        <v>61.679696969900007</v>
      </c>
      <c r="C68">
        <f t="shared" si="5"/>
        <v>-38.933604611902069</v>
      </c>
    </row>
    <row r="69" spans="1:3">
      <c r="A69" s="2">
        <v>69</v>
      </c>
      <c r="B69">
        <f t="shared" si="4"/>
        <v>62.697393939600005</v>
      </c>
      <c r="C69">
        <f t="shared" si="5"/>
        <v>-38.787087644702297</v>
      </c>
    </row>
    <row r="70" spans="1:3">
      <c r="A70" s="2">
        <v>70</v>
      </c>
      <c r="B70">
        <f t="shared" si="4"/>
        <v>63.715090909300002</v>
      </c>
      <c r="C70">
        <f t="shared" si="5"/>
        <v>-38.641458097604762</v>
      </c>
    </row>
    <row r="71" spans="1:3">
      <c r="A71" s="2">
        <v>71</v>
      </c>
      <c r="B71">
        <f t="shared" si="4"/>
        <v>64.732787879</v>
      </c>
      <c r="C71">
        <f t="shared" si="5"/>
        <v>-38.496715153693401</v>
      </c>
    </row>
    <row r="72" spans="1:3">
      <c r="A72" s="2">
        <v>72</v>
      </c>
      <c r="B72">
        <f t="shared" si="4"/>
        <v>65.750484848699998</v>
      </c>
      <c r="C72">
        <f t="shared" si="5"/>
        <v>-38.352857967402535</v>
      </c>
    </row>
    <row r="73" spans="1:3">
      <c r="A73" s="2">
        <v>73</v>
      </c>
      <c r="B73">
        <f t="shared" si="4"/>
        <v>66.768181818399995</v>
      </c>
      <c r="C73">
        <f t="shared" si="5"/>
        <v>-38.209885664656724</v>
      </c>
    </row>
    <row r="74" spans="1:3">
      <c r="A74" s="2">
        <v>74</v>
      </c>
      <c r="B74">
        <f t="shared" si="4"/>
        <v>67.785878788100007</v>
      </c>
      <c r="C74">
        <f t="shared" si="5"/>
        <v>-38.067797343014846</v>
      </c>
    </row>
    <row r="75" spans="1:3">
      <c r="A75" s="2">
        <v>75</v>
      </c>
      <c r="B75">
        <f t="shared" si="4"/>
        <v>68.803575757800004</v>
      </c>
      <c r="C75">
        <f t="shared" si="5"/>
        <v>-37.926592071818725</v>
      </c>
    </row>
    <row r="76" spans="1:3">
      <c r="A76" s="2">
        <v>76</v>
      </c>
      <c r="B76">
        <f t="shared" si="4"/>
        <v>69.821272727500002</v>
      </c>
      <c r="C76">
        <f t="shared" si="5"/>
        <v>-37.786268892345817</v>
      </c>
    </row>
    <row r="77" spans="1:3">
      <c r="A77" s="2">
        <v>77</v>
      </c>
      <c r="B77">
        <f t="shared" si="4"/>
        <v>70.8389696972</v>
      </c>
      <c r="C77">
        <f t="shared" si="5"/>
        <v>-37.646826817966286</v>
      </c>
    </row>
    <row r="78" spans="1:3">
      <c r="A78" s="2">
        <v>78</v>
      </c>
      <c r="B78">
        <f t="shared" si="4"/>
        <v>71.856666666899997</v>
      </c>
      <c r="C78">
        <f t="shared" si="5"/>
        <v>-37.508264834304221</v>
      </c>
    </row>
    <row r="79" spans="1:3">
      <c r="A79" s="2">
        <v>79</v>
      </c>
      <c r="B79">
        <f t="shared" si="4"/>
        <v>72.874363636599995</v>
      </c>
      <c r="C79">
        <f t="shared" si="5"/>
        <v>-37.370581899402907</v>
      </c>
    </row>
    <row r="80" spans="1:3">
      <c r="A80" s="2">
        <v>80</v>
      </c>
      <c r="B80">
        <f t="shared" si="4"/>
        <v>73.892060606300006</v>
      </c>
      <c r="C80">
        <f t="shared" si="5"/>
        <v>-37.233776943894156</v>
      </c>
    </row>
    <row r="81" spans="1:3">
      <c r="A81" s="2">
        <v>81</v>
      </c>
      <c r="B81">
        <f t="shared" si="4"/>
        <v>74.909757576000004</v>
      </c>
      <c r="C81">
        <f t="shared" si="5"/>
        <v>-37.097848871171784</v>
      </c>
    </row>
    <row r="82" spans="1:3">
      <c r="A82" s="2">
        <v>82</v>
      </c>
      <c r="B82">
        <f t="shared" si="4"/>
        <v>75.927454545700002</v>
      </c>
      <c r="C82">
        <f t="shared" si="5"/>
        <v>-36.962796557568709</v>
      </c>
    </row>
    <row r="83" spans="1:3">
      <c r="A83" s="2">
        <v>83</v>
      </c>
      <c r="B83">
        <f t="shared" si="4"/>
        <v>76.945151515399999</v>
      </c>
      <c r="C83">
        <f t="shared" si="5"/>
        <v>-36.828618852538142</v>
      </c>
    </row>
    <row r="84" spans="1:3">
      <c r="A84" s="2">
        <v>84</v>
      </c>
      <c r="B84">
        <f t="shared" si="4"/>
        <v>77.962848485099997</v>
      </c>
      <c r="C84">
        <f t="shared" si="5"/>
        <v>-36.69531457883857</v>
      </c>
    </row>
    <row r="85" spans="1:3">
      <c r="A85" s="2">
        <v>85</v>
      </c>
      <c r="B85">
        <f t="shared" si="4"/>
        <v>78.980545454799994</v>
      </c>
      <c r="C85">
        <f t="shared" si="5"/>
        <v>-36.562882532722242</v>
      </c>
    </row>
    <row r="86" spans="1:3">
      <c r="A86" s="2">
        <v>86</v>
      </c>
      <c r="B86">
        <f t="shared" si="4"/>
        <v>79.998242424500006</v>
      </c>
      <c r="C86">
        <f t="shared" si="5"/>
        <v>-36.431321484127579</v>
      </c>
    </row>
    <row r="87" spans="1:3">
      <c r="A87" s="2">
        <v>87</v>
      </c>
      <c r="B87">
        <f t="shared" si="4"/>
        <v>81.015939394200004</v>
      </c>
      <c r="C87">
        <f t="shared" si="5"/>
        <v>-36.300630176875025</v>
      </c>
    </row>
    <row r="88" spans="1:3">
      <c r="A88" s="2">
        <v>88</v>
      </c>
      <c r="B88">
        <f t="shared" si="4"/>
        <v>82.033636363900001</v>
      </c>
      <c r="C88">
        <f t="shared" si="5"/>
        <v>-36.170807328866317</v>
      </c>
    </row>
    <row r="89" spans="1:3">
      <c r="A89" s="2">
        <v>89</v>
      </c>
      <c r="B89">
        <f t="shared" si="4"/>
        <v>83.051333333599999</v>
      </c>
      <c r="C89">
        <f t="shared" si="5"/>
        <v>-36.041851632287468</v>
      </c>
    </row>
    <row r="90" spans="1:3">
      <c r="A90" s="2">
        <v>90</v>
      </c>
      <c r="B90">
        <f t="shared" si="4"/>
        <v>84.069030303299996</v>
      </c>
      <c r="C90">
        <f t="shared" si="5"/>
        <v>-35.913761753814839</v>
      </c>
    </row>
    <row r="91" spans="1:3">
      <c r="A91" s="2">
        <v>91</v>
      </c>
      <c r="B91">
        <f t="shared" si="4"/>
        <v>85.086727272999994</v>
      </c>
      <c r="C91">
        <f t="shared" si="5"/>
        <v>-35.786536334824731</v>
      </c>
    </row>
    <row r="92" spans="1:3">
      <c r="A92" s="2">
        <v>92</v>
      </c>
      <c r="B92">
        <f t="shared" si="4"/>
        <v>86.104424242700006</v>
      </c>
      <c r="C92">
        <f t="shared" si="5"/>
        <v>-35.66017399160598</v>
      </c>
    </row>
    <row r="93" spans="1:3">
      <c r="A93" s="2">
        <v>93</v>
      </c>
      <c r="B93">
        <f t="shared" si="4"/>
        <v>87.122121212400003</v>
      </c>
      <c r="C93">
        <f t="shared" si="5"/>
        <v>-35.534673315575915</v>
      </c>
    </row>
    <row r="94" spans="1:3">
      <c r="A94" s="2">
        <v>94</v>
      </c>
      <c r="B94">
        <f t="shared" si="4"/>
        <v>88.139818182100001</v>
      </c>
      <c r="C94">
        <f t="shared" si="5"/>
        <v>-35.41003287349919</v>
      </c>
    </row>
    <row r="95" spans="1:3">
      <c r="A95" s="2">
        <v>95</v>
      </c>
      <c r="B95">
        <f t="shared" si="4"/>
        <v>89.157515151799998</v>
      </c>
      <c r="C95">
        <f t="shared" si="5"/>
        <v>-35.286251207709846</v>
      </c>
    </row>
    <row r="96" spans="1:3">
      <c r="A96" s="2">
        <v>96</v>
      </c>
      <c r="B96">
        <f t="shared" si="4"/>
        <v>90.175212121499996</v>
      </c>
      <c r="C96">
        <f t="shared" si="5"/>
        <v>-35.163326836335955</v>
      </c>
    </row>
    <row r="97" spans="1:3">
      <c r="A97" s="2">
        <v>97</v>
      </c>
      <c r="B97">
        <f t="shared" ref="B97:B100" si="6">-6.506+(A97-1)*1.0176969697</f>
        <v>91.192909091199994</v>
      </c>
      <c r="C97">
        <f t="shared" ref="C97:C100" si="7">30.1437172995779+0.167053795618833*B97-78.837779537689*(1.00625+(B97-35.4678125)^2/90617.540334375)^0.5</f>
        <v>-35.041258253527445</v>
      </c>
    </row>
    <row r="98" spans="1:3">
      <c r="A98" s="2">
        <v>98</v>
      </c>
      <c r="B98">
        <f t="shared" si="6"/>
        <v>92.210606060900005</v>
      </c>
      <c r="C98">
        <f t="shared" si="7"/>
        <v>-34.920043929686578</v>
      </c>
    </row>
    <row r="99" spans="1:3">
      <c r="A99" s="2">
        <v>99</v>
      </c>
      <c r="B99">
        <f t="shared" si="6"/>
        <v>93.228303030600003</v>
      </c>
      <c r="C99">
        <f t="shared" si="7"/>
        <v>-34.799682311700877</v>
      </c>
    </row>
    <row r="100" spans="1:3">
      <c r="A100" s="2">
        <v>100</v>
      </c>
      <c r="B100">
        <f t="shared" si="6"/>
        <v>94.2460000003</v>
      </c>
      <c r="C100">
        <f t="shared" si="7"/>
        <v>-34.68017182317908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enableFormatConditionsCalculation="0"/>
  <dimension ref="A1:C100"/>
  <sheetViews>
    <sheetView workbookViewId="0"/>
  </sheetViews>
  <sheetFormatPr baseColWidth="10" defaultRowHeight="15.75"/>
  <sheetData>
    <row r="1" spans="1:3">
      <c r="A1" s="2">
        <v>1</v>
      </c>
      <c r="B1">
        <f t="shared" ref="B1:B32" si="0">-6.555+(A1-1)*1.1218181818</f>
        <v>-6.5549999999999997</v>
      </c>
      <c r="C1">
        <f t="shared" ref="C1:C32" si="1">0.00511410800996734+0.000125705105277966*B1+0.0482868197833907*(1.00657894736842+(B1-41.6263815789474)^2/82237.1319098684)^0.5</f>
        <v>5.3410117305240097E-2</v>
      </c>
    </row>
    <row r="2" spans="1:3">
      <c r="A2" s="2">
        <v>2</v>
      </c>
      <c r="B2">
        <f t="shared" si="0"/>
        <v>-5.4331818181999996</v>
      </c>
      <c r="C2">
        <f t="shared" si="1"/>
        <v>5.3520290676135708E-2</v>
      </c>
    </row>
    <row r="3" spans="1:3">
      <c r="A3" s="2">
        <v>3</v>
      </c>
      <c r="B3">
        <f t="shared" si="0"/>
        <v>-4.3113636363999994</v>
      </c>
      <c r="C3">
        <f t="shared" si="1"/>
        <v>5.3631171961866245E-2</v>
      </c>
    </row>
    <row r="4" spans="1:3">
      <c r="A4" s="2">
        <v>4</v>
      </c>
      <c r="B4">
        <f t="shared" si="0"/>
        <v>-3.1895454546000002</v>
      </c>
      <c r="C4">
        <f t="shared" si="1"/>
        <v>5.374276246783221E-2</v>
      </c>
    </row>
    <row r="5" spans="1:3">
      <c r="A5" s="2">
        <v>5</v>
      </c>
      <c r="B5">
        <f t="shared" si="0"/>
        <v>-2.0677272728</v>
      </c>
      <c r="C5">
        <f t="shared" si="1"/>
        <v>5.3855063471812799E-2</v>
      </c>
    </row>
    <row r="6" spans="1:3">
      <c r="A6" s="2">
        <v>6</v>
      </c>
      <c r="B6">
        <f t="shared" si="0"/>
        <v>-0.94590909099999987</v>
      </c>
      <c r="C6">
        <f t="shared" si="1"/>
        <v>5.3968076223697675E-2</v>
      </c>
    </row>
    <row r="7" spans="1:3">
      <c r="A7" s="2">
        <v>7</v>
      </c>
      <c r="B7">
        <f t="shared" si="0"/>
        <v>0.17590909079999939</v>
      </c>
      <c r="C7">
        <f t="shared" si="1"/>
        <v>5.4081801945223523E-2</v>
      </c>
    </row>
    <row r="8" spans="1:3">
      <c r="A8" s="2">
        <v>8</v>
      </c>
      <c r="B8">
        <f t="shared" si="0"/>
        <v>1.2977272725999995</v>
      </c>
      <c r="C8">
        <f t="shared" si="1"/>
        <v>5.419624182971558E-2</v>
      </c>
    </row>
    <row r="9" spans="1:3">
      <c r="A9" s="2">
        <v>9</v>
      </c>
      <c r="B9">
        <f t="shared" si="0"/>
        <v>2.4195454543999997</v>
      </c>
      <c r="C9">
        <f t="shared" si="1"/>
        <v>5.4311397041834249E-2</v>
      </c>
    </row>
    <row r="10" spans="1:3">
      <c r="A10" s="2">
        <v>10</v>
      </c>
      <c r="B10">
        <f t="shared" si="0"/>
        <v>3.5413636361999998</v>
      </c>
      <c r="C10">
        <f t="shared" si="1"/>
        <v>5.4427268717326713E-2</v>
      </c>
    </row>
    <row r="11" spans="1:3">
      <c r="A11" s="2">
        <v>11</v>
      </c>
      <c r="B11">
        <f t="shared" si="0"/>
        <v>4.663181818</v>
      </c>
      <c r="C11">
        <f t="shared" si="1"/>
        <v>5.4543857962783937E-2</v>
      </c>
    </row>
    <row r="12" spans="1:3">
      <c r="A12" s="2">
        <v>12</v>
      </c>
      <c r="B12">
        <f t="shared" si="0"/>
        <v>5.7849999998000001</v>
      </c>
      <c r="C12">
        <f t="shared" si="1"/>
        <v>5.4661165855403135E-2</v>
      </c>
    </row>
    <row r="13" spans="1:3">
      <c r="A13" s="2">
        <v>13</v>
      </c>
      <c r="B13">
        <f t="shared" si="0"/>
        <v>6.9068181815999985</v>
      </c>
      <c r="C13">
        <f t="shared" si="1"/>
        <v>5.4779193442755565E-2</v>
      </c>
    </row>
    <row r="14" spans="1:3">
      <c r="A14" s="2">
        <v>14</v>
      </c>
      <c r="B14">
        <f t="shared" si="0"/>
        <v>8.0286363633999986</v>
      </c>
      <c r="C14">
        <f t="shared" si="1"/>
        <v>5.4897941742560158E-2</v>
      </c>
    </row>
    <row r="15" spans="1:3">
      <c r="A15" s="2">
        <v>15</v>
      </c>
      <c r="B15">
        <f t="shared" si="0"/>
        <v>9.1504545451999988</v>
      </c>
      <c r="C15">
        <f t="shared" si="1"/>
        <v>5.5017411742462725E-2</v>
      </c>
    </row>
    <row r="16" spans="1:3">
      <c r="A16" s="2">
        <v>16</v>
      </c>
      <c r="B16">
        <f t="shared" si="0"/>
        <v>10.272272727000001</v>
      </c>
      <c r="C16">
        <f t="shared" si="1"/>
        <v>5.51376043998211E-2</v>
      </c>
    </row>
    <row r="17" spans="1:3">
      <c r="A17" s="2">
        <v>17</v>
      </c>
      <c r="B17">
        <f t="shared" si="0"/>
        <v>11.394090908799999</v>
      </c>
      <c r="C17">
        <f t="shared" si="1"/>
        <v>5.5258520641496216E-2</v>
      </c>
    </row>
    <row r="18" spans="1:3">
      <c r="A18" s="2">
        <v>18</v>
      </c>
      <c r="B18">
        <f t="shared" si="0"/>
        <v>12.515909090599997</v>
      </c>
      <c r="C18">
        <f t="shared" si="1"/>
        <v>5.5380161363649275E-2</v>
      </c>
    </row>
    <row r="19" spans="1:3">
      <c r="A19" s="2">
        <v>19</v>
      </c>
      <c r="B19">
        <f t="shared" si="0"/>
        <v>13.637727272399999</v>
      </c>
      <c r="C19">
        <f t="shared" si="1"/>
        <v>5.5502527431545018E-2</v>
      </c>
    </row>
    <row r="20" spans="1:3">
      <c r="A20" s="2">
        <v>20</v>
      </c>
      <c r="B20">
        <f t="shared" si="0"/>
        <v>14.759545454199998</v>
      </c>
      <c r="C20">
        <f t="shared" si="1"/>
        <v>5.5625619679361277E-2</v>
      </c>
    </row>
    <row r="21" spans="1:3">
      <c r="A21" s="2">
        <v>21</v>
      </c>
      <c r="B21">
        <f t="shared" si="0"/>
        <v>15.881363636</v>
      </c>
      <c r="C21">
        <f t="shared" si="1"/>
        <v>5.5749438910004973E-2</v>
      </c>
    </row>
    <row r="22" spans="1:3">
      <c r="A22" s="2">
        <v>22</v>
      </c>
      <c r="B22">
        <f t="shared" si="0"/>
        <v>17.003181817799998</v>
      </c>
      <c r="C22">
        <f t="shared" si="1"/>
        <v>5.5873985894934405E-2</v>
      </c>
    </row>
    <row r="23" spans="1:3">
      <c r="A23" s="2">
        <v>23</v>
      </c>
      <c r="B23">
        <f t="shared" si="0"/>
        <v>18.1249999996</v>
      </c>
      <c r="C23">
        <f t="shared" si="1"/>
        <v>5.5999261373988196E-2</v>
      </c>
    </row>
    <row r="24" spans="1:3">
      <c r="A24" s="2">
        <v>24</v>
      </c>
      <c r="B24">
        <f t="shared" si="0"/>
        <v>19.246818181399998</v>
      </c>
      <c r="C24">
        <f t="shared" si="1"/>
        <v>5.6125266055220918E-2</v>
      </c>
    </row>
    <row r="25" spans="1:3">
      <c r="A25" s="2">
        <v>25</v>
      </c>
      <c r="B25">
        <f t="shared" si="0"/>
        <v>20.368636363199997</v>
      </c>
      <c r="C25">
        <f t="shared" si="1"/>
        <v>5.6252000614745237E-2</v>
      </c>
    </row>
    <row r="26" spans="1:3">
      <c r="A26" s="2">
        <v>26</v>
      </c>
      <c r="B26">
        <f t="shared" si="0"/>
        <v>21.490454544999999</v>
      </c>
      <c r="C26">
        <f t="shared" si="1"/>
        <v>5.637946569658106E-2</v>
      </c>
    </row>
    <row r="27" spans="1:3">
      <c r="A27" s="2">
        <v>27</v>
      </c>
      <c r="B27">
        <f t="shared" si="0"/>
        <v>22.612272726799997</v>
      </c>
      <c r="C27">
        <f t="shared" si="1"/>
        <v>5.6507661912511442E-2</v>
      </c>
    </row>
    <row r="28" spans="1:3">
      <c r="A28" s="2">
        <v>28</v>
      </c>
      <c r="B28">
        <f t="shared" si="0"/>
        <v>23.734090908599999</v>
      </c>
      <c r="C28">
        <f t="shared" si="1"/>
        <v>5.6636589841945417E-2</v>
      </c>
    </row>
    <row r="29" spans="1:3">
      <c r="A29" s="2">
        <v>29</v>
      </c>
      <c r="B29">
        <f t="shared" si="0"/>
        <v>24.855909090399997</v>
      </c>
      <c r="C29">
        <f t="shared" si="1"/>
        <v>5.6766250031788042E-2</v>
      </c>
    </row>
    <row r="30" spans="1:3">
      <c r="A30" s="2">
        <v>30</v>
      </c>
      <c r="B30">
        <f t="shared" si="0"/>
        <v>25.977727272199999</v>
      </c>
      <c r="C30">
        <f t="shared" si="1"/>
        <v>5.689664299631722E-2</v>
      </c>
    </row>
    <row r="31" spans="1:3">
      <c r="A31" s="2">
        <v>31</v>
      </c>
      <c r="B31">
        <f t="shared" si="0"/>
        <v>27.099545454000001</v>
      </c>
      <c r="C31">
        <f t="shared" si="1"/>
        <v>5.7027769217067932E-2</v>
      </c>
    </row>
    <row r="32" spans="1:3">
      <c r="A32" s="2">
        <v>32</v>
      </c>
      <c r="B32">
        <f t="shared" si="0"/>
        <v>28.221363635799996</v>
      </c>
      <c r="C32">
        <f t="shared" si="1"/>
        <v>5.71596291427236E-2</v>
      </c>
    </row>
    <row r="33" spans="1:3">
      <c r="A33" s="2">
        <v>33</v>
      </c>
      <c r="B33">
        <f t="shared" ref="B33:B64" si="2">-6.555+(A33-1)*1.1218181818</f>
        <v>29.343181817599998</v>
      </c>
      <c r="C33">
        <f t="shared" ref="C33:C64" si="3">0.00511410800996734+0.000125705105277966*B33+0.0482868197833907*(1.00657894736842+(B33-41.6263815789474)^2/82237.1319098684)^0.5</f>
        <v>5.7292223189014641E-2</v>
      </c>
    </row>
    <row r="34" spans="1:3">
      <c r="A34" s="2">
        <v>34</v>
      </c>
      <c r="B34">
        <f t="shared" si="2"/>
        <v>30.4649999994</v>
      </c>
      <c r="C34">
        <f t="shared" si="3"/>
        <v>5.7425551738624479E-2</v>
      </c>
    </row>
    <row r="35" spans="1:3">
      <c r="A35" s="2">
        <v>35</v>
      </c>
      <c r="B35">
        <f t="shared" si="2"/>
        <v>31.586818181199995</v>
      </c>
      <c r="C35">
        <f t="shared" si="3"/>
        <v>5.7559615141102818E-2</v>
      </c>
    </row>
    <row r="36" spans="1:3">
      <c r="A36" s="2">
        <v>36</v>
      </c>
      <c r="B36">
        <f t="shared" si="2"/>
        <v>32.708636362999997</v>
      </c>
      <c r="C36">
        <f t="shared" si="3"/>
        <v>5.7694413712786406E-2</v>
      </c>
    </row>
    <row r="37" spans="1:3">
      <c r="A37" s="2">
        <v>37</v>
      </c>
      <c r="B37">
        <f t="shared" si="2"/>
        <v>33.830454544799998</v>
      </c>
      <c r="C37">
        <f t="shared" si="3"/>
        <v>5.7829947736727214E-2</v>
      </c>
    </row>
    <row r="38" spans="1:3">
      <c r="A38" s="2">
        <v>38</v>
      </c>
      <c r="B38">
        <f t="shared" si="2"/>
        <v>34.9522727266</v>
      </c>
      <c r="C38">
        <f t="shared" si="3"/>
        <v>5.7966217462628096E-2</v>
      </c>
    </row>
    <row r="39" spans="1:3">
      <c r="A39" s="2">
        <v>39</v>
      </c>
      <c r="B39">
        <f t="shared" si="2"/>
        <v>36.074090908399995</v>
      </c>
      <c r="C39">
        <f t="shared" si="3"/>
        <v>5.8103223106786082E-2</v>
      </c>
    </row>
    <row r="40" spans="1:3">
      <c r="A40" s="2">
        <v>40</v>
      </c>
      <c r="B40">
        <f t="shared" si="2"/>
        <v>37.195909090199997</v>
      </c>
      <c r="C40">
        <f t="shared" si="3"/>
        <v>5.8240964852043074E-2</v>
      </c>
    </row>
    <row r="41" spans="1:3">
      <c r="A41" s="2">
        <v>41</v>
      </c>
      <c r="B41">
        <f t="shared" si="2"/>
        <v>38.317727271999999</v>
      </c>
      <c r="C41">
        <f t="shared" si="3"/>
        <v>5.8379442847744274E-2</v>
      </c>
    </row>
    <row r="42" spans="1:3">
      <c r="A42" s="2">
        <v>42</v>
      </c>
      <c r="B42">
        <f t="shared" si="2"/>
        <v>39.439545453799994</v>
      </c>
      <c r="C42">
        <f t="shared" si="3"/>
        <v>5.8518657209704172E-2</v>
      </c>
    </row>
    <row r="43" spans="1:3">
      <c r="A43" s="2">
        <v>43</v>
      </c>
      <c r="B43">
        <f t="shared" si="2"/>
        <v>40.561363635599996</v>
      </c>
      <c r="C43">
        <f t="shared" si="3"/>
        <v>5.8658608020180088E-2</v>
      </c>
    </row>
    <row r="44" spans="1:3">
      <c r="A44" s="2">
        <v>44</v>
      </c>
      <c r="B44">
        <f t="shared" si="2"/>
        <v>41.683181817399998</v>
      </c>
      <c r="C44">
        <f t="shared" si="3"/>
        <v>5.8799295327853496E-2</v>
      </c>
    </row>
    <row r="45" spans="1:3">
      <c r="A45" s="2">
        <v>45</v>
      </c>
      <c r="B45">
        <f t="shared" si="2"/>
        <v>42.8049999992</v>
      </c>
      <c r="C45">
        <f t="shared" si="3"/>
        <v>5.8940719147818878E-2</v>
      </c>
    </row>
    <row r="46" spans="1:3">
      <c r="A46" s="2">
        <v>46</v>
      </c>
      <c r="B46">
        <f t="shared" si="2"/>
        <v>43.926818180999994</v>
      </c>
      <c r="C46">
        <f t="shared" si="3"/>
        <v>5.9082879461580279E-2</v>
      </c>
    </row>
    <row r="47" spans="1:3">
      <c r="A47" s="2">
        <v>47</v>
      </c>
      <c r="B47">
        <f t="shared" si="2"/>
        <v>45.048636362799996</v>
      </c>
      <c r="C47">
        <f t="shared" si="3"/>
        <v>5.9225776217055583E-2</v>
      </c>
    </row>
    <row r="48" spans="1:3">
      <c r="A48" s="2">
        <v>48</v>
      </c>
      <c r="B48">
        <f t="shared" si="2"/>
        <v>46.170454544599998</v>
      </c>
      <c r="C48">
        <f t="shared" si="3"/>
        <v>5.9369409328588293E-2</v>
      </c>
    </row>
    <row r="49" spans="1:3">
      <c r="A49" s="2">
        <v>49</v>
      </c>
      <c r="B49">
        <f t="shared" si="2"/>
        <v>47.292272726399993</v>
      </c>
      <c r="C49">
        <f t="shared" si="3"/>
        <v>5.9513778676967159E-2</v>
      </c>
    </row>
    <row r="50" spans="1:3">
      <c r="A50" s="2">
        <v>50</v>
      </c>
      <c r="B50">
        <f t="shared" si="2"/>
        <v>48.414090908199995</v>
      </c>
      <c r="C50">
        <f t="shared" si="3"/>
        <v>5.9658884109453247E-2</v>
      </c>
    </row>
    <row r="51" spans="1:3">
      <c r="A51" s="2">
        <v>51</v>
      </c>
      <c r="B51">
        <f t="shared" si="2"/>
        <v>49.535909089999997</v>
      </c>
      <c r="C51">
        <f t="shared" si="3"/>
        <v>5.9804725439814806E-2</v>
      </c>
    </row>
    <row r="52" spans="1:3">
      <c r="A52" s="2">
        <v>52</v>
      </c>
      <c r="B52">
        <f t="shared" si="2"/>
        <v>50.657727271799999</v>
      </c>
      <c r="C52">
        <f t="shared" si="3"/>
        <v>5.9951302448369638E-2</v>
      </c>
    </row>
    <row r="53" spans="1:3">
      <c r="A53" s="2">
        <v>53</v>
      </c>
      <c r="B53">
        <f t="shared" si="2"/>
        <v>51.779545453599994</v>
      </c>
      <c r="C53">
        <f t="shared" si="3"/>
        <v>6.0098614882035065E-2</v>
      </c>
    </row>
    <row r="54" spans="1:3">
      <c r="A54" s="2">
        <v>54</v>
      </c>
      <c r="B54">
        <f t="shared" si="2"/>
        <v>52.901363635399996</v>
      </c>
      <c r="C54">
        <f t="shared" si="3"/>
        <v>6.0246662454385522E-2</v>
      </c>
    </row>
    <row r="55" spans="1:3">
      <c r="A55" s="2">
        <v>55</v>
      </c>
      <c r="B55">
        <f t="shared" si="2"/>
        <v>54.023181817199998</v>
      </c>
      <c r="C55">
        <f t="shared" si="3"/>
        <v>6.0395444845717558E-2</v>
      </c>
    </row>
    <row r="56" spans="1:3">
      <c r="A56" s="2">
        <v>56</v>
      </c>
      <c r="B56">
        <f t="shared" si="2"/>
        <v>55.144999998999999</v>
      </c>
      <c r="C56">
        <f t="shared" si="3"/>
        <v>6.0544961703122464E-2</v>
      </c>
    </row>
    <row r="57" spans="1:3">
      <c r="A57" s="2">
        <v>57</v>
      </c>
      <c r="B57">
        <f t="shared" si="2"/>
        <v>56.266818180799994</v>
      </c>
      <c r="C57">
        <f t="shared" si="3"/>
        <v>6.0695212640566265E-2</v>
      </c>
    </row>
    <row r="58" spans="1:3">
      <c r="A58" s="2">
        <v>58</v>
      </c>
      <c r="B58">
        <f t="shared" si="2"/>
        <v>57.388636362599996</v>
      </c>
      <c r="C58">
        <f t="shared" si="3"/>
        <v>6.0846197238977148E-2</v>
      </c>
    </row>
    <row r="59" spans="1:3">
      <c r="A59" s="2">
        <v>59</v>
      </c>
      <c r="B59">
        <f t="shared" si="2"/>
        <v>58.510454544399998</v>
      </c>
      <c r="C59">
        <f t="shared" si="3"/>
        <v>6.0997915046340292E-2</v>
      </c>
    </row>
    <row r="60" spans="1:3">
      <c r="A60" s="2">
        <v>60</v>
      </c>
      <c r="B60">
        <f t="shared" si="2"/>
        <v>59.632272726199993</v>
      </c>
      <c r="C60">
        <f t="shared" si="3"/>
        <v>6.1150365577799903E-2</v>
      </c>
    </row>
    <row r="61" spans="1:3">
      <c r="A61" s="2">
        <v>61</v>
      </c>
      <c r="B61">
        <f t="shared" si="2"/>
        <v>60.754090908000002</v>
      </c>
      <c r="C61">
        <f t="shared" si="3"/>
        <v>6.1303548315768744E-2</v>
      </c>
    </row>
    <row r="62" spans="1:3">
      <c r="A62" s="2">
        <v>62</v>
      </c>
      <c r="B62">
        <f t="shared" si="2"/>
        <v>61.875909089799997</v>
      </c>
      <c r="C62">
        <f t="shared" si="3"/>
        <v>6.1457462710044541E-2</v>
      </c>
    </row>
    <row r="63" spans="1:3">
      <c r="A63" s="2">
        <v>63</v>
      </c>
      <c r="B63">
        <f t="shared" si="2"/>
        <v>62.997727271599992</v>
      </c>
      <c r="C63">
        <f t="shared" si="3"/>
        <v>6.1612108177933875E-2</v>
      </c>
    </row>
    <row r="64" spans="1:3">
      <c r="A64" s="2">
        <v>64</v>
      </c>
      <c r="B64">
        <f t="shared" si="2"/>
        <v>64.119545453400008</v>
      </c>
      <c r="C64">
        <f t="shared" si="3"/>
        <v>6.1767484104382875E-2</v>
      </c>
    </row>
    <row r="65" spans="1:3">
      <c r="A65" s="2">
        <v>65</v>
      </c>
      <c r="B65">
        <f t="shared" ref="B65:B96" si="4">-6.555+(A65-1)*1.1218181818</f>
        <v>65.241363635200003</v>
      </c>
      <c r="C65">
        <f t="shared" ref="C65:C96" si="5">0.00511410800996734+0.000125705105277966*B65+0.0482868197833907*(1.00657894736842+(B65-41.6263815789474)^2/82237.1319098684)^0.5</f>
        <v>6.1923589842115101E-2</v>
      </c>
    </row>
    <row r="66" spans="1:3">
      <c r="A66" s="2">
        <v>66</v>
      </c>
      <c r="B66">
        <f t="shared" si="4"/>
        <v>66.363181816999997</v>
      </c>
      <c r="C66">
        <f t="shared" si="5"/>
        <v>6.2080424711776314E-2</v>
      </c>
    </row>
    <row r="67" spans="1:3">
      <c r="A67" s="2">
        <v>67</v>
      </c>
      <c r="B67">
        <f t="shared" si="4"/>
        <v>67.484999998799992</v>
      </c>
      <c r="C67">
        <f t="shared" si="5"/>
        <v>6.2237988002086082E-2</v>
      </c>
    </row>
    <row r="68" spans="1:3">
      <c r="A68" s="2">
        <v>68</v>
      </c>
      <c r="B68">
        <f t="shared" si="4"/>
        <v>68.606818180599987</v>
      </c>
      <c r="C68">
        <f t="shared" si="5"/>
        <v>6.2396278969996208E-2</v>
      </c>
    </row>
    <row r="69" spans="1:3">
      <c r="A69" s="2">
        <v>69</v>
      </c>
      <c r="B69">
        <f t="shared" si="4"/>
        <v>69.728636362399982</v>
      </c>
      <c r="C69">
        <f t="shared" si="5"/>
        <v>6.2555296840855854E-2</v>
      </c>
    </row>
    <row r="70" spans="1:3">
      <c r="A70" s="2">
        <v>70</v>
      </c>
      <c r="B70">
        <f t="shared" si="4"/>
        <v>70.850454544200005</v>
      </c>
      <c r="C70">
        <f t="shared" si="5"/>
        <v>6.2715040808583311E-2</v>
      </c>
    </row>
    <row r="71" spans="1:3">
      <c r="A71" s="2">
        <v>71</v>
      </c>
      <c r="B71">
        <f t="shared" si="4"/>
        <v>71.972272726</v>
      </c>
      <c r="C71">
        <f t="shared" si="5"/>
        <v>6.2875510035844226E-2</v>
      </c>
    </row>
    <row r="72" spans="1:3">
      <c r="A72" s="2">
        <v>72</v>
      </c>
      <c r="B72">
        <f t="shared" si="4"/>
        <v>73.094090907799995</v>
      </c>
      <c r="C72">
        <f t="shared" si="5"/>
        <v>6.3036703654236373E-2</v>
      </c>
    </row>
    <row r="73" spans="1:3">
      <c r="A73" s="2">
        <v>73</v>
      </c>
      <c r="B73">
        <f t="shared" si="4"/>
        <v>74.21590908959999</v>
      </c>
      <c r="C73">
        <f t="shared" si="5"/>
        <v>6.3198620764480726E-2</v>
      </c>
    </row>
    <row r="74" spans="1:3">
      <c r="A74" s="2">
        <v>74</v>
      </c>
      <c r="B74">
        <f t="shared" si="4"/>
        <v>75.337727271399984</v>
      </c>
      <c r="C74">
        <f t="shared" si="5"/>
        <v>6.336126043661873E-2</v>
      </c>
    </row>
    <row r="75" spans="1:3">
      <c r="A75" s="2">
        <v>75</v>
      </c>
      <c r="B75">
        <f t="shared" si="4"/>
        <v>76.459545453200008</v>
      </c>
      <c r="C75">
        <f t="shared" si="5"/>
        <v>6.3524621710215862E-2</v>
      </c>
    </row>
    <row r="76" spans="1:3">
      <c r="A76" s="2">
        <v>76</v>
      </c>
      <c r="B76">
        <f t="shared" si="4"/>
        <v>77.581363635000002</v>
      </c>
      <c r="C76">
        <f t="shared" si="5"/>
        <v>6.3688703594571086E-2</v>
      </c>
    </row>
    <row r="77" spans="1:3">
      <c r="A77" s="2">
        <v>77</v>
      </c>
      <c r="B77">
        <f t="shared" si="4"/>
        <v>78.703181816799997</v>
      </c>
      <c r="C77">
        <f t="shared" si="5"/>
        <v>6.3853505068932351E-2</v>
      </c>
    </row>
    <row r="78" spans="1:3">
      <c r="A78" s="2">
        <v>78</v>
      </c>
      <c r="B78">
        <f t="shared" si="4"/>
        <v>79.824999998599992</v>
      </c>
      <c r="C78">
        <f t="shared" si="5"/>
        <v>6.4019025082717909E-2</v>
      </c>
    </row>
    <row r="79" spans="1:3">
      <c r="A79" s="2">
        <v>79</v>
      </c>
      <c r="B79">
        <f t="shared" si="4"/>
        <v>80.946818180399987</v>
      </c>
      <c r="C79">
        <f t="shared" si="5"/>
        <v>6.4185262555743389E-2</v>
      </c>
    </row>
    <row r="80" spans="1:3">
      <c r="A80" s="2">
        <v>80</v>
      </c>
      <c r="B80">
        <f t="shared" si="4"/>
        <v>82.068636362199982</v>
      </c>
      <c r="C80">
        <f t="shared" si="5"/>
        <v>6.4352216378454424E-2</v>
      </c>
    </row>
    <row r="81" spans="1:3">
      <c r="A81" s="2">
        <v>81</v>
      </c>
      <c r="B81">
        <f t="shared" si="4"/>
        <v>83.190454544000005</v>
      </c>
      <c r="C81">
        <f t="shared" si="5"/>
        <v>6.4519885412164746E-2</v>
      </c>
    </row>
    <row r="82" spans="1:3">
      <c r="A82" s="2">
        <v>82</v>
      </c>
      <c r="B82">
        <f t="shared" si="4"/>
        <v>84.3122727258</v>
      </c>
      <c r="C82">
        <f t="shared" si="5"/>
        <v>6.4688268489299899E-2</v>
      </c>
    </row>
    <row r="83" spans="1:3">
      <c r="A83" s="2">
        <v>83</v>
      </c>
      <c r="B83">
        <f t="shared" si="4"/>
        <v>85.434090907599995</v>
      </c>
      <c r="C83">
        <f t="shared" si="5"/>
        <v>6.485736441364591E-2</v>
      </c>
    </row>
    <row r="84" spans="1:3">
      <c r="A84" s="2">
        <v>84</v>
      </c>
      <c r="B84">
        <f t="shared" si="4"/>
        <v>86.555909089399989</v>
      </c>
      <c r="C84">
        <f t="shared" si="5"/>
        <v>6.5027171960603369E-2</v>
      </c>
    </row>
    <row r="85" spans="1:3">
      <c r="A85" s="2">
        <v>85</v>
      </c>
      <c r="B85">
        <f t="shared" si="4"/>
        <v>87.677727271199984</v>
      </c>
      <c r="C85">
        <f t="shared" si="5"/>
        <v>6.5197689877446313E-2</v>
      </c>
    </row>
    <row r="86" spans="1:3">
      <c r="A86" s="2">
        <v>86</v>
      </c>
      <c r="B86">
        <f t="shared" si="4"/>
        <v>88.799545453000007</v>
      </c>
      <c r="C86">
        <f t="shared" si="5"/>
        <v>6.5368916883586203E-2</v>
      </c>
    </row>
    <row r="87" spans="1:3">
      <c r="A87" s="2">
        <v>87</v>
      </c>
      <c r="B87">
        <f t="shared" si="4"/>
        <v>89.921363634800002</v>
      </c>
      <c r="C87">
        <f t="shared" si="5"/>
        <v>6.5540851670840616E-2</v>
      </c>
    </row>
    <row r="88" spans="1:3">
      <c r="A88" s="2">
        <v>88</v>
      </c>
      <c r="B88">
        <f t="shared" si="4"/>
        <v>91.043181816599997</v>
      </c>
      <c r="C88">
        <f t="shared" si="5"/>
        <v>6.5713492903706483E-2</v>
      </c>
    </row>
    <row r="89" spans="1:3">
      <c r="A89" s="2">
        <v>89</v>
      </c>
      <c r="B89">
        <f t="shared" si="4"/>
        <v>92.164999998399992</v>
      </c>
      <c r="C89">
        <f t="shared" si="5"/>
        <v>6.5886839219638033E-2</v>
      </c>
    </row>
    <row r="90" spans="1:3">
      <c r="A90" s="2">
        <v>90</v>
      </c>
      <c r="B90">
        <f t="shared" si="4"/>
        <v>93.286818180199987</v>
      </c>
      <c r="C90">
        <f t="shared" si="5"/>
        <v>6.6060889229328956E-2</v>
      </c>
    </row>
    <row r="91" spans="1:3">
      <c r="A91" s="2">
        <v>91</v>
      </c>
      <c r="B91">
        <f t="shared" si="4"/>
        <v>94.408636361999982</v>
      </c>
      <c r="C91">
        <f t="shared" si="5"/>
        <v>6.6235641516998983E-2</v>
      </c>
    </row>
    <row r="92" spans="1:3">
      <c r="A92" s="2">
        <v>92</v>
      </c>
      <c r="B92">
        <f t="shared" si="4"/>
        <v>95.530454543800005</v>
      </c>
      <c r="C92">
        <f t="shared" si="5"/>
        <v>6.6411094640684454E-2</v>
      </c>
    </row>
    <row r="93" spans="1:3">
      <c r="A93" s="2">
        <v>93</v>
      </c>
      <c r="B93">
        <f t="shared" si="4"/>
        <v>96.6522727256</v>
      </c>
      <c r="C93">
        <f t="shared" si="5"/>
        <v>6.6587247132533028E-2</v>
      </c>
    </row>
    <row r="94" spans="1:3">
      <c r="A94" s="2">
        <v>94</v>
      </c>
      <c r="B94">
        <f t="shared" si="4"/>
        <v>97.774090907399994</v>
      </c>
      <c r="C94">
        <f t="shared" si="5"/>
        <v>6.676409749910206E-2</v>
      </c>
    </row>
    <row r="95" spans="1:3">
      <c r="A95" s="2">
        <v>95</v>
      </c>
      <c r="B95">
        <f t="shared" si="4"/>
        <v>98.895909089199989</v>
      </c>
      <c r="C95">
        <f t="shared" si="5"/>
        <v>6.6941644221661017E-2</v>
      </c>
    </row>
    <row r="96" spans="1:3">
      <c r="A96" s="2">
        <v>96</v>
      </c>
      <c r="B96">
        <f t="shared" si="4"/>
        <v>100.01772727099998</v>
      </c>
      <c r="C96">
        <f t="shared" si="5"/>
        <v>6.7119885756497064E-2</v>
      </c>
    </row>
    <row r="97" spans="1:3">
      <c r="A97" s="2">
        <v>97</v>
      </c>
      <c r="B97">
        <f t="shared" ref="B97:B100" si="6">-6.555+(A97-1)*1.1218181818</f>
        <v>101.13954545279998</v>
      </c>
      <c r="C97">
        <f t="shared" ref="C97:C100" si="7">0.00511410800996734+0.000125705105277966*B97+0.0482868197833907*(1.00657894736842+(B97-41.6263815789474)^2/82237.1319098684)^0.5</f>
        <v>6.7298820535224554E-2</v>
      </c>
    </row>
    <row r="98" spans="1:3">
      <c r="A98" s="2">
        <v>98</v>
      </c>
      <c r="B98">
        <f t="shared" si="6"/>
        <v>102.2613636346</v>
      </c>
      <c r="C98">
        <f t="shared" si="7"/>
        <v>6.7478446965097541E-2</v>
      </c>
    </row>
    <row r="99" spans="1:3">
      <c r="A99" s="2">
        <v>99</v>
      </c>
      <c r="B99">
        <f t="shared" si="6"/>
        <v>103.3831818164</v>
      </c>
      <c r="C99">
        <f t="shared" si="7"/>
        <v>6.765876342932553E-2</v>
      </c>
    </row>
    <row r="100" spans="1:3">
      <c r="A100" s="2">
        <v>100</v>
      </c>
      <c r="B100">
        <f t="shared" si="6"/>
        <v>104.50499999819999</v>
      </c>
      <c r="C100">
        <f t="shared" si="7"/>
        <v>6.7839768287392396E-2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enableFormatConditionsCalculation="0"/>
  <dimension ref="A1:C70"/>
  <sheetViews>
    <sheetView workbookViewId="0"/>
  </sheetViews>
  <sheetFormatPr baseColWidth="10" defaultRowHeight="15.75"/>
  <sheetData>
    <row r="1" spans="1:3">
      <c r="A1" s="2">
        <v>1</v>
      </c>
      <c r="B1">
        <f t="shared" ref="B1:B32" si="0">0.0049881515+(A1-1)*0.0002248822</f>
        <v>4.9881515000000003E-3</v>
      </c>
      <c r="C1">
        <f t="shared" ref="C1:C32" si="1">0+1*B1-0.0482868197833907*(1.00657894736842+(B1-0.0103467566886897)^2/0.0895810605515467)^0.5</f>
        <v>-4.3464959188030734E-2</v>
      </c>
    </row>
    <row r="2" spans="1:3">
      <c r="A2" s="2">
        <v>2</v>
      </c>
      <c r="B2">
        <f t="shared" si="0"/>
        <v>5.2130337000000004E-3</v>
      </c>
      <c r="C2">
        <f t="shared" si="1"/>
        <v>-4.323944323633467E-2</v>
      </c>
    </row>
    <row r="3" spans="1:3">
      <c r="A3" s="2">
        <v>3</v>
      </c>
      <c r="B3">
        <f t="shared" si="0"/>
        <v>5.4379159000000005E-3</v>
      </c>
      <c r="C3">
        <f t="shared" si="1"/>
        <v>-4.3013954443290446E-2</v>
      </c>
    </row>
    <row r="4" spans="1:3">
      <c r="A4" s="2">
        <v>4</v>
      </c>
      <c r="B4">
        <f t="shared" si="0"/>
        <v>5.6627981000000006E-3</v>
      </c>
      <c r="C4">
        <f t="shared" si="1"/>
        <v>-4.2788492809918095E-2</v>
      </c>
    </row>
    <row r="5" spans="1:3">
      <c r="A5" s="2">
        <v>5</v>
      </c>
      <c r="B5">
        <f t="shared" si="0"/>
        <v>5.8876802999999998E-3</v>
      </c>
      <c r="C5">
        <f t="shared" si="1"/>
        <v>-4.2563058337192039E-2</v>
      </c>
    </row>
    <row r="6" spans="1:3">
      <c r="A6" s="2">
        <v>6</v>
      </c>
      <c r="B6">
        <f t="shared" si="0"/>
        <v>6.1125624999999999E-3</v>
      </c>
      <c r="C6">
        <f t="shared" si="1"/>
        <v>-4.2337651026041097E-2</v>
      </c>
    </row>
    <row r="7" spans="1:3">
      <c r="A7" s="2">
        <v>7</v>
      </c>
      <c r="B7">
        <f t="shared" si="0"/>
        <v>6.3374447E-3</v>
      </c>
      <c r="C7">
        <f t="shared" si="1"/>
        <v>-4.2112270877348409E-2</v>
      </c>
    </row>
    <row r="8" spans="1:3">
      <c r="A8" s="2">
        <v>8</v>
      </c>
      <c r="B8">
        <f t="shared" si="0"/>
        <v>6.5623269000000001E-3</v>
      </c>
      <c r="C8">
        <f t="shared" si="1"/>
        <v>-4.1886917891951481E-2</v>
      </c>
    </row>
    <row r="9" spans="1:3">
      <c r="A9" s="2">
        <v>9</v>
      </c>
      <c r="B9">
        <f t="shared" si="0"/>
        <v>6.7872091000000002E-3</v>
      </c>
      <c r="C9">
        <f t="shared" si="1"/>
        <v>-4.1661592070642156E-2</v>
      </c>
    </row>
    <row r="10" spans="1:3">
      <c r="A10" s="2">
        <v>10</v>
      </c>
      <c r="B10">
        <f t="shared" si="0"/>
        <v>7.0120913000000003E-3</v>
      </c>
      <c r="C10">
        <f t="shared" si="1"/>
        <v>-4.1436293414166638E-2</v>
      </c>
    </row>
    <row r="11" spans="1:3">
      <c r="A11" s="2">
        <v>11</v>
      </c>
      <c r="B11">
        <f t="shared" si="0"/>
        <v>7.2369735000000004E-3</v>
      </c>
      <c r="C11">
        <f t="shared" si="1"/>
        <v>-4.1211021923225448E-2</v>
      </c>
    </row>
    <row r="12" spans="1:3">
      <c r="A12" s="2">
        <v>12</v>
      </c>
      <c r="B12">
        <f t="shared" si="0"/>
        <v>7.4618557000000005E-3</v>
      </c>
      <c r="C12">
        <f t="shared" si="1"/>
        <v>-4.0985777598473438E-2</v>
      </c>
    </row>
    <row r="13" spans="1:3">
      <c r="A13" s="2">
        <v>13</v>
      </c>
      <c r="B13">
        <f t="shared" si="0"/>
        <v>7.6867379000000007E-3</v>
      </c>
      <c r="C13">
        <f t="shared" si="1"/>
        <v>-4.0760560440519761E-2</v>
      </c>
    </row>
    <row r="14" spans="1:3">
      <c r="A14" s="2">
        <v>14</v>
      </c>
      <c r="B14">
        <f t="shared" si="0"/>
        <v>7.9116201000000008E-3</v>
      </c>
      <c r="C14">
        <f t="shared" si="1"/>
        <v>-4.0535370449927902E-2</v>
      </c>
    </row>
    <row r="15" spans="1:3">
      <c r="A15" s="2">
        <v>15</v>
      </c>
      <c r="B15">
        <f t="shared" si="0"/>
        <v>8.1365023000000009E-3</v>
      </c>
      <c r="C15">
        <f t="shared" si="1"/>
        <v>-4.0310207627215697E-2</v>
      </c>
    </row>
    <row r="16" spans="1:3">
      <c r="A16" s="2">
        <v>16</v>
      </c>
      <c r="B16">
        <f t="shared" si="0"/>
        <v>8.3613844999999992E-3</v>
      </c>
      <c r="C16">
        <f t="shared" si="1"/>
        <v>-4.0085071972855199E-2</v>
      </c>
    </row>
    <row r="17" spans="1:3">
      <c r="A17" s="2">
        <v>17</v>
      </c>
      <c r="B17">
        <f t="shared" si="0"/>
        <v>8.5862667000000011E-3</v>
      </c>
      <c r="C17">
        <f t="shared" si="1"/>
        <v>-3.9859963487272845E-2</v>
      </c>
    </row>
    <row r="18" spans="1:3">
      <c r="A18" s="2">
        <v>18</v>
      </c>
      <c r="B18">
        <f t="shared" si="0"/>
        <v>8.8111488999999994E-3</v>
      </c>
      <c r="C18">
        <f t="shared" si="1"/>
        <v>-3.9634882170849345E-2</v>
      </c>
    </row>
    <row r="19" spans="1:3">
      <c r="A19" s="2">
        <v>19</v>
      </c>
      <c r="B19">
        <f t="shared" si="0"/>
        <v>9.0360311000000013E-3</v>
      </c>
      <c r="C19">
        <f t="shared" si="1"/>
        <v>-3.940982802391968E-2</v>
      </c>
    </row>
    <row r="20" spans="1:3">
      <c r="A20" s="2">
        <v>20</v>
      </c>
      <c r="B20">
        <f t="shared" si="0"/>
        <v>9.2609132999999996E-3</v>
      </c>
      <c r="C20">
        <f t="shared" si="1"/>
        <v>-3.9184801046773174E-2</v>
      </c>
    </row>
    <row r="21" spans="1:3">
      <c r="A21" s="2">
        <v>21</v>
      </c>
      <c r="B21">
        <f t="shared" si="0"/>
        <v>9.4857955000000015E-3</v>
      </c>
      <c r="C21">
        <f t="shared" si="1"/>
        <v>-3.8959801239653383E-2</v>
      </c>
    </row>
    <row r="22" spans="1:3">
      <c r="A22" s="2">
        <v>22</v>
      </c>
      <c r="B22">
        <f t="shared" si="0"/>
        <v>9.7106776999999998E-3</v>
      </c>
      <c r="C22">
        <f t="shared" si="1"/>
        <v>-3.873482860275819E-2</v>
      </c>
    </row>
    <row r="23" spans="1:3">
      <c r="A23" s="2">
        <v>23</v>
      </c>
      <c r="B23">
        <f t="shared" si="0"/>
        <v>9.9355598999999999E-3</v>
      </c>
      <c r="C23">
        <f t="shared" si="1"/>
        <v>-3.8509883136239771E-2</v>
      </c>
    </row>
    <row r="24" spans="1:3">
      <c r="A24" s="2">
        <v>24</v>
      </c>
      <c r="B24">
        <f t="shared" si="0"/>
        <v>1.01604421E-2</v>
      </c>
      <c r="C24">
        <f t="shared" si="1"/>
        <v>-3.8284964840204563E-2</v>
      </c>
    </row>
    <row r="25" spans="1:3">
      <c r="A25" s="2">
        <v>25</v>
      </c>
      <c r="B25">
        <f t="shared" si="0"/>
        <v>1.03853243E-2</v>
      </c>
      <c r="C25">
        <f t="shared" si="1"/>
        <v>-3.8060073714713309E-2</v>
      </c>
    </row>
    <row r="26" spans="1:3">
      <c r="A26" s="2">
        <v>26</v>
      </c>
      <c r="B26">
        <f t="shared" si="0"/>
        <v>1.06102065E-2</v>
      </c>
      <c r="C26">
        <f t="shared" si="1"/>
        <v>-3.7835209759781011E-2</v>
      </c>
    </row>
    <row r="27" spans="1:3">
      <c r="A27" s="2">
        <v>27</v>
      </c>
      <c r="B27">
        <f t="shared" si="0"/>
        <v>1.08350887E-2</v>
      </c>
      <c r="C27">
        <f t="shared" si="1"/>
        <v>-3.7610372975376991E-2</v>
      </c>
    </row>
    <row r="28" spans="1:3">
      <c r="A28" s="2">
        <v>28</v>
      </c>
      <c r="B28">
        <f t="shared" si="0"/>
        <v>1.10599709E-2</v>
      </c>
      <c r="C28">
        <f t="shared" si="1"/>
        <v>-3.7385563361424817E-2</v>
      </c>
    </row>
    <row r="29" spans="1:3">
      <c r="A29" s="2">
        <v>29</v>
      </c>
      <c r="B29">
        <f t="shared" si="0"/>
        <v>1.1284853099999999E-2</v>
      </c>
      <c r="C29">
        <f t="shared" si="1"/>
        <v>-3.7160780917802373E-2</v>
      </c>
    </row>
    <row r="30" spans="1:3">
      <c r="A30" s="2">
        <v>30</v>
      </c>
      <c r="B30">
        <f t="shared" si="0"/>
        <v>1.1509735300000001E-2</v>
      </c>
      <c r="C30">
        <f t="shared" si="1"/>
        <v>-3.6936025644341813E-2</v>
      </c>
    </row>
    <row r="31" spans="1:3">
      <c r="A31" s="2">
        <v>31</v>
      </c>
      <c r="B31">
        <f t="shared" si="0"/>
        <v>1.1734617499999999E-2</v>
      </c>
      <c r="C31">
        <f t="shared" si="1"/>
        <v>-3.6711297540829566E-2</v>
      </c>
    </row>
    <row r="32" spans="1:3">
      <c r="A32" s="2">
        <v>32</v>
      </c>
      <c r="B32">
        <f t="shared" si="0"/>
        <v>1.1959499700000001E-2</v>
      </c>
      <c r="C32">
        <f t="shared" si="1"/>
        <v>-3.64865966070064E-2</v>
      </c>
    </row>
    <row r="33" spans="1:3">
      <c r="A33" s="2">
        <v>33</v>
      </c>
      <c r="B33">
        <f t="shared" ref="B33:B64" si="2">0.0049881515+(A33-1)*0.0002248822</f>
        <v>1.2184381899999999E-2</v>
      </c>
      <c r="C33">
        <f t="shared" ref="C33:C64" si="3">0+1*B33-0.0482868197833907*(1.00657894736842+(B33-0.0103467566886897)^2/0.0895810605515467)^0.5</f>
        <v>-3.626192284256731E-2</v>
      </c>
    </row>
    <row r="34" spans="1:3">
      <c r="A34" s="2">
        <v>34</v>
      </c>
      <c r="B34">
        <f t="shared" si="2"/>
        <v>1.2409264100000001E-2</v>
      </c>
      <c r="C34">
        <f t="shared" si="3"/>
        <v>-3.6037276247161645E-2</v>
      </c>
    </row>
    <row r="35" spans="1:3">
      <c r="A35" s="2">
        <v>35</v>
      </c>
      <c r="B35">
        <f t="shared" si="2"/>
        <v>1.2634146299999999E-2</v>
      </c>
      <c r="C35">
        <f t="shared" si="3"/>
        <v>-3.5812656820393002E-2</v>
      </c>
    </row>
    <row r="36" spans="1:3">
      <c r="A36" s="2">
        <v>36</v>
      </c>
      <c r="B36">
        <f t="shared" si="2"/>
        <v>1.2859028500000001E-2</v>
      </c>
      <c r="C36">
        <f t="shared" si="3"/>
        <v>-3.5588064561819302E-2</v>
      </c>
    </row>
    <row r="37" spans="1:3">
      <c r="A37" s="2">
        <v>37</v>
      </c>
      <c r="B37">
        <f t="shared" si="2"/>
        <v>1.30839107E-2</v>
      </c>
      <c r="C37">
        <f t="shared" si="3"/>
        <v>-3.5363499470952776E-2</v>
      </c>
    </row>
    <row r="38" spans="1:3">
      <c r="A38" s="2">
        <v>38</v>
      </c>
      <c r="B38">
        <f t="shared" si="2"/>
        <v>1.3308792900000001E-2</v>
      </c>
      <c r="C38">
        <f t="shared" si="3"/>
        <v>-3.5138961547259942E-2</v>
      </c>
    </row>
    <row r="39" spans="1:3">
      <c r="A39" s="2">
        <v>39</v>
      </c>
      <c r="B39">
        <f t="shared" si="2"/>
        <v>1.35336751E-2</v>
      </c>
      <c r="C39">
        <f t="shared" si="3"/>
        <v>-3.4914450790161658E-2</v>
      </c>
    </row>
    <row r="40" spans="1:3">
      <c r="A40" s="2">
        <v>40</v>
      </c>
      <c r="B40">
        <f t="shared" si="2"/>
        <v>1.3758557300000002E-2</v>
      </c>
      <c r="C40">
        <f t="shared" si="3"/>
        <v>-3.468996719903307E-2</v>
      </c>
    </row>
    <row r="41" spans="1:3">
      <c r="A41" s="2">
        <v>41</v>
      </c>
      <c r="B41">
        <f t="shared" si="2"/>
        <v>1.39834395E-2</v>
      </c>
      <c r="C41">
        <f t="shared" si="3"/>
        <v>-3.4465510773203693E-2</v>
      </c>
    </row>
    <row r="42" spans="1:3">
      <c r="A42" s="2">
        <v>42</v>
      </c>
      <c r="B42">
        <f t="shared" si="2"/>
        <v>1.4208321699999998E-2</v>
      </c>
      <c r="C42">
        <f t="shared" si="3"/>
        <v>-3.4241081511957296E-2</v>
      </c>
    </row>
    <row r="43" spans="1:3">
      <c r="A43" s="2">
        <v>43</v>
      </c>
      <c r="B43">
        <f t="shared" si="2"/>
        <v>1.44332039E-2</v>
      </c>
      <c r="C43">
        <f t="shared" si="3"/>
        <v>-3.4016679414532056E-2</v>
      </c>
    </row>
    <row r="44" spans="1:3">
      <c r="A44" s="2">
        <v>44</v>
      </c>
      <c r="B44">
        <f t="shared" si="2"/>
        <v>1.4658086099999999E-2</v>
      </c>
      <c r="C44">
        <f t="shared" si="3"/>
        <v>-3.3792304480120453E-2</v>
      </c>
    </row>
    <row r="45" spans="1:3">
      <c r="A45" s="2">
        <v>45</v>
      </c>
      <c r="B45">
        <f t="shared" si="2"/>
        <v>1.48829683E-2</v>
      </c>
      <c r="C45">
        <f t="shared" si="3"/>
        <v>-3.3567956707869322E-2</v>
      </c>
    </row>
    <row r="46" spans="1:3">
      <c r="A46" s="2">
        <v>46</v>
      </c>
      <c r="B46">
        <f t="shared" si="2"/>
        <v>1.5107850499999999E-2</v>
      </c>
      <c r="C46">
        <f t="shared" si="3"/>
        <v>-3.3343636096879861E-2</v>
      </c>
    </row>
    <row r="47" spans="1:3">
      <c r="A47" s="2">
        <v>47</v>
      </c>
      <c r="B47">
        <f t="shared" si="2"/>
        <v>1.5332732700000001E-2</v>
      </c>
      <c r="C47">
        <f t="shared" si="3"/>
        <v>-3.3119342646207597E-2</v>
      </c>
    </row>
    <row r="48" spans="1:3">
      <c r="A48" s="2">
        <v>48</v>
      </c>
      <c r="B48">
        <f t="shared" si="2"/>
        <v>1.5557614899999999E-2</v>
      </c>
      <c r="C48">
        <f t="shared" si="3"/>
        <v>-3.2895076354862496E-2</v>
      </c>
    </row>
    <row r="49" spans="1:3">
      <c r="A49" s="2">
        <v>49</v>
      </c>
      <c r="B49">
        <f t="shared" si="2"/>
        <v>1.5782497100000001E-2</v>
      </c>
      <c r="C49">
        <f t="shared" si="3"/>
        <v>-3.2670837221808836E-2</v>
      </c>
    </row>
    <row r="50" spans="1:3">
      <c r="A50" s="2">
        <v>50</v>
      </c>
      <c r="B50">
        <f t="shared" si="2"/>
        <v>1.6007379299999999E-2</v>
      </c>
      <c r="C50">
        <f t="shared" si="3"/>
        <v>-3.2446625245965297E-2</v>
      </c>
    </row>
    <row r="51" spans="1:3">
      <c r="A51" s="2">
        <v>51</v>
      </c>
      <c r="B51">
        <f t="shared" si="2"/>
        <v>1.6232261500000001E-2</v>
      </c>
      <c r="C51">
        <f t="shared" si="3"/>
        <v>-3.2222440426204993E-2</v>
      </c>
    </row>
    <row r="52" spans="1:3">
      <c r="A52" s="2">
        <v>52</v>
      </c>
      <c r="B52">
        <f t="shared" si="2"/>
        <v>1.6457143699999999E-2</v>
      </c>
      <c r="C52">
        <f t="shared" si="3"/>
        <v>-3.1998282761355398E-2</v>
      </c>
    </row>
    <row r="53" spans="1:3">
      <c r="A53" s="2">
        <v>53</v>
      </c>
      <c r="B53">
        <f t="shared" si="2"/>
        <v>1.6682025900000001E-2</v>
      </c>
      <c r="C53">
        <f t="shared" si="3"/>
        <v>-3.1774152250198417E-2</v>
      </c>
    </row>
    <row r="54" spans="1:3">
      <c r="A54" s="2">
        <v>54</v>
      </c>
      <c r="B54">
        <f t="shared" si="2"/>
        <v>1.69069081E-2</v>
      </c>
      <c r="C54">
        <f t="shared" si="3"/>
        <v>-3.1550048891470395E-2</v>
      </c>
    </row>
    <row r="55" spans="1:3">
      <c r="A55" s="2">
        <v>55</v>
      </c>
      <c r="B55">
        <f t="shared" si="2"/>
        <v>1.7131790300000001E-2</v>
      </c>
      <c r="C55">
        <f t="shared" si="3"/>
        <v>-3.1325972683862113E-2</v>
      </c>
    </row>
    <row r="56" spans="1:3">
      <c r="A56" s="2">
        <v>56</v>
      </c>
      <c r="B56">
        <f t="shared" si="2"/>
        <v>1.73566725E-2</v>
      </c>
      <c r="C56">
        <f t="shared" si="3"/>
        <v>-3.1101923626018765E-2</v>
      </c>
    </row>
    <row r="57" spans="1:3">
      <c r="A57" s="2">
        <v>57</v>
      </c>
      <c r="B57">
        <f t="shared" si="2"/>
        <v>1.7581554699999998E-2</v>
      </c>
      <c r="C57">
        <f t="shared" si="3"/>
        <v>-3.0877901716540038E-2</v>
      </c>
    </row>
    <row r="58" spans="1:3">
      <c r="A58" s="2">
        <v>58</v>
      </c>
      <c r="B58">
        <f t="shared" si="2"/>
        <v>1.78064369E-2</v>
      </c>
      <c r="C58">
        <f t="shared" si="3"/>
        <v>-3.0653906953980091E-2</v>
      </c>
    </row>
    <row r="59" spans="1:3">
      <c r="A59" s="2">
        <v>59</v>
      </c>
      <c r="B59">
        <f t="shared" si="2"/>
        <v>1.8031319099999998E-2</v>
      </c>
      <c r="C59">
        <f t="shared" si="3"/>
        <v>-3.0429939336847546E-2</v>
      </c>
    </row>
    <row r="60" spans="1:3">
      <c r="A60" s="2">
        <v>60</v>
      </c>
      <c r="B60">
        <f t="shared" si="2"/>
        <v>1.82562013E-2</v>
      </c>
      <c r="C60">
        <f t="shared" si="3"/>
        <v>-3.0205998863605536E-2</v>
      </c>
    </row>
    <row r="61" spans="1:3">
      <c r="A61" s="2">
        <v>61</v>
      </c>
      <c r="B61">
        <f t="shared" si="2"/>
        <v>1.8481083499999999E-2</v>
      </c>
      <c r="C61">
        <f t="shared" si="3"/>
        <v>-2.998208553267168E-2</v>
      </c>
    </row>
    <row r="62" spans="1:3">
      <c r="A62" s="2">
        <v>62</v>
      </c>
      <c r="B62">
        <f t="shared" si="2"/>
        <v>1.87059657E-2</v>
      </c>
      <c r="C62">
        <f t="shared" si="3"/>
        <v>-2.9758199342418162E-2</v>
      </c>
    </row>
    <row r="63" spans="1:3">
      <c r="A63" s="2">
        <v>63</v>
      </c>
      <c r="B63">
        <f t="shared" si="2"/>
        <v>1.8930847899999999E-2</v>
      </c>
      <c r="C63">
        <f t="shared" si="3"/>
        <v>-2.9534340291171662E-2</v>
      </c>
    </row>
    <row r="64" spans="1:3">
      <c r="A64" s="2">
        <v>64</v>
      </c>
      <c r="B64">
        <f t="shared" si="2"/>
        <v>1.9155730100000001E-2</v>
      </c>
      <c r="C64">
        <f t="shared" si="3"/>
        <v>-2.931050837721343E-2</v>
      </c>
    </row>
    <row r="65" spans="1:3">
      <c r="A65" s="2">
        <v>65</v>
      </c>
      <c r="B65">
        <f t="shared" ref="B65:B70" si="4">0.0049881515+(A65-1)*0.0002248822</f>
        <v>1.9380612299999999E-2</v>
      </c>
      <c r="C65">
        <f t="shared" ref="C65:C70" si="5">0+1*B65-0.0482868197833907*(1.00657894736842+(B65-0.0103467566886897)^2/0.0895810605515467)^0.5</f>
        <v>-2.9086703598779257E-2</v>
      </c>
    </row>
    <row r="66" spans="1:3">
      <c r="A66" s="2">
        <v>66</v>
      </c>
      <c r="B66">
        <f t="shared" si="4"/>
        <v>1.9605494500000001E-2</v>
      </c>
      <c r="C66">
        <f t="shared" si="5"/>
        <v>-2.886292595405953E-2</v>
      </c>
    </row>
    <row r="67" spans="1:3">
      <c r="A67" s="2">
        <v>67</v>
      </c>
      <c r="B67">
        <f t="shared" si="4"/>
        <v>1.9830376699999999E-2</v>
      </c>
      <c r="C67">
        <f t="shared" si="5"/>
        <v>-2.863917544119924E-2</v>
      </c>
    </row>
    <row r="68" spans="1:3">
      <c r="A68" s="2">
        <v>68</v>
      </c>
      <c r="B68">
        <f t="shared" si="4"/>
        <v>2.0055258900000001E-2</v>
      </c>
      <c r="C68">
        <f t="shared" si="5"/>
        <v>-2.8415452058297954E-2</v>
      </c>
    </row>
    <row r="69" spans="1:3">
      <c r="A69" s="2">
        <v>69</v>
      </c>
      <c r="B69">
        <f t="shared" si="4"/>
        <v>2.0280141099999999E-2</v>
      </c>
      <c r="C69">
        <f t="shared" si="5"/>
        <v>-2.8191755803409917E-2</v>
      </c>
    </row>
    <row r="70" spans="1:3">
      <c r="A70" s="2">
        <v>70</v>
      </c>
      <c r="B70">
        <f t="shared" si="4"/>
        <v>2.0505023300000001E-2</v>
      </c>
      <c r="C70">
        <f t="shared" si="5"/>
        <v>-2.7968086674543959E-2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enableFormatConditionsCalculation="0"/>
  <dimension ref="A1:C70"/>
  <sheetViews>
    <sheetView workbookViewId="0"/>
  </sheetViews>
  <sheetFormatPr baseColWidth="10" defaultRowHeight="15.75"/>
  <sheetData>
    <row r="1" spans="1:3">
      <c r="A1" s="2">
        <v>1</v>
      </c>
      <c r="B1">
        <f t="shared" ref="B1:B32" si="0">0.0043628094+(A1-1)*0.0002339451</f>
        <v>4.3628093999999997E-3</v>
      </c>
      <c r="C1">
        <f t="shared" ref="C1:C32" si="1">0+1*B1+0.0482868197833907*(1.00657894736842+(B1-0.0103467566886897)^2/0.0895810605515467)^0.5</f>
        <v>5.2817825150733591E-2</v>
      </c>
    </row>
    <row r="2" spans="1:3">
      <c r="A2" s="2">
        <v>2</v>
      </c>
      <c r="B2">
        <f t="shared" si="0"/>
        <v>4.5967544999999995E-3</v>
      </c>
      <c r="C2">
        <f t="shared" si="1"/>
        <v>5.3051032968543056E-2</v>
      </c>
    </row>
    <row r="3" spans="1:3">
      <c r="A3" s="2">
        <v>3</v>
      </c>
      <c r="B3">
        <f t="shared" si="0"/>
        <v>4.8306996000000001E-3</v>
      </c>
      <c r="C3">
        <f t="shared" si="1"/>
        <v>5.3284270174858241E-2</v>
      </c>
    </row>
    <row r="4" spans="1:3">
      <c r="A4" s="2">
        <v>4</v>
      </c>
      <c r="B4">
        <f t="shared" si="0"/>
        <v>5.0646446999999999E-3</v>
      </c>
      <c r="C4">
        <f t="shared" si="1"/>
        <v>5.3517536770967218E-2</v>
      </c>
    </row>
    <row r="5" spans="1:3">
      <c r="A5" s="2">
        <v>5</v>
      </c>
      <c r="B5">
        <f t="shared" si="0"/>
        <v>5.2985897999999997E-3</v>
      </c>
      <c r="C5">
        <f t="shared" si="1"/>
        <v>5.3750832758104675E-2</v>
      </c>
    </row>
    <row r="6" spans="1:3">
      <c r="A6" s="2">
        <v>6</v>
      </c>
      <c r="B6">
        <f t="shared" si="0"/>
        <v>5.5325349000000003E-3</v>
      </c>
      <c r="C6">
        <f t="shared" si="1"/>
        <v>5.3984158137451901E-2</v>
      </c>
    </row>
    <row r="7" spans="1:3">
      <c r="A7" s="2">
        <v>7</v>
      </c>
      <c r="B7">
        <f t="shared" si="0"/>
        <v>5.76648E-3</v>
      </c>
      <c r="C7">
        <f t="shared" si="1"/>
        <v>5.4217512910136698E-2</v>
      </c>
    </row>
    <row r="8" spans="1:3">
      <c r="A8" s="2">
        <v>8</v>
      </c>
      <c r="B8">
        <f t="shared" si="0"/>
        <v>6.0004250999999998E-3</v>
      </c>
      <c r="C8">
        <f t="shared" si="1"/>
        <v>5.4450897077233489E-2</v>
      </c>
    </row>
    <row r="9" spans="1:3">
      <c r="A9" s="2">
        <v>9</v>
      </c>
      <c r="B9">
        <f t="shared" si="0"/>
        <v>6.2343701999999996E-3</v>
      </c>
      <c r="C9">
        <f t="shared" si="1"/>
        <v>5.4684310639763214E-2</v>
      </c>
    </row>
    <row r="10" spans="1:3">
      <c r="A10" s="2">
        <v>10</v>
      </c>
      <c r="B10">
        <f t="shared" si="0"/>
        <v>6.4683152999999993E-3</v>
      </c>
      <c r="C10">
        <f t="shared" si="1"/>
        <v>5.4917753598693372E-2</v>
      </c>
    </row>
    <row r="11" spans="1:3">
      <c r="A11" s="2">
        <v>11</v>
      </c>
      <c r="B11">
        <f t="shared" si="0"/>
        <v>6.7022604E-3</v>
      </c>
      <c r="C11">
        <f t="shared" si="1"/>
        <v>5.5151225954937967E-2</v>
      </c>
    </row>
    <row r="12" spans="1:3">
      <c r="A12" s="2">
        <v>12</v>
      </c>
      <c r="B12">
        <f t="shared" si="0"/>
        <v>6.9362054999999997E-3</v>
      </c>
      <c r="C12">
        <f t="shared" si="1"/>
        <v>5.538472770935756E-2</v>
      </c>
    </row>
    <row r="13" spans="1:3">
      <c r="A13" s="2">
        <v>13</v>
      </c>
      <c r="B13">
        <f t="shared" si="0"/>
        <v>7.1701505999999995E-3</v>
      </c>
      <c r="C13">
        <f t="shared" si="1"/>
        <v>5.5618258862759201E-2</v>
      </c>
    </row>
    <row r="14" spans="1:3">
      <c r="A14" s="2">
        <v>14</v>
      </c>
      <c r="B14">
        <f t="shared" si="0"/>
        <v>7.4040957000000001E-3</v>
      </c>
      <c r="C14">
        <f t="shared" si="1"/>
        <v>5.5851819415896474E-2</v>
      </c>
    </row>
    <row r="15" spans="1:3">
      <c r="A15" s="2">
        <v>15</v>
      </c>
      <c r="B15">
        <f t="shared" si="0"/>
        <v>7.6380407999999999E-3</v>
      </c>
      <c r="C15">
        <f t="shared" si="1"/>
        <v>5.6085409369469451E-2</v>
      </c>
    </row>
    <row r="16" spans="1:3">
      <c r="A16" s="2">
        <v>16</v>
      </c>
      <c r="B16">
        <f t="shared" si="0"/>
        <v>7.8719858999999996E-3</v>
      </c>
      <c r="C16">
        <f t="shared" si="1"/>
        <v>5.6319028724124684E-2</v>
      </c>
    </row>
    <row r="17" spans="1:3">
      <c r="A17" s="2">
        <v>17</v>
      </c>
      <c r="B17">
        <f t="shared" si="0"/>
        <v>8.1059310000000002E-3</v>
      </c>
      <c r="C17">
        <f t="shared" si="1"/>
        <v>5.6552677480455255E-2</v>
      </c>
    </row>
    <row r="18" spans="1:3">
      <c r="A18" s="2">
        <v>18</v>
      </c>
      <c r="B18">
        <f t="shared" si="0"/>
        <v>8.3398761000000009E-3</v>
      </c>
      <c r="C18">
        <f t="shared" si="1"/>
        <v>5.678635563900071E-2</v>
      </c>
    </row>
    <row r="19" spans="1:3">
      <c r="A19" s="2">
        <v>19</v>
      </c>
      <c r="B19">
        <f t="shared" si="0"/>
        <v>8.5738211999999998E-3</v>
      </c>
      <c r="C19">
        <f t="shared" si="1"/>
        <v>5.7020063200247044E-2</v>
      </c>
    </row>
    <row r="20" spans="1:3">
      <c r="A20" s="2">
        <v>20</v>
      </c>
      <c r="B20">
        <f t="shared" si="0"/>
        <v>8.8077662999999987E-3</v>
      </c>
      <c r="C20">
        <f t="shared" si="1"/>
        <v>5.7253800164626778E-2</v>
      </c>
    </row>
    <row r="21" spans="1:3">
      <c r="A21" s="2">
        <v>21</v>
      </c>
      <c r="B21">
        <f t="shared" si="0"/>
        <v>9.0417113999999993E-3</v>
      </c>
      <c r="C21">
        <f t="shared" si="1"/>
        <v>5.7487566532518887E-2</v>
      </c>
    </row>
    <row r="22" spans="1:3">
      <c r="A22" s="2">
        <v>22</v>
      </c>
      <c r="B22">
        <f t="shared" si="0"/>
        <v>9.2756564999999999E-3</v>
      </c>
      <c r="C22">
        <f t="shared" si="1"/>
        <v>5.7721362304248784E-2</v>
      </c>
    </row>
    <row r="23" spans="1:3">
      <c r="A23" s="2">
        <v>23</v>
      </c>
      <c r="B23">
        <f t="shared" si="0"/>
        <v>9.5096016000000005E-3</v>
      </c>
      <c r="C23">
        <f t="shared" si="1"/>
        <v>5.7955187480088391E-2</v>
      </c>
    </row>
    <row r="24" spans="1:3">
      <c r="A24" s="2">
        <v>24</v>
      </c>
      <c r="B24">
        <f t="shared" si="0"/>
        <v>9.7435466999999994E-3</v>
      </c>
      <c r="C24">
        <f t="shared" si="1"/>
        <v>5.8189042060256067E-2</v>
      </c>
    </row>
    <row r="25" spans="1:3">
      <c r="A25" s="2">
        <v>25</v>
      </c>
      <c r="B25">
        <f t="shared" si="0"/>
        <v>9.9774918000000001E-3</v>
      </c>
      <c r="C25">
        <f t="shared" si="1"/>
        <v>5.842292604491664E-2</v>
      </c>
    </row>
    <row r="26" spans="1:3">
      <c r="A26" s="2">
        <v>26</v>
      </c>
      <c r="B26">
        <f t="shared" si="0"/>
        <v>1.0211436899999999E-2</v>
      </c>
      <c r="C26">
        <f t="shared" si="1"/>
        <v>5.8656839434181401E-2</v>
      </c>
    </row>
    <row r="27" spans="1:3">
      <c r="A27" s="2">
        <v>27</v>
      </c>
      <c r="B27">
        <f t="shared" si="0"/>
        <v>1.0445382E-2</v>
      </c>
      <c r="C27">
        <f t="shared" si="1"/>
        <v>5.8890782228108063E-2</v>
      </c>
    </row>
    <row r="28" spans="1:3">
      <c r="A28" s="2">
        <v>28</v>
      </c>
      <c r="B28">
        <f t="shared" si="0"/>
        <v>1.06793271E-2</v>
      </c>
      <c r="C28">
        <f t="shared" si="1"/>
        <v>5.9124754426700857E-2</v>
      </c>
    </row>
    <row r="29" spans="1:3">
      <c r="A29" s="2">
        <v>29</v>
      </c>
      <c r="B29">
        <f t="shared" si="0"/>
        <v>1.0913272200000001E-2</v>
      </c>
      <c r="C29">
        <f t="shared" si="1"/>
        <v>5.9358756029910434E-2</v>
      </c>
    </row>
    <row r="30" spans="1:3">
      <c r="A30" s="2">
        <v>30</v>
      </c>
      <c r="B30">
        <f t="shared" si="0"/>
        <v>1.11472173E-2</v>
      </c>
      <c r="C30">
        <f t="shared" si="1"/>
        <v>5.9592787037633883E-2</v>
      </c>
    </row>
    <row r="31" spans="1:3">
      <c r="A31" s="2">
        <v>31</v>
      </c>
      <c r="B31">
        <f t="shared" si="0"/>
        <v>1.1381162399999999E-2</v>
      </c>
      <c r="C31">
        <f t="shared" si="1"/>
        <v>5.982684744971481E-2</v>
      </c>
    </row>
    <row r="32" spans="1:3">
      <c r="A32" s="2">
        <v>32</v>
      </c>
      <c r="B32">
        <f t="shared" si="0"/>
        <v>1.1615107499999999E-2</v>
      </c>
      <c r="C32">
        <f t="shared" si="1"/>
        <v>6.0060937265943228E-2</v>
      </c>
    </row>
    <row r="33" spans="1:3">
      <c r="A33" s="2">
        <v>33</v>
      </c>
      <c r="B33">
        <f t="shared" ref="B33:B64" si="2">0.0043628094+(A33-1)*0.0002339451</f>
        <v>1.18490526E-2</v>
      </c>
      <c r="C33">
        <f t="shared" ref="C33:C64" si="3">0+1*B33+0.0482868197833907*(1.00657894736842+(B33-0.0103467566886897)^2/0.0895810605515467)^0.5</f>
        <v>6.0295056486055633E-2</v>
      </c>
    </row>
    <row r="34" spans="1:3">
      <c r="A34" s="2">
        <v>34</v>
      </c>
      <c r="B34">
        <f t="shared" si="2"/>
        <v>1.2082997700000001E-2</v>
      </c>
      <c r="C34">
        <f t="shared" si="3"/>
        <v>6.0529205109734995E-2</v>
      </c>
    </row>
    <row r="35" spans="1:3">
      <c r="A35" s="2">
        <v>35</v>
      </c>
      <c r="B35">
        <f t="shared" si="2"/>
        <v>1.2316942800000001E-2</v>
      </c>
      <c r="C35">
        <f t="shared" si="3"/>
        <v>6.0763383136610734E-2</v>
      </c>
    </row>
    <row r="36" spans="1:3">
      <c r="A36" s="2">
        <v>36</v>
      </c>
      <c r="B36">
        <f t="shared" si="2"/>
        <v>1.2550887899999998E-2</v>
      </c>
      <c r="C36">
        <f t="shared" si="3"/>
        <v>6.0997590566258739E-2</v>
      </c>
    </row>
    <row r="37" spans="1:3">
      <c r="A37" s="2">
        <v>37</v>
      </c>
      <c r="B37">
        <f t="shared" si="2"/>
        <v>1.2784832999999999E-2</v>
      </c>
      <c r="C37">
        <f t="shared" si="3"/>
        <v>6.1231827398201391E-2</v>
      </c>
    </row>
    <row r="38" spans="1:3">
      <c r="A38" s="2">
        <v>38</v>
      </c>
      <c r="B38">
        <f t="shared" si="2"/>
        <v>1.30187781E-2</v>
      </c>
      <c r="C38">
        <f t="shared" si="3"/>
        <v>6.1466093631907553E-2</v>
      </c>
    </row>
    <row r="39" spans="1:3">
      <c r="A39" s="2">
        <v>39</v>
      </c>
      <c r="B39">
        <f t="shared" si="2"/>
        <v>1.32527232E-2</v>
      </c>
      <c r="C39">
        <f t="shared" si="3"/>
        <v>6.1700389266792527E-2</v>
      </c>
    </row>
    <row r="40" spans="1:3">
      <c r="A40" s="2">
        <v>40</v>
      </c>
      <c r="B40">
        <f t="shared" si="2"/>
        <v>1.3486668300000001E-2</v>
      </c>
      <c r="C40">
        <f t="shared" si="3"/>
        <v>6.1934714302218155E-2</v>
      </c>
    </row>
    <row r="41" spans="1:3">
      <c r="A41" s="2">
        <v>41</v>
      </c>
      <c r="B41">
        <f t="shared" si="2"/>
        <v>1.3720613400000001E-2</v>
      </c>
      <c r="C41">
        <f t="shared" si="3"/>
        <v>6.2169068737492769E-2</v>
      </c>
    </row>
    <row r="42" spans="1:3">
      <c r="A42" s="2">
        <v>42</v>
      </c>
      <c r="B42">
        <f t="shared" si="2"/>
        <v>1.3954558499999999E-2</v>
      </c>
      <c r="C42">
        <f t="shared" si="3"/>
        <v>6.2403452571871174E-2</v>
      </c>
    </row>
    <row r="43" spans="1:3">
      <c r="A43" s="2">
        <v>43</v>
      </c>
      <c r="B43">
        <f t="shared" si="2"/>
        <v>1.4188503599999999E-2</v>
      </c>
      <c r="C43">
        <f t="shared" si="3"/>
        <v>6.2637865804554674E-2</v>
      </c>
    </row>
    <row r="44" spans="1:3">
      <c r="A44" s="2">
        <v>44</v>
      </c>
      <c r="B44">
        <f t="shared" si="2"/>
        <v>1.44224487E-2</v>
      </c>
      <c r="C44">
        <f t="shared" si="3"/>
        <v>6.287230843469116E-2</v>
      </c>
    </row>
    <row r="45" spans="1:3">
      <c r="A45" s="2">
        <v>45</v>
      </c>
      <c r="B45">
        <f t="shared" si="2"/>
        <v>1.46563938E-2</v>
      </c>
      <c r="C45">
        <f t="shared" si="3"/>
        <v>6.3106780461374953E-2</v>
      </c>
    </row>
    <row r="46" spans="1:3">
      <c r="A46" s="2">
        <v>46</v>
      </c>
      <c r="B46">
        <f t="shared" si="2"/>
        <v>1.4890338900000001E-2</v>
      </c>
      <c r="C46">
        <f t="shared" si="3"/>
        <v>6.334128188364696E-2</v>
      </c>
    </row>
    <row r="47" spans="1:3">
      <c r="A47" s="2">
        <v>47</v>
      </c>
      <c r="B47">
        <f t="shared" si="2"/>
        <v>1.5124283999999998E-2</v>
      </c>
      <c r="C47">
        <f t="shared" si="3"/>
        <v>6.3575812700494658E-2</v>
      </c>
    </row>
    <row r="48" spans="1:3">
      <c r="A48" s="2">
        <v>48</v>
      </c>
      <c r="B48">
        <f t="shared" si="2"/>
        <v>1.5358229099999999E-2</v>
      </c>
      <c r="C48">
        <f t="shared" si="3"/>
        <v>6.3810372910851967E-2</v>
      </c>
    </row>
    <row r="49" spans="1:3">
      <c r="A49" s="2">
        <v>49</v>
      </c>
      <c r="B49">
        <f t="shared" si="2"/>
        <v>1.55921742E-2</v>
      </c>
      <c r="C49">
        <f t="shared" si="3"/>
        <v>6.4044962513599479E-2</v>
      </c>
    </row>
    <row r="50" spans="1:3">
      <c r="A50" s="2">
        <v>50</v>
      </c>
      <c r="B50">
        <f t="shared" si="2"/>
        <v>1.58261193E-2</v>
      </c>
      <c r="C50">
        <f t="shared" si="3"/>
        <v>6.4279581507564298E-2</v>
      </c>
    </row>
    <row r="51" spans="1:3">
      <c r="A51" s="2">
        <v>51</v>
      </c>
      <c r="B51">
        <f t="shared" si="2"/>
        <v>1.6060064400000001E-2</v>
      </c>
      <c r="C51">
        <f t="shared" si="3"/>
        <v>6.45142298915201E-2</v>
      </c>
    </row>
    <row r="52" spans="1:3">
      <c r="A52" s="2">
        <v>52</v>
      </c>
      <c r="B52">
        <f t="shared" si="2"/>
        <v>1.6294009500000001E-2</v>
      </c>
      <c r="C52">
        <f t="shared" si="3"/>
        <v>6.4748907664187186E-2</v>
      </c>
    </row>
    <row r="53" spans="1:3">
      <c r="A53" s="2">
        <v>53</v>
      </c>
      <c r="B53">
        <f t="shared" si="2"/>
        <v>1.6527954599999999E-2</v>
      </c>
      <c r="C53">
        <f t="shared" si="3"/>
        <v>6.4983614824232427E-2</v>
      </c>
    </row>
    <row r="54" spans="1:3">
      <c r="A54" s="2">
        <v>54</v>
      </c>
      <c r="B54">
        <f t="shared" si="2"/>
        <v>1.6761899699999999E-2</v>
      </c>
      <c r="C54">
        <f t="shared" si="3"/>
        <v>6.5218351370269323E-2</v>
      </c>
    </row>
    <row r="55" spans="1:3">
      <c r="A55" s="2">
        <v>55</v>
      </c>
      <c r="B55">
        <f t="shared" si="2"/>
        <v>1.69958448E-2</v>
      </c>
      <c r="C55">
        <f t="shared" si="3"/>
        <v>6.5453117300858024E-2</v>
      </c>
    </row>
    <row r="56" spans="1:3">
      <c r="A56" s="2">
        <v>56</v>
      </c>
      <c r="B56">
        <f t="shared" si="2"/>
        <v>1.72297899E-2</v>
      </c>
      <c r="C56">
        <f t="shared" si="3"/>
        <v>6.5687912614505295E-2</v>
      </c>
    </row>
    <row r="57" spans="1:3">
      <c r="A57" s="2">
        <v>57</v>
      </c>
      <c r="B57">
        <f t="shared" si="2"/>
        <v>1.7463735000000001E-2</v>
      </c>
      <c r="C57">
        <f t="shared" si="3"/>
        <v>6.5922737309664525E-2</v>
      </c>
    </row>
    <row r="58" spans="1:3">
      <c r="A58" s="2">
        <v>58</v>
      </c>
      <c r="B58">
        <f t="shared" si="2"/>
        <v>1.7697680100000002E-2</v>
      </c>
      <c r="C58">
        <f t="shared" si="3"/>
        <v>6.6157591384735842E-2</v>
      </c>
    </row>
    <row r="59" spans="1:3">
      <c r="A59" s="2">
        <v>59</v>
      </c>
      <c r="B59">
        <f t="shared" si="2"/>
        <v>1.7931625199999999E-2</v>
      </c>
      <c r="C59">
        <f t="shared" si="3"/>
        <v>6.6392474838065985E-2</v>
      </c>
    </row>
    <row r="60" spans="1:3">
      <c r="A60" s="2">
        <v>60</v>
      </c>
      <c r="B60">
        <f t="shared" si="2"/>
        <v>1.8165570299999999E-2</v>
      </c>
      <c r="C60">
        <f t="shared" si="3"/>
        <v>6.6627387667948457E-2</v>
      </c>
    </row>
    <row r="61" spans="1:3">
      <c r="A61" s="2">
        <v>61</v>
      </c>
      <c r="B61">
        <f t="shared" si="2"/>
        <v>1.83995154E-2</v>
      </c>
      <c r="C61">
        <f t="shared" si="3"/>
        <v>6.6862329872623416E-2</v>
      </c>
    </row>
    <row r="62" spans="1:3">
      <c r="A62" s="2">
        <v>62</v>
      </c>
      <c r="B62">
        <f t="shared" si="2"/>
        <v>1.8633460500000001E-2</v>
      </c>
      <c r="C62">
        <f t="shared" si="3"/>
        <v>6.7097301450277785E-2</v>
      </c>
    </row>
    <row r="63" spans="1:3">
      <c r="A63" s="2">
        <v>63</v>
      </c>
      <c r="B63">
        <f t="shared" si="2"/>
        <v>1.8867405600000001E-2</v>
      </c>
      <c r="C63">
        <f t="shared" si="3"/>
        <v>6.7332302399045224E-2</v>
      </c>
    </row>
    <row r="64" spans="1:3">
      <c r="A64" s="2">
        <v>64</v>
      </c>
      <c r="B64">
        <f t="shared" si="2"/>
        <v>1.9101350699999999E-2</v>
      </c>
      <c r="C64">
        <f t="shared" si="3"/>
        <v>6.7567332717006143E-2</v>
      </c>
    </row>
    <row r="65" spans="1:3">
      <c r="A65" s="2">
        <v>65</v>
      </c>
      <c r="B65">
        <f t="shared" ref="B65:B70" si="4">0.0043628094+(A65-1)*0.0002339451</f>
        <v>1.9335295799999999E-2</v>
      </c>
      <c r="C65">
        <f t="shared" ref="C65:C70" si="5">0+1*B65+0.0482868197833907*(1.00657894736842+(B65-0.0103467566886897)^2/0.0895810605515467)^0.5</f>
        <v>6.7802392402187744E-2</v>
      </c>
    </row>
    <row r="66" spans="1:3">
      <c r="A66" s="2">
        <v>66</v>
      </c>
      <c r="B66">
        <f t="shared" si="4"/>
        <v>1.95692409E-2</v>
      </c>
      <c r="C66">
        <f t="shared" si="5"/>
        <v>6.8037481452564025E-2</v>
      </c>
    </row>
    <row r="67" spans="1:3">
      <c r="A67" s="2">
        <v>67</v>
      </c>
      <c r="B67">
        <f t="shared" si="4"/>
        <v>1.9803186E-2</v>
      </c>
      <c r="C67">
        <f t="shared" si="5"/>
        <v>6.82725998660558E-2</v>
      </c>
    </row>
    <row r="68" spans="1:3">
      <c r="A68" s="2">
        <v>68</v>
      </c>
      <c r="B68">
        <f t="shared" si="4"/>
        <v>2.0037131100000001E-2</v>
      </c>
      <c r="C68">
        <f t="shared" si="5"/>
        <v>6.8507747640530706E-2</v>
      </c>
    </row>
    <row r="69" spans="1:3">
      <c r="A69" s="2">
        <v>69</v>
      </c>
      <c r="B69">
        <f t="shared" si="4"/>
        <v>2.0271076200000002E-2</v>
      </c>
      <c r="C69">
        <f t="shared" si="5"/>
        <v>6.8742924773803268E-2</v>
      </c>
    </row>
    <row r="70" spans="1:3">
      <c r="A70" s="2">
        <v>70</v>
      </c>
      <c r="B70">
        <f t="shared" si="4"/>
        <v>2.0505021300000002E-2</v>
      </c>
      <c r="C70">
        <f t="shared" si="5"/>
        <v>6.8978131263634834E-2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enableFormatConditionsCalculation="0"/>
  <dimension ref="A1:C70"/>
  <sheetViews>
    <sheetView workbookViewId="0"/>
  </sheetViews>
  <sheetFormatPr baseColWidth="10" defaultRowHeight="15.75"/>
  <sheetData>
    <row r="1" spans="1:3">
      <c r="A1" s="2">
        <v>1</v>
      </c>
      <c r="B1">
        <f t="shared" ref="B1:B32" si="0">-4.958+(A1-1)*1.396173913</f>
        <v>-4.9580000000000002</v>
      </c>
      <c r="C1">
        <f t="shared" ref="C1:C32" si="1">0.0173550579521361+-0.000152680831016525*B1-0.0480453105164085*(0.00657894736842105+(B1-45.9016447368421)^2/94088.6310888158)^0.5</f>
        <v>9.2436676718516096E-3</v>
      </c>
    </row>
    <row r="2" spans="1:3">
      <c r="A2" s="2">
        <v>2</v>
      </c>
      <c r="B2">
        <f t="shared" si="0"/>
        <v>-3.561826087</v>
      </c>
      <c r="C2">
        <f t="shared" si="1"/>
        <v>9.2264077929380493E-3</v>
      </c>
    </row>
    <row r="3" spans="1:3">
      <c r="A3" s="2">
        <v>3</v>
      </c>
      <c r="B3">
        <f t="shared" si="0"/>
        <v>-2.1656521740000003</v>
      </c>
      <c r="C3">
        <f t="shared" si="1"/>
        <v>9.2080339274387968E-3</v>
      </c>
    </row>
    <row r="4" spans="1:3">
      <c r="A4" s="2">
        <v>4</v>
      </c>
      <c r="B4">
        <f t="shared" si="0"/>
        <v>-0.76947826100000061</v>
      </c>
      <c r="C4">
        <f t="shared" si="1"/>
        <v>9.1884674907729037E-3</v>
      </c>
    </row>
    <row r="5" spans="1:3">
      <c r="A5" s="2">
        <v>5</v>
      </c>
      <c r="B5">
        <f t="shared" si="0"/>
        <v>0.62669565199999955</v>
      </c>
      <c r="C5">
        <f t="shared" si="1"/>
        <v>9.167622882410454E-3</v>
      </c>
    </row>
    <row r="6" spans="1:3">
      <c r="A6" s="2">
        <v>6</v>
      </c>
      <c r="B6">
        <f t="shared" si="0"/>
        <v>2.0228695649999997</v>
      </c>
      <c r="C6">
        <f t="shared" si="1"/>
        <v>9.1454067604975747E-3</v>
      </c>
    </row>
    <row r="7" spans="1:3">
      <c r="A7" s="2">
        <v>7</v>
      </c>
      <c r="B7">
        <f t="shared" si="0"/>
        <v>3.419043477999999</v>
      </c>
      <c r="C7">
        <f t="shared" si="1"/>
        <v>9.1217172373271073E-3</v>
      </c>
    </row>
    <row r="8" spans="1:3">
      <c r="A8" s="2">
        <v>8</v>
      </c>
      <c r="B8">
        <f t="shared" si="0"/>
        <v>4.8152173909999991</v>
      </c>
      <c r="C8">
        <f t="shared" si="1"/>
        <v>9.0964429880404582E-3</v>
      </c>
    </row>
    <row r="9" spans="1:3">
      <c r="A9" s="2">
        <v>9</v>
      </c>
      <c r="B9">
        <f t="shared" si="0"/>
        <v>6.2113913039999993</v>
      </c>
      <c r="C9">
        <f t="shared" si="1"/>
        <v>9.0694622647996027E-3</v>
      </c>
    </row>
    <row r="10" spans="1:3">
      <c r="A10" s="2">
        <v>10</v>
      </c>
      <c r="B10">
        <f t="shared" si="0"/>
        <v>7.6075652169999994</v>
      </c>
      <c r="C10">
        <f t="shared" si="1"/>
        <v>9.040641808794412E-3</v>
      </c>
    </row>
    <row r="11" spans="1:3">
      <c r="A11" s="2">
        <v>11</v>
      </c>
      <c r="B11">
        <f t="shared" si="0"/>
        <v>9.0037391299999996</v>
      </c>
      <c r="C11">
        <f t="shared" si="1"/>
        <v>9.0098356529790587E-3</v>
      </c>
    </row>
    <row r="12" spans="1:3">
      <c r="A12" s="2">
        <v>12</v>
      </c>
      <c r="B12">
        <f t="shared" si="0"/>
        <v>10.399913043</v>
      </c>
      <c r="C12">
        <f t="shared" si="1"/>
        <v>8.9768838095372373E-3</v>
      </c>
    </row>
    <row r="13" spans="1:3">
      <c r="A13" s="2">
        <v>13</v>
      </c>
      <c r="B13">
        <f t="shared" si="0"/>
        <v>11.796086955999998</v>
      </c>
      <c r="C13">
        <f t="shared" si="1"/>
        <v>8.9416108379891945E-3</v>
      </c>
    </row>
    <row r="14" spans="1:3">
      <c r="A14" s="2">
        <v>14</v>
      </c>
      <c r="B14">
        <f t="shared" si="0"/>
        <v>13.192260869</v>
      </c>
      <c r="C14">
        <f t="shared" si="1"/>
        <v>8.9038242928730481E-3</v>
      </c>
    </row>
    <row r="15" spans="1:3">
      <c r="A15" s="2">
        <v>15</v>
      </c>
      <c r="B15">
        <f t="shared" si="0"/>
        <v>14.588434781999998</v>
      </c>
      <c r="C15">
        <f t="shared" si="1"/>
        <v>8.8633130544389545E-3</v>
      </c>
    </row>
    <row r="16" spans="1:3">
      <c r="A16" s="2">
        <v>16</v>
      </c>
      <c r="B16">
        <f t="shared" si="0"/>
        <v>15.984608695</v>
      </c>
      <c r="C16">
        <f t="shared" si="1"/>
        <v>8.8198455522618211E-3</v>
      </c>
    </row>
    <row r="17" spans="1:3">
      <c r="A17" s="2">
        <v>17</v>
      </c>
      <c r="B17">
        <f t="shared" si="0"/>
        <v>17.380782607999997</v>
      </c>
      <c r="C17">
        <f t="shared" si="1"/>
        <v>8.77316790067963E-3</v>
      </c>
    </row>
    <row r="18" spans="1:3">
      <c r="A18" s="2">
        <v>18</v>
      </c>
      <c r="B18">
        <f t="shared" si="0"/>
        <v>18.776956520999995</v>
      </c>
      <c r="C18">
        <f t="shared" si="1"/>
        <v>8.7230019771691071E-3</v>
      </c>
    </row>
    <row r="19" spans="1:3">
      <c r="A19" s="2">
        <v>19</v>
      </c>
      <c r="B19">
        <f t="shared" si="0"/>
        <v>20.173130434000001</v>
      </c>
      <c r="C19">
        <f t="shared" si="1"/>
        <v>8.6690434909159255E-3</v>
      </c>
    </row>
    <row r="20" spans="1:3">
      <c r="A20" s="2">
        <v>20</v>
      </c>
      <c r="B20">
        <f t="shared" si="0"/>
        <v>21.569304346999999</v>
      </c>
      <c r="C20">
        <f t="shared" si="1"/>
        <v>8.6109601096687124E-3</v>
      </c>
    </row>
    <row r="21" spans="1:3">
      <c r="A21" s="2">
        <v>21</v>
      </c>
      <c r="B21">
        <f t="shared" si="0"/>
        <v>22.965478259999998</v>
      </c>
      <c r="C21">
        <f t="shared" si="1"/>
        <v>8.5483897391260798E-3</v>
      </c>
    </row>
    <row r="22" spans="1:3">
      <c r="A22" s="2">
        <v>22</v>
      </c>
      <c r="B22">
        <f t="shared" si="0"/>
        <v>24.361652172999996</v>
      </c>
      <c r="C22">
        <f t="shared" si="1"/>
        <v>8.4809390809371041E-3</v>
      </c>
    </row>
    <row r="23" spans="1:3">
      <c r="A23" s="2">
        <v>23</v>
      </c>
      <c r="B23">
        <f t="shared" si="0"/>
        <v>25.757826086000001</v>
      </c>
      <c r="C23">
        <f t="shared" si="1"/>
        <v>8.4081826326513689E-3</v>
      </c>
    </row>
    <row r="24" spans="1:3">
      <c r="A24" s="2">
        <v>24</v>
      </c>
      <c r="B24">
        <f t="shared" si="0"/>
        <v>27.153999999</v>
      </c>
      <c r="C24">
        <f t="shared" si="1"/>
        <v>8.3296623343797026E-3</v>
      </c>
    </row>
    <row r="25" spans="1:3">
      <c r="A25" s="2">
        <v>25</v>
      </c>
      <c r="B25">
        <f t="shared" si="0"/>
        <v>28.550173911999998</v>
      </c>
      <c r="C25">
        <f t="shared" si="1"/>
        <v>8.2448881097193331E-3</v>
      </c>
    </row>
    <row r="26" spans="1:3">
      <c r="A26" s="2">
        <v>26</v>
      </c>
      <c r="B26">
        <f t="shared" si="0"/>
        <v>29.946347824999997</v>
      </c>
      <c r="C26">
        <f t="shared" si="1"/>
        <v>8.153339587691693E-3</v>
      </c>
    </row>
    <row r="27" spans="1:3">
      <c r="A27" s="2">
        <v>27</v>
      </c>
      <c r="B27">
        <f t="shared" si="0"/>
        <v>31.342521738000002</v>
      </c>
      <c r="C27">
        <f t="shared" si="1"/>
        <v>8.0544693203370432E-3</v>
      </c>
    </row>
    <row r="28" spans="1:3">
      <c r="A28" s="2">
        <v>28</v>
      </c>
      <c r="B28">
        <f t="shared" si="0"/>
        <v>32.738695651</v>
      </c>
      <c r="C28">
        <f t="shared" si="1"/>
        <v>7.9477078164839534E-3</v>
      </c>
    </row>
    <row r="29" spans="1:3">
      <c r="A29" s="2">
        <v>29</v>
      </c>
      <c r="B29">
        <f t="shared" si="0"/>
        <v>34.134869563999999</v>
      </c>
      <c r="C29">
        <f t="shared" si="1"/>
        <v>7.8324706826848507E-3</v>
      </c>
    </row>
    <row r="30" spans="1:3">
      <c r="A30" s="2">
        <v>30</v>
      </c>
      <c r="B30">
        <f t="shared" si="0"/>
        <v>35.531043476999997</v>
      </c>
      <c r="C30">
        <f t="shared" si="1"/>
        <v>7.7081680828467881E-3</v>
      </c>
    </row>
    <row r="31" spans="1:3">
      <c r="A31" s="2">
        <v>31</v>
      </c>
      <c r="B31">
        <f t="shared" si="0"/>
        <v>36.927217390000003</v>
      </c>
      <c r="C31">
        <f t="shared" si="1"/>
        <v>7.5742165860719531E-3</v>
      </c>
    </row>
    <row r="32" spans="1:3">
      <c r="A32" s="2">
        <v>32</v>
      </c>
      <c r="B32">
        <f t="shared" si="0"/>
        <v>38.323391303000001</v>
      </c>
      <c r="C32">
        <f t="shared" si="1"/>
        <v>7.430053261737523E-3</v>
      </c>
    </row>
    <row r="33" spans="1:3">
      <c r="A33" s="2">
        <v>33</v>
      </c>
      <c r="B33">
        <f t="shared" ref="B33:B64" si="2">-4.958+(A33-1)*1.396173913</f>
        <v>39.719565215999999</v>
      </c>
      <c r="C33">
        <f t="shared" ref="C33:C64" si="3">0.0173550579521361+-0.000152680831016525*B33-0.0480453105164085*(0.00657894736842105+(B33-45.9016447368421)^2/94088.6310888158)^0.5</f>
        <v>7.2751516085908519E-3</v>
      </c>
    </row>
    <row r="34" spans="1:3">
      <c r="A34" s="2">
        <v>34</v>
      </c>
      <c r="B34">
        <f t="shared" si="2"/>
        <v>41.115739128999998</v>
      </c>
      <c r="C34">
        <f t="shared" si="3"/>
        <v>7.1090385953592001E-3</v>
      </c>
    </row>
    <row r="35" spans="1:3">
      <c r="A35" s="2">
        <v>35</v>
      </c>
      <c r="B35">
        <f t="shared" si="2"/>
        <v>42.511913041999996</v>
      </c>
      <c r="C35">
        <f t="shared" si="3"/>
        <v>6.931311789084401E-3</v>
      </c>
    </row>
    <row r="36" spans="1:3">
      <c r="A36" s="2">
        <v>36</v>
      </c>
      <c r="B36">
        <f t="shared" si="2"/>
        <v>43.908086955000002</v>
      </c>
      <c r="C36">
        <f t="shared" si="3"/>
        <v>6.7416553153426583E-3</v>
      </c>
    </row>
    <row r="37" spans="1:3">
      <c r="A37" s="2">
        <v>37</v>
      </c>
      <c r="B37">
        <f t="shared" si="2"/>
        <v>45.304260868</v>
      </c>
      <c r="C37">
        <f t="shared" si="3"/>
        <v>6.5398532971091506E-3</v>
      </c>
    </row>
    <row r="38" spans="1:3">
      <c r="A38" s="2">
        <v>38</v>
      </c>
      <c r="B38">
        <f t="shared" si="2"/>
        <v>46.700434780999998</v>
      </c>
      <c r="C38">
        <f t="shared" si="3"/>
        <v>6.3257995070852523E-3</v>
      </c>
    </row>
    <row r="39" spans="1:3">
      <c r="A39" s="2">
        <v>39</v>
      </c>
      <c r="B39">
        <f t="shared" si="2"/>
        <v>48.096608693999997</v>
      </c>
      <c r="C39">
        <f t="shared" si="3"/>
        <v>6.0995022581302296E-3</v>
      </c>
    </row>
    <row r="40" spans="1:3">
      <c r="A40" s="2">
        <v>40</v>
      </c>
      <c r="B40">
        <f t="shared" si="2"/>
        <v>49.492782607000002</v>
      </c>
      <c r="C40">
        <f t="shared" si="3"/>
        <v>5.8610840171943275E-3</v>
      </c>
    </row>
    <row r="41" spans="1:3">
      <c r="A41" s="2">
        <v>41</v>
      </c>
      <c r="B41">
        <f t="shared" si="2"/>
        <v>50.888956520000001</v>
      </c>
      <c r="C41">
        <f t="shared" si="3"/>
        <v>5.6107757838677625E-3</v>
      </c>
    </row>
    <row r="42" spans="1:3">
      <c r="A42" s="2">
        <v>42</v>
      </c>
      <c r="B42">
        <f t="shared" si="2"/>
        <v>52.285130432999999</v>
      </c>
      <c r="C42">
        <f t="shared" si="3"/>
        <v>5.3489068226759973E-3</v>
      </c>
    </row>
    <row r="43" spans="1:3">
      <c r="A43" s="2">
        <v>43</v>
      </c>
      <c r="B43">
        <f t="shared" si="2"/>
        <v>53.681304345999997</v>
      </c>
      <c r="C43">
        <f t="shared" si="3"/>
        <v>5.0758907781054876E-3</v>
      </c>
    </row>
    <row r="44" spans="1:3">
      <c r="A44" s="2">
        <v>44</v>
      </c>
      <c r="B44">
        <f t="shared" si="2"/>
        <v>55.077478258999996</v>
      </c>
      <c r="C44">
        <f t="shared" si="3"/>
        <v>4.7922094627973815E-3</v>
      </c>
    </row>
    <row r="45" spans="1:3">
      <c r="A45" s="2">
        <v>45</v>
      </c>
      <c r="B45">
        <f t="shared" si="2"/>
        <v>56.473652172000001</v>
      </c>
      <c r="C45">
        <f t="shared" si="3"/>
        <v>4.4983956686406269E-3</v>
      </c>
    </row>
    <row r="46" spans="1:3">
      <c r="A46" s="2">
        <v>46</v>
      </c>
      <c r="B46">
        <f t="shared" si="2"/>
        <v>57.869826085</v>
      </c>
      <c r="C46">
        <f t="shared" si="3"/>
        <v>4.1950162299623055E-3</v>
      </c>
    </row>
    <row r="47" spans="1:3">
      <c r="A47" s="2">
        <v>47</v>
      </c>
      <c r="B47">
        <f t="shared" si="2"/>
        <v>59.265999997999998</v>
      </c>
      <c r="C47">
        <f t="shared" si="3"/>
        <v>3.8826563218534787E-3</v>
      </c>
    </row>
    <row r="48" spans="1:3">
      <c r="A48" s="2">
        <v>48</v>
      </c>
      <c r="B48">
        <f t="shared" si="2"/>
        <v>60.662173910999996</v>
      </c>
      <c r="C48">
        <f t="shared" si="3"/>
        <v>3.5619056707362892E-3</v>
      </c>
    </row>
    <row r="49" spans="1:3">
      <c r="A49" s="2">
        <v>49</v>
      </c>
      <c r="B49">
        <f t="shared" si="2"/>
        <v>62.058347823999995</v>
      </c>
      <c r="C49">
        <f t="shared" si="3"/>
        <v>3.2333470480323959E-3</v>
      </c>
    </row>
    <row r="50" spans="1:3">
      <c r="A50" s="2">
        <v>50</v>
      </c>
      <c r="B50">
        <f t="shared" si="2"/>
        <v>63.454521736999993</v>
      </c>
      <c r="C50">
        <f t="shared" si="3"/>
        <v>2.8975471533934987E-3</v>
      </c>
    </row>
    <row r="51" spans="1:3">
      <c r="A51" s="2">
        <v>51</v>
      </c>
      <c r="B51">
        <f t="shared" si="2"/>
        <v>64.850695649999992</v>
      </c>
      <c r="C51">
        <f t="shared" si="3"/>
        <v>2.55504979329712E-3</v>
      </c>
    </row>
    <row r="52" spans="1:3">
      <c r="A52" s="2">
        <v>52</v>
      </c>
      <c r="B52">
        <f t="shared" si="2"/>
        <v>66.246869563000004</v>
      </c>
      <c r="C52">
        <f t="shared" si="3"/>
        <v>2.2063711284045218E-3</v>
      </c>
    </row>
    <row r="53" spans="1:3">
      <c r="A53" s="2">
        <v>53</v>
      </c>
      <c r="B53">
        <f t="shared" si="2"/>
        <v>67.643043476000003</v>
      </c>
      <c r="C53">
        <f t="shared" si="3"/>
        <v>1.8519966916875552E-3</v>
      </c>
    </row>
    <row r="54" spans="1:3">
      <c r="A54" s="2">
        <v>54</v>
      </c>
      <c r="B54">
        <f t="shared" si="2"/>
        <v>69.039217389000001</v>
      </c>
      <c r="C54">
        <f t="shared" si="3"/>
        <v>1.4923798558063748E-3</v>
      </c>
    </row>
    <row r="55" spans="1:3">
      <c r="A55" s="2">
        <v>55</v>
      </c>
      <c r="B55">
        <f t="shared" si="2"/>
        <v>70.435391301999999</v>
      </c>
      <c r="C55">
        <f t="shared" si="3"/>
        <v>1.127941438044025E-3</v>
      </c>
    </row>
    <row r="56" spans="1:3">
      <c r="A56" s="2">
        <v>56</v>
      </c>
      <c r="B56">
        <f t="shared" si="2"/>
        <v>71.831565214999998</v>
      </c>
      <c r="C56">
        <f t="shared" si="3"/>
        <v>7.5907016122024867E-4</v>
      </c>
    </row>
    <row r="57" spans="1:3">
      <c r="A57" s="2">
        <v>57</v>
      </c>
      <c r="B57">
        <f t="shared" si="2"/>
        <v>73.227739127999996</v>
      </c>
      <c r="C57">
        <f t="shared" si="3"/>
        <v>3.8612372912621117E-4</v>
      </c>
    </row>
    <row r="58" spans="1:3">
      <c r="A58" s="2">
        <v>58</v>
      </c>
      <c r="B58">
        <f t="shared" si="2"/>
        <v>74.623913040999994</v>
      </c>
      <c r="C58">
        <f t="shared" si="3"/>
        <v>9.4303178658668163E-6</v>
      </c>
    </row>
    <row r="59" spans="1:3">
      <c r="A59" s="2">
        <v>59</v>
      </c>
      <c r="B59">
        <f t="shared" si="2"/>
        <v>76.020086953999993</v>
      </c>
      <c r="C59">
        <f t="shared" si="3"/>
        <v>-3.7070967455678488E-4</v>
      </c>
    </row>
    <row r="60" spans="1:3">
      <c r="A60" s="2">
        <v>60</v>
      </c>
      <c r="B60">
        <f t="shared" si="2"/>
        <v>77.416260866999991</v>
      </c>
      <c r="C60">
        <f t="shared" si="3"/>
        <v>-7.5402174154375144E-4</v>
      </c>
    </row>
    <row r="61" spans="1:3">
      <c r="A61" s="2">
        <v>61</v>
      </c>
      <c r="B61">
        <f t="shared" si="2"/>
        <v>78.812434780000004</v>
      </c>
      <c r="C61">
        <f t="shared" si="3"/>
        <v>-1.1402553342311078E-3</v>
      </c>
    </row>
    <row r="62" spans="1:3">
      <c r="A62" s="2">
        <v>62</v>
      </c>
      <c r="B62">
        <f t="shared" si="2"/>
        <v>80.208608693000002</v>
      </c>
      <c r="C62">
        <f t="shared" si="3"/>
        <v>-1.5291819456073235E-3</v>
      </c>
    </row>
    <row r="63" spans="1:3">
      <c r="A63" s="2">
        <v>63</v>
      </c>
      <c r="B63">
        <f t="shared" si="2"/>
        <v>81.604782606000001</v>
      </c>
      <c r="C63">
        <f t="shared" si="3"/>
        <v>-1.9205932570777566E-3</v>
      </c>
    </row>
    <row r="64" spans="1:3">
      <c r="A64" s="2">
        <v>64</v>
      </c>
      <c r="B64">
        <f t="shared" si="2"/>
        <v>83.000956518999999</v>
      </c>
      <c r="C64">
        <f t="shared" si="3"/>
        <v>-2.3142993766010426E-3</v>
      </c>
    </row>
    <row r="65" spans="1:3">
      <c r="A65" s="2">
        <v>65</v>
      </c>
      <c r="B65">
        <f t="shared" ref="B65:B70" si="4">-4.958+(A65-1)*1.396173913</f>
        <v>84.397130431999997</v>
      </c>
      <c r="C65">
        <f t="shared" ref="C65:C70" si="5">0.0173550579521361+-0.000152680831016525*B65-0.0480453105164085*(0.00657894736842105+(B65-45.9016447368421)^2/94088.6310888158)^0.5</f>
        <v>-2.7101271858249697E-3</v>
      </c>
    </row>
    <row r="66" spans="1:3">
      <c r="A66" s="2">
        <v>66</v>
      </c>
      <c r="B66">
        <f t="shared" si="4"/>
        <v>85.793304344999996</v>
      </c>
      <c r="C66">
        <f t="shared" si="5"/>
        <v>-3.1079188050527088E-3</v>
      </c>
    </row>
    <row r="67" spans="1:3">
      <c r="A67" s="2">
        <v>67</v>
      </c>
      <c r="B67">
        <f t="shared" si="4"/>
        <v>87.189478257999994</v>
      </c>
      <c r="C67">
        <f t="shared" si="5"/>
        <v>-3.507530178719194E-3</v>
      </c>
    </row>
    <row r="68" spans="1:3">
      <c r="A68" s="2">
        <v>68</v>
      </c>
      <c r="B68">
        <f t="shared" si="4"/>
        <v>88.585652170999992</v>
      </c>
      <c r="C68">
        <f t="shared" si="5"/>
        <v>-3.9088297797927017E-3</v>
      </c>
    </row>
    <row r="69" spans="1:3">
      <c r="A69" s="2">
        <v>69</v>
      </c>
      <c r="B69">
        <f t="shared" si="4"/>
        <v>89.981826083999991</v>
      </c>
      <c r="C69">
        <f t="shared" si="5"/>
        <v>-4.3116974286782073E-3</v>
      </c>
    </row>
    <row r="70" spans="1:3">
      <c r="A70" s="2">
        <v>70</v>
      </c>
      <c r="B70">
        <f t="shared" si="4"/>
        <v>91.377999997000003</v>
      </c>
      <c r="C70">
        <f t="shared" si="5"/>
        <v>-4.7160232204189988E-3</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enableFormatConditionsCalculation="0"/>
  <dimension ref="A1:C70"/>
  <sheetViews>
    <sheetView workbookViewId="0"/>
  </sheetViews>
  <sheetFormatPr baseColWidth="10" defaultRowHeight="15.75"/>
  <sheetData>
    <row r="1" spans="1:3">
      <c r="A1" s="2">
        <v>1</v>
      </c>
      <c r="B1">
        <f t="shared" ref="B1:B32" si="0">-4.958+(A1-1)*1.396173913</f>
        <v>-4.9580000000000002</v>
      </c>
      <c r="C1">
        <f t="shared" ref="C1:C32" si="1">0.0173550579521361+-0.000152680831016525*B1+0.0480453105164085*(0.00657894736842105+(B1-45.9016447368421)^2/94088.6310888158)^0.5</f>
        <v>2.6980431352780453E-2</v>
      </c>
    </row>
    <row r="2" spans="1:3">
      <c r="A2" s="2">
        <v>2</v>
      </c>
      <c r="B2">
        <f t="shared" si="0"/>
        <v>-3.561826087</v>
      </c>
      <c r="C2">
        <f t="shared" si="1"/>
        <v>2.6571353245133149E-2</v>
      </c>
    </row>
    <row r="3" spans="1:3">
      <c r="A3" s="2">
        <v>3</v>
      </c>
      <c r="B3">
        <f t="shared" si="0"/>
        <v>-2.1656521740000003</v>
      </c>
      <c r="C3">
        <f t="shared" si="1"/>
        <v>2.6163389124071533E-2</v>
      </c>
    </row>
    <row r="4" spans="1:3">
      <c r="A4" s="2">
        <v>4</v>
      </c>
      <c r="B4">
        <f t="shared" si="0"/>
        <v>-0.76947826100000061</v>
      </c>
      <c r="C4">
        <f t="shared" si="1"/>
        <v>2.5756617574176559E-2</v>
      </c>
    </row>
    <row r="5" spans="1:3">
      <c r="A5" s="2">
        <v>5</v>
      </c>
      <c r="B5">
        <f t="shared" si="0"/>
        <v>0.62669565199999955</v>
      </c>
      <c r="C5">
        <f t="shared" si="1"/>
        <v>2.5351124195978136E-2</v>
      </c>
    </row>
    <row r="6" spans="1:3">
      <c r="A6" s="2">
        <v>6</v>
      </c>
      <c r="B6">
        <f t="shared" si="0"/>
        <v>2.0228695649999997</v>
      </c>
      <c r="C6">
        <f t="shared" si="1"/>
        <v>2.4947002331330147E-2</v>
      </c>
    </row>
    <row r="7" spans="1:3">
      <c r="A7" s="2">
        <v>7</v>
      </c>
      <c r="B7">
        <f t="shared" si="0"/>
        <v>3.419043477999999</v>
      </c>
      <c r="C7">
        <f t="shared" si="1"/>
        <v>2.4544353867939749E-2</v>
      </c>
    </row>
    <row r="8" spans="1:3">
      <c r="A8" s="2">
        <v>8</v>
      </c>
      <c r="B8">
        <f t="shared" si="0"/>
        <v>4.8152173909999991</v>
      </c>
      <c r="C8">
        <f t="shared" si="1"/>
        <v>2.4143290130665532E-2</v>
      </c>
    </row>
    <row r="9" spans="1:3">
      <c r="A9" s="2">
        <v>9</v>
      </c>
      <c r="B9">
        <f t="shared" si="0"/>
        <v>6.2113913039999993</v>
      </c>
      <c r="C9">
        <f t="shared" si="1"/>
        <v>2.3743932867345521E-2</v>
      </c>
    </row>
    <row r="10" spans="1:3">
      <c r="A10" s="2">
        <v>10</v>
      </c>
      <c r="B10">
        <f t="shared" si="0"/>
        <v>7.6075652169999994</v>
      </c>
      <c r="C10">
        <f t="shared" si="1"/>
        <v>2.3346415336789845E-2</v>
      </c>
    </row>
    <row r="11" spans="1:3">
      <c r="A11" s="2">
        <v>11</v>
      </c>
      <c r="B11">
        <f t="shared" si="0"/>
        <v>9.0037391299999996</v>
      </c>
      <c r="C11">
        <f t="shared" si="1"/>
        <v>2.295088350604433E-2</v>
      </c>
    </row>
    <row r="12" spans="1:3">
      <c r="A12" s="2">
        <v>12</v>
      </c>
      <c r="B12">
        <f t="shared" si="0"/>
        <v>10.399913043</v>
      </c>
      <c r="C12">
        <f t="shared" si="1"/>
        <v>2.2557497362925286E-2</v>
      </c>
    </row>
    <row r="13" spans="1:3">
      <c r="A13" s="2">
        <v>13</v>
      </c>
      <c r="B13">
        <f t="shared" si="0"/>
        <v>11.796086955999998</v>
      </c>
      <c r="C13">
        <f t="shared" si="1"/>
        <v>2.2166432347912463E-2</v>
      </c>
    </row>
    <row r="14" spans="1:3">
      <c r="A14" s="2">
        <v>14</v>
      </c>
      <c r="B14">
        <f t="shared" si="0"/>
        <v>13.192260869</v>
      </c>
      <c r="C14">
        <f t="shared" si="1"/>
        <v>2.1777880906467741E-2</v>
      </c>
    </row>
    <row r="15" spans="1:3">
      <c r="A15" s="2">
        <v>15</v>
      </c>
      <c r="B15">
        <f t="shared" si="0"/>
        <v>14.588434781999998</v>
      </c>
      <c r="C15">
        <f t="shared" si="1"/>
        <v>2.1392054158340969E-2</v>
      </c>
    </row>
    <row r="16" spans="1:3">
      <c r="A16" s="2">
        <v>16</v>
      </c>
      <c r="B16">
        <f t="shared" si="0"/>
        <v>15.984608695</v>
      </c>
      <c r="C16">
        <f t="shared" si="1"/>
        <v>2.1009183673957238E-2</v>
      </c>
    </row>
    <row r="17" spans="1:3">
      <c r="A17" s="2">
        <v>17</v>
      </c>
      <c r="B17">
        <f t="shared" si="0"/>
        <v>17.380782607999997</v>
      </c>
      <c r="C17">
        <f t="shared" si="1"/>
        <v>2.0629523338978561E-2</v>
      </c>
    </row>
    <row r="18" spans="1:3">
      <c r="A18" s="2">
        <v>18</v>
      </c>
      <c r="B18">
        <f t="shared" si="0"/>
        <v>18.776956520999995</v>
      </c>
      <c r="C18">
        <f t="shared" si="1"/>
        <v>2.0253351275928217E-2</v>
      </c>
    </row>
    <row r="19" spans="1:3">
      <c r="A19" s="2">
        <v>19</v>
      </c>
      <c r="B19">
        <f t="shared" si="0"/>
        <v>20.173130434000001</v>
      </c>
      <c r="C19">
        <f t="shared" si="1"/>
        <v>1.988097177562053E-2</v>
      </c>
    </row>
    <row r="20" spans="1:3">
      <c r="A20" s="2">
        <v>20</v>
      </c>
      <c r="B20">
        <f t="shared" si="0"/>
        <v>21.569304346999999</v>
      </c>
      <c r="C20">
        <f t="shared" si="1"/>
        <v>1.9512717170306875E-2</v>
      </c>
    </row>
    <row r="21" spans="1:3">
      <c r="A21" s="2">
        <v>21</v>
      </c>
      <c r="B21">
        <f t="shared" si="0"/>
        <v>22.965478259999998</v>
      </c>
      <c r="C21">
        <f t="shared" si="1"/>
        <v>1.9148949554288641E-2</v>
      </c>
    </row>
    <row r="22" spans="1:3">
      <c r="A22" s="2">
        <v>22</v>
      </c>
      <c r="B22">
        <f t="shared" si="0"/>
        <v>24.361652172999996</v>
      </c>
      <c r="C22">
        <f t="shared" si="1"/>
        <v>1.8790062225916754E-2</v>
      </c>
    </row>
    <row r="23" spans="1:3">
      <c r="A23" s="2">
        <v>23</v>
      </c>
      <c r="B23">
        <f t="shared" si="0"/>
        <v>25.757826086000001</v>
      </c>
      <c r="C23">
        <f t="shared" si="1"/>
        <v>1.8436480687641619E-2</v>
      </c>
    </row>
    <row r="24" spans="1:3">
      <c r="A24" s="2">
        <v>24</v>
      </c>
      <c r="B24">
        <f t="shared" si="0"/>
        <v>27.153999999</v>
      </c>
      <c r="C24">
        <f t="shared" si="1"/>
        <v>1.8088662999352419E-2</v>
      </c>
    </row>
    <row r="25" spans="1:3">
      <c r="A25" s="2">
        <v>25</v>
      </c>
      <c r="B25">
        <f t="shared" si="0"/>
        <v>28.550173911999998</v>
      </c>
      <c r="C25">
        <f t="shared" si="1"/>
        <v>1.7747099237451922E-2</v>
      </c>
    </row>
    <row r="26" spans="1:3">
      <c r="A26" s="2">
        <v>26</v>
      </c>
      <c r="B26">
        <f t="shared" si="0"/>
        <v>29.946347824999997</v>
      </c>
      <c r="C26">
        <f t="shared" si="1"/>
        <v>1.7412309772918695E-2</v>
      </c>
    </row>
    <row r="27" spans="1:3">
      <c r="A27" s="2">
        <v>27</v>
      </c>
      <c r="B27">
        <f t="shared" si="0"/>
        <v>31.342521738000002</v>
      </c>
      <c r="C27">
        <f t="shared" si="1"/>
        <v>1.7084842053712475E-2</v>
      </c>
    </row>
    <row r="28" spans="1:3">
      <c r="A28" s="2">
        <v>28</v>
      </c>
      <c r="B28">
        <f t="shared" si="0"/>
        <v>32.738695651</v>
      </c>
      <c r="C28">
        <f t="shared" si="1"/>
        <v>1.6765265571004696E-2</v>
      </c>
    </row>
    <row r="29" spans="1:3">
      <c r="A29" s="2">
        <v>29</v>
      </c>
      <c r="B29">
        <f t="shared" si="0"/>
        <v>34.134869563999999</v>
      </c>
      <c r="C29">
        <f t="shared" si="1"/>
        <v>1.6454164718242934E-2</v>
      </c>
    </row>
    <row r="30" spans="1:3">
      <c r="A30" s="2">
        <v>30</v>
      </c>
      <c r="B30">
        <f t="shared" si="0"/>
        <v>35.531043476999997</v>
      </c>
      <c r="C30">
        <f t="shared" si="1"/>
        <v>1.6152129331520132E-2</v>
      </c>
    </row>
    <row r="31" spans="1:3">
      <c r="A31" s="2">
        <v>31</v>
      </c>
      <c r="B31">
        <f t="shared" si="0"/>
        <v>36.927217390000003</v>
      </c>
      <c r="C31">
        <f t="shared" si="1"/>
        <v>1.5859742841734099E-2</v>
      </c>
    </row>
    <row r="32" spans="1:3">
      <c r="A32" s="2">
        <v>32</v>
      </c>
      <c r="B32">
        <f t="shared" si="0"/>
        <v>38.323391303000001</v>
      </c>
      <c r="C32">
        <f t="shared" si="1"/>
        <v>1.5577568179507662E-2</v>
      </c>
    </row>
    <row r="33" spans="1:3">
      <c r="A33" s="2">
        <v>33</v>
      </c>
      <c r="B33">
        <f t="shared" ref="B33:B64" si="2">-4.958+(A33-1)*1.396173913</f>
        <v>39.719565215999999</v>
      </c>
      <c r="C33">
        <f t="shared" ref="C33:C64" si="3">0.0173550579521361+-0.000152680831016525*B33+0.0480453105164085*(0.00657894736842105+(B33-45.9016447368421)^2/94088.6310888158)^0.5</f>
        <v>1.5306131846093467E-2</v>
      </c>
    </row>
    <row r="34" spans="1:3">
      <c r="A34" s="2">
        <v>34</v>
      </c>
      <c r="B34">
        <f t="shared" si="2"/>
        <v>41.115739128999998</v>
      </c>
      <c r="C34">
        <f t="shared" si="3"/>
        <v>1.5045906872764251E-2</v>
      </c>
    </row>
    <row r="35" spans="1:3">
      <c r="A35" s="2">
        <v>35</v>
      </c>
      <c r="B35">
        <f t="shared" si="2"/>
        <v>42.511913041999996</v>
      </c>
      <c r="C35">
        <f t="shared" si="3"/>
        <v>1.4797295692478184E-2</v>
      </c>
    </row>
    <row r="36" spans="1:3">
      <c r="A36" s="2">
        <v>36</v>
      </c>
      <c r="B36">
        <f t="shared" si="2"/>
        <v>43.908086955000002</v>
      </c>
      <c r="C36">
        <f t="shared" si="3"/>
        <v>1.4560614179659061E-2</v>
      </c>
    </row>
    <row r="37" spans="1:3">
      <c r="A37" s="2">
        <v>37</v>
      </c>
      <c r="B37">
        <f t="shared" si="2"/>
        <v>45.304260868</v>
      </c>
      <c r="C37">
        <f t="shared" si="3"/>
        <v>1.4336078211331701E-2</v>
      </c>
    </row>
    <row r="38" spans="1:3">
      <c r="A38" s="2">
        <v>38</v>
      </c>
      <c r="B38">
        <f t="shared" si="2"/>
        <v>46.700434780999998</v>
      </c>
      <c r="C38">
        <f t="shared" si="3"/>
        <v>1.4123794014794733E-2</v>
      </c>
    </row>
    <row r="39" spans="1:3">
      <c r="A39" s="2">
        <v>39</v>
      </c>
      <c r="B39">
        <f t="shared" si="2"/>
        <v>48.096608693999997</v>
      </c>
      <c r="C39">
        <f t="shared" si="3"/>
        <v>1.392375327718889E-2</v>
      </c>
    </row>
    <row r="40" spans="1:3">
      <c r="A40" s="2">
        <v>40</v>
      </c>
      <c r="B40">
        <f t="shared" si="2"/>
        <v>49.492782607000002</v>
      </c>
      <c r="C40">
        <f t="shared" si="3"/>
        <v>1.3735833531563921E-2</v>
      </c>
    </row>
    <row r="41" spans="1:3">
      <c r="A41" s="2">
        <v>41</v>
      </c>
      <c r="B41">
        <f t="shared" si="2"/>
        <v>50.888956520000001</v>
      </c>
      <c r="C41">
        <f t="shared" si="3"/>
        <v>1.355980377832962E-2</v>
      </c>
    </row>
    <row r="42" spans="1:3">
      <c r="A42" s="2">
        <v>42</v>
      </c>
      <c r="B42">
        <f t="shared" si="2"/>
        <v>52.285130432999999</v>
      </c>
      <c r="C42">
        <f t="shared" si="3"/>
        <v>1.3395334752960519E-2</v>
      </c>
    </row>
    <row r="43" spans="1:3">
      <c r="A43" s="2">
        <v>43</v>
      </c>
      <c r="B43">
        <f t="shared" si="2"/>
        <v>53.681304345999997</v>
      </c>
      <c r="C43">
        <f t="shared" si="3"/>
        <v>1.3242012810970162E-2</v>
      </c>
    </row>
    <row r="44" spans="1:3">
      <c r="A44" s="2">
        <v>44</v>
      </c>
      <c r="B44">
        <f t="shared" si="2"/>
        <v>55.077478258999996</v>
      </c>
      <c r="C44">
        <f t="shared" si="3"/>
        <v>1.30993561397174E-2</v>
      </c>
    </row>
    <row r="45" spans="1:3">
      <c r="A45" s="2">
        <v>45</v>
      </c>
      <c r="B45">
        <f t="shared" si="2"/>
        <v>56.473652172000001</v>
      </c>
      <c r="C45">
        <f t="shared" si="3"/>
        <v>1.2966831947313285E-2</v>
      </c>
    </row>
    <row r="46" spans="1:3">
      <c r="A46" s="2">
        <v>46</v>
      </c>
      <c r="B46">
        <f t="shared" si="2"/>
        <v>57.869826085</v>
      </c>
      <c r="C46">
        <f t="shared" si="3"/>
        <v>1.2843873399430741E-2</v>
      </c>
    </row>
    <row r="47" spans="1:3">
      <c r="A47" s="2">
        <v>47</v>
      </c>
      <c r="B47">
        <f t="shared" si="2"/>
        <v>59.265999997999998</v>
      </c>
      <c r="C47">
        <f t="shared" si="3"/>
        <v>1.2729895320978703E-2</v>
      </c>
    </row>
    <row r="48" spans="1:3">
      <c r="A48" s="2">
        <v>48</v>
      </c>
      <c r="B48">
        <f t="shared" si="2"/>
        <v>60.662173910999996</v>
      </c>
      <c r="C48">
        <f t="shared" si="3"/>
        <v>1.2624307985535026E-2</v>
      </c>
    </row>
    <row r="49" spans="1:3">
      <c r="A49" s="2">
        <v>49</v>
      </c>
      <c r="B49">
        <f t="shared" si="2"/>
        <v>62.058347823999995</v>
      </c>
      <c r="C49">
        <f t="shared" si="3"/>
        <v>1.2526528621678055E-2</v>
      </c>
    </row>
    <row r="50" spans="1:3">
      <c r="A50" s="2">
        <v>50</v>
      </c>
      <c r="B50">
        <f t="shared" si="2"/>
        <v>63.454521736999993</v>
      </c>
      <c r="C50">
        <f t="shared" si="3"/>
        <v>1.2435990529756084E-2</v>
      </c>
    </row>
    <row r="51" spans="1:3">
      <c r="A51" s="2">
        <v>51</v>
      </c>
      <c r="B51">
        <f t="shared" si="2"/>
        <v>64.850695649999992</v>
      </c>
      <c r="C51">
        <f t="shared" si="3"/>
        <v>1.2352149903291598E-2</v>
      </c>
    </row>
    <row r="52" spans="1:3">
      <c r="A52" s="2">
        <v>52</v>
      </c>
      <c r="B52">
        <f t="shared" si="2"/>
        <v>66.246869563000004</v>
      </c>
      <c r="C52">
        <f t="shared" si="3"/>
        <v>1.2274490581623321E-2</v>
      </c>
    </row>
    <row r="53" spans="1:3">
      <c r="A53" s="2">
        <v>53</v>
      </c>
      <c r="B53">
        <f t="shared" si="2"/>
        <v>67.643043476000003</v>
      </c>
      <c r="C53">
        <f t="shared" si="3"/>
        <v>1.2202527031779421E-2</v>
      </c>
    </row>
    <row r="54" spans="1:3">
      <c r="A54" s="2">
        <v>54</v>
      </c>
      <c r="B54">
        <f t="shared" si="2"/>
        <v>69.039217389000001</v>
      </c>
      <c r="C54">
        <f t="shared" si="3"/>
        <v>1.2135805881099738E-2</v>
      </c>
    </row>
    <row r="55" spans="1:3">
      <c r="A55" s="2">
        <v>55</v>
      </c>
      <c r="B55">
        <f t="shared" si="2"/>
        <v>70.435391301999999</v>
      </c>
      <c r="C55">
        <f t="shared" si="3"/>
        <v>1.2073906312301222E-2</v>
      </c>
    </row>
    <row r="56" spans="1:3">
      <c r="A56" s="2">
        <v>56</v>
      </c>
      <c r="B56">
        <f t="shared" si="2"/>
        <v>71.831565214999998</v>
      </c>
      <c r="C56">
        <f t="shared" si="3"/>
        <v>1.2016439602564131E-2</v>
      </c>
    </row>
    <row r="57" spans="1:3">
      <c r="A57" s="2">
        <v>57</v>
      </c>
      <c r="B57">
        <f t="shared" si="2"/>
        <v>73.227739127999996</v>
      </c>
      <c r="C57">
        <f t="shared" si="3"/>
        <v>1.1963048048097303E-2</v>
      </c>
    </row>
    <row r="58" spans="1:3">
      <c r="A58" s="2">
        <v>58</v>
      </c>
      <c r="B58">
        <f t="shared" si="2"/>
        <v>74.623913040999994</v>
      </c>
      <c r="C58">
        <f t="shared" si="3"/>
        <v>1.191340347279678E-2</v>
      </c>
    </row>
    <row r="59" spans="1:3">
      <c r="A59" s="2">
        <v>59</v>
      </c>
      <c r="B59">
        <f t="shared" si="2"/>
        <v>76.020086953999993</v>
      </c>
      <c r="C59">
        <f t="shared" si="3"/>
        <v>1.1867205478658566E-2</v>
      </c>
    </row>
    <row r="60" spans="1:3">
      <c r="A60" s="2">
        <v>60</v>
      </c>
      <c r="B60">
        <f t="shared" si="2"/>
        <v>77.416260866999991</v>
      </c>
      <c r="C60">
        <f t="shared" si="3"/>
        <v>1.1824179559084665E-2</v>
      </c>
    </row>
    <row r="61" spans="1:3">
      <c r="A61" s="2">
        <v>61</v>
      </c>
      <c r="B61">
        <f t="shared" si="2"/>
        <v>78.812434780000004</v>
      </c>
      <c r="C61">
        <f t="shared" si="3"/>
        <v>1.1784075165211152E-2</v>
      </c>
    </row>
    <row r="62" spans="1:3">
      <c r="A62" s="2">
        <v>62</v>
      </c>
      <c r="B62">
        <f t="shared" si="2"/>
        <v>80.208608693000002</v>
      </c>
      <c r="C62">
        <f t="shared" si="3"/>
        <v>1.17466637900265E-2</v>
      </c>
    </row>
    <row r="63" spans="1:3">
      <c r="A63" s="2">
        <v>63</v>
      </c>
      <c r="B63">
        <f t="shared" si="2"/>
        <v>81.604782606000001</v>
      </c>
      <c r="C63">
        <f t="shared" si="3"/>
        <v>1.1711737114936067E-2</v>
      </c>
    </row>
    <row r="64" spans="1:3">
      <c r="A64" s="2">
        <v>64</v>
      </c>
      <c r="B64">
        <f t="shared" si="2"/>
        <v>83.000956518999999</v>
      </c>
      <c r="C64">
        <f t="shared" si="3"/>
        <v>1.1679105247898487E-2</v>
      </c>
    </row>
    <row r="65" spans="1:3">
      <c r="A65" s="2">
        <v>65</v>
      </c>
      <c r="B65">
        <f t="shared" ref="B65:B70" si="4">-4.958+(A65-1)*1.396173913</f>
        <v>84.397130431999997</v>
      </c>
      <c r="C65">
        <f t="shared" ref="C65:C70" si="5">0.0173550579521361+-0.000152680831016525*B65+0.0480453105164085*(0.00657894736842105+(B65-45.9016447368421)^2/94088.6310888158)^0.5</f>
        <v>1.1648595070561547E-2</v>
      </c>
    </row>
    <row r="66" spans="1:3">
      <c r="A66" s="2">
        <v>66</v>
      </c>
      <c r="B66">
        <f t="shared" si="4"/>
        <v>85.793304344999996</v>
      </c>
      <c r="C66">
        <f t="shared" si="5"/>
        <v>1.1620048703228421E-2</v>
      </c>
    </row>
    <row r="67" spans="1:3">
      <c r="A67" s="2">
        <v>67</v>
      </c>
      <c r="B67">
        <f t="shared" si="4"/>
        <v>87.189478257999994</v>
      </c>
      <c r="C67">
        <f t="shared" si="5"/>
        <v>1.1593322090334039E-2</v>
      </c>
    </row>
    <row r="68" spans="1:3">
      <c r="A68" s="2">
        <v>68</v>
      </c>
      <c r="B68">
        <f t="shared" si="4"/>
        <v>88.585652170999992</v>
      </c>
      <c r="C68">
        <f t="shared" si="5"/>
        <v>1.156828370484668E-2</v>
      </c>
    </row>
    <row r="69" spans="1:3">
      <c r="A69" s="2">
        <v>69</v>
      </c>
      <c r="B69">
        <f t="shared" si="4"/>
        <v>89.981826083999991</v>
      </c>
      <c r="C69">
        <f t="shared" si="5"/>
        <v>1.1544813367171319E-2</v>
      </c>
    </row>
    <row r="70" spans="1:3">
      <c r="A70" s="2">
        <v>70</v>
      </c>
      <c r="B70">
        <f t="shared" si="4"/>
        <v>91.377999997000003</v>
      </c>
      <c r="C70">
        <f t="shared" si="5"/>
        <v>1.152280117235124E-2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enableFormatConditionsCalculation="0"/>
  <dimension ref="A1:C100"/>
  <sheetViews>
    <sheetView workbookViewId="0"/>
  </sheetViews>
  <sheetFormatPr baseColWidth="10" defaultRowHeight="15.75"/>
  <sheetData>
    <row r="1" spans="1:3">
      <c r="A1" s="2">
        <v>1</v>
      </c>
      <c r="B1">
        <f t="shared" ref="B1:B32" si="0">-4.958+(A1-1)*0.9730909091</f>
        <v>-4.9580000000000002</v>
      </c>
      <c r="C1">
        <f t="shared" ref="C1:C32" si="1">0.0173550579521361+-0.000152680831016525*B1-0.0480453105164085*(1.00657894736842+(B1-45.9016447368421)^2/94088.6310888158)^0.5</f>
        <v>-3.0744885093596259E-2</v>
      </c>
    </row>
    <row r="2" spans="1:3">
      <c r="A2" s="2">
        <v>2</v>
      </c>
      <c r="B2">
        <f t="shared" si="0"/>
        <v>-3.9849090909000005</v>
      </c>
      <c r="C2">
        <f t="shared" si="1"/>
        <v>-3.0868836734878696E-2</v>
      </c>
    </row>
    <row r="3" spans="1:3">
      <c r="A3" s="2">
        <v>3</v>
      </c>
      <c r="B3">
        <f t="shared" si="0"/>
        <v>-3.0118181818000003</v>
      </c>
      <c r="C3">
        <f t="shared" si="1"/>
        <v>-3.0993251928426693E-2</v>
      </c>
    </row>
    <row r="4" spans="1:3">
      <c r="A4" s="2">
        <v>4</v>
      </c>
      <c r="B4">
        <f t="shared" si="0"/>
        <v>-2.0387272727000001</v>
      </c>
      <c r="C4">
        <f t="shared" si="1"/>
        <v>-3.1118131362866942E-2</v>
      </c>
    </row>
    <row r="5" spans="1:3">
      <c r="A5" s="2">
        <v>5</v>
      </c>
      <c r="B5">
        <f t="shared" si="0"/>
        <v>-1.0656363636000004</v>
      </c>
      <c r="C5">
        <f t="shared" si="1"/>
        <v>-3.1243475714917951E-2</v>
      </c>
    </row>
    <row r="6" spans="1:3">
      <c r="A6" s="2">
        <v>6</v>
      </c>
      <c r="B6">
        <f t="shared" si="0"/>
        <v>-9.2545454500000623E-2</v>
      </c>
      <c r="C6">
        <f t="shared" si="1"/>
        <v>-3.1369285649296634E-2</v>
      </c>
    </row>
    <row r="7" spans="1:3">
      <c r="A7" s="2">
        <v>7</v>
      </c>
      <c r="B7">
        <f t="shared" si="0"/>
        <v>0.8805454546</v>
      </c>
      <c r="C7">
        <f t="shared" si="1"/>
        <v>-3.149556181862613E-2</v>
      </c>
    </row>
    <row r="8" spans="1:3">
      <c r="A8" s="2">
        <v>8</v>
      </c>
      <c r="B8">
        <f t="shared" si="0"/>
        <v>1.8536363636999997</v>
      </c>
      <c r="C8">
        <f t="shared" si="1"/>
        <v>-3.1622304863345177E-2</v>
      </c>
    </row>
    <row r="9" spans="1:3">
      <c r="A9" s="2">
        <v>9</v>
      </c>
      <c r="B9">
        <f t="shared" si="0"/>
        <v>2.8267272727999995</v>
      </c>
      <c r="C9">
        <f t="shared" si="1"/>
        <v>-3.1749515411618787E-2</v>
      </c>
    </row>
    <row r="10" spans="1:3">
      <c r="A10" s="2">
        <v>10</v>
      </c>
      <c r="B10">
        <f t="shared" si="0"/>
        <v>3.7998181818999992</v>
      </c>
      <c r="C10">
        <f t="shared" si="1"/>
        <v>-3.1877194079250354E-2</v>
      </c>
    </row>
    <row r="11" spans="1:3">
      <c r="A11" s="2">
        <v>11</v>
      </c>
      <c r="B11">
        <f t="shared" si="0"/>
        <v>4.7729090909999989</v>
      </c>
      <c r="C11">
        <f t="shared" si="1"/>
        <v>-3.2005341469595355E-2</v>
      </c>
    </row>
    <row r="12" spans="1:3">
      <c r="A12" s="2">
        <v>12</v>
      </c>
      <c r="B12">
        <f t="shared" si="0"/>
        <v>5.7460000000999987</v>
      </c>
      <c r="C12">
        <f t="shared" si="1"/>
        <v>-3.2133958173476362E-2</v>
      </c>
    </row>
    <row r="13" spans="1:3">
      <c r="A13" s="2">
        <v>13</v>
      </c>
      <c r="B13">
        <f t="shared" si="0"/>
        <v>6.7190909092000002</v>
      </c>
      <c r="C13">
        <f t="shared" si="1"/>
        <v>-3.2263044769099747E-2</v>
      </c>
    </row>
    <row r="14" spans="1:3">
      <c r="A14" s="2">
        <v>14</v>
      </c>
      <c r="B14">
        <f t="shared" si="0"/>
        <v>7.6921818182999999</v>
      </c>
      <c r="C14">
        <f t="shared" si="1"/>
        <v>-3.2392601821973843E-2</v>
      </c>
    </row>
    <row r="15" spans="1:3">
      <c r="A15" s="2">
        <v>15</v>
      </c>
      <c r="B15">
        <f t="shared" si="0"/>
        <v>8.6652727273999997</v>
      </c>
      <c r="C15">
        <f t="shared" si="1"/>
        <v>-3.2522629884828694E-2</v>
      </c>
    </row>
    <row r="16" spans="1:3">
      <c r="A16" s="2">
        <v>16</v>
      </c>
      <c r="B16">
        <f t="shared" si="0"/>
        <v>9.6383636364999994</v>
      </c>
      <c r="C16">
        <f t="shared" si="1"/>
        <v>-3.2653129497537424E-2</v>
      </c>
    </row>
    <row r="17" spans="1:3">
      <c r="A17" s="2">
        <v>17</v>
      </c>
      <c r="B17">
        <f t="shared" si="0"/>
        <v>10.611454545599999</v>
      </c>
      <c r="C17">
        <f t="shared" si="1"/>
        <v>-3.2784101187039227E-2</v>
      </c>
    </row>
    <row r="18" spans="1:3">
      <c r="A18" s="2">
        <v>18</v>
      </c>
      <c r="B18">
        <f t="shared" si="0"/>
        <v>11.584545454700001</v>
      </c>
      <c r="C18">
        <f t="shared" si="1"/>
        <v>-3.2915545467264065E-2</v>
      </c>
    </row>
    <row r="19" spans="1:3">
      <c r="A19" s="2">
        <v>19</v>
      </c>
      <c r="B19">
        <f t="shared" si="0"/>
        <v>12.557636363799999</v>
      </c>
      <c r="C19">
        <f t="shared" si="1"/>
        <v>-3.3047462839058871E-2</v>
      </c>
    </row>
    <row r="20" spans="1:3">
      <c r="A20" s="2">
        <v>20</v>
      </c>
      <c r="B20">
        <f t="shared" si="0"/>
        <v>13.5307272729</v>
      </c>
      <c r="C20">
        <f t="shared" si="1"/>
        <v>-3.317985379011569E-2</v>
      </c>
    </row>
    <row r="21" spans="1:3">
      <c r="A21" s="2">
        <v>21</v>
      </c>
      <c r="B21">
        <f t="shared" si="0"/>
        <v>14.503818181999998</v>
      </c>
      <c r="C21">
        <f t="shared" si="1"/>
        <v>-3.3312718794901358E-2</v>
      </c>
    </row>
    <row r="22" spans="1:3">
      <c r="A22" s="2">
        <v>22</v>
      </c>
      <c r="B22">
        <f t="shared" si="0"/>
        <v>15.4769090911</v>
      </c>
      <c r="C22">
        <f t="shared" si="1"/>
        <v>-3.3446058314589043E-2</v>
      </c>
    </row>
    <row r="23" spans="1:3">
      <c r="A23" s="2">
        <v>23</v>
      </c>
      <c r="B23">
        <f t="shared" si="0"/>
        <v>16.450000000199999</v>
      </c>
      <c r="C23">
        <f t="shared" si="1"/>
        <v>-3.357987279699147E-2</v>
      </c>
    </row>
    <row r="24" spans="1:3">
      <c r="A24" s="2">
        <v>24</v>
      </c>
      <c r="B24">
        <f t="shared" si="0"/>
        <v>17.423090909300001</v>
      </c>
      <c r="C24">
        <f t="shared" si="1"/>
        <v>-3.3714162676496059E-2</v>
      </c>
    </row>
    <row r="25" spans="1:3">
      <c r="A25" s="2">
        <v>25</v>
      </c>
      <c r="B25">
        <f t="shared" si="0"/>
        <v>18.396181818400002</v>
      </c>
      <c r="C25">
        <f t="shared" si="1"/>
        <v>-3.3848928374001677E-2</v>
      </c>
    </row>
    <row r="26" spans="1:3">
      <c r="A26" s="2">
        <v>26</v>
      </c>
      <c r="B26">
        <f t="shared" si="0"/>
        <v>19.369272727499997</v>
      </c>
      <c r="C26">
        <f t="shared" si="1"/>
        <v>-3.3984170296857533E-2</v>
      </c>
    </row>
    <row r="27" spans="1:3">
      <c r="A27" s="2">
        <v>27</v>
      </c>
      <c r="B27">
        <f t="shared" si="0"/>
        <v>20.342363636599998</v>
      </c>
      <c r="C27">
        <f t="shared" si="1"/>
        <v>-3.4119888838803583E-2</v>
      </c>
    </row>
    <row r="28" spans="1:3">
      <c r="A28" s="2">
        <v>28</v>
      </c>
      <c r="B28">
        <f t="shared" si="0"/>
        <v>21.3154545457</v>
      </c>
      <c r="C28">
        <f t="shared" si="1"/>
        <v>-3.4256084379913052E-2</v>
      </c>
    </row>
    <row r="29" spans="1:3">
      <c r="A29" s="2">
        <v>29</v>
      </c>
      <c r="B29">
        <f t="shared" si="0"/>
        <v>22.288545454800001</v>
      </c>
      <c r="C29">
        <f t="shared" si="1"/>
        <v>-3.4392757286536811E-2</v>
      </c>
    </row>
    <row r="30" spans="1:3">
      <c r="A30" s="2">
        <v>30</v>
      </c>
      <c r="B30">
        <f t="shared" si="0"/>
        <v>23.261636363899996</v>
      </c>
      <c r="C30">
        <f t="shared" si="1"/>
        <v>-3.4529907911249581E-2</v>
      </c>
    </row>
    <row r="31" spans="1:3">
      <c r="A31" s="2">
        <v>31</v>
      </c>
      <c r="B31">
        <f t="shared" si="0"/>
        <v>24.234727272999997</v>
      </c>
      <c r="C31">
        <f t="shared" si="1"/>
        <v>-3.466753659279817E-2</v>
      </c>
    </row>
    <row r="32" spans="1:3">
      <c r="A32" s="2">
        <v>32</v>
      </c>
      <c r="B32">
        <f t="shared" si="0"/>
        <v>25.207818182099999</v>
      </c>
      <c r="C32">
        <f t="shared" si="1"/>
        <v>-3.4805643656051592E-2</v>
      </c>
    </row>
    <row r="33" spans="1:3">
      <c r="A33" s="2">
        <v>33</v>
      </c>
      <c r="B33">
        <f t="shared" ref="B33:B64" si="2">-4.958+(A33-1)*0.9730909091</f>
        <v>26.1809090912</v>
      </c>
      <c r="C33">
        <f t="shared" ref="C33:C64" si="3">0.0173550579521361+-0.000152680831016525*B33-0.0480453105164085*(1.00657894736842+(B33-45.9016447368421)^2/94088.6310888158)^0.5</f>
        <v>-3.494422941195318E-2</v>
      </c>
    </row>
    <row r="34" spans="1:3">
      <c r="A34" s="2">
        <v>34</v>
      </c>
      <c r="B34">
        <f t="shared" si="2"/>
        <v>27.154000000300002</v>
      </c>
      <c r="C34">
        <f t="shared" si="3"/>
        <v>-3.5083294157474729E-2</v>
      </c>
    </row>
    <row r="35" spans="1:3">
      <c r="A35" s="2">
        <v>35</v>
      </c>
      <c r="B35">
        <f t="shared" si="2"/>
        <v>28.127090909400003</v>
      </c>
      <c r="C35">
        <f t="shared" si="3"/>
        <v>-3.5222838175572556E-2</v>
      </c>
    </row>
    <row r="36" spans="1:3">
      <c r="A36" s="2">
        <v>36</v>
      </c>
      <c r="B36">
        <f t="shared" si="2"/>
        <v>29.100181818499998</v>
      </c>
      <c r="C36">
        <f t="shared" si="3"/>
        <v>-3.5362861735145613E-2</v>
      </c>
    </row>
    <row r="37" spans="1:3">
      <c r="A37" s="2">
        <v>37</v>
      </c>
      <c r="B37">
        <f t="shared" si="2"/>
        <v>30.073272727599999</v>
      </c>
      <c r="C37">
        <f t="shared" si="3"/>
        <v>-3.5503365090995651E-2</v>
      </c>
    </row>
    <row r="38" spans="1:3">
      <c r="A38" s="2">
        <v>38</v>
      </c>
      <c r="B38">
        <f t="shared" si="2"/>
        <v>31.046363636700001</v>
      </c>
      <c r="C38">
        <f t="shared" si="3"/>
        <v>-3.5644348483789418E-2</v>
      </c>
    </row>
    <row r="39" spans="1:3">
      <c r="A39" s="2">
        <v>39</v>
      </c>
      <c r="B39">
        <f t="shared" si="2"/>
        <v>32.019454545800002</v>
      </c>
      <c r="C39">
        <f t="shared" si="3"/>
        <v>-3.5785812140022868E-2</v>
      </c>
    </row>
    <row r="40" spans="1:3">
      <c r="A40" s="2">
        <v>40</v>
      </c>
      <c r="B40">
        <f t="shared" si="2"/>
        <v>32.992545454899997</v>
      </c>
      <c r="C40">
        <f t="shared" si="3"/>
        <v>-3.5927756271987493E-2</v>
      </c>
    </row>
    <row r="41" spans="1:3">
      <c r="A41" s="2">
        <v>41</v>
      </c>
      <c r="B41">
        <f t="shared" si="2"/>
        <v>33.965636363999998</v>
      </c>
      <c r="C41">
        <f t="shared" si="3"/>
        <v>-3.6070181077738753E-2</v>
      </c>
    </row>
    <row r="42" spans="1:3">
      <c r="A42" s="2">
        <v>42</v>
      </c>
      <c r="B42">
        <f t="shared" si="2"/>
        <v>34.9387272731</v>
      </c>
      <c r="C42">
        <f t="shared" si="3"/>
        <v>-3.6213086741066478E-2</v>
      </c>
    </row>
    <row r="43" spans="1:3">
      <c r="A43" s="2">
        <v>43</v>
      </c>
      <c r="B43">
        <f t="shared" si="2"/>
        <v>35.911818182200001</v>
      </c>
      <c r="C43">
        <f t="shared" si="3"/>
        <v>-3.6356473431467543E-2</v>
      </c>
    </row>
    <row r="44" spans="1:3">
      <c r="A44" s="2">
        <v>44</v>
      </c>
      <c r="B44">
        <f t="shared" si="2"/>
        <v>36.884909091300003</v>
      </c>
      <c r="C44">
        <f t="shared" si="3"/>
        <v>-3.6500341304120512E-2</v>
      </c>
    </row>
    <row r="45" spans="1:3">
      <c r="A45" s="2">
        <v>45</v>
      </c>
      <c r="B45">
        <f t="shared" si="2"/>
        <v>37.858000000399997</v>
      </c>
      <c r="C45">
        <f t="shared" si="3"/>
        <v>-3.6644690499862471E-2</v>
      </c>
    </row>
    <row r="46" spans="1:3">
      <c r="A46" s="2">
        <v>46</v>
      </c>
      <c r="B46">
        <f t="shared" si="2"/>
        <v>38.831090909499999</v>
      </c>
      <c r="C46">
        <f t="shared" si="3"/>
        <v>-3.6789521145167994E-2</v>
      </c>
    </row>
    <row r="47" spans="1:3">
      <c r="A47" s="2">
        <v>47</v>
      </c>
      <c r="B47">
        <f t="shared" si="2"/>
        <v>39.8041818186</v>
      </c>
      <c r="C47">
        <f t="shared" si="3"/>
        <v>-3.6934833352130186E-2</v>
      </c>
    </row>
    <row r="48" spans="1:3">
      <c r="A48" s="2">
        <v>48</v>
      </c>
      <c r="B48">
        <f t="shared" si="2"/>
        <v>40.777272727700002</v>
      </c>
      <c r="C48">
        <f t="shared" si="3"/>
        <v>-3.7080627218443921E-2</v>
      </c>
    </row>
    <row r="49" spans="1:3">
      <c r="A49" s="2">
        <v>49</v>
      </c>
      <c r="B49">
        <f t="shared" si="2"/>
        <v>41.750363636800003</v>
      </c>
      <c r="C49">
        <f t="shared" si="3"/>
        <v>-3.7226902827391259E-2</v>
      </c>
    </row>
    <row r="50" spans="1:3">
      <c r="A50" s="2">
        <v>50</v>
      </c>
      <c r="B50">
        <f t="shared" si="2"/>
        <v>42.723454545899997</v>
      </c>
      <c r="C50">
        <f t="shared" si="3"/>
        <v>-3.7373660247828899E-2</v>
      </c>
    </row>
    <row r="51" spans="1:3">
      <c r="A51" s="2">
        <v>51</v>
      </c>
      <c r="B51">
        <f t="shared" si="2"/>
        <v>43.696545454999999</v>
      </c>
      <c r="C51">
        <f t="shared" si="3"/>
        <v>-3.7520899534177907E-2</v>
      </c>
    </row>
    <row r="52" spans="1:3">
      <c r="A52" s="2">
        <v>52</v>
      </c>
      <c r="B52">
        <f t="shared" si="2"/>
        <v>44.6696363641</v>
      </c>
      <c r="C52">
        <f t="shared" si="3"/>
        <v>-3.7668620726415511E-2</v>
      </c>
    </row>
    <row r="53" spans="1:3">
      <c r="A53" s="2">
        <v>53</v>
      </c>
      <c r="B53">
        <f t="shared" si="2"/>
        <v>45.642727273200002</v>
      </c>
      <c r="C53">
        <f t="shared" si="3"/>
        <v>-3.7816823850069202E-2</v>
      </c>
    </row>
    <row r="54" spans="1:3">
      <c r="A54" s="2">
        <v>54</v>
      </c>
      <c r="B54">
        <f t="shared" si="2"/>
        <v>46.615818182299996</v>
      </c>
      <c r="C54">
        <f t="shared" si="3"/>
        <v>-3.7965508916212795E-2</v>
      </c>
    </row>
    <row r="55" spans="1:3">
      <c r="A55" s="2">
        <v>55</v>
      </c>
      <c r="B55">
        <f t="shared" si="2"/>
        <v>47.588909091399998</v>
      </c>
      <c r="C55">
        <f t="shared" si="3"/>
        <v>-3.811467592146485E-2</v>
      </c>
    </row>
    <row r="56" spans="1:3">
      <c r="A56" s="2">
        <v>56</v>
      </c>
      <c r="B56">
        <f t="shared" si="2"/>
        <v>48.562000000499999</v>
      </c>
      <c r="C56">
        <f t="shared" si="3"/>
        <v>-3.8264324847989133E-2</v>
      </c>
    </row>
    <row r="57" spans="1:3">
      <c r="A57" s="2">
        <v>57</v>
      </c>
      <c r="B57">
        <f t="shared" si="2"/>
        <v>49.535090909600001</v>
      </c>
      <c r="C57">
        <f t="shared" si="3"/>
        <v>-3.8414455663497299E-2</v>
      </c>
    </row>
    <row r="58" spans="1:3">
      <c r="A58" s="2">
        <v>58</v>
      </c>
      <c r="B58">
        <f t="shared" si="2"/>
        <v>50.508181818700002</v>
      </c>
      <c r="C58">
        <f t="shared" si="3"/>
        <v>-3.8565068321253754E-2</v>
      </c>
    </row>
    <row r="59" spans="1:3">
      <c r="A59" s="2">
        <v>59</v>
      </c>
      <c r="B59">
        <f t="shared" si="2"/>
        <v>51.481272727799997</v>
      </c>
      <c r="C59">
        <f t="shared" si="3"/>
        <v>-3.8716162760082634E-2</v>
      </c>
    </row>
    <row r="60" spans="1:3">
      <c r="A60" s="2">
        <v>60</v>
      </c>
      <c r="B60">
        <f t="shared" si="2"/>
        <v>52.454363636899998</v>
      </c>
      <c r="C60">
        <f t="shared" si="3"/>
        <v>-3.8867738904376996E-2</v>
      </c>
    </row>
    <row r="61" spans="1:3">
      <c r="A61" s="2">
        <v>61</v>
      </c>
      <c r="B61">
        <f t="shared" si="2"/>
        <v>53.427454546</v>
      </c>
      <c r="C61">
        <f t="shared" si="3"/>
        <v>-3.9019796664110151E-2</v>
      </c>
    </row>
    <row r="62" spans="1:3">
      <c r="A62" s="2">
        <v>62</v>
      </c>
      <c r="B62">
        <f t="shared" si="2"/>
        <v>54.400545455100001</v>
      </c>
      <c r="C62">
        <f t="shared" si="3"/>
        <v>-3.9172335934849097E-2</v>
      </c>
    </row>
    <row r="63" spans="1:3">
      <c r="A63" s="2">
        <v>63</v>
      </c>
      <c r="B63">
        <f t="shared" si="2"/>
        <v>55.373636364199996</v>
      </c>
      <c r="C63">
        <f t="shared" si="3"/>
        <v>-3.9325356597770221E-2</v>
      </c>
    </row>
    <row r="64" spans="1:3">
      <c r="A64" s="2">
        <v>64</v>
      </c>
      <c r="B64">
        <f t="shared" si="2"/>
        <v>56.346727273299997</v>
      </c>
      <c r="C64">
        <f t="shared" si="3"/>
        <v>-3.9478858519677029E-2</v>
      </c>
    </row>
    <row r="65" spans="1:3">
      <c r="A65" s="2">
        <v>65</v>
      </c>
      <c r="B65">
        <f t="shared" ref="B65:B96" si="4">-4.958+(A65-1)*0.9730909091</f>
        <v>57.319818182399999</v>
      </c>
      <c r="C65">
        <f t="shared" ref="C65:C96" si="5">0.0173550579521361+-0.000152680831016525*B65-0.0480453105164085*(1.00657894736842+(B65-45.9016447368421)^2/94088.6310888158)^0.5</f>
        <v>-3.9632841553020083E-2</v>
      </c>
    </row>
    <row r="66" spans="1:3">
      <c r="A66" s="2">
        <v>66</v>
      </c>
      <c r="B66">
        <f t="shared" si="4"/>
        <v>58.2929090915</v>
      </c>
      <c r="C66">
        <f t="shared" si="5"/>
        <v>-3.9787305535919068E-2</v>
      </c>
    </row>
    <row r="67" spans="1:3">
      <c r="A67" s="2">
        <v>67</v>
      </c>
      <c r="B67">
        <f t="shared" si="4"/>
        <v>59.266000000600002</v>
      </c>
      <c r="C67">
        <f t="shared" si="5"/>
        <v>-3.9942250292186926E-2</v>
      </c>
    </row>
    <row r="68" spans="1:3">
      <c r="A68" s="2">
        <v>68</v>
      </c>
      <c r="B68">
        <f t="shared" si="4"/>
        <v>60.239090909699996</v>
      </c>
      <c r="C68">
        <f t="shared" si="5"/>
        <v>-4.0097675631356175E-2</v>
      </c>
    </row>
    <row r="69" spans="1:3">
      <c r="A69" s="2">
        <v>69</v>
      </c>
      <c r="B69">
        <f t="shared" si="4"/>
        <v>61.212181818800005</v>
      </c>
      <c r="C69">
        <f t="shared" si="5"/>
        <v>-4.0253581348707317E-2</v>
      </c>
    </row>
    <row r="70" spans="1:3">
      <c r="A70" s="2">
        <v>70</v>
      </c>
      <c r="B70">
        <f t="shared" si="4"/>
        <v>62.185272727899999</v>
      </c>
      <c r="C70">
        <f t="shared" si="5"/>
        <v>-4.0409967225299277E-2</v>
      </c>
    </row>
    <row r="71" spans="1:3">
      <c r="A71" s="2">
        <v>71</v>
      </c>
      <c r="B71">
        <f t="shared" si="4"/>
        <v>63.158363636999994</v>
      </c>
      <c r="C71">
        <f t="shared" si="5"/>
        <v>-4.0566833028002069E-2</v>
      </c>
    </row>
    <row r="72" spans="1:3">
      <c r="A72" s="2">
        <v>72</v>
      </c>
      <c r="B72">
        <f t="shared" si="4"/>
        <v>64.131454546100002</v>
      </c>
      <c r="C72">
        <f t="shared" si="5"/>
        <v>-4.0724178509531368E-2</v>
      </c>
    </row>
    <row r="73" spans="1:3">
      <c r="A73" s="2">
        <v>73</v>
      </c>
      <c r="B73">
        <f t="shared" si="4"/>
        <v>65.104545455199997</v>
      </c>
      <c r="C73">
        <f t="shared" si="5"/>
        <v>-4.0882003408485267E-2</v>
      </c>
    </row>
    <row r="74" spans="1:3">
      <c r="A74" s="2">
        <v>74</v>
      </c>
      <c r="B74">
        <f t="shared" si="4"/>
        <v>66.077636364300005</v>
      </c>
      <c r="C74">
        <f t="shared" si="5"/>
        <v>-4.1040307449383057E-2</v>
      </c>
    </row>
    <row r="75" spans="1:3">
      <c r="A75" s="2">
        <v>75</v>
      </c>
      <c r="B75">
        <f t="shared" si="4"/>
        <v>67.0507272734</v>
      </c>
      <c r="C75">
        <f t="shared" si="5"/>
        <v>-4.1199090342706031E-2</v>
      </c>
    </row>
    <row r="76" spans="1:3">
      <c r="A76" s="2">
        <v>76</v>
      </c>
      <c r="B76">
        <f t="shared" si="4"/>
        <v>68.023818182499994</v>
      </c>
      <c r="C76">
        <f t="shared" si="5"/>
        <v>-4.1358351784940274E-2</v>
      </c>
    </row>
    <row r="77" spans="1:3">
      <c r="A77" s="2">
        <v>77</v>
      </c>
      <c r="B77">
        <f t="shared" si="4"/>
        <v>68.996909091600003</v>
      </c>
      <c r="C77">
        <f t="shared" si="5"/>
        <v>-4.151809145862155E-2</v>
      </c>
    </row>
    <row r="78" spans="1:3">
      <c r="A78" s="2">
        <v>78</v>
      </c>
      <c r="B78">
        <f t="shared" si="4"/>
        <v>69.970000000699997</v>
      </c>
      <c r="C78">
        <f t="shared" si="5"/>
        <v>-4.1678309032382108E-2</v>
      </c>
    </row>
    <row r="79" spans="1:3">
      <c r="A79" s="2">
        <v>79</v>
      </c>
      <c r="B79">
        <f t="shared" si="4"/>
        <v>70.943090909799992</v>
      </c>
      <c r="C79">
        <f t="shared" si="5"/>
        <v>-4.1839004160999491E-2</v>
      </c>
    </row>
    <row r="80" spans="1:3">
      <c r="A80" s="2">
        <v>80</v>
      </c>
      <c r="B80">
        <f t="shared" si="4"/>
        <v>71.9161818189</v>
      </c>
      <c r="C80">
        <f t="shared" si="5"/>
        <v>-4.2000176485447321E-2</v>
      </c>
    </row>
    <row r="81" spans="1:3">
      <c r="A81" s="2">
        <v>81</v>
      </c>
      <c r="B81">
        <f t="shared" si="4"/>
        <v>72.889272727999995</v>
      </c>
      <c r="C81">
        <f t="shared" si="5"/>
        <v>-4.2161825632947958E-2</v>
      </c>
    </row>
    <row r="82" spans="1:3">
      <c r="A82" s="2">
        <v>82</v>
      </c>
      <c r="B82">
        <f t="shared" si="4"/>
        <v>73.862363637100003</v>
      </c>
      <c r="C82">
        <f t="shared" si="5"/>
        <v>-4.2323951217027228E-2</v>
      </c>
    </row>
    <row r="83" spans="1:3">
      <c r="A83" s="2">
        <v>83</v>
      </c>
      <c r="B83">
        <f t="shared" si="4"/>
        <v>74.835454546199998</v>
      </c>
      <c r="C83">
        <f t="shared" si="5"/>
        <v>-4.2486552837570878E-2</v>
      </c>
    </row>
    <row r="84" spans="1:3">
      <c r="A84" s="2">
        <v>84</v>
      </c>
      <c r="B84">
        <f t="shared" si="4"/>
        <v>75.808545455299992</v>
      </c>
      <c r="C84">
        <f t="shared" si="5"/>
        <v>-4.264963008088303E-2</v>
      </c>
    </row>
    <row r="85" spans="1:3">
      <c r="A85" s="2">
        <v>85</v>
      </c>
      <c r="B85">
        <f t="shared" si="4"/>
        <v>76.781636364400001</v>
      </c>
      <c r="C85">
        <f t="shared" si="5"/>
        <v>-4.2813182519746536E-2</v>
      </c>
    </row>
    <row r="86" spans="1:3">
      <c r="A86" s="2">
        <v>86</v>
      </c>
      <c r="B86">
        <f t="shared" si="4"/>
        <v>77.754727273499995</v>
      </c>
      <c r="C86">
        <f t="shared" si="5"/>
        <v>-4.2977209713485023E-2</v>
      </c>
    </row>
    <row r="87" spans="1:3">
      <c r="A87" s="2">
        <v>87</v>
      </c>
      <c r="B87">
        <f t="shared" si="4"/>
        <v>78.727818182600004</v>
      </c>
      <c r="C87">
        <f t="shared" si="5"/>
        <v>-4.314171120802697E-2</v>
      </c>
    </row>
    <row r="88" spans="1:3">
      <c r="A88" s="2">
        <v>88</v>
      </c>
      <c r="B88">
        <f t="shared" si="4"/>
        <v>79.700909091699998</v>
      </c>
      <c r="C88">
        <f t="shared" si="5"/>
        <v>-4.3306686535971403E-2</v>
      </c>
    </row>
    <row r="89" spans="1:3">
      <c r="A89" s="2">
        <v>89</v>
      </c>
      <c r="B89">
        <f t="shared" si="4"/>
        <v>80.674000000799992</v>
      </c>
      <c r="C89">
        <f t="shared" si="5"/>
        <v>-4.3472135216655522E-2</v>
      </c>
    </row>
    <row r="90" spans="1:3">
      <c r="A90" s="2">
        <v>90</v>
      </c>
      <c r="B90">
        <f t="shared" si="4"/>
        <v>81.647090909900001</v>
      </c>
      <c r="C90">
        <f t="shared" si="5"/>
        <v>-4.3638056756223932E-2</v>
      </c>
    </row>
    <row r="91" spans="1:3">
      <c r="A91" s="2">
        <v>91</v>
      </c>
      <c r="B91">
        <f t="shared" si="4"/>
        <v>82.620181818999995</v>
      </c>
      <c r="C91">
        <f t="shared" si="5"/>
        <v>-4.3804450647699847E-2</v>
      </c>
    </row>
    <row r="92" spans="1:3">
      <c r="A92" s="2">
        <v>92</v>
      </c>
      <c r="B92">
        <f t="shared" si="4"/>
        <v>83.593272728100004</v>
      </c>
      <c r="C92">
        <f t="shared" si="5"/>
        <v>-4.3971316371057702E-2</v>
      </c>
    </row>
    <row r="93" spans="1:3">
      <c r="A93" s="2">
        <v>93</v>
      </c>
      <c r="B93">
        <f t="shared" si="4"/>
        <v>84.566363637199998</v>
      </c>
      <c r="C93">
        <f t="shared" si="5"/>
        <v>-4.4138653393297748E-2</v>
      </c>
    </row>
    <row r="94" spans="1:3">
      <c r="A94" s="2">
        <v>94</v>
      </c>
      <c r="B94">
        <f t="shared" si="4"/>
        <v>85.539454546299993</v>
      </c>
      <c r="C94">
        <f t="shared" si="5"/>
        <v>-4.4306461168522132E-2</v>
      </c>
    </row>
    <row r="95" spans="1:3">
      <c r="A95" s="2">
        <v>95</v>
      </c>
      <c r="B95">
        <f t="shared" si="4"/>
        <v>86.512545455400002</v>
      </c>
      <c r="C95">
        <f t="shared" si="5"/>
        <v>-4.4474739138012656E-2</v>
      </c>
    </row>
    <row r="96" spans="1:3">
      <c r="A96" s="2">
        <v>96</v>
      </c>
      <c r="B96">
        <f t="shared" si="4"/>
        <v>87.485636364499996</v>
      </c>
      <c r="C96">
        <f t="shared" si="5"/>
        <v>-4.464348673031019E-2</v>
      </c>
    </row>
    <row r="97" spans="1:3">
      <c r="A97" s="2">
        <v>97</v>
      </c>
      <c r="B97">
        <f t="shared" ref="B97:B100" si="6">-4.958+(A97-1)*0.9730909091</f>
        <v>88.458727273600005</v>
      </c>
      <c r="C97">
        <f t="shared" ref="C97:C100" si="7">0.0173550579521361+-0.000152680831016525*B97-0.0480453105164085*(1.00657894736842+(B97-45.9016447368421)^2/94088.6310888158)^0.5</f>
        <v>-4.4812703361295642E-2</v>
      </c>
    </row>
    <row r="98" spans="1:3">
      <c r="A98" s="2">
        <v>98</v>
      </c>
      <c r="B98">
        <f t="shared" si="6"/>
        <v>89.431818182699999</v>
      </c>
      <c r="C98">
        <f t="shared" si="7"/>
        <v>-4.4982388434272505E-2</v>
      </c>
    </row>
    <row r="99" spans="1:3">
      <c r="A99" s="2">
        <v>99</v>
      </c>
      <c r="B99">
        <f t="shared" si="6"/>
        <v>90.404909091799993</v>
      </c>
      <c r="C99">
        <f t="shared" si="7"/>
        <v>-4.5152541340050971E-2</v>
      </c>
    </row>
    <row r="100" spans="1:3">
      <c r="A100" s="2">
        <v>100</v>
      </c>
      <c r="B100">
        <f t="shared" si="6"/>
        <v>91.378000000900002</v>
      </c>
      <c r="C100">
        <f t="shared" si="7"/>
        <v>-4.532316145703344E-2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enableFormatConditionsCalculation="0"/>
  <dimension ref="A1:C100"/>
  <sheetViews>
    <sheetView workbookViewId="0"/>
  </sheetViews>
  <sheetFormatPr baseColWidth="10" defaultRowHeight="15.75"/>
  <sheetData>
    <row r="1" spans="1:3">
      <c r="A1" s="2">
        <v>1</v>
      </c>
      <c r="B1">
        <f t="shared" ref="B1:B32" si="0">-4.958+(A1-1)*0.9730909091</f>
        <v>-4.9580000000000002</v>
      </c>
      <c r="C1">
        <f t="shared" ref="C1:C32" si="1">0.0173550579521361+-0.000152680831016525*B1+0.0480453105164085*(1.00657894736842+(B1-45.9016447368421)^2/94088.6310888158)^0.5</f>
        <v>6.6968984118228325E-2</v>
      </c>
    </row>
    <row r="2" spans="1:3">
      <c r="A2" s="2">
        <v>2</v>
      </c>
      <c r="B2">
        <f t="shared" si="0"/>
        <v>-3.9849090909000005</v>
      </c>
      <c r="C2">
        <f t="shared" si="1"/>
        <v>6.6795791102198729E-2</v>
      </c>
    </row>
    <row r="3" spans="1:3">
      <c r="A3" s="2">
        <v>3</v>
      </c>
      <c r="B3">
        <f t="shared" si="0"/>
        <v>-3.0118181818000003</v>
      </c>
      <c r="C3">
        <f t="shared" si="1"/>
        <v>6.6623061638434691E-2</v>
      </c>
    </row>
    <row r="4" spans="1:3">
      <c r="A4" s="2">
        <v>4</v>
      </c>
      <c r="B4">
        <f t="shared" si="0"/>
        <v>-2.0387272727000001</v>
      </c>
      <c r="C4">
        <f t="shared" si="1"/>
        <v>6.6450796415562924E-2</v>
      </c>
    </row>
    <row r="5" spans="1:3">
      <c r="A5" s="2">
        <v>5</v>
      </c>
      <c r="B5">
        <f t="shared" si="0"/>
        <v>-1.0656363636000004</v>
      </c>
      <c r="C5">
        <f t="shared" si="1"/>
        <v>6.6278996110301899E-2</v>
      </c>
    </row>
    <row r="6" spans="1:3">
      <c r="A6" s="2">
        <v>6</v>
      </c>
      <c r="B6">
        <f t="shared" si="0"/>
        <v>-9.2545454500000623E-2</v>
      </c>
      <c r="C6">
        <f t="shared" si="1"/>
        <v>6.6107661387368566E-2</v>
      </c>
    </row>
    <row r="7" spans="1:3">
      <c r="A7" s="2">
        <v>7</v>
      </c>
      <c r="B7">
        <f t="shared" si="0"/>
        <v>0.8805454546</v>
      </c>
      <c r="C7">
        <f t="shared" si="1"/>
        <v>6.5936792899386032E-2</v>
      </c>
    </row>
    <row r="8" spans="1:3">
      <c r="A8" s="2">
        <v>8</v>
      </c>
      <c r="B8">
        <f t="shared" si="0"/>
        <v>1.8536363636999997</v>
      </c>
      <c r="C8">
        <f t="shared" si="1"/>
        <v>6.5766391286793041E-2</v>
      </c>
    </row>
    <row r="9" spans="1:3">
      <c r="A9" s="2">
        <v>9</v>
      </c>
      <c r="B9">
        <f t="shared" si="0"/>
        <v>2.8267272727999995</v>
      </c>
      <c r="C9">
        <f t="shared" si="1"/>
        <v>6.5596457177754627E-2</v>
      </c>
    </row>
    <row r="10" spans="1:3">
      <c r="A10" s="2">
        <v>10</v>
      </c>
      <c r="B10">
        <f t="shared" si="0"/>
        <v>3.7998181818999992</v>
      </c>
      <c r="C10">
        <f t="shared" si="1"/>
        <v>6.5426991188074171E-2</v>
      </c>
    </row>
    <row r="11" spans="1:3">
      <c r="A11" s="2">
        <v>11</v>
      </c>
      <c r="B11">
        <f t="shared" si="0"/>
        <v>4.7729090909999989</v>
      </c>
      <c r="C11">
        <f t="shared" si="1"/>
        <v>6.5257993921107135E-2</v>
      </c>
    </row>
    <row r="12" spans="1:3">
      <c r="A12" s="2">
        <v>12</v>
      </c>
      <c r="B12">
        <f t="shared" si="0"/>
        <v>5.7460000000999987</v>
      </c>
      <c r="C12">
        <f t="shared" si="1"/>
        <v>6.5089465967676119E-2</v>
      </c>
    </row>
    <row r="13" spans="1:3">
      <c r="A13" s="2">
        <v>13</v>
      </c>
      <c r="B13">
        <f t="shared" si="0"/>
        <v>6.7190909092000002</v>
      </c>
      <c r="C13">
        <f t="shared" si="1"/>
        <v>6.492140790598748E-2</v>
      </c>
    </row>
    <row r="14" spans="1:3">
      <c r="A14" s="2">
        <v>14</v>
      </c>
      <c r="B14">
        <f t="shared" si="0"/>
        <v>7.6921818182999999</v>
      </c>
      <c r="C14">
        <f t="shared" si="1"/>
        <v>6.4753820301549553E-2</v>
      </c>
    </row>
    <row r="15" spans="1:3">
      <c r="A15" s="2">
        <v>15</v>
      </c>
      <c r="B15">
        <f t="shared" si="0"/>
        <v>8.6652727273999997</v>
      </c>
      <c r="C15">
        <f t="shared" si="1"/>
        <v>6.4586703707092366E-2</v>
      </c>
    </row>
    <row r="16" spans="1:3">
      <c r="A16" s="2">
        <v>16</v>
      </c>
      <c r="B16">
        <f t="shared" si="0"/>
        <v>9.6383636364999994</v>
      </c>
      <c r="C16">
        <f t="shared" si="1"/>
        <v>6.4420058662489066E-2</v>
      </c>
    </row>
    <row r="17" spans="1:3">
      <c r="A17" s="2">
        <v>17</v>
      </c>
      <c r="B17">
        <f t="shared" si="0"/>
        <v>10.611454545599999</v>
      </c>
      <c r="C17">
        <f t="shared" si="1"/>
        <v>6.4253885694678853E-2</v>
      </c>
    </row>
    <row r="18" spans="1:3">
      <c r="A18" s="2">
        <v>18</v>
      </c>
      <c r="B18">
        <f t="shared" si="0"/>
        <v>11.584545454700001</v>
      </c>
      <c r="C18">
        <f t="shared" si="1"/>
        <v>6.4088185317591653E-2</v>
      </c>
    </row>
    <row r="19" spans="1:3">
      <c r="A19" s="2">
        <v>19</v>
      </c>
      <c r="B19">
        <f t="shared" si="0"/>
        <v>12.557636363799999</v>
      </c>
      <c r="C19">
        <f t="shared" si="1"/>
        <v>6.3922958032074428E-2</v>
      </c>
    </row>
    <row r="20" spans="1:3">
      <c r="A20" s="2">
        <v>20</v>
      </c>
      <c r="B20">
        <f t="shared" si="0"/>
        <v>13.5307272729</v>
      </c>
      <c r="C20">
        <f t="shared" si="1"/>
        <v>6.3758204325819218E-2</v>
      </c>
    </row>
    <row r="21" spans="1:3">
      <c r="A21" s="2">
        <v>21</v>
      </c>
      <c r="B21">
        <f t="shared" si="0"/>
        <v>14.503818181999998</v>
      </c>
      <c r="C21">
        <f t="shared" si="1"/>
        <v>6.3593924673292876E-2</v>
      </c>
    </row>
    <row r="22" spans="1:3">
      <c r="A22" s="2">
        <v>22</v>
      </c>
      <c r="B22">
        <f t="shared" si="0"/>
        <v>15.4769090911</v>
      </c>
      <c r="C22">
        <f t="shared" si="1"/>
        <v>6.3430119535668517E-2</v>
      </c>
    </row>
    <row r="23" spans="1:3">
      <c r="A23" s="2">
        <v>23</v>
      </c>
      <c r="B23">
        <f t="shared" si="0"/>
        <v>16.450000000199999</v>
      </c>
      <c r="C23">
        <f t="shared" si="1"/>
        <v>6.3266789360758927E-2</v>
      </c>
    </row>
    <row r="24" spans="1:3">
      <c r="A24" s="2">
        <v>24</v>
      </c>
      <c r="B24">
        <f t="shared" si="0"/>
        <v>17.423090909300001</v>
      </c>
      <c r="C24">
        <f t="shared" si="1"/>
        <v>6.3103934582951479E-2</v>
      </c>
    </row>
    <row r="25" spans="1:3">
      <c r="A25" s="2">
        <v>25</v>
      </c>
      <c r="B25">
        <f t="shared" si="0"/>
        <v>18.396181818400002</v>
      </c>
      <c r="C25">
        <f t="shared" si="1"/>
        <v>6.2941555623145073E-2</v>
      </c>
    </row>
    <row r="26" spans="1:3">
      <c r="A26" s="2">
        <v>26</v>
      </c>
      <c r="B26">
        <f t="shared" si="0"/>
        <v>19.369272727499997</v>
      </c>
      <c r="C26">
        <f t="shared" si="1"/>
        <v>6.2779652888688905E-2</v>
      </c>
    </row>
    <row r="27" spans="1:3">
      <c r="A27" s="2">
        <v>27</v>
      </c>
      <c r="B27">
        <f t="shared" si="0"/>
        <v>20.342363636599998</v>
      </c>
      <c r="C27">
        <f t="shared" si="1"/>
        <v>6.2618226773322919E-2</v>
      </c>
    </row>
    <row r="28" spans="1:3">
      <c r="A28" s="2">
        <v>28</v>
      </c>
      <c r="B28">
        <f t="shared" si="0"/>
        <v>21.3154545457</v>
      </c>
      <c r="C28">
        <f t="shared" si="1"/>
        <v>6.2457277657120364E-2</v>
      </c>
    </row>
    <row r="29" spans="1:3">
      <c r="A29" s="2">
        <v>29</v>
      </c>
      <c r="B29">
        <f t="shared" si="0"/>
        <v>22.288545454800001</v>
      </c>
      <c r="C29">
        <f t="shared" si="1"/>
        <v>6.22968059064321E-2</v>
      </c>
    </row>
    <row r="30" spans="1:3">
      <c r="A30" s="2">
        <v>30</v>
      </c>
      <c r="B30">
        <f t="shared" si="0"/>
        <v>23.261636363899996</v>
      </c>
      <c r="C30">
        <f t="shared" si="1"/>
        <v>6.2136811873832846E-2</v>
      </c>
    </row>
    <row r="31" spans="1:3">
      <c r="A31" s="2">
        <v>31</v>
      </c>
      <c r="B31">
        <f t="shared" si="0"/>
        <v>24.234727272999997</v>
      </c>
      <c r="C31">
        <f t="shared" si="1"/>
        <v>6.1977295898069412E-2</v>
      </c>
    </row>
    <row r="32" spans="1:3">
      <c r="A32" s="2">
        <v>32</v>
      </c>
      <c r="B32">
        <f t="shared" si="0"/>
        <v>25.207818182099999</v>
      </c>
      <c r="C32">
        <f t="shared" si="1"/>
        <v>6.1818258304010797E-2</v>
      </c>
    </row>
    <row r="33" spans="1:3">
      <c r="A33" s="2">
        <v>33</v>
      </c>
      <c r="B33">
        <f t="shared" ref="B33:B64" si="2">-4.958+(A33-1)*0.9730909091</f>
        <v>26.1809090912</v>
      </c>
      <c r="C33">
        <f t="shared" ref="C33:C64" si="3">0.0173550579521361+-0.000152680831016525*B33+0.0480453105164085*(1.00657894736842+(B33-45.9016447368421)^2/94088.6310888158)^0.5</f>
        <v>6.1659699402600361E-2</v>
      </c>
    </row>
    <row r="34" spans="1:3">
      <c r="A34" s="2">
        <v>34</v>
      </c>
      <c r="B34">
        <f t="shared" si="2"/>
        <v>27.154000000300002</v>
      </c>
      <c r="C34">
        <f t="shared" si="3"/>
        <v>6.1501619490809886E-2</v>
      </c>
    </row>
    <row r="35" spans="1:3">
      <c r="A35" s="2">
        <v>35</v>
      </c>
      <c r="B35">
        <f t="shared" si="2"/>
        <v>28.127090909400003</v>
      </c>
      <c r="C35">
        <f t="shared" si="3"/>
        <v>6.1344018851595676E-2</v>
      </c>
    </row>
    <row r="36" spans="1:3">
      <c r="A36" s="2">
        <v>36</v>
      </c>
      <c r="B36">
        <f t="shared" si="2"/>
        <v>29.100181818499998</v>
      </c>
      <c r="C36">
        <f t="shared" si="3"/>
        <v>6.118689775385671E-2</v>
      </c>
    </row>
    <row r="37" spans="1:3">
      <c r="A37" s="2">
        <v>37</v>
      </c>
      <c r="B37">
        <f t="shared" si="2"/>
        <v>30.073272727599999</v>
      </c>
      <c r="C37">
        <f t="shared" si="3"/>
        <v>6.1030256452394724E-2</v>
      </c>
    </row>
    <row r="38" spans="1:3">
      <c r="A38" s="2">
        <v>38</v>
      </c>
      <c r="B38">
        <f t="shared" si="2"/>
        <v>31.046363636700001</v>
      </c>
      <c r="C38">
        <f t="shared" si="3"/>
        <v>6.0874095187876454E-2</v>
      </c>
    </row>
    <row r="39" spans="1:3">
      <c r="A39" s="2">
        <v>39</v>
      </c>
      <c r="B39">
        <f t="shared" si="2"/>
        <v>32.019454545800002</v>
      </c>
      <c r="C39">
        <f t="shared" si="3"/>
        <v>6.0718414186797881E-2</v>
      </c>
    </row>
    <row r="40" spans="1:3">
      <c r="A40" s="2">
        <v>40</v>
      </c>
      <c r="B40">
        <f t="shared" si="2"/>
        <v>32.992545454899997</v>
      </c>
      <c r="C40">
        <f t="shared" si="3"/>
        <v>6.0563213661450482E-2</v>
      </c>
    </row>
    <row r="41" spans="1:3">
      <c r="A41" s="2">
        <v>41</v>
      </c>
      <c r="B41">
        <f t="shared" si="2"/>
        <v>33.965636363999998</v>
      </c>
      <c r="C41">
        <f t="shared" si="3"/>
        <v>6.0408493809889718E-2</v>
      </c>
    </row>
    <row r="42" spans="1:3">
      <c r="A42" s="2">
        <v>42</v>
      </c>
      <c r="B42">
        <f t="shared" si="2"/>
        <v>34.9387272731</v>
      </c>
      <c r="C42">
        <f t="shared" si="3"/>
        <v>6.0254254815905406E-2</v>
      </c>
    </row>
    <row r="43" spans="1:3">
      <c r="A43" s="2">
        <v>43</v>
      </c>
      <c r="B43">
        <f t="shared" si="2"/>
        <v>35.911818182200001</v>
      </c>
      <c r="C43">
        <f t="shared" si="3"/>
        <v>6.0100496848994447E-2</v>
      </c>
    </row>
    <row r="44" spans="1:3">
      <c r="A44" s="2">
        <v>44</v>
      </c>
      <c r="B44">
        <f t="shared" si="2"/>
        <v>36.884909091300003</v>
      </c>
      <c r="C44">
        <f t="shared" si="3"/>
        <v>5.994722006433538E-2</v>
      </c>
    </row>
    <row r="45" spans="1:3">
      <c r="A45" s="2">
        <v>45</v>
      </c>
      <c r="B45">
        <f t="shared" si="2"/>
        <v>37.858000000399997</v>
      </c>
      <c r="C45">
        <f t="shared" si="3"/>
        <v>5.9794424602765316E-2</v>
      </c>
    </row>
    <row r="46" spans="1:3">
      <c r="A46" s="2">
        <v>46</v>
      </c>
      <c r="B46">
        <f t="shared" si="2"/>
        <v>38.831090909499999</v>
      </c>
      <c r="C46">
        <f t="shared" si="3"/>
        <v>5.9642110590758815E-2</v>
      </c>
    </row>
    <row r="47" spans="1:3">
      <c r="A47" s="2">
        <v>47</v>
      </c>
      <c r="B47">
        <f t="shared" si="2"/>
        <v>39.8041818186</v>
      </c>
      <c r="C47">
        <f t="shared" si="3"/>
        <v>5.949027814040897E-2</v>
      </c>
    </row>
    <row r="48" spans="1:3">
      <c r="A48" s="2">
        <v>48</v>
      </c>
      <c r="B48">
        <f t="shared" si="2"/>
        <v>40.777272727700002</v>
      </c>
      <c r="C48">
        <f t="shared" si="3"/>
        <v>5.9338927349410681E-2</v>
      </c>
    </row>
    <row r="49" spans="1:3">
      <c r="A49" s="2">
        <v>49</v>
      </c>
      <c r="B49">
        <f t="shared" si="2"/>
        <v>41.750363636800003</v>
      </c>
      <c r="C49">
        <f t="shared" si="3"/>
        <v>5.9188058301045995E-2</v>
      </c>
    </row>
    <row r="50" spans="1:3">
      <c r="A50" s="2">
        <v>50</v>
      </c>
      <c r="B50">
        <f t="shared" si="2"/>
        <v>42.723454545899997</v>
      </c>
      <c r="C50">
        <f t="shared" si="3"/>
        <v>5.9037671064171612E-2</v>
      </c>
    </row>
    <row r="51" spans="1:3">
      <c r="A51" s="2">
        <v>51</v>
      </c>
      <c r="B51">
        <f t="shared" si="2"/>
        <v>43.696545454999999</v>
      </c>
      <c r="C51">
        <f t="shared" si="3"/>
        <v>5.8887765693208582E-2</v>
      </c>
    </row>
    <row r="52" spans="1:3">
      <c r="A52" s="2">
        <v>52</v>
      </c>
      <c r="B52">
        <f t="shared" si="2"/>
        <v>44.6696363641</v>
      </c>
      <c r="C52">
        <f t="shared" si="3"/>
        <v>5.8738342228134163E-2</v>
      </c>
    </row>
    <row r="53" spans="1:3">
      <c r="A53" s="2">
        <v>53</v>
      </c>
      <c r="B53">
        <f t="shared" si="2"/>
        <v>45.642727273200002</v>
      </c>
      <c r="C53">
        <f t="shared" si="3"/>
        <v>5.8589400694475831E-2</v>
      </c>
    </row>
    <row r="54" spans="1:3">
      <c r="A54" s="2">
        <v>54</v>
      </c>
      <c r="B54">
        <f t="shared" si="2"/>
        <v>46.615818182299996</v>
      </c>
      <c r="C54">
        <f t="shared" si="3"/>
        <v>5.8440941103307401E-2</v>
      </c>
    </row>
    <row r="55" spans="1:3">
      <c r="A55" s="2">
        <v>55</v>
      </c>
      <c r="B55">
        <f t="shared" si="2"/>
        <v>47.588909091399998</v>
      </c>
      <c r="C55">
        <f t="shared" si="3"/>
        <v>5.8292963451247418E-2</v>
      </c>
    </row>
    <row r="56" spans="1:3">
      <c r="A56" s="2">
        <v>56</v>
      </c>
      <c r="B56">
        <f t="shared" si="2"/>
        <v>48.562000000499999</v>
      </c>
      <c r="C56">
        <f t="shared" si="3"/>
        <v>5.8145467720459677E-2</v>
      </c>
    </row>
    <row r="57" spans="1:3">
      <c r="A57" s="2">
        <v>57</v>
      </c>
      <c r="B57">
        <f t="shared" si="2"/>
        <v>49.535090909600001</v>
      </c>
      <c r="C57">
        <f t="shared" si="3"/>
        <v>5.799845387865582E-2</v>
      </c>
    </row>
    <row r="58" spans="1:3">
      <c r="A58" s="2">
        <v>58</v>
      </c>
      <c r="B58">
        <f t="shared" si="2"/>
        <v>50.508181818700002</v>
      </c>
      <c r="C58">
        <f t="shared" si="3"/>
        <v>5.7851921879100238E-2</v>
      </c>
    </row>
    <row r="59" spans="1:3">
      <c r="A59" s="2">
        <v>59</v>
      </c>
      <c r="B59">
        <f t="shared" si="2"/>
        <v>51.481272727799997</v>
      </c>
      <c r="C59">
        <f t="shared" si="3"/>
        <v>5.7705871660617095E-2</v>
      </c>
    </row>
    <row r="60" spans="1:3">
      <c r="A60" s="2">
        <v>60</v>
      </c>
      <c r="B60">
        <f t="shared" si="2"/>
        <v>52.454363636899998</v>
      </c>
      <c r="C60">
        <f t="shared" si="3"/>
        <v>5.7560303147599433E-2</v>
      </c>
    </row>
    <row r="61" spans="1:3">
      <c r="A61" s="2">
        <v>61</v>
      </c>
      <c r="B61">
        <f t="shared" si="2"/>
        <v>53.427454546</v>
      </c>
      <c r="C61">
        <f t="shared" si="3"/>
        <v>5.7415216250020551E-2</v>
      </c>
    </row>
    <row r="62" spans="1:3">
      <c r="A62" s="2">
        <v>62</v>
      </c>
      <c r="B62">
        <f t="shared" si="2"/>
        <v>54.400545455100001</v>
      </c>
      <c r="C62">
        <f t="shared" si="3"/>
        <v>5.7270610863447473E-2</v>
      </c>
    </row>
    <row r="63" spans="1:3">
      <c r="A63" s="2">
        <v>63</v>
      </c>
      <c r="B63">
        <f t="shared" si="2"/>
        <v>55.373636364199996</v>
      </c>
      <c r="C63">
        <f t="shared" si="3"/>
        <v>5.7126486869056574E-2</v>
      </c>
    </row>
    <row r="64" spans="1:3">
      <c r="A64" s="2">
        <v>64</v>
      </c>
      <c r="B64">
        <f t="shared" si="2"/>
        <v>56.346727273299997</v>
      </c>
      <c r="C64">
        <f t="shared" si="3"/>
        <v>5.6982844133651345E-2</v>
      </c>
    </row>
    <row r="65" spans="1:3">
      <c r="A65" s="2">
        <v>65</v>
      </c>
      <c r="B65">
        <f t="shared" ref="B65:B96" si="4">-4.958+(A65-1)*0.9730909091</f>
        <v>57.319818182399999</v>
      </c>
      <c r="C65">
        <f t="shared" ref="C65:C96" si="5">0.0173550579521361+-0.000152680831016525*B65+0.0480453105164085*(1.00657894736842+(B65-45.9016447368421)^2/94088.6310888158)^0.5</f>
        <v>5.6839682509682375E-2</v>
      </c>
    </row>
    <row r="66" spans="1:3">
      <c r="A66" s="2">
        <v>66</v>
      </c>
      <c r="B66">
        <f t="shared" si="4"/>
        <v>58.2929090915</v>
      </c>
      <c r="C66">
        <f t="shared" si="5"/>
        <v>5.6697001835269337E-2</v>
      </c>
    </row>
    <row r="67" spans="1:3">
      <c r="A67" s="2">
        <v>67</v>
      </c>
      <c r="B67">
        <f t="shared" si="4"/>
        <v>59.266000000600002</v>
      </c>
      <c r="C67">
        <f t="shared" si="5"/>
        <v>5.6554801934225171E-2</v>
      </c>
    </row>
    <row r="68" spans="1:3">
      <c r="A68" s="2">
        <v>68</v>
      </c>
      <c r="B68">
        <f t="shared" si="4"/>
        <v>60.239090909699996</v>
      </c>
      <c r="C68">
        <f t="shared" si="5"/>
        <v>5.6413082616082397E-2</v>
      </c>
    </row>
    <row r="69" spans="1:3">
      <c r="A69" s="2">
        <v>69</v>
      </c>
      <c r="B69">
        <f t="shared" si="4"/>
        <v>61.212181818800005</v>
      </c>
      <c r="C69">
        <f t="shared" si="5"/>
        <v>5.6271843676121501E-2</v>
      </c>
    </row>
    <row r="70" spans="1:3">
      <c r="A70" s="2">
        <v>70</v>
      </c>
      <c r="B70">
        <f t="shared" si="4"/>
        <v>62.185272727899999</v>
      </c>
      <c r="C70">
        <f t="shared" si="5"/>
        <v>5.6131084895401438E-2</v>
      </c>
    </row>
    <row r="71" spans="1:3">
      <c r="A71" s="2">
        <v>71</v>
      </c>
      <c r="B71">
        <f t="shared" si="4"/>
        <v>63.158363636999994</v>
      </c>
      <c r="C71">
        <f t="shared" si="5"/>
        <v>5.5990806040792207E-2</v>
      </c>
    </row>
    <row r="72" spans="1:3">
      <c r="A72" s="2">
        <v>72</v>
      </c>
      <c r="B72">
        <f t="shared" si="4"/>
        <v>64.131454546100002</v>
      </c>
      <c r="C72">
        <f t="shared" si="5"/>
        <v>5.5851006865009468E-2</v>
      </c>
    </row>
    <row r="73" spans="1:3">
      <c r="A73" s="2">
        <v>73</v>
      </c>
      <c r="B73">
        <f t="shared" si="4"/>
        <v>65.104545455199997</v>
      </c>
      <c r="C73">
        <f t="shared" si="5"/>
        <v>5.5711687106651343E-2</v>
      </c>
    </row>
    <row r="74" spans="1:3">
      <c r="A74" s="2">
        <v>74</v>
      </c>
      <c r="B74">
        <f t="shared" si="4"/>
        <v>66.077636364300005</v>
      </c>
      <c r="C74">
        <f t="shared" si="5"/>
        <v>5.5572846490237096E-2</v>
      </c>
    </row>
    <row r="75" spans="1:3">
      <c r="A75" s="2">
        <v>75</v>
      </c>
      <c r="B75">
        <f t="shared" si="4"/>
        <v>67.0507272734</v>
      </c>
      <c r="C75">
        <f t="shared" si="5"/>
        <v>5.5434484726248047E-2</v>
      </c>
    </row>
    <row r="76" spans="1:3">
      <c r="A76" s="2">
        <v>76</v>
      </c>
      <c r="B76">
        <f t="shared" si="4"/>
        <v>68.023818182499994</v>
      </c>
      <c r="C76">
        <f t="shared" si="5"/>
        <v>5.5296601511170267E-2</v>
      </c>
    </row>
    <row r="77" spans="1:3">
      <c r="A77" s="2">
        <v>77</v>
      </c>
      <c r="B77">
        <f t="shared" si="4"/>
        <v>68.996909091600003</v>
      </c>
      <c r="C77">
        <f t="shared" si="5"/>
        <v>5.5159196527539506E-2</v>
      </c>
    </row>
    <row r="78" spans="1:3">
      <c r="A78" s="2">
        <v>78</v>
      </c>
      <c r="B78">
        <f t="shared" si="4"/>
        <v>69.970000000699997</v>
      </c>
      <c r="C78">
        <f t="shared" si="5"/>
        <v>5.5022269443988039E-2</v>
      </c>
    </row>
    <row r="79" spans="1:3">
      <c r="A79" s="2">
        <v>79</v>
      </c>
      <c r="B79">
        <f t="shared" si="4"/>
        <v>70.943090909799992</v>
      </c>
      <c r="C79">
        <f t="shared" si="5"/>
        <v>5.4885819915293399E-2</v>
      </c>
    </row>
    <row r="80" spans="1:3">
      <c r="A80" s="2">
        <v>80</v>
      </c>
      <c r="B80">
        <f t="shared" si="4"/>
        <v>71.9161818189</v>
      </c>
      <c r="C80">
        <f t="shared" si="5"/>
        <v>5.4749847582429206E-2</v>
      </c>
    </row>
    <row r="81" spans="1:3">
      <c r="A81" s="2">
        <v>81</v>
      </c>
      <c r="B81">
        <f t="shared" si="4"/>
        <v>72.889272727999995</v>
      </c>
      <c r="C81">
        <f t="shared" si="5"/>
        <v>5.4614352072617819E-2</v>
      </c>
    </row>
    <row r="82" spans="1:3">
      <c r="A82" s="2">
        <v>82</v>
      </c>
      <c r="B82">
        <f t="shared" si="4"/>
        <v>73.862363637100003</v>
      </c>
      <c r="C82">
        <f t="shared" si="5"/>
        <v>5.4479332999385052E-2</v>
      </c>
    </row>
    <row r="83" spans="1:3">
      <c r="A83" s="2">
        <v>83</v>
      </c>
      <c r="B83">
        <f t="shared" si="4"/>
        <v>74.835454546199998</v>
      </c>
      <c r="C83">
        <f t="shared" si="5"/>
        <v>5.4344789962616678E-2</v>
      </c>
    </row>
    <row r="84" spans="1:3">
      <c r="A84" s="2">
        <v>84</v>
      </c>
      <c r="B84">
        <f t="shared" si="4"/>
        <v>75.808545455299992</v>
      </c>
      <c r="C84">
        <f t="shared" si="5"/>
        <v>5.4210722548616808E-2</v>
      </c>
    </row>
    <row r="85" spans="1:3">
      <c r="A85" s="2">
        <v>85</v>
      </c>
      <c r="B85">
        <f t="shared" si="4"/>
        <v>76.781636364400001</v>
      </c>
      <c r="C85">
        <f t="shared" si="5"/>
        <v>5.4077130330168276E-2</v>
      </c>
    </row>
    <row r="86" spans="1:3">
      <c r="A86" s="2">
        <v>86</v>
      </c>
      <c r="B86">
        <f t="shared" si="4"/>
        <v>77.754727273499995</v>
      </c>
      <c r="C86">
        <f t="shared" si="5"/>
        <v>5.394401286659474E-2</v>
      </c>
    </row>
    <row r="87" spans="1:3">
      <c r="A87" s="2">
        <v>87</v>
      </c>
      <c r="B87">
        <f t="shared" si="4"/>
        <v>78.727818182600004</v>
      </c>
      <c r="C87">
        <f t="shared" si="5"/>
        <v>5.3811369703824663E-2</v>
      </c>
    </row>
    <row r="88" spans="1:3">
      <c r="A88" s="2">
        <v>88</v>
      </c>
      <c r="B88">
        <f t="shared" si="4"/>
        <v>79.700909091699998</v>
      </c>
      <c r="C88">
        <f t="shared" si="5"/>
        <v>5.3679200374457073E-2</v>
      </c>
    </row>
    <row r="89" spans="1:3">
      <c r="A89" s="2">
        <v>89</v>
      </c>
      <c r="B89">
        <f t="shared" si="4"/>
        <v>80.674000000799992</v>
      </c>
      <c r="C89">
        <f t="shared" si="5"/>
        <v>5.3547504397829154E-2</v>
      </c>
    </row>
    <row r="90" spans="1:3">
      <c r="A90" s="2">
        <v>90</v>
      </c>
      <c r="B90">
        <f t="shared" si="4"/>
        <v>81.647090909900001</v>
      </c>
      <c r="C90">
        <f t="shared" si="5"/>
        <v>5.3416281280085541E-2</v>
      </c>
    </row>
    <row r="91" spans="1:3">
      <c r="A91" s="2">
        <v>91</v>
      </c>
      <c r="B91">
        <f t="shared" si="4"/>
        <v>82.620181818999995</v>
      </c>
      <c r="C91">
        <f t="shared" si="5"/>
        <v>5.3285530514249418E-2</v>
      </c>
    </row>
    <row r="92" spans="1:3">
      <c r="A92" s="2">
        <v>92</v>
      </c>
      <c r="B92">
        <f t="shared" si="4"/>
        <v>83.593272728100004</v>
      </c>
      <c r="C92">
        <f t="shared" si="5"/>
        <v>5.315525158029525E-2</v>
      </c>
    </row>
    <row r="93" spans="1:3">
      <c r="A93" s="2">
        <v>93</v>
      </c>
      <c r="B93">
        <f t="shared" si="4"/>
        <v>84.566363637199998</v>
      </c>
      <c r="C93">
        <f t="shared" si="5"/>
        <v>5.3025443945223273E-2</v>
      </c>
    </row>
    <row r="94" spans="1:3">
      <c r="A94" s="2">
        <v>94</v>
      </c>
      <c r="B94">
        <f t="shared" si="4"/>
        <v>85.539454546299993</v>
      </c>
      <c r="C94">
        <f t="shared" si="5"/>
        <v>5.2896107063135633E-2</v>
      </c>
    </row>
    <row r="95" spans="1:3">
      <c r="A95" s="2">
        <v>95</v>
      </c>
      <c r="B95">
        <f t="shared" si="4"/>
        <v>86.512545455400002</v>
      </c>
      <c r="C95">
        <f t="shared" si="5"/>
        <v>5.276724037531412E-2</v>
      </c>
    </row>
    <row r="96" spans="1:3">
      <c r="A96" s="2">
        <v>96</v>
      </c>
      <c r="B96">
        <f t="shared" si="4"/>
        <v>87.485636364499996</v>
      </c>
      <c r="C96">
        <f t="shared" si="5"/>
        <v>5.2638843310299631E-2</v>
      </c>
    </row>
    <row r="97" spans="1:3">
      <c r="A97" s="2">
        <v>97</v>
      </c>
      <c r="B97">
        <f t="shared" ref="B97:B100" si="6">-4.958+(A97-1)*0.9730909091</f>
        <v>88.458727273600005</v>
      </c>
      <c r="C97">
        <f t="shared" ref="C97:C100" si="7">0.0173550579521361+-0.000152680831016525*B97+0.0480453105164085*(1.00657894736842+(B97-45.9016447368421)^2/94088.6310888158)^0.5</f>
        <v>5.2510915283973059E-2</v>
      </c>
    </row>
    <row r="98" spans="1:3">
      <c r="A98" s="2">
        <v>98</v>
      </c>
      <c r="B98">
        <f t="shared" si="6"/>
        <v>89.431818182699999</v>
      </c>
      <c r="C98">
        <f t="shared" si="7"/>
        <v>5.2383455699637899E-2</v>
      </c>
    </row>
    <row r="99" spans="1:3">
      <c r="A99" s="2">
        <v>99</v>
      </c>
      <c r="B99">
        <f t="shared" si="6"/>
        <v>90.404909091799993</v>
      </c>
      <c r="C99">
        <f t="shared" si="7"/>
        <v>5.2256463948104327E-2</v>
      </c>
    </row>
    <row r="100" spans="1:3">
      <c r="A100" s="2">
        <v>100</v>
      </c>
      <c r="B100">
        <f t="shared" si="6"/>
        <v>91.378000000900002</v>
      </c>
      <c r="C100">
        <f t="shared" si="7"/>
        <v>5.2129939407774772E-2</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enableFormatConditionsCalculation="0"/>
  <dimension ref="A1:C70"/>
  <sheetViews>
    <sheetView workbookViewId="0"/>
  </sheetViews>
  <sheetFormatPr baseColWidth="10" defaultRowHeight="15.75"/>
  <sheetData>
    <row r="1" spans="1:3">
      <c r="A1" s="2">
        <v>1</v>
      </c>
      <c r="B1">
        <f t="shared" ref="B1:B32" si="0">0.004138822+(A1-1)*0.0002336923</f>
        <v>4.1388220000000003E-3</v>
      </c>
      <c r="C1">
        <f t="shared" ref="C1:C32" si="1">0+1*B1-0.0480453105164085*(1.00657894736842+(B1-0.0103467566886897)^2/0.0886872119656968)^0.5</f>
        <v>-4.4074676808627158E-2</v>
      </c>
    </row>
    <row r="2" spans="1:3">
      <c r="A2" s="2">
        <v>2</v>
      </c>
      <c r="B2">
        <f t="shared" si="0"/>
        <v>4.3725143000000006E-3</v>
      </c>
      <c r="C2">
        <f t="shared" si="1"/>
        <v>-4.3840216059477896E-2</v>
      </c>
    </row>
    <row r="3" spans="1:3">
      <c r="A3" s="2">
        <v>3</v>
      </c>
      <c r="B3">
        <f t="shared" si="0"/>
        <v>4.6062066E-3</v>
      </c>
      <c r="C3">
        <f t="shared" si="1"/>
        <v>-4.3605784781297764E-2</v>
      </c>
    </row>
    <row r="4" spans="1:3">
      <c r="A4" s="2">
        <v>4</v>
      </c>
      <c r="B4">
        <f t="shared" si="0"/>
        <v>4.8398989000000003E-3</v>
      </c>
      <c r="C4">
        <f t="shared" si="1"/>
        <v>-4.3371382975441956E-2</v>
      </c>
    </row>
    <row r="5" spans="1:3">
      <c r="A5" s="2">
        <v>5</v>
      </c>
      <c r="B5">
        <f t="shared" si="0"/>
        <v>5.0735912000000006E-3</v>
      </c>
      <c r="C5">
        <f t="shared" si="1"/>
        <v>-4.3137010643211703E-2</v>
      </c>
    </row>
    <row r="6" spans="1:3">
      <c r="A6" s="2">
        <v>6</v>
      </c>
      <c r="B6">
        <f t="shared" si="0"/>
        <v>5.3072835E-3</v>
      </c>
      <c r="C6">
        <f t="shared" si="1"/>
        <v>-4.2902667785854207E-2</v>
      </c>
    </row>
    <row r="7" spans="1:3">
      <c r="A7" s="2">
        <v>7</v>
      </c>
      <c r="B7">
        <f t="shared" si="0"/>
        <v>5.5409758000000003E-3</v>
      </c>
      <c r="C7">
        <f t="shared" si="1"/>
        <v>-4.2668354404562715E-2</v>
      </c>
    </row>
    <row r="8" spans="1:3">
      <c r="A8" s="2">
        <v>8</v>
      </c>
      <c r="B8">
        <f t="shared" si="0"/>
        <v>5.7746680999999998E-3</v>
      </c>
      <c r="C8">
        <f t="shared" si="1"/>
        <v>-4.2434070500476484E-2</v>
      </c>
    </row>
    <row r="9" spans="1:3">
      <c r="A9" s="2">
        <v>9</v>
      </c>
      <c r="B9">
        <f t="shared" si="0"/>
        <v>6.0083604000000001E-3</v>
      </c>
      <c r="C9">
        <f t="shared" si="1"/>
        <v>-4.2199816074680714E-2</v>
      </c>
    </row>
    <row r="10" spans="1:3">
      <c r="A10" s="2">
        <v>10</v>
      </c>
      <c r="B10">
        <f t="shared" si="0"/>
        <v>6.2420527000000003E-3</v>
      </c>
      <c r="C10">
        <f t="shared" si="1"/>
        <v>-4.1965591128206602E-2</v>
      </c>
    </row>
    <row r="11" spans="1:3">
      <c r="A11" s="2">
        <v>11</v>
      </c>
      <c r="B11">
        <f t="shared" si="0"/>
        <v>6.4757449999999998E-3</v>
      </c>
      <c r="C11">
        <f t="shared" si="1"/>
        <v>-4.1731395662031309E-2</v>
      </c>
    </row>
    <row r="12" spans="1:3">
      <c r="A12" s="2">
        <v>12</v>
      </c>
      <c r="B12">
        <f t="shared" si="0"/>
        <v>6.7094373000000001E-3</v>
      </c>
      <c r="C12">
        <f t="shared" si="1"/>
        <v>-4.149722967707796E-2</v>
      </c>
    </row>
    <row r="13" spans="1:3">
      <c r="A13" s="2">
        <v>13</v>
      </c>
      <c r="B13">
        <f t="shared" si="0"/>
        <v>6.9431296000000003E-3</v>
      </c>
      <c r="C13">
        <f t="shared" si="1"/>
        <v>-4.1263093174215622E-2</v>
      </c>
    </row>
    <row r="14" spans="1:3">
      <c r="A14" s="2">
        <v>14</v>
      </c>
      <c r="B14">
        <f t="shared" si="0"/>
        <v>7.1768218999999998E-3</v>
      </c>
      <c r="C14">
        <f t="shared" si="1"/>
        <v>-4.102898615425931E-2</v>
      </c>
    </row>
    <row r="15" spans="1:3">
      <c r="A15" s="2">
        <v>15</v>
      </c>
      <c r="B15">
        <f t="shared" si="0"/>
        <v>7.4105142000000001E-3</v>
      </c>
      <c r="C15">
        <f t="shared" si="1"/>
        <v>-4.0794908617969944E-2</v>
      </c>
    </row>
    <row r="16" spans="1:3">
      <c r="A16" s="2">
        <v>16</v>
      </c>
      <c r="B16">
        <f t="shared" si="0"/>
        <v>7.6442065000000003E-3</v>
      </c>
      <c r="C16">
        <f t="shared" si="1"/>
        <v>-4.0560860566054409E-2</v>
      </c>
    </row>
    <row r="17" spans="1:3">
      <c r="A17" s="2">
        <v>17</v>
      </c>
      <c r="B17">
        <f t="shared" si="0"/>
        <v>7.8778987999999998E-3</v>
      </c>
      <c r="C17">
        <f t="shared" si="1"/>
        <v>-4.0326841999165468E-2</v>
      </c>
    </row>
    <row r="18" spans="1:3">
      <c r="A18" s="2">
        <v>18</v>
      </c>
      <c r="B18">
        <f t="shared" si="0"/>
        <v>8.1115910999999992E-3</v>
      </c>
      <c r="C18">
        <f t="shared" si="1"/>
        <v>-4.009285291790185E-2</v>
      </c>
    </row>
    <row r="19" spans="1:3">
      <c r="A19" s="2">
        <v>19</v>
      </c>
      <c r="B19">
        <f t="shared" si="0"/>
        <v>8.3452834000000004E-3</v>
      </c>
      <c r="C19">
        <f t="shared" si="1"/>
        <v>-3.9858893322808141E-2</v>
      </c>
    </row>
    <row r="20" spans="1:3">
      <c r="A20" s="2">
        <v>20</v>
      </c>
      <c r="B20">
        <f t="shared" si="0"/>
        <v>8.5789756999999998E-3</v>
      </c>
      <c r="C20">
        <f t="shared" si="1"/>
        <v>-3.9624963214374857E-2</v>
      </c>
    </row>
    <row r="21" spans="1:3">
      <c r="A21" s="2">
        <v>21</v>
      </c>
      <c r="B21">
        <f t="shared" si="0"/>
        <v>8.8126679999999992E-3</v>
      </c>
      <c r="C21">
        <f t="shared" si="1"/>
        <v>-3.9391062593038415E-2</v>
      </c>
    </row>
    <row r="22" spans="1:3">
      <c r="A22" s="2">
        <v>22</v>
      </c>
      <c r="B22">
        <f t="shared" si="0"/>
        <v>9.0463603000000004E-3</v>
      </c>
      <c r="C22">
        <f t="shared" si="1"/>
        <v>-3.915719145918109E-2</v>
      </c>
    </row>
    <row r="23" spans="1:3">
      <c r="A23" s="2">
        <v>23</v>
      </c>
      <c r="B23">
        <f t="shared" si="0"/>
        <v>9.2800525999999998E-3</v>
      </c>
      <c r="C23">
        <f t="shared" si="1"/>
        <v>-3.8923349813131121E-2</v>
      </c>
    </row>
    <row r="24" spans="1:3">
      <c r="A24" s="2">
        <v>24</v>
      </c>
      <c r="B24">
        <f t="shared" si="0"/>
        <v>9.5137448999999992E-3</v>
      </c>
      <c r="C24">
        <f t="shared" si="1"/>
        <v>-3.8689537655162545E-2</v>
      </c>
    </row>
    <row r="25" spans="1:3">
      <c r="A25" s="2">
        <v>25</v>
      </c>
      <c r="B25">
        <f t="shared" si="0"/>
        <v>9.7474372000000004E-3</v>
      </c>
      <c r="C25">
        <f t="shared" si="1"/>
        <v>-3.8455754985495361E-2</v>
      </c>
    </row>
    <row r="26" spans="1:3">
      <c r="A26" s="2">
        <v>26</v>
      </c>
      <c r="B26">
        <f t="shared" si="0"/>
        <v>9.9811294999999998E-3</v>
      </c>
      <c r="C26">
        <f t="shared" si="1"/>
        <v>-3.8222001804295413E-2</v>
      </c>
    </row>
    <row r="27" spans="1:3">
      <c r="A27" s="2">
        <v>27</v>
      </c>
      <c r="B27">
        <f t="shared" si="0"/>
        <v>1.0214821799999999E-2</v>
      </c>
      <c r="C27">
        <f t="shared" si="1"/>
        <v>-3.798827811167442E-2</v>
      </c>
    </row>
    <row r="28" spans="1:3">
      <c r="A28" s="2">
        <v>28</v>
      </c>
      <c r="B28">
        <f t="shared" si="0"/>
        <v>1.04485141E-2</v>
      </c>
      <c r="C28">
        <f t="shared" si="1"/>
        <v>-3.7754583907690015E-2</v>
      </c>
    </row>
    <row r="29" spans="1:3">
      <c r="A29" s="2">
        <v>29</v>
      </c>
      <c r="B29">
        <f t="shared" si="0"/>
        <v>1.06822064E-2</v>
      </c>
      <c r="C29">
        <f t="shared" si="1"/>
        <v>-3.7520919192345681E-2</v>
      </c>
    </row>
    <row r="30" spans="1:3">
      <c r="A30" s="2">
        <v>30</v>
      </c>
      <c r="B30">
        <f t="shared" si="0"/>
        <v>1.0915898699999999E-2</v>
      </c>
      <c r="C30">
        <f t="shared" si="1"/>
        <v>-3.7287283965590792E-2</v>
      </c>
    </row>
    <row r="31" spans="1:3">
      <c r="A31" s="2">
        <v>31</v>
      </c>
      <c r="B31">
        <f t="shared" si="0"/>
        <v>1.1149591E-2</v>
      </c>
      <c r="C31">
        <f t="shared" si="1"/>
        <v>-3.705367822732062E-2</v>
      </c>
    </row>
    <row r="32" spans="1:3">
      <c r="A32" s="2">
        <v>32</v>
      </c>
      <c r="B32">
        <f t="shared" si="0"/>
        <v>1.13832833E-2</v>
      </c>
      <c r="C32">
        <f t="shared" si="1"/>
        <v>-3.6820101977376271E-2</v>
      </c>
    </row>
    <row r="33" spans="1:3">
      <c r="A33" s="2">
        <v>33</v>
      </c>
      <c r="B33">
        <f t="shared" ref="B33:B64" si="2">0.004138822+(A33-1)*0.0002336923</f>
        <v>1.1616975599999999E-2</v>
      </c>
      <c r="C33">
        <f t="shared" ref="C33:C64" si="3">0+1*B33-0.0480453105164085*(1.00657894736842+(B33-0.0103467566886897)^2/0.0886872119656968)^0.5</f>
        <v>-3.6586555215544797E-2</v>
      </c>
    </row>
    <row r="34" spans="1:3">
      <c r="A34" s="2">
        <v>34</v>
      </c>
      <c r="B34">
        <f t="shared" si="2"/>
        <v>1.18506679E-2</v>
      </c>
      <c r="C34">
        <f t="shared" si="3"/>
        <v>-3.6353037941559092E-2</v>
      </c>
    </row>
    <row r="35" spans="1:3">
      <c r="A35" s="2">
        <v>35</v>
      </c>
      <c r="B35">
        <f t="shared" si="2"/>
        <v>1.20843602E-2</v>
      </c>
      <c r="C35">
        <f t="shared" si="3"/>
        <v>-3.6119550155097942E-2</v>
      </c>
    </row>
    <row r="36" spans="1:3">
      <c r="A36" s="2">
        <v>36</v>
      </c>
      <c r="B36">
        <f t="shared" si="2"/>
        <v>1.2318052499999999E-2</v>
      </c>
      <c r="C36">
        <f t="shared" si="3"/>
        <v>-3.5886091855786048E-2</v>
      </c>
    </row>
    <row r="37" spans="1:3">
      <c r="A37" s="2">
        <v>37</v>
      </c>
      <c r="B37">
        <f t="shared" si="2"/>
        <v>1.25517448E-2</v>
      </c>
      <c r="C37">
        <f t="shared" si="3"/>
        <v>-3.5652663043193956E-2</v>
      </c>
    </row>
    <row r="38" spans="1:3">
      <c r="A38" s="2">
        <v>38</v>
      </c>
      <c r="B38">
        <f t="shared" si="2"/>
        <v>1.27854371E-2</v>
      </c>
      <c r="C38">
        <f t="shared" si="3"/>
        <v>-3.5419263716838179E-2</v>
      </c>
    </row>
    <row r="39" spans="1:3">
      <c r="A39" s="2">
        <v>39</v>
      </c>
      <c r="B39">
        <f t="shared" si="2"/>
        <v>1.3019129399999999E-2</v>
      </c>
      <c r="C39">
        <f t="shared" si="3"/>
        <v>-3.5185893876181068E-2</v>
      </c>
    </row>
    <row r="40" spans="1:3">
      <c r="A40" s="2">
        <v>40</v>
      </c>
      <c r="B40">
        <f t="shared" si="2"/>
        <v>1.32528217E-2</v>
      </c>
      <c r="C40">
        <f t="shared" si="3"/>
        <v>-3.4952553520630925E-2</v>
      </c>
    </row>
    <row r="41" spans="1:3">
      <c r="A41" s="2">
        <v>41</v>
      </c>
      <c r="B41">
        <f t="shared" si="2"/>
        <v>1.3486514E-2</v>
      </c>
      <c r="C41">
        <f t="shared" si="3"/>
        <v>-3.4719242649541938E-2</v>
      </c>
    </row>
    <row r="42" spans="1:3">
      <c r="A42" s="2">
        <v>42</v>
      </c>
      <c r="B42">
        <f t="shared" si="2"/>
        <v>1.3720206299999999E-2</v>
      </c>
      <c r="C42">
        <f t="shared" si="3"/>
        <v>-3.4485961262214232E-2</v>
      </c>
    </row>
    <row r="43" spans="1:3">
      <c r="A43" s="2">
        <v>43</v>
      </c>
      <c r="B43">
        <f t="shared" si="2"/>
        <v>1.39538986E-2</v>
      </c>
      <c r="C43">
        <f t="shared" si="3"/>
        <v>-3.4252709357893839E-2</v>
      </c>
    </row>
    <row r="44" spans="1:3">
      <c r="A44" s="2">
        <v>44</v>
      </c>
      <c r="B44">
        <f t="shared" si="2"/>
        <v>1.41875909E-2</v>
      </c>
      <c r="C44">
        <f t="shared" si="3"/>
        <v>-3.4019486935772746E-2</v>
      </c>
    </row>
    <row r="45" spans="1:3">
      <c r="A45" s="2">
        <v>45</v>
      </c>
      <c r="B45">
        <f t="shared" si="2"/>
        <v>1.4421283199999999E-2</v>
      </c>
      <c r="C45">
        <f t="shared" si="3"/>
        <v>-3.3786293994988864E-2</v>
      </c>
    </row>
    <row r="46" spans="1:3">
      <c r="A46" s="2">
        <v>46</v>
      </c>
      <c r="B46">
        <f t="shared" si="2"/>
        <v>1.46549755E-2</v>
      </c>
      <c r="C46">
        <f t="shared" si="3"/>
        <v>-3.3553130534626045E-2</v>
      </c>
    </row>
    <row r="47" spans="1:3">
      <c r="A47" s="2">
        <v>47</v>
      </c>
      <c r="B47">
        <f t="shared" si="2"/>
        <v>1.48886678E-2</v>
      </c>
      <c r="C47">
        <f t="shared" si="3"/>
        <v>-3.3319996553714114E-2</v>
      </c>
    </row>
    <row r="48" spans="1:3">
      <c r="A48" s="2">
        <v>48</v>
      </c>
      <c r="B48">
        <f t="shared" si="2"/>
        <v>1.5122360099999999E-2</v>
      </c>
      <c r="C48">
        <f t="shared" si="3"/>
        <v>-3.3086892051228847E-2</v>
      </c>
    </row>
    <row r="49" spans="1:3">
      <c r="A49" s="2">
        <v>49</v>
      </c>
      <c r="B49">
        <f t="shared" si="2"/>
        <v>1.53560524E-2</v>
      </c>
      <c r="C49">
        <f t="shared" si="3"/>
        <v>-3.285381702609199E-2</v>
      </c>
    </row>
    <row r="50" spans="1:3">
      <c r="A50" s="2">
        <v>50</v>
      </c>
      <c r="B50">
        <f t="shared" si="2"/>
        <v>1.55897447E-2</v>
      </c>
      <c r="C50">
        <f t="shared" si="3"/>
        <v>-3.2620771477171302E-2</v>
      </c>
    </row>
    <row r="51" spans="1:3">
      <c r="A51" s="2">
        <v>51</v>
      </c>
      <c r="B51">
        <f t="shared" si="2"/>
        <v>1.5823436999999999E-2</v>
      </c>
      <c r="C51">
        <f t="shared" si="3"/>
        <v>-3.238775540328051E-2</v>
      </c>
    </row>
    <row r="52" spans="1:3">
      <c r="A52" s="2">
        <v>52</v>
      </c>
      <c r="B52">
        <f t="shared" si="2"/>
        <v>1.60571293E-2</v>
      </c>
      <c r="C52">
        <f t="shared" si="3"/>
        <v>-3.215476880317935E-2</v>
      </c>
    </row>
    <row r="53" spans="1:3">
      <c r="A53" s="2">
        <v>53</v>
      </c>
      <c r="B53">
        <f t="shared" si="2"/>
        <v>1.6290821599999998E-2</v>
      </c>
      <c r="C53">
        <f t="shared" si="3"/>
        <v>-3.1921811675573571E-2</v>
      </c>
    </row>
    <row r="54" spans="1:3">
      <c r="A54" s="2">
        <v>54</v>
      </c>
      <c r="B54">
        <f t="shared" si="2"/>
        <v>1.6524513899999999E-2</v>
      </c>
      <c r="C54">
        <f t="shared" si="3"/>
        <v>-3.1688884019114974E-2</v>
      </c>
    </row>
    <row r="55" spans="1:3">
      <c r="A55" s="2">
        <v>55</v>
      </c>
      <c r="B55">
        <f t="shared" si="2"/>
        <v>1.67582062E-2</v>
      </c>
      <c r="C55">
        <f t="shared" si="3"/>
        <v>-3.1455985832401376E-2</v>
      </c>
    </row>
    <row r="56" spans="1:3">
      <c r="A56" s="2">
        <v>56</v>
      </c>
      <c r="B56">
        <f t="shared" si="2"/>
        <v>1.6991898499999998E-2</v>
      </c>
      <c r="C56">
        <f t="shared" si="3"/>
        <v>-3.1223117113976628E-2</v>
      </c>
    </row>
    <row r="57" spans="1:3">
      <c r="A57" s="2">
        <v>57</v>
      </c>
      <c r="B57">
        <f t="shared" si="2"/>
        <v>1.7225590799999999E-2</v>
      </c>
      <c r="C57">
        <f t="shared" si="3"/>
        <v>-3.0990277862330714E-2</v>
      </c>
    </row>
    <row r="58" spans="1:3">
      <c r="A58" s="2">
        <v>58</v>
      </c>
      <c r="B58">
        <f t="shared" si="2"/>
        <v>1.74592831E-2</v>
      </c>
      <c r="C58">
        <f t="shared" si="3"/>
        <v>-3.0757468075899644E-2</v>
      </c>
    </row>
    <row r="59" spans="1:3">
      <c r="A59" s="2">
        <v>59</v>
      </c>
      <c r="B59">
        <f t="shared" si="2"/>
        <v>1.7692975399999998E-2</v>
      </c>
      <c r="C59">
        <f t="shared" si="3"/>
        <v>-3.0524687753065542E-2</v>
      </c>
    </row>
    <row r="60" spans="1:3">
      <c r="A60" s="2">
        <v>60</v>
      </c>
      <c r="B60">
        <f t="shared" si="2"/>
        <v>1.7926667699999999E-2</v>
      </c>
      <c r="C60">
        <f t="shared" si="3"/>
        <v>-3.0291936892156628E-2</v>
      </c>
    </row>
    <row r="61" spans="1:3">
      <c r="A61" s="2">
        <v>61</v>
      </c>
      <c r="B61">
        <f t="shared" si="2"/>
        <v>1.816036E-2</v>
      </c>
      <c r="C61">
        <f t="shared" si="3"/>
        <v>-3.0059215491447265E-2</v>
      </c>
    </row>
    <row r="62" spans="1:3">
      <c r="A62" s="2">
        <v>62</v>
      </c>
      <c r="B62">
        <f t="shared" si="2"/>
        <v>1.8394052299999998E-2</v>
      </c>
      <c r="C62">
        <f t="shared" si="3"/>
        <v>-2.9826523549157956E-2</v>
      </c>
    </row>
    <row r="63" spans="1:3">
      <c r="A63" s="2">
        <v>63</v>
      </c>
      <c r="B63">
        <f t="shared" si="2"/>
        <v>1.8627744599999999E-2</v>
      </c>
      <c r="C63">
        <f t="shared" si="3"/>
        <v>-2.9593861063455348E-2</v>
      </c>
    </row>
    <row r="64" spans="1:3">
      <c r="A64" s="2">
        <v>64</v>
      </c>
      <c r="B64">
        <f t="shared" si="2"/>
        <v>1.88614369E-2</v>
      </c>
      <c r="C64">
        <f t="shared" si="3"/>
        <v>-2.9361228032452266E-2</v>
      </c>
    </row>
    <row r="65" spans="1:3">
      <c r="A65" s="2">
        <v>65</v>
      </c>
      <c r="B65">
        <f t="shared" ref="B65:B70" si="4">0.004138822+(A65-1)*0.0002336923</f>
        <v>1.9095129199999998E-2</v>
      </c>
      <c r="C65">
        <f t="shared" ref="C65:C70" si="5">0+1*B65-0.0480453105164085*(1.00657894736842+(B65-0.0103467566886897)^2/0.0886872119656968)^0.5</f>
        <v>-2.912862445420774E-2</v>
      </c>
    </row>
    <row r="66" spans="1:3">
      <c r="A66" s="2">
        <v>66</v>
      </c>
      <c r="B66">
        <f t="shared" si="4"/>
        <v>1.9328821499999999E-2</v>
      </c>
      <c r="C66">
        <f t="shared" si="5"/>
        <v>-2.8896050326726996E-2</v>
      </c>
    </row>
    <row r="67" spans="1:3">
      <c r="A67" s="2">
        <v>67</v>
      </c>
      <c r="B67">
        <f t="shared" si="4"/>
        <v>1.95625138E-2</v>
      </c>
      <c r="C67">
        <f t="shared" si="5"/>
        <v>-2.8663505647961482E-2</v>
      </c>
    </row>
    <row r="68" spans="1:3">
      <c r="A68" s="2">
        <v>68</v>
      </c>
      <c r="B68">
        <f t="shared" si="4"/>
        <v>1.9796206099999998E-2</v>
      </c>
      <c r="C68">
        <f t="shared" si="5"/>
        <v>-2.8430990415808918E-2</v>
      </c>
    </row>
    <row r="69" spans="1:3">
      <c r="A69" s="2">
        <v>69</v>
      </c>
      <c r="B69">
        <f t="shared" si="4"/>
        <v>2.0029898399999999E-2</v>
      </c>
      <c r="C69">
        <f t="shared" si="5"/>
        <v>-2.8198504628113245E-2</v>
      </c>
    </row>
    <row r="70" spans="1:3">
      <c r="A70" s="2">
        <v>70</v>
      </c>
      <c r="B70">
        <f t="shared" si="4"/>
        <v>2.02635907E-2</v>
      </c>
      <c r="C70">
        <f t="shared" si="5"/>
        <v>-2.7966048282664739E-2</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enableFormatConditionsCalculation="0"/>
  <dimension ref="A1:C70"/>
  <sheetViews>
    <sheetView workbookViewId="0"/>
  </sheetViews>
  <sheetFormatPr baseColWidth="10" defaultRowHeight="15.75"/>
  <sheetData>
    <row r="1" spans="1:3">
      <c r="A1" s="2">
        <v>1</v>
      </c>
      <c r="B1">
        <f t="shared" ref="B1:B32" si="0">0.0037032885+(A1-1)*0.0002400044</f>
        <v>3.7032885000000001E-3</v>
      </c>
      <c r="C1">
        <f t="shared" ref="C1:C32" si="1">0+1*B1+0.0480453105164085*(1.00657894736842+(B1-0.0103467566886897)^2/0.0886872119656968)^0.5</f>
        <v>5.1918298111011521E-2</v>
      </c>
    </row>
    <row r="2" spans="1:3">
      <c r="A2" s="2">
        <v>2</v>
      </c>
      <c r="B2">
        <f t="shared" si="0"/>
        <v>3.9432929E-3</v>
      </c>
      <c r="C2">
        <f t="shared" si="1"/>
        <v>5.2157457309700797E-2</v>
      </c>
    </row>
    <row r="3" spans="1:3">
      <c r="A3" s="2">
        <v>3</v>
      </c>
      <c r="B3">
        <f t="shared" si="0"/>
        <v>4.1832973000000004E-3</v>
      </c>
      <c r="C3">
        <f t="shared" si="1"/>
        <v>5.2396647590125751E-2</v>
      </c>
    </row>
    <row r="4" spans="1:3">
      <c r="A4" s="2">
        <v>4</v>
      </c>
      <c r="B4">
        <f t="shared" si="0"/>
        <v>4.4233016999999999E-3</v>
      </c>
      <c r="C4">
        <f t="shared" si="1"/>
        <v>5.2635868953860937E-2</v>
      </c>
    </row>
    <row r="5" spans="1:3">
      <c r="A5" s="2">
        <v>5</v>
      </c>
      <c r="B5">
        <f t="shared" si="0"/>
        <v>4.6633061000000003E-3</v>
      </c>
      <c r="C5">
        <f t="shared" si="1"/>
        <v>5.2875121402420872E-2</v>
      </c>
    </row>
    <row r="6" spans="1:3">
      <c r="A6" s="2">
        <v>6</v>
      </c>
      <c r="B6">
        <f t="shared" si="0"/>
        <v>4.9033104999999999E-3</v>
      </c>
      <c r="C6">
        <f t="shared" si="1"/>
        <v>5.3114404937260051E-2</v>
      </c>
    </row>
    <row r="7" spans="1:3">
      <c r="A7" s="2">
        <v>7</v>
      </c>
      <c r="B7">
        <f t="shared" si="0"/>
        <v>5.1433149000000003E-3</v>
      </c>
      <c r="C7">
        <f t="shared" si="1"/>
        <v>5.3353719559772937E-2</v>
      </c>
    </row>
    <row r="8" spans="1:3">
      <c r="A8" s="2">
        <v>8</v>
      </c>
      <c r="B8">
        <f t="shared" si="0"/>
        <v>5.3833192999999998E-3</v>
      </c>
      <c r="C8">
        <f t="shared" si="1"/>
        <v>5.3593065271293913E-2</v>
      </c>
    </row>
    <row r="9" spans="1:3">
      <c r="A9" s="2">
        <v>9</v>
      </c>
      <c r="B9">
        <f t="shared" si="0"/>
        <v>5.6233237000000002E-3</v>
      </c>
      <c r="C9">
        <f t="shared" si="1"/>
        <v>5.3832442073097293E-2</v>
      </c>
    </row>
    <row r="10" spans="1:3">
      <c r="A10" s="2">
        <v>10</v>
      </c>
      <c r="B10">
        <f t="shared" si="0"/>
        <v>5.8633281000000006E-3</v>
      </c>
      <c r="C10">
        <f t="shared" si="1"/>
        <v>5.4071849966397335E-2</v>
      </c>
    </row>
    <row r="11" spans="1:3">
      <c r="A11" s="2">
        <v>11</v>
      </c>
      <c r="B11">
        <f t="shared" si="0"/>
        <v>6.1033325000000001E-3</v>
      </c>
      <c r="C11">
        <f t="shared" si="1"/>
        <v>5.4311288952348165E-2</v>
      </c>
    </row>
    <row r="12" spans="1:3">
      <c r="A12" s="2">
        <v>12</v>
      </c>
      <c r="B12">
        <f t="shared" si="0"/>
        <v>6.3433368999999996E-3</v>
      </c>
      <c r="C12">
        <f t="shared" si="1"/>
        <v>5.4550759032043816E-2</v>
      </c>
    </row>
    <row r="13" spans="1:3">
      <c r="A13" s="2">
        <v>13</v>
      </c>
      <c r="B13">
        <f t="shared" si="0"/>
        <v>6.5833413E-3</v>
      </c>
      <c r="C13">
        <f t="shared" si="1"/>
        <v>5.4790260206518226E-2</v>
      </c>
    </row>
    <row r="14" spans="1:3">
      <c r="A14" s="2">
        <v>14</v>
      </c>
      <c r="B14">
        <f t="shared" si="0"/>
        <v>6.8233457000000004E-3</v>
      </c>
      <c r="C14">
        <f t="shared" si="1"/>
        <v>5.5029792476745179E-2</v>
      </c>
    </row>
    <row r="15" spans="1:3">
      <c r="A15" s="2">
        <v>15</v>
      </c>
      <c r="B15">
        <f t="shared" si="0"/>
        <v>7.0633501E-3</v>
      </c>
      <c r="C15">
        <f t="shared" si="1"/>
        <v>5.5269355843638325E-2</v>
      </c>
    </row>
    <row r="16" spans="1:3">
      <c r="A16" s="2">
        <v>16</v>
      </c>
      <c r="B16">
        <f t="shared" si="0"/>
        <v>7.3033544999999995E-3</v>
      </c>
      <c r="C16">
        <f t="shared" si="1"/>
        <v>5.5508950308051176E-2</v>
      </c>
    </row>
    <row r="17" spans="1:3">
      <c r="A17" s="2">
        <v>17</v>
      </c>
      <c r="B17">
        <f t="shared" si="0"/>
        <v>7.5433588999999999E-3</v>
      </c>
      <c r="C17">
        <f t="shared" si="1"/>
        <v>5.5748575870777091E-2</v>
      </c>
    </row>
    <row r="18" spans="1:3">
      <c r="A18" s="2">
        <v>18</v>
      </c>
      <c r="B18">
        <f t="shared" si="0"/>
        <v>7.7833633000000003E-3</v>
      </c>
      <c r="C18">
        <f t="shared" si="1"/>
        <v>5.5988232532549261E-2</v>
      </c>
    </row>
    <row r="19" spans="1:3">
      <c r="A19" s="2">
        <v>19</v>
      </c>
      <c r="B19">
        <f t="shared" si="0"/>
        <v>8.0233677000000007E-3</v>
      </c>
      <c r="C19">
        <f t="shared" si="1"/>
        <v>5.622792029404073E-2</v>
      </c>
    </row>
    <row r="20" spans="1:3">
      <c r="A20" s="2">
        <v>20</v>
      </c>
      <c r="B20">
        <f t="shared" si="0"/>
        <v>8.2633720999999993E-3</v>
      </c>
      <c r="C20">
        <f t="shared" si="1"/>
        <v>5.6467639155864335E-2</v>
      </c>
    </row>
    <row r="21" spans="1:3">
      <c r="A21" s="2">
        <v>21</v>
      </c>
      <c r="B21">
        <f t="shared" si="0"/>
        <v>8.5033764999999997E-3</v>
      </c>
      <c r="C21">
        <f t="shared" si="1"/>
        <v>5.670738911857276E-2</v>
      </c>
    </row>
    <row r="22" spans="1:3">
      <c r="A22" s="2">
        <v>22</v>
      </c>
      <c r="B22">
        <f t="shared" si="0"/>
        <v>8.7433809000000001E-3</v>
      </c>
      <c r="C22">
        <f t="shared" si="1"/>
        <v>5.6947170182658463E-2</v>
      </c>
    </row>
    <row r="23" spans="1:3">
      <c r="A23" s="2">
        <v>23</v>
      </c>
      <c r="B23">
        <f t="shared" si="0"/>
        <v>8.9833853000000005E-3</v>
      </c>
      <c r="C23">
        <f t="shared" si="1"/>
        <v>5.7186982348553766E-2</v>
      </c>
    </row>
    <row r="24" spans="1:3">
      <c r="A24" s="2">
        <v>24</v>
      </c>
      <c r="B24">
        <f t="shared" si="0"/>
        <v>9.2233896999999992E-3</v>
      </c>
      <c r="C24">
        <f t="shared" si="1"/>
        <v>5.7426825616630761E-2</v>
      </c>
    </row>
    <row r="25" spans="1:3">
      <c r="A25" s="2">
        <v>25</v>
      </c>
      <c r="B25">
        <f t="shared" si="0"/>
        <v>9.4633940999999996E-3</v>
      </c>
      <c r="C25">
        <f t="shared" si="1"/>
        <v>5.7666699987201343E-2</v>
      </c>
    </row>
    <row r="26" spans="1:3">
      <c r="A26" s="2">
        <v>26</v>
      </c>
      <c r="B26">
        <f t="shared" si="0"/>
        <v>9.7033985E-3</v>
      </c>
      <c r="C26">
        <f t="shared" si="1"/>
        <v>5.7906605460517228E-2</v>
      </c>
    </row>
    <row r="27" spans="1:3">
      <c r="A27" s="2">
        <v>27</v>
      </c>
      <c r="B27">
        <f t="shared" si="0"/>
        <v>9.9434029000000004E-3</v>
      </c>
      <c r="C27">
        <f t="shared" si="1"/>
        <v>5.8146542036769895E-2</v>
      </c>
    </row>
    <row r="28" spans="1:3">
      <c r="A28" s="2">
        <v>28</v>
      </c>
      <c r="B28">
        <f t="shared" si="0"/>
        <v>1.0183407299999999E-2</v>
      </c>
      <c r="C28">
        <f t="shared" si="1"/>
        <v>5.8386509716090634E-2</v>
      </c>
    </row>
    <row r="29" spans="1:3">
      <c r="A29" s="2">
        <v>29</v>
      </c>
      <c r="B29">
        <f t="shared" si="0"/>
        <v>1.0423411699999999E-2</v>
      </c>
      <c r="C29">
        <f t="shared" si="1"/>
        <v>5.8626508498550542E-2</v>
      </c>
    </row>
    <row r="30" spans="1:3">
      <c r="A30" s="2">
        <v>30</v>
      </c>
      <c r="B30">
        <f t="shared" si="0"/>
        <v>1.06634161E-2</v>
      </c>
      <c r="C30">
        <f t="shared" si="1"/>
        <v>5.8866538384160463E-2</v>
      </c>
    </row>
    <row r="31" spans="1:3">
      <c r="A31" s="2">
        <v>31</v>
      </c>
      <c r="B31">
        <f t="shared" si="0"/>
        <v>1.09034205E-2</v>
      </c>
      <c r="C31">
        <f t="shared" si="1"/>
        <v>5.9106599372871091E-2</v>
      </c>
    </row>
    <row r="32" spans="1:3">
      <c r="A32" s="2">
        <v>32</v>
      </c>
      <c r="B32">
        <f t="shared" si="0"/>
        <v>1.1143424899999999E-2</v>
      </c>
      <c r="C32">
        <f t="shared" si="1"/>
        <v>5.934669146457288E-2</v>
      </c>
    </row>
    <row r="33" spans="1:3">
      <c r="A33" s="2">
        <v>33</v>
      </c>
      <c r="B33">
        <f t="shared" ref="B33:B64" si="2">0.0037032885+(A33-1)*0.0002400044</f>
        <v>1.1383429299999999E-2</v>
      </c>
      <c r="C33">
        <f t="shared" ref="C33:C64" si="3">0+1*B33+0.0480453105164085*(1.00657894736842+(B33-0.0103467566886897)^2/0.0886872119656968)^0.5</f>
        <v>5.9586814659096092E-2</v>
      </c>
    </row>
    <row r="34" spans="1:3">
      <c r="A34" s="2">
        <v>34</v>
      </c>
      <c r="B34">
        <f t="shared" si="2"/>
        <v>1.16234337E-2</v>
      </c>
      <c r="C34">
        <f t="shared" si="3"/>
        <v>5.9826968956210744E-2</v>
      </c>
    </row>
    <row r="35" spans="1:3">
      <c r="A35" s="2">
        <v>35</v>
      </c>
      <c r="B35">
        <f t="shared" si="2"/>
        <v>1.18634381E-2</v>
      </c>
      <c r="C35">
        <f t="shared" si="3"/>
        <v>6.0067154355626706E-2</v>
      </c>
    </row>
    <row r="36" spans="1:3">
      <c r="A36" s="2">
        <v>36</v>
      </c>
      <c r="B36">
        <f t="shared" si="2"/>
        <v>1.21034425E-2</v>
      </c>
      <c r="C36">
        <f t="shared" si="3"/>
        <v>6.0307370856993607E-2</v>
      </c>
    </row>
    <row r="37" spans="1:3">
      <c r="A37" s="2">
        <v>37</v>
      </c>
      <c r="B37">
        <f t="shared" si="2"/>
        <v>1.2343446900000001E-2</v>
      </c>
      <c r="C37">
        <f t="shared" si="3"/>
        <v>6.0547618459900907E-2</v>
      </c>
    </row>
    <row r="38" spans="1:3">
      <c r="A38" s="2">
        <v>38</v>
      </c>
      <c r="B38">
        <f t="shared" si="2"/>
        <v>1.25834513E-2</v>
      </c>
      <c r="C38">
        <f t="shared" si="3"/>
        <v>6.0787897163877863E-2</v>
      </c>
    </row>
    <row r="39" spans="1:3">
      <c r="A39" s="2">
        <v>39</v>
      </c>
      <c r="B39">
        <f t="shared" si="2"/>
        <v>1.28234557E-2</v>
      </c>
      <c r="C39">
        <f t="shared" si="3"/>
        <v>6.1028206968393534E-2</v>
      </c>
    </row>
    <row r="40" spans="1:3">
      <c r="A40" s="2">
        <v>40</v>
      </c>
      <c r="B40">
        <f t="shared" si="2"/>
        <v>1.30634601E-2</v>
      </c>
      <c r="C40">
        <f t="shared" si="3"/>
        <v>6.1268547872856807E-2</v>
      </c>
    </row>
    <row r="41" spans="1:3">
      <c r="A41" s="2">
        <v>41</v>
      </c>
      <c r="B41">
        <f t="shared" si="2"/>
        <v>1.3303464500000001E-2</v>
      </c>
      <c r="C41">
        <f t="shared" si="3"/>
        <v>6.1508919876616386E-2</v>
      </c>
    </row>
    <row r="42" spans="1:3">
      <c r="A42" s="2">
        <v>42</v>
      </c>
      <c r="B42">
        <f t="shared" si="2"/>
        <v>1.3543468899999999E-2</v>
      </c>
      <c r="C42">
        <f t="shared" si="3"/>
        <v>6.1749322978960818E-2</v>
      </c>
    </row>
    <row r="43" spans="1:3">
      <c r="A43" s="2">
        <v>43</v>
      </c>
      <c r="B43">
        <f t="shared" si="2"/>
        <v>1.37834733E-2</v>
      </c>
      <c r="C43">
        <f t="shared" si="3"/>
        <v>6.1989757179118483E-2</v>
      </c>
    </row>
    <row r="44" spans="1:3">
      <c r="A44" s="2">
        <v>44</v>
      </c>
      <c r="B44">
        <f t="shared" si="2"/>
        <v>1.40234777E-2</v>
      </c>
      <c r="C44">
        <f t="shared" si="3"/>
        <v>6.2230222476257577E-2</v>
      </c>
    </row>
    <row r="45" spans="1:3">
      <c r="A45" s="2">
        <v>45</v>
      </c>
      <c r="B45">
        <f t="shared" si="2"/>
        <v>1.4263482100000001E-2</v>
      </c>
      <c r="C45">
        <f t="shared" si="3"/>
        <v>6.2470718869486186E-2</v>
      </c>
    </row>
    <row r="46" spans="1:3">
      <c r="A46" s="2">
        <v>46</v>
      </c>
      <c r="B46">
        <f t="shared" si="2"/>
        <v>1.4503486499999999E-2</v>
      </c>
      <c r="C46">
        <f t="shared" si="3"/>
        <v>6.2711246357852246E-2</v>
      </c>
    </row>
    <row r="47" spans="1:3">
      <c r="A47" s="2">
        <v>47</v>
      </c>
      <c r="B47">
        <f t="shared" si="2"/>
        <v>1.47434909E-2</v>
      </c>
      <c r="C47">
        <f t="shared" si="3"/>
        <v>6.2951804940343525E-2</v>
      </c>
    </row>
    <row r="48" spans="1:3">
      <c r="A48" s="2">
        <v>48</v>
      </c>
      <c r="B48">
        <f t="shared" si="2"/>
        <v>1.49834953E-2</v>
      </c>
      <c r="C48">
        <f t="shared" si="3"/>
        <v>6.3192394615887729E-2</v>
      </c>
    </row>
    <row r="49" spans="1:3">
      <c r="A49" s="2">
        <v>49</v>
      </c>
      <c r="B49">
        <f t="shared" si="2"/>
        <v>1.52234997E-2</v>
      </c>
      <c r="C49">
        <f t="shared" si="3"/>
        <v>6.3433015383352429E-2</v>
      </c>
    </row>
    <row r="50" spans="1:3">
      <c r="A50" s="2">
        <v>50</v>
      </c>
      <c r="B50">
        <f t="shared" si="2"/>
        <v>1.5463504100000001E-2</v>
      </c>
      <c r="C50">
        <f t="shared" si="3"/>
        <v>6.3673667241545065E-2</v>
      </c>
    </row>
    <row r="51" spans="1:3">
      <c r="A51" s="2">
        <v>51</v>
      </c>
      <c r="B51">
        <f t="shared" si="2"/>
        <v>1.5703508499999998E-2</v>
      </c>
      <c r="C51">
        <f t="shared" si="3"/>
        <v>6.3914350189213043E-2</v>
      </c>
    </row>
    <row r="52" spans="1:3">
      <c r="A52" s="2">
        <v>52</v>
      </c>
      <c r="B52">
        <f t="shared" si="2"/>
        <v>1.5943512899999998E-2</v>
      </c>
      <c r="C52">
        <f t="shared" si="3"/>
        <v>6.4155064225043662E-2</v>
      </c>
    </row>
    <row r="53" spans="1:3">
      <c r="A53" s="2">
        <v>53</v>
      </c>
      <c r="B53">
        <f t="shared" si="2"/>
        <v>1.6183517299999998E-2</v>
      </c>
      <c r="C53">
        <f t="shared" si="3"/>
        <v>6.4395809347664146E-2</v>
      </c>
    </row>
    <row r="54" spans="1:3">
      <c r="A54" s="2">
        <v>54</v>
      </c>
      <c r="B54">
        <f t="shared" si="2"/>
        <v>1.6423521699999999E-2</v>
      </c>
      <c r="C54">
        <f t="shared" si="3"/>
        <v>6.4636585555641696E-2</v>
      </c>
    </row>
    <row r="55" spans="1:3">
      <c r="A55" s="2">
        <v>55</v>
      </c>
      <c r="B55">
        <f t="shared" si="2"/>
        <v>1.6663526099999999E-2</v>
      </c>
      <c r="C55">
        <f t="shared" si="3"/>
        <v>6.4877392847483492E-2</v>
      </c>
    </row>
    <row r="56" spans="1:3">
      <c r="A56" s="2">
        <v>56</v>
      </c>
      <c r="B56">
        <f t="shared" si="2"/>
        <v>1.69035305E-2</v>
      </c>
      <c r="C56">
        <f t="shared" si="3"/>
        <v>6.5118231221636652E-2</v>
      </c>
    </row>
    <row r="57" spans="1:3">
      <c r="A57" s="2">
        <v>57</v>
      </c>
      <c r="B57">
        <f t="shared" si="2"/>
        <v>1.71435349E-2</v>
      </c>
      <c r="C57">
        <f t="shared" si="3"/>
        <v>6.5359100676488285E-2</v>
      </c>
    </row>
    <row r="58" spans="1:3">
      <c r="A58" s="2">
        <v>58</v>
      </c>
      <c r="B58">
        <f t="shared" si="2"/>
        <v>1.73835393E-2</v>
      </c>
      <c r="C58">
        <f t="shared" si="3"/>
        <v>6.5600001210365549E-2</v>
      </c>
    </row>
    <row r="59" spans="1:3">
      <c r="A59" s="2">
        <v>59</v>
      </c>
      <c r="B59">
        <f t="shared" si="2"/>
        <v>1.7623543699999997E-2</v>
      </c>
      <c r="C59">
        <f t="shared" si="3"/>
        <v>6.5840932821535594E-2</v>
      </c>
    </row>
    <row r="60" spans="1:3">
      <c r="A60" s="2">
        <v>60</v>
      </c>
      <c r="B60">
        <f t="shared" si="2"/>
        <v>1.7863548099999998E-2</v>
      </c>
      <c r="C60">
        <f t="shared" si="3"/>
        <v>6.608189550820566E-2</v>
      </c>
    </row>
    <row r="61" spans="1:3">
      <c r="A61" s="2">
        <v>61</v>
      </c>
      <c r="B61">
        <f t="shared" si="2"/>
        <v>1.8103552499999998E-2</v>
      </c>
      <c r="C61">
        <f t="shared" si="3"/>
        <v>6.6322889268522978E-2</v>
      </c>
    </row>
    <row r="62" spans="1:3">
      <c r="A62" s="2">
        <v>62</v>
      </c>
      <c r="B62">
        <f t="shared" si="2"/>
        <v>1.8343556899999999E-2</v>
      </c>
      <c r="C62">
        <f t="shared" si="3"/>
        <v>6.6563914100574884E-2</v>
      </c>
    </row>
    <row r="63" spans="1:3">
      <c r="A63" s="2">
        <v>63</v>
      </c>
      <c r="B63">
        <f t="shared" si="2"/>
        <v>1.8583561299999999E-2</v>
      </c>
      <c r="C63">
        <f t="shared" si="3"/>
        <v>6.680497000238883E-2</v>
      </c>
    </row>
    <row r="64" spans="1:3">
      <c r="A64" s="2">
        <v>64</v>
      </c>
      <c r="B64">
        <f t="shared" si="2"/>
        <v>1.8823565699999999E-2</v>
      </c>
      <c r="C64">
        <f t="shared" si="3"/>
        <v>6.7046056971932347E-2</v>
      </c>
    </row>
    <row r="65" spans="1:3">
      <c r="A65" s="2">
        <v>65</v>
      </c>
      <c r="B65">
        <f t="shared" ref="B65:B70" si="4">0.0037032885+(A65-1)*0.0002400044</f>
        <v>1.90635701E-2</v>
      </c>
      <c r="C65">
        <f t="shared" ref="C65:C70" si="5">0+1*B65+0.0480453105164085*(1.00657894736842+(B65-0.0103467566886897)^2/0.0886872119656968)^0.5</f>
        <v>6.7287175007113162E-2</v>
      </c>
    </row>
    <row r="66" spans="1:3">
      <c r="A66" s="2">
        <v>66</v>
      </c>
      <c r="B66">
        <f t="shared" si="4"/>
        <v>1.93035745E-2</v>
      </c>
      <c r="C66">
        <f t="shared" si="5"/>
        <v>6.7528324105779067E-2</v>
      </c>
    </row>
    <row r="67" spans="1:3">
      <c r="A67" s="2">
        <v>67</v>
      </c>
      <c r="B67">
        <f t="shared" si="4"/>
        <v>1.9543578899999997E-2</v>
      </c>
      <c r="C67">
        <f t="shared" si="5"/>
        <v>6.7769504265718108E-2</v>
      </c>
    </row>
    <row r="68" spans="1:3">
      <c r="A68" s="2">
        <v>68</v>
      </c>
      <c r="B68">
        <f t="shared" si="4"/>
        <v>1.9783583299999997E-2</v>
      </c>
      <c r="C68">
        <f t="shared" si="5"/>
        <v>6.8010715484658507E-2</v>
      </c>
    </row>
    <row r="69" spans="1:3">
      <c r="A69" s="2">
        <v>69</v>
      </c>
      <c r="B69">
        <f t="shared" si="4"/>
        <v>2.0023587699999998E-2</v>
      </c>
      <c r="C69">
        <f t="shared" si="5"/>
        <v>6.8251957760268656E-2</v>
      </c>
    </row>
    <row r="70" spans="1:3">
      <c r="A70" s="2">
        <v>70</v>
      </c>
      <c r="B70">
        <f t="shared" si="4"/>
        <v>2.0263592099999998E-2</v>
      </c>
      <c r="C70">
        <f t="shared" si="5"/>
        <v>6.8493231090157258E-2</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enableFormatConditionsCalculation="0"/>
  <dimension ref="A1:C70"/>
  <sheetViews>
    <sheetView workbookViewId="0"/>
  </sheetViews>
  <sheetFormatPr baseColWidth="10" defaultRowHeight="15.75"/>
  <sheetData>
    <row r="1" spans="1:3">
      <c r="A1" s="2">
        <v>1</v>
      </c>
      <c r="B1">
        <f t="shared" ref="B1:B32" si="0">-4.198+(A1-1)*1.4379130435</f>
        <v>-4.1980000000000004</v>
      </c>
      <c r="C1">
        <f t="shared" ref="C1:C32" si="1">0.0135257129260354+-0.00012096696901896*B1-0.048296231409623*(0.00657894736842105+(B1-26.2795394736842)^2/86418.9042677632)^0.5</f>
        <v>7.6761031411430748E-3</v>
      </c>
    </row>
    <row r="2" spans="1:3">
      <c r="A2" s="2">
        <v>2</v>
      </c>
      <c r="B2">
        <f t="shared" si="0"/>
        <v>-2.7600869565000004</v>
      </c>
      <c r="C2">
        <f t="shared" si="1"/>
        <v>7.6865048739285756E-3</v>
      </c>
    </row>
    <row r="3" spans="1:3">
      <c r="A3" s="2">
        <v>3</v>
      </c>
      <c r="B3">
        <f t="shared" si="0"/>
        <v>-1.3221739130000003</v>
      </c>
      <c r="C3">
        <f t="shared" si="1"/>
        <v>7.6932634793072377E-3</v>
      </c>
    </row>
    <row r="4" spans="1:3">
      <c r="A4" s="2">
        <v>4</v>
      </c>
      <c r="B4">
        <f t="shared" si="0"/>
        <v>0.11573913049999973</v>
      </c>
      <c r="C4">
        <f t="shared" si="1"/>
        <v>7.6960393608792527E-3</v>
      </c>
    </row>
    <row r="5" spans="1:3">
      <c r="A5" s="2">
        <v>5</v>
      </c>
      <c r="B5">
        <f t="shared" si="0"/>
        <v>1.5536521739999998</v>
      </c>
      <c r="C5">
        <f t="shared" si="1"/>
        <v>7.6944583588077747E-3</v>
      </c>
    </row>
    <row r="6" spans="1:3">
      <c r="A6" s="2">
        <v>6</v>
      </c>
      <c r="B6">
        <f t="shared" si="0"/>
        <v>2.9915652174999998</v>
      </c>
      <c r="C6">
        <f t="shared" si="1"/>
        <v>7.6881090336207054E-3</v>
      </c>
    </row>
    <row r="7" spans="1:3">
      <c r="A7" s="2">
        <v>7</v>
      </c>
      <c r="B7">
        <f t="shared" si="0"/>
        <v>4.4294782609999999</v>
      </c>
      <c r="C7">
        <f t="shared" si="1"/>
        <v>7.6765401671556001E-3</v>
      </c>
    </row>
    <row r="8" spans="1:3">
      <c r="A8" s="2">
        <v>8</v>
      </c>
      <c r="B8">
        <f t="shared" si="0"/>
        <v>5.8673913044999999</v>
      </c>
      <c r="C8">
        <f t="shared" si="1"/>
        <v>7.6592586857612945E-3</v>
      </c>
    </row>
    <row r="9" spans="1:3">
      <c r="A9" s="2">
        <v>9</v>
      </c>
      <c r="B9">
        <f t="shared" si="0"/>
        <v>7.3053043479999999</v>
      </c>
      <c r="C9">
        <f t="shared" si="1"/>
        <v>7.6357282769099902E-3</v>
      </c>
    </row>
    <row r="10" spans="1:3">
      <c r="A10" s="2">
        <v>10</v>
      </c>
      <c r="B10">
        <f t="shared" si="0"/>
        <v>8.7432173915</v>
      </c>
      <c r="C10">
        <f t="shared" si="1"/>
        <v>7.6053690443036778E-3</v>
      </c>
    </row>
    <row r="11" spans="1:3">
      <c r="A11" s="2">
        <v>11</v>
      </c>
      <c r="B11">
        <f t="shared" si="0"/>
        <v>10.181130435</v>
      </c>
      <c r="C11">
        <f t="shared" si="1"/>
        <v>7.5675586224205138E-3</v>
      </c>
    </row>
    <row r="12" spans="1:3">
      <c r="A12" s="2">
        <v>12</v>
      </c>
      <c r="B12">
        <f t="shared" si="0"/>
        <v>11.6190434785</v>
      </c>
      <c r="C12">
        <f t="shared" si="1"/>
        <v>7.5216352384047599E-3</v>
      </c>
    </row>
    <row r="13" spans="1:3">
      <c r="A13" s="2">
        <v>13</v>
      </c>
      <c r="B13">
        <f t="shared" si="0"/>
        <v>13.056956522</v>
      </c>
      <c r="C13">
        <f t="shared" si="1"/>
        <v>7.4669032502658137E-3</v>
      </c>
    </row>
    <row r="14" spans="1:3">
      <c r="A14" s="2">
        <v>14</v>
      </c>
      <c r="B14">
        <f t="shared" si="0"/>
        <v>14.4948695655</v>
      </c>
      <c r="C14">
        <f t="shared" si="1"/>
        <v>7.4026416819537606E-3</v>
      </c>
    </row>
    <row r="15" spans="1:3">
      <c r="A15" s="2">
        <v>15</v>
      </c>
      <c r="B15">
        <f t="shared" si="0"/>
        <v>15.932782609</v>
      </c>
      <c r="C15">
        <f t="shared" si="1"/>
        <v>7.3281161894094907E-3</v>
      </c>
    </row>
    <row r="16" spans="1:3">
      <c r="A16" s="2">
        <v>16</v>
      </c>
      <c r="B16">
        <f t="shared" si="0"/>
        <v>17.3706956525</v>
      </c>
      <c r="C16">
        <f t="shared" si="1"/>
        <v>7.2425946982497564E-3</v>
      </c>
    </row>
    <row r="17" spans="1:3">
      <c r="A17" s="2">
        <v>17</v>
      </c>
      <c r="B17">
        <f t="shared" si="0"/>
        <v>18.808608696</v>
      </c>
      <c r="C17">
        <f t="shared" si="1"/>
        <v>7.1453666331226014E-3</v>
      </c>
    </row>
    <row r="18" spans="1:3">
      <c r="A18" s="2">
        <v>18</v>
      </c>
      <c r="B18">
        <f t="shared" si="0"/>
        <v>20.2465217395</v>
      </c>
      <c r="C18">
        <f t="shared" si="1"/>
        <v>7.0357652122164348E-3</v>
      </c>
    </row>
    <row r="19" spans="1:3">
      <c r="A19" s="2">
        <v>19</v>
      </c>
      <c r="B19">
        <f t="shared" si="0"/>
        <v>21.684434783</v>
      </c>
      <c r="C19">
        <f t="shared" si="1"/>
        <v>6.9131917443781814E-3</v>
      </c>
    </row>
    <row r="20" spans="1:3">
      <c r="A20" s="2">
        <v>20</v>
      </c>
      <c r="B20">
        <f t="shared" si="0"/>
        <v>23.1223478265</v>
      </c>
      <c r="C20">
        <f t="shared" si="1"/>
        <v>6.777140320923739E-3</v>
      </c>
    </row>
    <row r="21" spans="1:3">
      <c r="A21" s="2">
        <v>21</v>
      </c>
      <c r="B21">
        <f t="shared" si="0"/>
        <v>24.56026087</v>
      </c>
      <c r="C21">
        <f t="shared" si="1"/>
        <v>6.6272208584786186E-3</v>
      </c>
    </row>
    <row r="22" spans="1:3">
      <c r="A22" s="2">
        <v>22</v>
      </c>
      <c r="B22">
        <f t="shared" si="0"/>
        <v>25.998173913500001</v>
      </c>
      <c r="C22">
        <f t="shared" si="1"/>
        <v>6.4631782566237665E-3</v>
      </c>
    </row>
    <row r="23" spans="1:3">
      <c r="A23" s="2">
        <v>23</v>
      </c>
      <c r="B23">
        <f t="shared" si="0"/>
        <v>27.436086957000001</v>
      </c>
      <c r="C23">
        <f t="shared" si="1"/>
        <v>6.2849055909223774E-3</v>
      </c>
    </row>
    <row r="24" spans="1:3">
      <c r="A24" s="2">
        <v>24</v>
      </c>
      <c r="B24">
        <f t="shared" si="0"/>
        <v>28.874000000499997</v>
      </c>
      <c r="C24">
        <f t="shared" si="1"/>
        <v>6.0924498005227104E-3</v>
      </c>
    </row>
    <row r="25" spans="1:3">
      <c r="A25" s="2">
        <v>25</v>
      </c>
      <c r="B25">
        <f t="shared" si="0"/>
        <v>30.311913044000001</v>
      </c>
      <c r="C25">
        <f t="shared" si="1"/>
        <v>5.8860091798145844E-3</v>
      </c>
    </row>
    <row r="26" spans="1:3">
      <c r="A26" s="2">
        <v>26</v>
      </c>
      <c r="B26">
        <f t="shared" si="0"/>
        <v>31.749826087500004</v>
      </c>
      <c r="C26">
        <f t="shared" si="1"/>
        <v>5.6659229805919049E-3</v>
      </c>
    </row>
    <row r="27" spans="1:3">
      <c r="A27" s="2">
        <v>27</v>
      </c>
      <c r="B27">
        <f t="shared" si="0"/>
        <v>33.187739131000001</v>
      </c>
      <c r="C27">
        <f t="shared" si="1"/>
        <v>5.432654362536214E-3</v>
      </c>
    </row>
    <row r="28" spans="1:3">
      <c r="A28" s="2">
        <v>28</v>
      </c>
      <c r="B28">
        <f t="shared" si="0"/>
        <v>34.625652174499997</v>
      </c>
      <c r="C28">
        <f t="shared" si="1"/>
        <v>5.1867686046487812E-3</v>
      </c>
    </row>
    <row r="29" spans="1:3">
      <c r="A29" s="2">
        <v>29</v>
      </c>
      <c r="B29">
        <f t="shared" si="0"/>
        <v>36.063565218000001</v>
      </c>
      <c r="C29">
        <f t="shared" si="1"/>
        <v>4.9289087979712412E-3</v>
      </c>
    </row>
    <row r="30" spans="1:3">
      <c r="A30" s="2">
        <v>30</v>
      </c>
      <c r="B30">
        <f t="shared" si="0"/>
        <v>37.501478261500004</v>
      </c>
      <c r="C30">
        <f t="shared" si="1"/>
        <v>4.6597711745687683E-3</v>
      </c>
    </row>
    <row r="31" spans="1:3">
      <c r="A31" s="2">
        <v>31</v>
      </c>
      <c r="B31">
        <f t="shared" si="0"/>
        <v>38.939391305000001</v>
      </c>
      <c r="C31">
        <f t="shared" si="1"/>
        <v>4.3800818717136545E-3</v>
      </c>
    </row>
    <row r="32" spans="1:3">
      <c r="A32" s="2">
        <v>32</v>
      </c>
      <c r="B32">
        <f t="shared" si="0"/>
        <v>40.377304348499997</v>
      </c>
      <c r="C32">
        <f t="shared" si="1"/>
        <v>4.0905764120036043E-3</v>
      </c>
    </row>
    <row r="33" spans="1:3">
      <c r="A33" s="2">
        <v>33</v>
      </c>
      <c r="B33">
        <f t="shared" ref="B33:B64" si="2">-4.198+(A33-1)*1.4379130435</f>
        <v>41.815217392000001</v>
      </c>
      <c r="C33">
        <f t="shared" ref="C33:C64" si="3">0.0135257129260354+-0.00012096696901896*B33-0.048296231409623*(0.00657894736842105+(B33-26.2795394736842)^2/86418.9042677632)^0.5</f>
        <v>3.7919826284783095E-3</v>
      </c>
    </row>
    <row r="34" spans="1:3">
      <c r="A34" s="2">
        <v>34</v>
      </c>
      <c r="B34">
        <f t="shared" si="2"/>
        <v>43.253130435500005</v>
      </c>
      <c r="C34">
        <f t="shared" si="3"/>
        <v>3.485007275560564E-3</v>
      </c>
    </row>
    <row r="35" spans="1:3">
      <c r="A35" s="2">
        <v>35</v>
      </c>
      <c r="B35">
        <f t="shared" si="2"/>
        <v>44.691043479000001</v>
      </c>
      <c r="C35">
        <f t="shared" si="3"/>
        <v>3.17032619493167E-3</v>
      </c>
    </row>
    <row r="36" spans="1:3">
      <c r="A36" s="2">
        <v>36</v>
      </c>
      <c r="B36">
        <f t="shared" si="2"/>
        <v>46.128956522499998</v>
      </c>
      <c r="C36">
        <f t="shared" si="3"/>
        <v>2.848577663774509E-3</v>
      </c>
    </row>
    <row r="37" spans="1:3">
      <c r="A37" s="2">
        <v>37</v>
      </c>
      <c r="B37">
        <f t="shared" si="2"/>
        <v>47.566869566000001</v>
      </c>
      <c r="C37">
        <f t="shared" si="3"/>
        <v>2.5203584276943282E-3</v>
      </c>
    </row>
    <row r="38" spans="1:3">
      <c r="A38" s="2">
        <v>38</v>
      </c>
      <c r="B38">
        <f t="shared" si="2"/>
        <v>49.004782609500005</v>
      </c>
      <c r="C38">
        <f t="shared" si="3"/>
        <v>2.1862218852466715E-3</v>
      </c>
    </row>
    <row r="39" spans="1:3">
      <c r="A39" s="2">
        <v>39</v>
      </c>
      <c r="B39">
        <f t="shared" si="2"/>
        <v>50.442695653000001</v>
      </c>
      <c r="C39">
        <f t="shared" si="3"/>
        <v>1.8466779158550503E-3</v>
      </c>
    </row>
    <row r="40" spans="1:3">
      <c r="A40" s="2">
        <v>40</v>
      </c>
      <c r="B40">
        <f t="shared" si="2"/>
        <v>51.880608696499998</v>
      </c>
      <c r="C40">
        <f t="shared" si="3"/>
        <v>1.5021939021167456E-3</v>
      </c>
    </row>
    <row r="41" spans="1:3">
      <c r="A41" s="2">
        <v>41</v>
      </c>
      <c r="B41">
        <f t="shared" si="2"/>
        <v>53.318521740000001</v>
      </c>
      <c r="C41">
        <f t="shared" si="3"/>
        <v>1.1531965714795984E-3</v>
      </c>
    </row>
    <row r="42" spans="1:3">
      <c r="A42" s="2">
        <v>42</v>
      </c>
      <c r="B42">
        <f t="shared" si="2"/>
        <v>54.756434783500005</v>
      </c>
      <c r="C42">
        <f t="shared" si="3"/>
        <v>8.0007435790505413E-4</v>
      </c>
    </row>
    <row r="43" spans="1:3">
      <c r="A43" s="2">
        <v>43</v>
      </c>
      <c r="B43">
        <f t="shared" si="2"/>
        <v>56.194347827000001</v>
      </c>
      <c r="C43">
        <f t="shared" si="3"/>
        <v>4.4318005372033162E-4</v>
      </c>
    </row>
    <row r="44" spans="1:3">
      <c r="A44" s="2">
        <v>44</v>
      </c>
      <c r="B44">
        <f t="shared" si="2"/>
        <v>57.632260870499998</v>
      </c>
      <c r="C44">
        <f t="shared" si="3"/>
        <v>8.2833581698535733E-5</v>
      </c>
    </row>
    <row r="45" spans="1:3">
      <c r="A45" s="2">
        <v>45</v>
      </c>
      <c r="B45">
        <f t="shared" si="2"/>
        <v>59.070173914000002</v>
      </c>
      <c r="C45">
        <f t="shared" si="3"/>
        <v>-2.8067523359335145E-4</v>
      </c>
    </row>
    <row r="46" spans="1:3">
      <c r="A46" s="2">
        <v>46</v>
      </c>
      <c r="B46">
        <f t="shared" si="2"/>
        <v>60.508086957500005</v>
      </c>
      <c r="C46">
        <f t="shared" si="3"/>
        <v>-6.4708397751287415E-4</v>
      </c>
    </row>
    <row r="47" spans="1:3">
      <c r="A47" s="2">
        <v>47</v>
      </c>
      <c r="B47">
        <f t="shared" si="2"/>
        <v>61.946000000999994</v>
      </c>
      <c r="C47">
        <f t="shared" si="3"/>
        <v>-1.0161550929752633E-3</v>
      </c>
    </row>
    <row r="48" spans="1:3">
      <c r="A48" s="2">
        <v>48</v>
      </c>
      <c r="B48">
        <f t="shared" si="2"/>
        <v>63.383913044499998</v>
      </c>
      <c r="C48">
        <f t="shared" si="3"/>
        <v>-1.3876734949847831E-3</v>
      </c>
    </row>
    <row r="49" spans="1:3">
      <c r="A49" s="2">
        <v>49</v>
      </c>
      <c r="B49">
        <f t="shared" si="2"/>
        <v>64.821826087999995</v>
      </c>
      <c r="C49">
        <f t="shared" si="3"/>
        <v>-1.7614443672890803E-3</v>
      </c>
    </row>
    <row r="50" spans="1:3">
      <c r="A50" s="2">
        <v>50</v>
      </c>
      <c r="B50">
        <f t="shared" si="2"/>
        <v>66.259739131499998</v>
      </c>
      <c r="C50">
        <f t="shared" si="3"/>
        <v>-2.1372911453660746E-3</v>
      </c>
    </row>
    <row r="51" spans="1:3">
      <c r="A51" s="2">
        <v>51</v>
      </c>
      <c r="B51">
        <f t="shared" si="2"/>
        <v>67.697652175000002</v>
      </c>
      <c r="C51">
        <f t="shared" si="3"/>
        <v>-2.5150536825278343E-3</v>
      </c>
    </row>
    <row r="52" spans="1:3">
      <c r="A52" s="2">
        <v>52</v>
      </c>
      <c r="B52">
        <f t="shared" si="2"/>
        <v>69.135565218500005</v>
      </c>
      <c r="C52">
        <f t="shared" si="3"/>
        <v>-2.89458659115727E-3</v>
      </c>
    </row>
    <row r="53" spans="1:3">
      <c r="A53" s="2">
        <v>53</v>
      </c>
      <c r="B53">
        <f t="shared" si="2"/>
        <v>70.573478262000009</v>
      </c>
      <c r="C53">
        <f t="shared" si="3"/>
        <v>-3.2757577482472426E-3</v>
      </c>
    </row>
    <row r="54" spans="1:3">
      <c r="A54" s="2">
        <v>54</v>
      </c>
      <c r="B54">
        <f t="shared" si="2"/>
        <v>72.011391305500013</v>
      </c>
      <c r="C54">
        <f t="shared" si="3"/>
        <v>-3.6584469529261626E-3</v>
      </c>
    </row>
    <row r="55" spans="1:3">
      <c r="A55" s="2">
        <v>55</v>
      </c>
      <c r="B55">
        <f t="shared" si="2"/>
        <v>73.449304348999988</v>
      </c>
      <c r="C55">
        <f t="shared" si="3"/>
        <v>-4.0425447231072342E-3</v>
      </c>
    </row>
    <row r="56" spans="1:3">
      <c r="A56" s="2">
        <v>56</v>
      </c>
      <c r="B56">
        <f t="shared" si="2"/>
        <v>74.887217392499991</v>
      </c>
      <c r="C56">
        <f t="shared" si="3"/>
        <v>-4.4279512184794492E-3</v>
      </c>
    </row>
    <row r="57" spans="1:3">
      <c r="A57" s="2">
        <v>57</v>
      </c>
      <c r="B57">
        <f t="shared" si="2"/>
        <v>76.325130435999995</v>
      </c>
      <c r="C57">
        <f t="shared" si="3"/>
        <v>-4.8145752775416023E-3</v>
      </c>
    </row>
    <row r="58" spans="1:3">
      <c r="A58" s="2">
        <v>58</v>
      </c>
      <c r="B58">
        <f t="shared" si="2"/>
        <v>77.763043479499999</v>
      </c>
      <c r="C58">
        <f t="shared" si="3"/>
        <v>-5.2023335571062743E-3</v>
      </c>
    </row>
    <row r="59" spans="1:3">
      <c r="A59" s="2">
        <v>59</v>
      </c>
      <c r="B59">
        <f t="shared" si="2"/>
        <v>79.200956523000002</v>
      </c>
      <c r="C59">
        <f t="shared" si="3"/>
        <v>-5.5911497635556112E-3</v>
      </c>
    </row>
    <row r="60" spans="1:3">
      <c r="A60" s="2">
        <v>60</v>
      </c>
      <c r="B60">
        <f t="shared" si="2"/>
        <v>80.638869566500006</v>
      </c>
      <c r="C60">
        <f t="shared" si="3"/>
        <v>-5.9809539660394158E-3</v>
      </c>
    </row>
    <row r="61" spans="1:3">
      <c r="A61" s="2">
        <v>61</v>
      </c>
      <c r="B61">
        <f t="shared" si="2"/>
        <v>82.076782610000009</v>
      </c>
      <c r="C61">
        <f t="shared" si="3"/>
        <v>-6.3716819827164643E-3</v>
      </c>
    </row>
    <row r="62" spans="1:3">
      <c r="A62" s="2">
        <v>62</v>
      </c>
      <c r="B62">
        <f t="shared" si="2"/>
        <v>83.514695653500013</v>
      </c>
      <c r="C62">
        <f t="shared" si="3"/>
        <v>-6.7632748320202527E-3</v>
      </c>
    </row>
    <row r="63" spans="1:3">
      <c r="A63" s="2">
        <v>63</v>
      </c>
      <c r="B63">
        <f t="shared" si="2"/>
        <v>84.952608696999988</v>
      </c>
      <c r="C63">
        <f t="shared" si="3"/>
        <v>-7.1556782417603135E-3</v>
      </c>
    </row>
    <row r="64" spans="1:3">
      <c r="A64" s="2">
        <v>64</v>
      </c>
      <c r="B64">
        <f t="shared" si="2"/>
        <v>86.390521740499992</v>
      </c>
      <c r="C64">
        <f t="shared" si="3"/>
        <v>-7.5488422096396425E-3</v>
      </c>
    </row>
    <row r="65" spans="1:3">
      <c r="A65" s="2">
        <v>65</v>
      </c>
      <c r="B65">
        <f t="shared" ref="B65:B70" si="4">-4.198+(A65-1)*1.4379130435</f>
        <v>87.828434783999995</v>
      </c>
      <c r="C65">
        <f t="shared" ref="C65:C70" si="5">0.0135257129260354+-0.00012096696901896*B65-0.048296231409623*(0.00657894736842105+(B65-26.2795394736842)^2/86418.9042677632)^0.5</f>
        <v>-7.9427206094723184E-3</v>
      </c>
    </row>
    <row r="66" spans="1:3">
      <c r="A66" s="2">
        <v>66</v>
      </c>
      <c r="B66">
        <f t="shared" si="4"/>
        <v>89.266347827499999</v>
      </c>
      <c r="C66">
        <f t="shared" si="5"/>
        <v>-8.3372708380236148E-3</v>
      </c>
    </row>
    <row r="67" spans="1:3">
      <c r="A67" s="2">
        <v>67</v>
      </c>
      <c r="B67">
        <f t="shared" si="4"/>
        <v>90.704260871000002</v>
      </c>
      <c r="C67">
        <f t="shared" si="5"/>
        <v>-8.7324534979683378E-3</v>
      </c>
    </row>
    <row r="68" spans="1:3">
      <c r="A68" s="2">
        <v>68</v>
      </c>
      <c r="B68">
        <f t="shared" si="4"/>
        <v>92.142173914500006</v>
      </c>
      <c r="C68">
        <f t="shared" si="5"/>
        <v>-9.128232112976838E-3</v>
      </c>
    </row>
    <row r="69" spans="1:3">
      <c r="A69" s="2">
        <v>69</v>
      </c>
      <c r="B69">
        <f t="shared" si="4"/>
        <v>93.58008695800001</v>
      </c>
      <c r="C69">
        <f t="shared" si="5"/>
        <v>-9.5245728713954352E-3</v>
      </c>
    </row>
    <row r="70" spans="1:3">
      <c r="A70" s="2">
        <v>70</v>
      </c>
      <c r="B70">
        <f t="shared" si="4"/>
        <v>95.018000001500013</v>
      </c>
      <c r="C70">
        <f t="shared" si="5"/>
        <v>-9.9214443953941963E-3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30.1437172995779+0.167053795618833*B1+78.837779537689*(1.00625+(B1-35.4678125)^2/90617.540334375)^0.5</f>
        <v>108.90097862974552</v>
      </c>
    </row>
    <row r="2" spans="1:3">
      <c r="A2" s="2">
        <v>2</v>
      </c>
      <c r="B2">
        <f t="shared" si="0"/>
        <v>-5.4883030303</v>
      </c>
      <c r="C2">
        <f t="shared" si="1"/>
        <v>109.03473009115345</v>
      </c>
    </row>
    <row r="3" spans="1:3">
      <c r="A3" s="2">
        <v>3</v>
      </c>
      <c r="B3">
        <f t="shared" si="0"/>
        <v>-4.4706060605999998</v>
      </c>
      <c r="C3">
        <f t="shared" si="1"/>
        <v>109.16935559015143</v>
      </c>
    </row>
    <row r="4" spans="1:3">
      <c r="A4" s="2">
        <v>4</v>
      </c>
      <c r="B4">
        <f t="shared" si="0"/>
        <v>-3.4529090909000004</v>
      </c>
      <c r="C4">
        <f t="shared" si="1"/>
        <v>109.30485629033235</v>
      </c>
    </row>
    <row r="5" spans="1:3">
      <c r="A5" s="2">
        <v>5</v>
      </c>
      <c r="B5">
        <f t="shared" si="0"/>
        <v>-2.4352121212000002</v>
      </c>
      <c r="C5">
        <f t="shared" si="1"/>
        <v>109.44123332849915</v>
      </c>
    </row>
    <row r="6" spans="1:3">
      <c r="A6" s="2">
        <v>6</v>
      </c>
      <c r="B6">
        <f t="shared" si="0"/>
        <v>-1.4175151515</v>
      </c>
      <c r="C6">
        <f t="shared" si="1"/>
        <v>109.57848781448183</v>
      </c>
    </row>
    <row r="7" spans="1:3">
      <c r="A7" s="2">
        <v>7</v>
      </c>
      <c r="B7">
        <f t="shared" si="0"/>
        <v>-0.39981818180000062</v>
      </c>
      <c r="C7">
        <f t="shared" si="1"/>
        <v>109.71662083095822</v>
      </c>
    </row>
    <row r="8" spans="1:3">
      <c r="A8" s="2">
        <v>8</v>
      </c>
      <c r="B8">
        <f t="shared" si="0"/>
        <v>0.61787878789999962</v>
      </c>
      <c r="C8">
        <f t="shared" si="1"/>
        <v>109.85563343327885</v>
      </c>
    </row>
    <row r="9" spans="1:3">
      <c r="A9" s="2">
        <v>9</v>
      </c>
      <c r="B9">
        <f t="shared" si="0"/>
        <v>1.6355757575999998</v>
      </c>
      <c r="C9">
        <f t="shared" si="1"/>
        <v>109.9955266492956</v>
      </c>
    </row>
    <row r="10" spans="1:3">
      <c r="A10" s="2">
        <v>10</v>
      </c>
      <c r="B10">
        <f t="shared" si="0"/>
        <v>2.6532727272999992</v>
      </c>
      <c r="C10">
        <f t="shared" si="1"/>
        <v>110.13630147919433</v>
      </c>
    </row>
    <row r="11" spans="1:3">
      <c r="A11" s="2">
        <v>11</v>
      </c>
      <c r="B11">
        <f t="shared" si="0"/>
        <v>3.6709696970000003</v>
      </c>
      <c r="C11">
        <f t="shared" si="1"/>
        <v>110.27795889533175</v>
      </c>
    </row>
    <row r="12" spans="1:3">
      <c r="A12" s="2">
        <v>12</v>
      </c>
      <c r="B12">
        <f t="shared" si="0"/>
        <v>4.6886666666999997</v>
      </c>
      <c r="C12">
        <f t="shared" si="1"/>
        <v>110.42049984207634</v>
      </c>
    </row>
    <row r="13" spans="1:3">
      <c r="A13" s="2">
        <v>13</v>
      </c>
      <c r="B13">
        <f t="shared" si="0"/>
        <v>5.706363636399999</v>
      </c>
      <c r="C13">
        <f t="shared" si="1"/>
        <v>110.56392523565344</v>
      </c>
    </row>
    <row r="14" spans="1:3">
      <c r="A14" s="2">
        <v>14</v>
      </c>
      <c r="B14">
        <f t="shared" si="0"/>
        <v>6.7240606061000001</v>
      </c>
      <c r="C14">
        <f t="shared" si="1"/>
        <v>110.70823596399468</v>
      </c>
    </row>
    <row r="15" spans="1:3">
      <c r="A15" s="2">
        <v>15</v>
      </c>
      <c r="B15">
        <f t="shared" si="0"/>
        <v>7.7417575757999995</v>
      </c>
      <c r="C15">
        <f t="shared" si="1"/>
        <v>110.85343288659172</v>
      </c>
    </row>
    <row r="16" spans="1:3">
      <c r="A16" s="2">
        <v>16</v>
      </c>
      <c r="B16">
        <f t="shared" si="0"/>
        <v>8.7594545455000006</v>
      </c>
      <c r="C16">
        <f t="shared" si="1"/>
        <v>110.99951683435421</v>
      </c>
    </row>
    <row r="17" spans="1:3">
      <c r="A17" s="2">
        <v>17</v>
      </c>
      <c r="B17">
        <f t="shared" si="0"/>
        <v>9.7771515151999999</v>
      </c>
      <c r="C17">
        <f t="shared" si="1"/>
        <v>111.14648860947237</v>
      </c>
    </row>
    <row r="18" spans="1:3">
      <c r="A18" s="2">
        <v>18</v>
      </c>
      <c r="B18">
        <f t="shared" si="0"/>
        <v>10.794848484900001</v>
      </c>
      <c r="C18">
        <f t="shared" si="1"/>
        <v>111.29434898528409</v>
      </c>
    </row>
    <row r="19" spans="1:3">
      <c r="A19" s="2">
        <v>19</v>
      </c>
      <c r="B19">
        <f t="shared" si="0"/>
        <v>11.812545454599999</v>
      </c>
      <c r="C19">
        <f t="shared" si="1"/>
        <v>111.4430987061462</v>
      </c>
    </row>
    <row r="20" spans="1:3">
      <c r="A20" s="2">
        <v>20</v>
      </c>
      <c r="B20">
        <f t="shared" si="0"/>
        <v>12.8302424243</v>
      </c>
      <c r="C20">
        <f t="shared" si="1"/>
        <v>111.59273848731078</v>
      </c>
    </row>
    <row r="21" spans="1:3">
      <c r="A21" s="2">
        <v>21</v>
      </c>
      <c r="B21">
        <f t="shared" si="0"/>
        <v>13.847939394000001</v>
      </c>
      <c r="C21">
        <f t="shared" si="1"/>
        <v>111.74326901480572</v>
      </c>
    </row>
    <row r="22" spans="1:3">
      <c r="A22" s="2">
        <v>22</v>
      </c>
      <c r="B22">
        <f t="shared" si="0"/>
        <v>14.865636363699998</v>
      </c>
      <c r="C22">
        <f t="shared" si="1"/>
        <v>111.89469094532024</v>
      </c>
    </row>
    <row r="23" spans="1:3">
      <c r="A23" s="2">
        <v>23</v>
      </c>
      <c r="B23">
        <f t="shared" si="0"/>
        <v>15.8833333334</v>
      </c>
      <c r="C23">
        <f t="shared" si="1"/>
        <v>112.04700490609488</v>
      </c>
    </row>
    <row r="24" spans="1:3">
      <c r="A24" s="2">
        <v>24</v>
      </c>
      <c r="B24">
        <f t="shared" si="0"/>
        <v>16.901030303100001</v>
      </c>
      <c r="C24">
        <f t="shared" si="1"/>
        <v>112.20021149481647</v>
      </c>
    </row>
    <row r="25" spans="1:3">
      <c r="A25" s="2">
        <v>25</v>
      </c>
      <c r="B25">
        <f t="shared" si="0"/>
        <v>17.918727272799998</v>
      </c>
      <c r="C25">
        <f t="shared" si="1"/>
        <v>112.3543112795177</v>
      </c>
    </row>
    <row r="26" spans="1:3">
      <c r="A26" s="2">
        <v>26</v>
      </c>
      <c r="B26">
        <f t="shared" si="0"/>
        <v>18.936424242499999</v>
      </c>
      <c r="C26">
        <f t="shared" si="1"/>
        <v>112.50930479848174</v>
      </c>
    </row>
    <row r="27" spans="1:3">
      <c r="A27" s="2">
        <v>27</v>
      </c>
      <c r="B27">
        <f t="shared" si="0"/>
        <v>19.9541212122</v>
      </c>
      <c r="C27">
        <f t="shared" si="1"/>
        <v>112.6651925601515</v>
      </c>
    </row>
    <row r="28" spans="1:3">
      <c r="A28" s="2">
        <v>28</v>
      </c>
      <c r="B28">
        <f t="shared" si="0"/>
        <v>20.971818181900002</v>
      </c>
      <c r="C28">
        <f t="shared" si="1"/>
        <v>112.82197504304398</v>
      </c>
    </row>
    <row r="29" spans="1:3">
      <c r="A29" s="2">
        <v>29</v>
      </c>
      <c r="B29">
        <f t="shared" si="0"/>
        <v>21.989515151599999</v>
      </c>
      <c r="C29">
        <f t="shared" si="1"/>
        <v>112.97965269566951</v>
      </c>
    </row>
    <row r="30" spans="1:3">
      <c r="A30" s="2">
        <v>30</v>
      </c>
      <c r="B30">
        <f t="shared" si="0"/>
        <v>23.0072121213</v>
      </c>
      <c r="C30">
        <f t="shared" si="1"/>
        <v>113.138225936456</v>
      </c>
    </row>
    <row r="31" spans="1:3">
      <c r="A31" s="2">
        <v>31</v>
      </c>
      <c r="B31">
        <f t="shared" si="0"/>
        <v>24.024909091000001</v>
      </c>
      <c r="C31">
        <f t="shared" si="1"/>
        <v>113.29769515367803</v>
      </c>
    </row>
    <row r="32" spans="1:3">
      <c r="A32" s="2">
        <v>32</v>
      </c>
      <c r="B32">
        <f t="shared" si="0"/>
        <v>25.042606060699999</v>
      </c>
      <c r="C32">
        <f t="shared" si="1"/>
        <v>113.4580607053913</v>
      </c>
    </row>
    <row r="33" spans="1:3">
      <c r="A33" s="2">
        <v>33</v>
      </c>
      <c r="B33">
        <f t="shared" ref="B33:B64" si="2">-6.506+(A33-1)*1.0176969697</f>
        <v>26.0603030304</v>
      </c>
      <c r="C33">
        <f t="shared" ref="C33:C64" si="3">30.1437172995779+0.167053795618833*B33+78.837779537689*(1.00625+(B33-35.4678125)^2/90617.540334375)^0.5</f>
        <v>113.6193229193718</v>
      </c>
    </row>
    <row r="34" spans="1:3">
      <c r="A34" s="2">
        <v>34</v>
      </c>
      <c r="B34">
        <f t="shared" si="2"/>
        <v>27.078000000099998</v>
      </c>
      <c r="C34">
        <f t="shared" si="3"/>
        <v>113.78148209306025</v>
      </c>
    </row>
    <row r="35" spans="1:3">
      <c r="A35" s="2">
        <v>35</v>
      </c>
      <c r="B35">
        <f t="shared" si="2"/>
        <v>28.095696969800002</v>
      </c>
      <c r="C35">
        <f t="shared" si="3"/>
        <v>113.94453849351163</v>
      </c>
    </row>
    <row r="36" spans="1:3">
      <c r="A36" s="2">
        <v>36</v>
      </c>
      <c r="B36">
        <f t="shared" si="2"/>
        <v>29.1133939395</v>
      </c>
      <c r="C36">
        <f t="shared" si="3"/>
        <v>114.1084923573498</v>
      </c>
    </row>
    <row r="37" spans="1:3">
      <c r="A37" s="2">
        <v>37</v>
      </c>
      <c r="B37">
        <f t="shared" si="2"/>
        <v>30.131090909199997</v>
      </c>
      <c r="C37">
        <f t="shared" si="3"/>
        <v>114.27334389072723</v>
      </c>
    </row>
    <row r="38" spans="1:3">
      <c r="A38" s="2">
        <v>38</v>
      </c>
      <c r="B38">
        <f t="shared" si="2"/>
        <v>31.148787878900002</v>
      </c>
      <c r="C38">
        <f t="shared" si="3"/>
        <v>114.43909326929011</v>
      </c>
    </row>
    <row r="39" spans="1:3">
      <c r="A39" s="2">
        <v>39</v>
      </c>
      <c r="B39">
        <f t="shared" si="2"/>
        <v>32.1664848486</v>
      </c>
      <c r="C39">
        <f t="shared" si="3"/>
        <v>114.60574063814821</v>
      </c>
    </row>
    <row r="40" spans="1:3">
      <c r="A40" s="2">
        <v>40</v>
      </c>
      <c r="B40">
        <f t="shared" si="2"/>
        <v>33.184181818299997</v>
      </c>
      <c r="C40">
        <f t="shared" si="3"/>
        <v>114.77328611185035</v>
      </c>
    </row>
    <row r="41" spans="1:3">
      <c r="A41" s="2">
        <v>41</v>
      </c>
      <c r="B41">
        <f t="shared" si="2"/>
        <v>34.201878788000002</v>
      </c>
      <c r="C41">
        <f t="shared" si="3"/>
        <v>114.94172977436492</v>
      </c>
    </row>
    <row r="42" spans="1:3">
      <c r="A42" s="2">
        <v>42</v>
      </c>
      <c r="B42">
        <f t="shared" si="2"/>
        <v>35.219575757699999</v>
      </c>
      <c r="C42">
        <f t="shared" si="3"/>
        <v>115.11107167906539</v>
      </c>
    </row>
    <row r="43" spans="1:3">
      <c r="A43" s="2">
        <v>43</v>
      </c>
      <c r="B43">
        <f t="shared" si="2"/>
        <v>36.237272727399997</v>
      </c>
      <c r="C43">
        <f t="shared" si="3"/>
        <v>115.28131184872149</v>
      </c>
    </row>
    <row r="44" spans="1:3">
      <c r="A44" s="2">
        <v>44</v>
      </c>
      <c r="B44">
        <f t="shared" si="2"/>
        <v>37.254969697100002</v>
      </c>
      <c r="C44">
        <f t="shared" si="3"/>
        <v>115.45245027549504</v>
      </c>
    </row>
    <row r="45" spans="1:3">
      <c r="A45" s="2">
        <v>45</v>
      </c>
      <c r="B45">
        <f t="shared" si="2"/>
        <v>38.272666666799999</v>
      </c>
      <c r="C45">
        <f t="shared" si="3"/>
        <v>115.62448692094152</v>
      </c>
    </row>
    <row r="46" spans="1:3">
      <c r="A46" s="2">
        <v>46</v>
      </c>
      <c r="B46">
        <f t="shared" si="2"/>
        <v>39.290363636499997</v>
      </c>
      <c r="C46">
        <f t="shared" si="3"/>
        <v>115.79742171601652</v>
      </c>
    </row>
    <row r="47" spans="1:3">
      <c r="A47" s="2">
        <v>47</v>
      </c>
      <c r="B47">
        <f t="shared" si="2"/>
        <v>40.308060606200002</v>
      </c>
      <c r="C47">
        <f t="shared" si="3"/>
        <v>115.97125456108745</v>
      </c>
    </row>
    <row r="48" spans="1:3">
      <c r="A48" s="2">
        <v>48</v>
      </c>
      <c r="B48">
        <f t="shared" si="2"/>
        <v>41.325757575899999</v>
      </c>
      <c r="C48">
        <f t="shared" si="3"/>
        <v>116.14598532595062</v>
      </c>
    </row>
    <row r="49" spans="1:3">
      <c r="A49" s="2">
        <v>49</v>
      </c>
      <c r="B49">
        <f t="shared" si="2"/>
        <v>42.343454545599997</v>
      </c>
      <c r="C49">
        <f t="shared" si="3"/>
        <v>116.32161384985335</v>
      </c>
    </row>
    <row r="50" spans="1:3">
      <c r="A50" s="2">
        <v>50</v>
      </c>
      <c r="B50">
        <f t="shared" si="2"/>
        <v>43.361151515300001</v>
      </c>
      <c r="C50">
        <f t="shared" si="3"/>
        <v>116.49813994152129</v>
      </c>
    </row>
    <row r="51" spans="1:3">
      <c r="A51" s="2">
        <v>51</v>
      </c>
      <c r="B51">
        <f t="shared" si="2"/>
        <v>44.378848484999999</v>
      </c>
      <c r="C51">
        <f t="shared" si="3"/>
        <v>116.67556337919105</v>
      </c>
    </row>
    <row r="52" spans="1:3">
      <c r="A52" s="2">
        <v>52</v>
      </c>
      <c r="B52">
        <f t="shared" si="2"/>
        <v>45.396545454700004</v>
      </c>
      <c r="C52">
        <f t="shared" si="3"/>
        <v>116.85388391064781</v>
      </c>
    </row>
    <row r="53" spans="1:3">
      <c r="A53" s="2">
        <v>53</v>
      </c>
      <c r="B53">
        <f t="shared" si="2"/>
        <v>46.414242424400001</v>
      </c>
      <c r="C53">
        <f t="shared" si="3"/>
        <v>117.03310125326826</v>
      </c>
    </row>
    <row r="54" spans="1:3">
      <c r="A54" s="2">
        <v>54</v>
      </c>
      <c r="B54">
        <f t="shared" si="2"/>
        <v>47.431939394099999</v>
      </c>
      <c r="C54">
        <f t="shared" si="3"/>
        <v>117.2132150940685</v>
      </c>
    </row>
    <row r="55" spans="1:3">
      <c r="A55" s="2">
        <v>55</v>
      </c>
      <c r="B55">
        <f t="shared" si="2"/>
        <v>48.449636363800003</v>
      </c>
      <c r="C55">
        <f t="shared" si="3"/>
        <v>117.39422508975728</v>
      </c>
    </row>
    <row r="56" spans="1:3">
      <c r="A56" s="2">
        <v>56</v>
      </c>
      <c r="B56">
        <f t="shared" si="2"/>
        <v>49.467333333500001</v>
      </c>
      <c r="C56">
        <f t="shared" si="3"/>
        <v>117.57613086679407</v>
      </c>
    </row>
    <row r="57" spans="1:3">
      <c r="A57" s="2">
        <v>57</v>
      </c>
      <c r="B57">
        <f t="shared" si="2"/>
        <v>50.485030303199999</v>
      </c>
      <c r="C57">
        <f t="shared" si="3"/>
        <v>117.75893202145249</v>
      </c>
    </row>
    <row r="58" spans="1:3">
      <c r="A58" s="2">
        <v>58</v>
      </c>
      <c r="B58">
        <f t="shared" si="2"/>
        <v>51.502727272900003</v>
      </c>
      <c r="C58">
        <f t="shared" si="3"/>
        <v>117.9426281198884</v>
      </c>
    </row>
    <row r="59" spans="1:3">
      <c r="A59" s="2">
        <v>59</v>
      </c>
      <c r="B59">
        <f t="shared" si="2"/>
        <v>52.520424242600001</v>
      </c>
      <c r="C59">
        <f t="shared" si="3"/>
        <v>118.12721869821348</v>
      </c>
    </row>
    <row r="60" spans="1:3">
      <c r="A60" s="2">
        <v>60</v>
      </c>
      <c r="B60">
        <f t="shared" si="2"/>
        <v>53.538121212299998</v>
      </c>
      <c r="C60">
        <f t="shared" si="3"/>
        <v>118.31270326257352</v>
      </c>
    </row>
    <row r="61" spans="1:3">
      <c r="A61" s="2">
        <v>61</v>
      </c>
      <c r="B61">
        <f t="shared" si="2"/>
        <v>54.555818182000003</v>
      </c>
      <c r="C61">
        <f t="shared" si="3"/>
        <v>118.49908128923161</v>
      </c>
    </row>
    <row r="62" spans="1:3">
      <c r="A62" s="2">
        <v>62</v>
      </c>
      <c r="B62">
        <f t="shared" si="2"/>
        <v>55.573515151700001</v>
      </c>
      <c r="C62">
        <f t="shared" si="3"/>
        <v>118.68635222465639</v>
      </c>
    </row>
    <row r="63" spans="1:3">
      <c r="A63" s="2">
        <v>63</v>
      </c>
      <c r="B63">
        <f t="shared" si="2"/>
        <v>56.591212121399998</v>
      </c>
      <c r="C63">
        <f t="shared" si="3"/>
        <v>118.87451548561533</v>
      </c>
    </row>
    <row r="64" spans="1:3">
      <c r="A64" s="2">
        <v>64</v>
      </c>
      <c r="B64">
        <f t="shared" si="2"/>
        <v>57.608909091100003</v>
      </c>
      <c r="C64">
        <f t="shared" si="3"/>
        <v>119.06357045927251</v>
      </c>
    </row>
    <row r="65" spans="1:3">
      <c r="A65" s="2">
        <v>65</v>
      </c>
      <c r="B65">
        <f t="shared" ref="B65:B96" si="4">-6.506+(A65-1)*1.0176969697</f>
        <v>58.6266060608</v>
      </c>
      <c r="C65">
        <f t="shared" ref="C65:C96" si="5">30.1437172995779+0.167053795618833*B65+78.837779537689*(1.00625+(B65-35.4678125)^2/90617.540334375)^0.5</f>
        <v>119.25351650329156</v>
      </c>
    </row>
    <row r="66" spans="1:3">
      <c r="A66" s="2">
        <v>66</v>
      </c>
      <c r="B66">
        <f t="shared" si="4"/>
        <v>59.644303030499998</v>
      </c>
      <c r="C66">
        <f t="shared" si="5"/>
        <v>119.44435294594311</v>
      </c>
    </row>
    <row r="67" spans="1:3">
      <c r="A67" s="2">
        <v>67</v>
      </c>
      <c r="B67">
        <f t="shared" si="4"/>
        <v>60.662000000199995</v>
      </c>
      <c r="C67">
        <f t="shared" si="5"/>
        <v>119.63607908621722</v>
      </c>
    </row>
    <row r="68" spans="1:3">
      <c r="A68" s="2">
        <v>68</v>
      </c>
      <c r="B68">
        <f t="shared" si="4"/>
        <v>61.679696969900007</v>
      </c>
      <c r="C68">
        <f t="shared" si="5"/>
        <v>119.82869419394032</v>
      </c>
    </row>
    <row r="69" spans="1:3">
      <c r="A69" s="2">
        <v>69</v>
      </c>
      <c r="B69">
        <f t="shared" si="4"/>
        <v>62.697393939600005</v>
      </c>
      <c r="C69">
        <f t="shared" si="5"/>
        <v>120.0221975098969</v>
      </c>
    </row>
    <row r="70" spans="1:3">
      <c r="A70" s="2">
        <v>70</v>
      </c>
      <c r="B70">
        <f t="shared" si="4"/>
        <v>63.715090909300002</v>
      </c>
      <c r="C70">
        <f t="shared" si="5"/>
        <v>120.21658824595571</v>
      </c>
    </row>
    <row r="71" spans="1:3">
      <c r="A71" s="2">
        <v>71</v>
      </c>
      <c r="B71">
        <f t="shared" si="4"/>
        <v>64.732787879</v>
      </c>
      <c r="C71">
        <f t="shared" si="5"/>
        <v>120.41186558520067</v>
      </c>
    </row>
    <row r="72" spans="1:3">
      <c r="A72" s="2">
        <v>72</v>
      </c>
      <c r="B72">
        <f t="shared" si="4"/>
        <v>65.750484848699998</v>
      </c>
      <c r="C72">
        <f t="shared" si="5"/>
        <v>120.60802868206613</v>
      </c>
    </row>
    <row r="73" spans="1:3">
      <c r="A73" s="2">
        <v>73</v>
      </c>
      <c r="B73">
        <f t="shared" si="4"/>
        <v>66.768181818399995</v>
      </c>
      <c r="C73">
        <f t="shared" si="5"/>
        <v>120.80507666247667</v>
      </c>
    </row>
    <row r="74" spans="1:3">
      <c r="A74" s="2">
        <v>74</v>
      </c>
      <c r="B74">
        <f t="shared" si="4"/>
        <v>67.785878788100007</v>
      </c>
      <c r="C74">
        <f t="shared" si="5"/>
        <v>121.00300862399114</v>
      </c>
    </row>
    <row r="75" spans="1:3">
      <c r="A75" s="2">
        <v>75</v>
      </c>
      <c r="B75">
        <f t="shared" si="4"/>
        <v>68.803575757800004</v>
      </c>
      <c r="C75">
        <f t="shared" si="5"/>
        <v>121.20182363595134</v>
      </c>
    </row>
    <row r="76" spans="1:3">
      <c r="A76" s="2">
        <v>76</v>
      </c>
      <c r="B76">
        <f t="shared" si="4"/>
        <v>69.821272727500002</v>
      </c>
      <c r="C76">
        <f t="shared" si="5"/>
        <v>121.40152073963478</v>
      </c>
    </row>
    <row r="77" spans="1:3">
      <c r="A77" s="2">
        <v>77</v>
      </c>
      <c r="B77">
        <f t="shared" si="4"/>
        <v>70.8389696972</v>
      </c>
      <c r="C77">
        <f t="shared" si="5"/>
        <v>121.60209894841159</v>
      </c>
    </row>
    <row r="78" spans="1:3">
      <c r="A78" s="2">
        <v>78</v>
      </c>
      <c r="B78">
        <f t="shared" si="4"/>
        <v>71.856666666899997</v>
      </c>
      <c r="C78">
        <f t="shared" si="5"/>
        <v>121.80355724790587</v>
      </c>
    </row>
    <row r="79" spans="1:3">
      <c r="A79" s="2">
        <v>79</v>
      </c>
      <c r="B79">
        <f t="shared" si="4"/>
        <v>72.874363636599995</v>
      </c>
      <c r="C79">
        <f t="shared" si="5"/>
        <v>122.00589459616089</v>
      </c>
    </row>
    <row r="80" spans="1:3">
      <c r="A80" s="2">
        <v>80</v>
      </c>
      <c r="B80">
        <f t="shared" si="4"/>
        <v>73.892060606300006</v>
      </c>
      <c r="C80">
        <f t="shared" si="5"/>
        <v>122.20910992380848</v>
      </c>
    </row>
    <row r="81" spans="1:3">
      <c r="A81" s="2">
        <v>81</v>
      </c>
      <c r="B81">
        <f t="shared" si="4"/>
        <v>74.909757576000004</v>
      </c>
      <c r="C81">
        <f t="shared" si="5"/>
        <v>122.41320213424245</v>
      </c>
    </row>
    <row r="82" spans="1:3">
      <c r="A82" s="2">
        <v>82</v>
      </c>
      <c r="B82">
        <f t="shared" si="4"/>
        <v>75.927454545700002</v>
      </c>
      <c r="C82">
        <f t="shared" si="5"/>
        <v>122.61817010379571</v>
      </c>
    </row>
    <row r="83" spans="1:3">
      <c r="A83" s="2">
        <v>83</v>
      </c>
      <c r="B83">
        <f t="shared" si="4"/>
        <v>76.945151515399999</v>
      </c>
      <c r="C83">
        <f t="shared" si="5"/>
        <v>122.82401268192149</v>
      </c>
    </row>
    <row r="84" spans="1:3">
      <c r="A84" s="2">
        <v>84</v>
      </c>
      <c r="B84">
        <f t="shared" si="4"/>
        <v>77.962848485099997</v>
      </c>
      <c r="C84">
        <f t="shared" si="5"/>
        <v>123.03072869137824</v>
      </c>
    </row>
    <row r="85" spans="1:3">
      <c r="A85" s="2">
        <v>85</v>
      </c>
      <c r="B85">
        <f t="shared" si="4"/>
        <v>78.980545454799994</v>
      </c>
      <c r="C85">
        <f t="shared" si="5"/>
        <v>123.23831692841826</v>
      </c>
    </row>
    <row r="86" spans="1:3">
      <c r="A86" s="2">
        <v>86</v>
      </c>
      <c r="B86">
        <f t="shared" si="4"/>
        <v>79.998242424500006</v>
      </c>
      <c r="C86">
        <f t="shared" si="5"/>
        <v>123.44677616297994</v>
      </c>
    </row>
    <row r="87" spans="1:3">
      <c r="A87" s="2">
        <v>87</v>
      </c>
      <c r="B87">
        <f t="shared" si="4"/>
        <v>81.015939394200004</v>
      </c>
      <c r="C87">
        <f t="shared" si="5"/>
        <v>123.65610513888373</v>
      </c>
    </row>
    <row r="88" spans="1:3">
      <c r="A88" s="2">
        <v>88</v>
      </c>
      <c r="B88">
        <f t="shared" si="4"/>
        <v>82.033636363900001</v>
      </c>
      <c r="C88">
        <f t="shared" si="5"/>
        <v>123.86630257403135</v>
      </c>
    </row>
    <row r="89" spans="1:3">
      <c r="A89" s="2">
        <v>89</v>
      </c>
      <c r="B89">
        <f t="shared" si="4"/>
        <v>83.051333333599999</v>
      </c>
      <c r="C89">
        <f t="shared" si="5"/>
        <v>124.07736716060884</v>
      </c>
    </row>
    <row r="90" spans="1:3">
      <c r="A90" s="2">
        <v>90</v>
      </c>
      <c r="B90">
        <f t="shared" si="4"/>
        <v>84.069030303299996</v>
      </c>
      <c r="C90">
        <f t="shared" si="5"/>
        <v>124.28929756529254</v>
      </c>
    </row>
    <row r="91" spans="1:3">
      <c r="A91" s="2">
        <v>91</v>
      </c>
      <c r="B91">
        <f t="shared" si="4"/>
        <v>85.086727272999994</v>
      </c>
      <c r="C91">
        <f t="shared" si="5"/>
        <v>124.50209242945878</v>
      </c>
    </row>
    <row r="92" spans="1:3">
      <c r="A92" s="2">
        <v>92</v>
      </c>
      <c r="B92">
        <f t="shared" si="4"/>
        <v>86.104424242700006</v>
      </c>
      <c r="C92">
        <f t="shared" si="5"/>
        <v>124.71575036939637</v>
      </c>
    </row>
    <row r="93" spans="1:3">
      <c r="A93" s="2">
        <v>93</v>
      </c>
      <c r="B93">
        <f t="shared" si="4"/>
        <v>87.122121212400003</v>
      </c>
      <c r="C93">
        <f t="shared" si="5"/>
        <v>124.93026997652264</v>
      </c>
    </row>
    <row r="94" spans="1:3">
      <c r="A94" s="2">
        <v>94</v>
      </c>
      <c r="B94">
        <f t="shared" si="4"/>
        <v>88.139818182100001</v>
      </c>
      <c r="C94">
        <f t="shared" si="5"/>
        <v>125.14564981760226</v>
      </c>
    </row>
    <row r="95" spans="1:3">
      <c r="A95" s="2">
        <v>95</v>
      </c>
      <c r="B95">
        <f t="shared" si="4"/>
        <v>89.157515151799998</v>
      </c>
      <c r="C95">
        <f t="shared" si="5"/>
        <v>125.36188843496925</v>
      </c>
    </row>
    <row r="96" spans="1:3">
      <c r="A96" s="2">
        <v>96</v>
      </c>
      <c r="B96">
        <f t="shared" si="4"/>
        <v>90.175212121499996</v>
      </c>
      <c r="C96">
        <f t="shared" si="5"/>
        <v>125.5789843467517</v>
      </c>
    </row>
    <row r="97" spans="1:3">
      <c r="A97" s="2">
        <v>97</v>
      </c>
      <c r="B97">
        <f t="shared" ref="B97:B100" si="6">-6.506+(A97-1)*1.0176969697</f>
        <v>91.192909091199994</v>
      </c>
      <c r="C97">
        <f t="shared" ref="C97:C100" si="7">30.1437172995779+0.167053795618833*B97+78.837779537689*(1.00625+(B97-35.4678125)^2/90617.540334375)^0.5</f>
        <v>125.79693604709954</v>
      </c>
    </row>
    <row r="98" spans="1:3">
      <c r="A98" s="2">
        <v>98</v>
      </c>
      <c r="B98">
        <f t="shared" si="6"/>
        <v>92.210606060900005</v>
      </c>
      <c r="C98">
        <f t="shared" si="7"/>
        <v>126.015742006415</v>
      </c>
    </row>
    <row r="99" spans="1:3">
      <c r="A99" s="2">
        <v>99</v>
      </c>
      <c r="B99">
        <f t="shared" si="6"/>
        <v>93.228303030600003</v>
      </c>
      <c r="C99">
        <f t="shared" si="7"/>
        <v>126.23540067158564</v>
      </c>
    </row>
    <row r="100" spans="1:3">
      <c r="A100" s="2">
        <v>100</v>
      </c>
      <c r="B100">
        <f t="shared" si="6"/>
        <v>94.2460000003</v>
      </c>
      <c r="C100">
        <f t="shared" si="7"/>
        <v>126.45591046622019</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enableFormatConditionsCalculation="0"/>
  <dimension ref="A1:C70"/>
  <sheetViews>
    <sheetView workbookViewId="0"/>
  </sheetViews>
  <sheetFormatPr baseColWidth="10" defaultRowHeight="15.75"/>
  <sheetData>
    <row r="1" spans="1:3">
      <c r="A1" s="2">
        <v>1</v>
      </c>
      <c r="B1">
        <f t="shared" ref="B1:B32" si="0">-4.198+(A1-1)*1.4379130435</f>
        <v>-4.1980000000000004</v>
      </c>
      <c r="C1">
        <f t="shared" ref="C1:C32" si="1">0.0135257129260354+-0.00012096696901896*B1+0.048296231409623*(0.00657894736842105+(B1-26.2795394736842)^2/86418.9042677632)^0.5</f>
        <v>2.0390961382810914E-2</v>
      </c>
    </row>
    <row r="2" spans="1:3">
      <c r="A2" s="2">
        <v>2</v>
      </c>
      <c r="B2">
        <f t="shared" si="0"/>
        <v>-2.7600869565000004</v>
      </c>
      <c r="C2">
        <f t="shared" si="1"/>
        <v>2.0032679684855368E-2</v>
      </c>
    </row>
    <row r="3" spans="1:3">
      <c r="A3" s="2">
        <v>3</v>
      </c>
      <c r="B3">
        <f t="shared" si="0"/>
        <v>-1.3221739130000003</v>
      </c>
      <c r="C3">
        <f t="shared" si="1"/>
        <v>1.9678041114306658E-2</v>
      </c>
    </row>
    <row r="4" spans="1:3">
      <c r="A4" s="2">
        <v>4</v>
      </c>
      <c r="B4">
        <f t="shared" si="0"/>
        <v>0.11573913049999973</v>
      </c>
      <c r="C4">
        <f t="shared" si="1"/>
        <v>1.9327385267564598E-2</v>
      </c>
    </row>
    <row r="5" spans="1:3">
      <c r="A5" s="2">
        <v>5</v>
      </c>
      <c r="B5">
        <f t="shared" si="0"/>
        <v>1.5536521739999998</v>
      </c>
      <c r="C5">
        <f t="shared" si="1"/>
        <v>1.898108630446603E-2</v>
      </c>
    </row>
    <row r="6" spans="1:3">
      <c r="A6" s="2">
        <v>6</v>
      </c>
      <c r="B6">
        <f t="shared" si="0"/>
        <v>2.9915652174999998</v>
      </c>
      <c r="C6">
        <f t="shared" si="1"/>
        <v>1.8639555664483054E-2</v>
      </c>
    </row>
    <row r="7" spans="1:3">
      <c r="A7" s="2">
        <v>7</v>
      </c>
      <c r="B7">
        <f t="shared" si="0"/>
        <v>4.4294782609999999</v>
      </c>
      <c r="C7">
        <f t="shared" si="1"/>
        <v>1.8303244565778112E-2</v>
      </c>
    </row>
    <row r="8" spans="1:3">
      <c r="A8" s="2">
        <v>8</v>
      </c>
      <c r="B8">
        <f t="shared" si="0"/>
        <v>5.8673913044999999</v>
      </c>
      <c r="C8">
        <f t="shared" si="1"/>
        <v>1.7972646082002372E-2</v>
      </c>
    </row>
    <row r="9" spans="1:3">
      <c r="A9" s="2">
        <v>9</v>
      </c>
      <c r="B9">
        <f t="shared" si="0"/>
        <v>7.3053043479999999</v>
      </c>
      <c r="C9">
        <f t="shared" si="1"/>
        <v>1.7648296525683629E-2</v>
      </c>
    </row>
    <row r="10" spans="1:3">
      <c r="A10" s="2">
        <v>10</v>
      </c>
      <c r="B10">
        <f t="shared" si="0"/>
        <v>8.7432173915</v>
      </c>
      <c r="C10">
        <f t="shared" si="1"/>
        <v>1.7330775793119896E-2</v>
      </c>
    </row>
    <row r="11" spans="1:3">
      <c r="A11" s="2">
        <v>11</v>
      </c>
      <c r="B11">
        <f t="shared" si="0"/>
        <v>10.181130435</v>
      </c>
      <c r="C11">
        <f t="shared" si="1"/>
        <v>1.7020706249833015E-2</v>
      </c>
    </row>
    <row r="12" spans="1:3">
      <c r="A12" s="2">
        <v>12</v>
      </c>
      <c r="B12">
        <f t="shared" si="0"/>
        <v>11.6190434785</v>
      </c>
      <c r="C12">
        <f t="shared" si="1"/>
        <v>1.6718749668678722E-2</v>
      </c>
    </row>
    <row r="13" spans="1:3">
      <c r="A13" s="2">
        <v>13</v>
      </c>
      <c r="B13">
        <f t="shared" si="0"/>
        <v>13.056956522</v>
      </c>
      <c r="C13">
        <f t="shared" si="1"/>
        <v>1.6425601691647626E-2</v>
      </c>
    </row>
    <row r="14" spans="1:3">
      <c r="A14" s="2">
        <v>14</v>
      </c>
      <c r="B14">
        <f t="shared" si="0"/>
        <v>14.4948695655</v>
      </c>
      <c r="C14">
        <f t="shared" si="1"/>
        <v>1.6141983294789629E-2</v>
      </c>
    </row>
    <row r="15" spans="1:3">
      <c r="A15" s="2">
        <v>15</v>
      </c>
      <c r="B15">
        <f t="shared" si="0"/>
        <v>15.932782609</v>
      </c>
      <c r="C15">
        <f t="shared" si="1"/>
        <v>1.5868628822163854E-2</v>
      </c>
    </row>
    <row r="16" spans="1:3">
      <c r="A16" s="2">
        <v>16</v>
      </c>
      <c r="B16">
        <f t="shared" si="0"/>
        <v>17.3706956525</v>
      </c>
      <c r="C16">
        <f t="shared" si="1"/>
        <v>1.5606270348153541E-2</v>
      </c>
    </row>
    <row r="17" spans="1:3">
      <c r="A17" s="2">
        <v>17</v>
      </c>
      <c r="B17">
        <f t="shared" si="0"/>
        <v>18.808608696</v>
      </c>
      <c r="C17">
        <f t="shared" si="1"/>
        <v>1.5355618448110649E-2</v>
      </c>
    </row>
    <row r="18" spans="1:3">
      <c r="A18" s="2">
        <v>18</v>
      </c>
      <c r="B18">
        <f t="shared" si="0"/>
        <v>20.2465217395</v>
      </c>
      <c r="C18">
        <f t="shared" si="1"/>
        <v>1.5117339903846772E-2</v>
      </c>
    </row>
    <row r="19" spans="1:3">
      <c r="A19" s="2">
        <v>19</v>
      </c>
      <c r="B19">
        <f t="shared" si="0"/>
        <v>21.684434783</v>
      </c>
      <c r="C19">
        <f t="shared" si="1"/>
        <v>1.4892033406514979E-2</v>
      </c>
    </row>
    <row r="20" spans="1:3">
      <c r="A20" s="2">
        <v>20</v>
      </c>
      <c r="B20">
        <f t="shared" si="0"/>
        <v>23.1223478265</v>
      </c>
      <c r="C20">
        <f t="shared" si="1"/>
        <v>1.4680204864799373E-2</v>
      </c>
    </row>
    <row r="21" spans="1:3">
      <c r="A21" s="2">
        <v>21</v>
      </c>
      <c r="B21">
        <f t="shared" si="0"/>
        <v>24.56026087</v>
      </c>
      <c r="C21">
        <f t="shared" si="1"/>
        <v>1.4482244362074452E-2</v>
      </c>
    </row>
    <row r="22" spans="1:3">
      <c r="A22" s="2">
        <v>22</v>
      </c>
      <c r="B22">
        <f t="shared" si="0"/>
        <v>25.998173913500001</v>
      </c>
      <c r="C22">
        <f t="shared" si="1"/>
        <v>1.4298406998759255E-2</v>
      </c>
    </row>
    <row r="23" spans="1:3">
      <c r="A23" s="2">
        <v>23</v>
      </c>
      <c r="B23">
        <f t="shared" si="0"/>
        <v>27.436086957000001</v>
      </c>
      <c r="C23">
        <f t="shared" si="1"/>
        <v>1.4128799699290599E-2</v>
      </c>
    </row>
    <row r="24" spans="1:3">
      <c r="A24" s="2">
        <v>24</v>
      </c>
      <c r="B24">
        <f t="shared" si="0"/>
        <v>28.874000000499997</v>
      </c>
      <c r="C24">
        <f t="shared" si="1"/>
        <v>1.3973375524520222E-2</v>
      </c>
    </row>
    <row r="25" spans="1:3">
      <c r="A25" s="2">
        <v>25</v>
      </c>
      <c r="B25">
        <f t="shared" si="0"/>
        <v>30.311913044000001</v>
      </c>
      <c r="C25">
        <f t="shared" si="1"/>
        <v>1.3831936180058301E-2</v>
      </c>
    </row>
    <row r="26" spans="1:3">
      <c r="A26" s="2">
        <v>26</v>
      </c>
      <c r="B26">
        <f t="shared" si="0"/>
        <v>31.749826087500004</v>
      </c>
      <c r="C26">
        <f t="shared" si="1"/>
        <v>1.3704142414110934E-2</v>
      </c>
    </row>
    <row r="27" spans="1:3">
      <c r="A27" s="2">
        <v>27</v>
      </c>
      <c r="B27">
        <f t="shared" si="0"/>
        <v>33.187739131000001</v>
      </c>
      <c r="C27">
        <f t="shared" si="1"/>
        <v>1.358953106699658E-2</v>
      </c>
    </row>
    <row r="28" spans="1:3">
      <c r="A28" s="2">
        <v>28</v>
      </c>
      <c r="B28">
        <f t="shared" si="0"/>
        <v>34.625652174499997</v>
      </c>
      <c r="C28">
        <f t="shared" si="1"/>
        <v>1.3487536859713968E-2</v>
      </c>
    </row>
    <row r="29" spans="1:3">
      <c r="A29" s="2">
        <v>29</v>
      </c>
      <c r="B29">
        <f t="shared" si="0"/>
        <v>36.063565218000001</v>
      </c>
      <c r="C29">
        <f t="shared" si="1"/>
        <v>1.3397516701221461E-2</v>
      </c>
    </row>
    <row r="30" spans="1:3">
      <c r="A30" s="2">
        <v>30</v>
      </c>
      <c r="B30">
        <f t="shared" si="0"/>
        <v>37.501478261500004</v>
      </c>
      <c r="C30">
        <f t="shared" si="1"/>
        <v>1.3318774359453885E-2</v>
      </c>
    </row>
    <row r="31" spans="1:3">
      <c r="A31" s="2">
        <v>31</v>
      </c>
      <c r="B31">
        <f t="shared" si="0"/>
        <v>38.939391305000001</v>
      </c>
      <c r="C31">
        <f t="shared" si="1"/>
        <v>1.3250583697138954E-2</v>
      </c>
    </row>
    <row r="32" spans="1:3">
      <c r="A32" s="2">
        <v>32</v>
      </c>
      <c r="B32">
        <f t="shared" si="0"/>
        <v>40.377304348499997</v>
      </c>
      <c r="C32">
        <f t="shared" si="1"/>
        <v>1.3192209191678961E-2</v>
      </c>
    </row>
    <row r="33" spans="1:3">
      <c r="A33" s="2">
        <v>33</v>
      </c>
      <c r="B33">
        <f t="shared" ref="B33:B64" si="2">-4.198+(A33-1)*1.4379130435</f>
        <v>41.815217392000001</v>
      </c>
      <c r="C33">
        <f t="shared" ref="C33:C64" si="3">0.0135257129260354+-0.00012096696901896*B33+0.048296231409623*(0.00657894736842105+(B33-26.2795394736842)^2/86418.9042677632)^0.5</f>
        <v>1.3142923010034207E-2</v>
      </c>
    </row>
    <row r="34" spans="1:3">
      <c r="A34" s="2">
        <v>34</v>
      </c>
      <c r="B34">
        <f t="shared" si="2"/>
        <v>43.253130435500005</v>
      </c>
      <c r="C34">
        <f t="shared" si="3"/>
        <v>1.3102018397781906E-2</v>
      </c>
    </row>
    <row r="35" spans="1:3">
      <c r="A35" s="2">
        <v>35</v>
      </c>
      <c r="B35">
        <f t="shared" si="2"/>
        <v>44.691043479000001</v>
      </c>
      <c r="C35">
        <f t="shared" si="3"/>
        <v>1.3068819513240758E-2</v>
      </c>
    </row>
    <row r="36" spans="1:3">
      <c r="A36" s="2">
        <v>36</v>
      </c>
      <c r="B36">
        <f t="shared" si="2"/>
        <v>46.128956522499998</v>
      </c>
      <c r="C36">
        <f t="shared" si="3"/>
        <v>1.3042688079227871E-2</v>
      </c>
    </row>
    <row r="37" spans="1:3">
      <c r="A37" s="2">
        <v>37</v>
      </c>
      <c r="B37">
        <f t="shared" si="2"/>
        <v>47.566869566000001</v>
      </c>
      <c r="C37">
        <f t="shared" si="3"/>
        <v>1.3023027350138005E-2</v>
      </c>
    </row>
    <row r="38" spans="1:3">
      <c r="A38" s="2">
        <v>38</v>
      </c>
      <c r="B38">
        <f t="shared" si="2"/>
        <v>49.004782609500005</v>
      </c>
      <c r="C38">
        <f t="shared" si="3"/>
        <v>1.3009283927415615E-2</v>
      </c>
    </row>
    <row r="39" spans="1:3">
      <c r="A39" s="2">
        <v>39</v>
      </c>
      <c r="B39">
        <f t="shared" si="2"/>
        <v>50.442695653000001</v>
      </c>
      <c r="C39">
        <f t="shared" si="3"/>
        <v>1.300094793163719E-2</v>
      </c>
    </row>
    <row r="40" spans="1:3">
      <c r="A40" s="2">
        <v>40</v>
      </c>
      <c r="B40">
        <f t="shared" si="2"/>
        <v>51.880608696499998</v>
      </c>
      <c r="C40">
        <f t="shared" si="3"/>
        <v>1.2997551980205451E-2</v>
      </c>
    </row>
    <row r="41" spans="1:3">
      <c r="A41" s="2">
        <v>41</v>
      </c>
      <c r="B41">
        <f t="shared" si="2"/>
        <v>53.318521740000001</v>
      </c>
      <c r="C41">
        <f t="shared" si="3"/>
        <v>1.2998669345672551E-2</v>
      </c>
    </row>
    <row r="42" spans="1:3">
      <c r="A42" s="2">
        <v>42</v>
      </c>
      <c r="B42">
        <f t="shared" si="2"/>
        <v>54.756434783500005</v>
      </c>
      <c r="C42">
        <f t="shared" si="3"/>
        <v>1.3003911594077048E-2</v>
      </c>
    </row>
    <row r="43" spans="1:3">
      <c r="A43" s="2">
        <v>43</v>
      </c>
      <c r="B43">
        <f t="shared" si="2"/>
        <v>56.194347827000001</v>
      </c>
      <c r="C43">
        <f t="shared" si="3"/>
        <v>1.3012925933091725E-2</v>
      </c>
    </row>
    <row r="44" spans="1:3">
      <c r="A44" s="2">
        <v>44</v>
      </c>
      <c r="B44">
        <f t="shared" si="2"/>
        <v>57.632260870499998</v>
      </c>
      <c r="C44">
        <f t="shared" si="3"/>
        <v>1.3025392439943476E-2</v>
      </c>
    </row>
    <row r="45" spans="1:3">
      <c r="A45" s="2">
        <v>45</v>
      </c>
      <c r="B45">
        <f t="shared" si="2"/>
        <v>59.070173914000002</v>
      </c>
      <c r="C45">
        <f t="shared" si="3"/>
        <v>1.3041021290065315E-2</v>
      </c>
    </row>
    <row r="46" spans="1:3">
      <c r="A46" s="2">
        <v>46</v>
      </c>
      <c r="B46">
        <f t="shared" si="2"/>
        <v>60.508086957500005</v>
      </c>
      <c r="C46">
        <f t="shared" si="3"/>
        <v>1.3059550068814792E-2</v>
      </c>
    </row>
    <row r="47" spans="1:3">
      <c r="A47" s="2">
        <v>47</v>
      </c>
      <c r="B47">
        <f t="shared" si="2"/>
        <v>61.946000000999994</v>
      </c>
      <c r="C47">
        <f t="shared" si="3"/>
        <v>1.3080741219107139E-2</v>
      </c>
    </row>
    <row r="48" spans="1:3">
      <c r="A48" s="2">
        <v>48</v>
      </c>
      <c r="B48">
        <f t="shared" si="2"/>
        <v>63.383913044499998</v>
      </c>
      <c r="C48">
        <f t="shared" si="3"/>
        <v>1.3104379655946612E-2</v>
      </c>
    </row>
    <row r="49" spans="1:3">
      <c r="A49" s="2">
        <v>49</v>
      </c>
      <c r="B49">
        <f t="shared" si="2"/>
        <v>64.821826087999995</v>
      </c>
      <c r="C49">
        <f t="shared" si="3"/>
        <v>1.3130270563080864E-2</v>
      </c>
    </row>
    <row r="50" spans="1:3">
      <c r="A50" s="2">
        <v>50</v>
      </c>
      <c r="B50">
        <f t="shared" si="2"/>
        <v>66.259739131499998</v>
      </c>
      <c r="C50">
        <f t="shared" si="3"/>
        <v>1.3158237375987812E-2</v>
      </c>
    </row>
    <row r="51" spans="1:3">
      <c r="A51" s="2">
        <v>51</v>
      </c>
      <c r="B51">
        <f t="shared" si="2"/>
        <v>67.697652175000002</v>
      </c>
      <c r="C51">
        <f t="shared" si="3"/>
        <v>1.3188119947979525E-2</v>
      </c>
    </row>
    <row r="52" spans="1:3">
      <c r="A52" s="2">
        <v>52</v>
      </c>
      <c r="B52">
        <f t="shared" si="2"/>
        <v>69.135565218500005</v>
      </c>
      <c r="C52">
        <f t="shared" si="3"/>
        <v>1.3219772891438913E-2</v>
      </c>
    </row>
    <row r="53" spans="1:3">
      <c r="A53" s="2">
        <v>53</v>
      </c>
      <c r="B53">
        <f t="shared" si="2"/>
        <v>70.573478262000009</v>
      </c>
      <c r="C53">
        <f t="shared" si="3"/>
        <v>1.3253064083358839E-2</v>
      </c>
    </row>
    <row r="54" spans="1:3">
      <c r="A54" s="2">
        <v>54</v>
      </c>
      <c r="B54">
        <f t="shared" si="2"/>
        <v>72.011391305500013</v>
      </c>
      <c r="C54">
        <f t="shared" si="3"/>
        <v>1.3287873322867712E-2</v>
      </c>
    </row>
    <row r="55" spans="1:3">
      <c r="A55" s="2">
        <v>55</v>
      </c>
      <c r="B55">
        <f t="shared" si="2"/>
        <v>73.449304348999988</v>
      </c>
      <c r="C55">
        <f t="shared" si="3"/>
        <v>1.3324091127878744E-2</v>
      </c>
    </row>
    <row r="56" spans="1:3">
      <c r="A56" s="2">
        <v>56</v>
      </c>
      <c r="B56">
        <f t="shared" si="2"/>
        <v>74.887217392499991</v>
      </c>
      <c r="C56">
        <f t="shared" si="3"/>
        <v>1.3361617658080912E-2</v>
      </c>
    </row>
    <row r="57" spans="1:3">
      <c r="A57" s="2">
        <v>57</v>
      </c>
      <c r="B57">
        <f t="shared" si="2"/>
        <v>76.325130435999995</v>
      </c>
      <c r="C57">
        <f t="shared" si="3"/>
        <v>1.3400361751973018E-2</v>
      </c>
    </row>
    <row r="58" spans="1:3">
      <c r="A58" s="2">
        <v>58</v>
      </c>
      <c r="B58">
        <f t="shared" si="2"/>
        <v>77.763043479499999</v>
      </c>
      <c r="C58">
        <f t="shared" si="3"/>
        <v>1.3440240066367643E-2</v>
      </c>
    </row>
    <row r="59" spans="1:3">
      <c r="A59" s="2">
        <v>59</v>
      </c>
      <c r="B59">
        <f t="shared" si="2"/>
        <v>79.200956523000002</v>
      </c>
      <c r="C59">
        <f t="shared" si="3"/>
        <v>1.3481176307646933E-2</v>
      </c>
    </row>
    <row r="60" spans="1:3">
      <c r="A60" s="2">
        <v>60</v>
      </c>
      <c r="B60">
        <f t="shared" si="2"/>
        <v>80.638869566500006</v>
      </c>
      <c r="C60">
        <f t="shared" si="3"/>
        <v>1.3523100544960691E-2</v>
      </c>
    </row>
    <row r="61" spans="1:3">
      <c r="A61" s="2">
        <v>61</v>
      </c>
      <c r="B61">
        <f t="shared" si="2"/>
        <v>82.076782610000009</v>
      </c>
      <c r="C61">
        <f t="shared" si="3"/>
        <v>1.3565948596467692E-2</v>
      </c>
    </row>
    <row r="62" spans="1:3">
      <c r="A62" s="2">
        <v>62</v>
      </c>
      <c r="B62">
        <f t="shared" si="2"/>
        <v>83.514695653500013</v>
      </c>
      <c r="C62">
        <f t="shared" si="3"/>
        <v>1.3609661480601434E-2</v>
      </c>
    </row>
    <row r="63" spans="1:3">
      <c r="A63" s="2">
        <v>63</v>
      </c>
      <c r="B63">
        <f t="shared" si="2"/>
        <v>84.952608696999988</v>
      </c>
      <c r="C63">
        <f t="shared" si="3"/>
        <v>1.3654184925171455E-2</v>
      </c>
    </row>
    <row r="64" spans="1:3">
      <c r="A64" s="2">
        <v>64</v>
      </c>
      <c r="B64">
        <f t="shared" si="2"/>
        <v>86.390521740499992</v>
      </c>
      <c r="C64">
        <f t="shared" si="3"/>
        <v>1.3699468927880737E-2</v>
      </c>
    </row>
    <row r="65" spans="1:3">
      <c r="A65" s="2">
        <v>65</v>
      </c>
      <c r="B65">
        <f t="shared" ref="B65:B70" si="4">-4.198+(A65-1)*1.4379130435</f>
        <v>87.828434783999995</v>
      </c>
      <c r="C65">
        <f t="shared" ref="C65:C70" si="5">0.0135257129260354+-0.00012096696901896*B65+0.048296231409623*(0.00657894736842105+(B65-26.2795394736842)^2/86418.9042677632)^0.5</f>
        <v>1.3745467362543366E-2</v>
      </c>
    </row>
    <row r="66" spans="1:3">
      <c r="A66" s="2">
        <v>66</v>
      </c>
      <c r="B66">
        <f t="shared" si="4"/>
        <v>89.266347827499999</v>
      </c>
      <c r="C66">
        <f t="shared" si="5"/>
        <v>1.3792137625924615E-2</v>
      </c>
    </row>
    <row r="67" spans="1:3">
      <c r="A67" s="2">
        <v>67</v>
      </c>
      <c r="B67">
        <f t="shared" si="4"/>
        <v>90.704260871000002</v>
      </c>
      <c r="C67">
        <f t="shared" si="5"/>
        <v>1.3839440320699292E-2</v>
      </c>
    </row>
    <row r="68" spans="1:3">
      <c r="A68" s="2">
        <v>68</v>
      </c>
      <c r="B68">
        <f t="shared" si="4"/>
        <v>92.142173914500006</v>
      </c>
      <c r="C68">
        <f t="shared" si="5"/>
        <v>1.3887338970537745E-2</v>
      </c>
    </row>
    <row r="69" spans="1:3">
      <c r="A69" s="2">
        <v>69</v>
      </c>
      <c r="B69">
        <f t="shared" si="4"/>
        <v>93.58008695800001</v>
      </c>
      <c r="C69">
        <f t="shared" si="5"/>
        <v>1.3935799763786295E-2</v>
      </c>
    </row>
    <row r="70" spans="1:3">
      <c r="A70" s="2">
        <v>70</v>
      </c>
      <c r="B70">
        <f t="shared" si="4"/>
        <v>95.018000001500013</v>
      </c>
      <c r="C70">
        <f t="shared" si="5"/>
        <v>1.3984791322615009E-2</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enableFormatConditionsCalculation="0"/>
  <dimension ref="A1:C100"/>
  <sheetViews>
    <sheetView workbookViewId="0"/>
  </sheetViews>
  <sheetFormatPr baseColWidth="10" defaultRowHeight="15.75"/>
  <sheetData>
    <row r="1" spans="1:3">
      <c r="A1" s="2">
        <v>1</v>
      </c>
      <c r="B1">
        <f t="shared" ref="B1:B32" si="0">-4.198+(A1-1)*1.0021818182</f>
        <v>-4.1980000000000004</v>
      </c>
      <c r="C1">
        <f t="shared" ref="C1:C32" si="1">0.0135257129260354+-0.00012096696901896*B1-0.048296231409623*(1.00657894736842+(B1-26.2795394736842)^2/86418.9042677632)^0.5</f>
        <v>-3.4679329216263835E-2</v>
      </c>
    </row>
    <row r="2" spans="1:3">
      <c r="A2" s="2">
        <v>2</v>
      </c>
      <c r="B2">
        <f t="shared" si="0"/>
        <v>-3.1958181818000004</v>
      </c>
      <c r="C2">
        <f t="shared" si="1"/>
        <v>-3.4783911617101669E-2</v>
      </c>
    </row>
    <row r="3" spans="1:3">
      <c r="A3" s="2">
        <v>3</v>
      </c>
      <c r="B3">
        <f t="shared" si="0"/>
        <v>-2.1936363636000005</v>
      </c>
      <c r="C3">
        <f t="shared" si="1"/>
        <v>-3.4889045204166337E-2</v>
      </c>
    </row>
    <row r="4" spans="1:3">
      <c r="A4" s="2">
        <v>4</v>
      </c>
      <c r="B4">
        <f t="shared" si="0"/>
        <v>-1.1914545454000005</v>
      </c>
      <c r="C4">
        <f t="shared" si="1"/>
        <v>-3.4994730524423458E-2</v>
      </c>
    </row>
    <row r="5" spans="1:3">
      <c r="A5" s="2">
        <v>5</v>
      </c>
      <c r="B5">
        <f t="shared" si="0"/>
        <v>-0.18927272720000055</v>
      </c>
      <c r="C5">
        <f t="shared" si="1"/>
        <v>-3.5100968106778575E-2</v>
      </c>
    </row>
    <row r="6" spans="1:3">
      <c r="A6" s="2">
        <v>6</v>
      </c>
      <c r="B6">
        <f t="shared" si="0"/>
        <v>0.81290909099999986</v>
      </c>
      <c r="C6">
        <f t="shared" si="1"/>
        <v>-3.5207758461988356E-2</v>
      </c>
    </row>
    <row r="7" spans="1:3">
      <c r="A7" s="2">
        <v>7</v>
      </c>
      <c r="B7">
        <f t="shared" si="0"/>
        <v>1.8150909091999994</v>
      </c>
      <c r="C7">
        <f t="shared" si="1"/>
        <v>-3.5315102082574441E-2</v>
      </c>
    </row>
    <row r="8" spans="1:3">
      <c r="A8" s="2">
        <v>8</v>
      </c>
      <c r="B8">
        <f t="shared" si="0"/>
        <v>2.8172727273999989</v>
      </c>
      <c r="C8">
        <f t="shared" si="1"/>
        <v>-3.5422999442740424E-2</v>
      </c>
    </row>
    <row r="9" spans="1:3">
      <c r="A9" s="2">
        <v>9</v>
      </c>
      <c r="B9">
        <f t="shared" si="0"/>
        <v>3.8194545455999993</v>
      </c>
      <c r="C9">
        <f t="shared" si="1"/>
        <v>-3.5531450998291608E-2</v>
      </c>
    </row>
    <row r="10" spans="1:3">
      <c r="A10" s="2">
        <v>10</v>
      </c>
      <c r="B10">
        <f t="shared" si="0"/>
        <v>4.8216363637999997</v>
      </c>
      <c r="C10">
        <f t="shared" si="1"/>
        <v>-3.5640457186557825E-2</v>
      </c>
    </row>
    <row r="11" spans="1:3">
      <c r="A11" s="2">
        <v>11</v>
      </c>
      <c r="B11">
        <f t="shared" si="0"/>
        <v>5.8238181820000001</v>
      </c>
      <c r="C11">
        <f t="shared" si="1"/>
        <v>-3.5750018426319204E-2</v>
      </c>
    </row>
    <row r="12" spans="1:3">
      <c r="A12" s="2">
        <v>12</v>
      </c>
      <c r="B12">
        <f t="shared" si="0"/>
        <v>6.8260000001999988</v>
      </c>
      <c r="C12">
        <f t="shared" si="1"/>
        <v>-3.5860135117734934E-2</v>
      </c>
    </row>
    <row r="13" spans="1:3">
      <c r="A13" s="2">
        <v>13</v>
      </c>
      <c r="B13">
        <f t="shared" si="0"/>
        <v>7.8281818183999992</v>
      </c>
      <c r="C13">
        <f t="shared" si="1"/>
        <v>-3.5970807642275171E-2</v>
      </c>
    </row>
    <row r="14" spans="1:3">
      <c r="A14" s="2">
        <v>14</v>
      </c>
      <c r="B14">
        <f t="shared" si="0"/>
        <v>8.8303636365999996</v>
      </c>
      <c r="C14">
        <f t="shared" si="1"/>
        <v>-3.6082036362655966E-2</v>
      </c>
    </row>
    <row r="15" spans="1:3">
      <c r="A15" s="2">
        <v>15</v>
      </c>
      <c r="B15">
        <f t="shared" si="0"/>
        <v>9.8325454547999982</v>
      </c>
      <c r="C15">
        <f t="shared" si="1"/>
        <v>-3.6193821622777275E-2</v>
      </c>
    </row>
    <row r="16" spans="1:3">
      <c r="A16" s="2">
        <v>16</v>
      </c>
      <c r="B16">
        <f t="shared" si="0"/>
        <v>10.834727272999999</v>
      </c>
      <c r="C16">
        <f t="shared" si="1"/>
        <v>-3.6306163747664162E-2</v>
      </c>
    </row>
    <row r="17" spans="1:3">
      <c r="A17" s="2">
        <v>17</v>
      </c>
      <c r="B17">
        <f t="shared" si="0"/>
        <v>11.836909091199999</v>
      </c>
      <c r="C17">
        <f t="shared" si="1"/>
        <v>-3.6419063043411123E-2</v>
      </c>
    </row>
    <row r="18" spans="1:3">
      <c r="A18" s="2">
        <v>18</v>
      </c>
      <c r="B18">
        <f t="shared" si="0"/>
        <v>12.839090909399999</v>
      </c>
      <c r="C18">
        <f t="shared" si="1"/>
        <v>-3.6532519797129605E-2</v>
      </c>
    </row>
    <row r="19" spans="1:3">
      <c r="A19" s="2">
        <v>19</v>
      </c>
      <c r="B19">
        <f t="shared" si="0"/>
        <v>13.8412727276</v>
      </c>
      <c r="C19">
        <f t="shared" si="1"/>
        <v>-3.6646534276898665E-2</v>
      </c>
    </row>
    <row r="20" spans="1:3">
      <c r="A20" s="2">
        <v>20</v>
      </c>
      <c r="B20">
        <f t="shared" si="0"/>
        <v>14.8434545458</v>
      </c>
      <c r="C20">
        <f t="shared" si="1"/>
        <v>-3.6761106731718882E-2</v>
      </c>
    </row>
    <row r="21" spans="1:3">
      <c r="A21" s="2">
        <v>21</v>
      </c>
      <c r="B21">
        <f t="shared" si="0"/>
        <v>15.845636364000001</v>
      </c>
      <c r="C21">
        <f t="shared" si="1"/>
        <v>-3.6876237391469641E-2</v>
      </c>
    </row>
    <row r="22" spans="1:3">
      <c r="A22" s="2">
        <v>22</v>
      </c>
      <c r="B22">
        <f t="shared" si="0"/>
        <v>16.847818182199997</v>
      </c>
      <c r="C22">
        <f t="shared" si="1"/>
        <v>-3.6991926466869322E-2</v>
      </c>
    </row>
    <row r="23" spans="1:3">
      <c r="A23" s="2">
        <v>23</v>
      </c>
      <c r="B23">
        <f t="shared" si="0"/>
        <v>17.850000000399998</v>
      </c>
      <c r="C23">
        <f t="shared" si="1"/>
        <v>-3.7108174149439177E-2</v>
      </c>
    </row>
    <row r="24" spans="1:3">
      <c r="A24" s="2">
        <v>24</v>
      </c>
      <c r="B24">
        <f t="shared" si="0"/>
        <v>18.852181818599998</v>
      </c>
      <c r="C24">
        <f t="shared" si="1"/>
        <v>-3.7224980611470157E-2</v>
      </c>
    </row>
    <row r="25" spans="1:3">
      <c r="A25" s="2">
        <v>25</v>
      </c>
      <c r="B25">
        <f t="shared" si="0"/>
        <v>19.854363636799999</v>
      </c>
      <c r="C25">
        <f t="shared" si="1"/>
        <v>-3.7342346005993218E-2</v>
      </c>
    </row>
    <row r="26" spans="1:3">
      <c r="A26" s="2">
        <v>26</v>
      </c>
      <c r="B26">
        <f t="shared" si="0"/>
        <v>20.856545454999999</v>
      </c>
      <c r="C26">
        <f t="shared" si="1"/>
        <v>-3.746027046675289E-2</v>
      </c>
    </row>
    <row r="27" spans="1:3">
      <c r="A27" s="2">
        <v>27</v>
      </c>
      <c r="B27">
        <f t="shared" si="0"/>
        <v>21.8587272732</v>
      </c>
      <c r="C27">
        <f t="shared" si="1"/>
        <v>-3.7578754108184141E-2</v>
      </c>
    </row>
    <row r="28" spans="1:3">
      <c r="A28" s="2">
        <v>28</v>
      </c>
      <c r="B28">
        <f t="shared" si="0"/>
        <v>22.8609090914</v>
      </c>
      <c r="C28">
        <f t="shared" si="1"/>
        <v>-3.7697797025392554E-2</v>
      </c>
    </row>
    <row r="29" spans="1:3">
      <c r="A29" s="2">
        <v>29</v>
      </c>
      <c r="B29">
        <f t="shared" si="0"/>
        <v>23.863090909599997</v>
      </c>
      <c r="C29">
        <f t="shared" si="1"/>
        <v>-3.7817399294137959E-2</v>
      </c>
    </row>
    <row r="30" spans="1:3">
      <c r="A30" s="2">
        <v>30</v>
      </c>
      <c r="B30">
        <f t="shared" si="0"/>
        <v>24.865272727799997</v>
      </c>
      <c r="C30">
        <f t="shared" si="1"/>
        <v>-3.793756097082121E-2</v>
      </c>
    </row>
    <row r="31" spans="1:3">
      <c r="A31" s="2">
        <v>31</v>
      </c>
      <c r="B31">
        <f t="shared" si="0"/>
        <v>25.867454545999998</v>
      </c>
      <c r="C31">
        <f t="shared" si="1"/>
        <v>-3.8058282092474513E-2</v>
      </c>
    </row>
    <row r="32" spans="1:3">
      <c r="A32" s="2">
        <v>32</v>
      </c>
      <c r="B32">
        <f t="shared" si="0"/>
        <v>26.869636364199998</v>
      </c>
      <c r="C32">
        <f t="shared" si="1"/>
        <v>-3.8179562676754979E-2</v>
      </c>
    </row>
    <row r="33" spans="1:3">
      <c r="A33" s="2">
        <v>33</v>
      </c>
      <c r="B33">
        <f t="shared" ref="B33:B64" si="2">-4.198+(A33-1)*1.0021818182</f>
        <v>27.871818182399998</v>
      </c>
      <c r="C33">
        <f t="shared" ref="C33:C64" si="3">0.0135257129260354+-0.00012096696901896*B33-0.048296231409623*(1.00657894736842+(B33-26.2795394736842)^2/86418.9042677632)^0.5</f>
        <v>-3.8301402721941533E-2</v>
      </c>
    </row>
    <row r="34" spans="1:3">
      <c r="A34" s="2">
        <v>34</v>
      </c>
      <c r="B34">
        <f t="shared" si="2"/>
        <v>28.874000000599999</v>
      </c>
      <c r="C34">
        <f t="shared" si="3"/>
        <v>-3.8423802206935281E-2</v>
      </c>
    </row>
    <row r="35" spans="1:3">
      <c r="A35" s="2">
        <v>35</v>
      </c>
      <c r="B35">
        <f t="shared" si="2"/>
        <v>29.876181818799999</v>
      </c>
      <c r="C35">
        <f t="shared" si="3"/>
        <v>-3.8546761091263093E-2</v>
      </c>
    </row>
    <row r="36" spans="1:3">
      <c r="A36" s="2">
        <v>36</v>
      </c>
      <c r="B36">
        <f t="shared" si="2"/>
        <v>30.878363637</v>
      </c>
      <c r="C36">
        <f t="shared" si="3"/>
        <v>-3.8670279315084696E-2</v>
      </c>
    </row>
    <row r="37" spans="1:3">
      <c r="A37" s="2">
        <v>37</v>
      </c>
      <c r="B37">
        <f t="shared" si="2"/>
        <v>31.8805454552</v>
      </c>
      <c r="C37">
        <f t="shared" si="3"/>
        <v>-3.8794356799202921E-2</v>
      </c>
    </row>
    <row r="38" spans="1:3">
      <c r="A38" s="2">
        <v>38</v>
      </c>
      <c r="B38">
        <f t="shared" si="2"/>
        <v>32.8827272734</v>
      </c>
      <c r="C38">
        <f t="shared" si="3"/>
        <v>-3.8918993445077502E-2</v>
      </c>
    </row>
    <row r="39" spans="1:3">
      <c r="A39" s="2">
        <v>39</v>
      </c>
      <c r="B39">
        <f t="shared" si="2"/>
        <v>33.884909091600001</v>
      </c>
      <c r="C39">
        <f t="shared" si="3"/>
        <v>-3.9044189134842089E-2</v>
      </c>
    </row>
    <row r="40" spans="1:3">
      <c r="A40" s="2">
        <v>40</v>
      </c>
      <c r="B40">
        <f t="shared" si="2"/>
        <v>34.887090909800001</v>
      </c>
      <c r="C40">
        <f t="shared" si="3"/>
        <v>-3.9169943731324638E-2</v>
      </c>
    </row>
    <row r="41" spans="1:3">
      <c r="A41" s="2">
        <v>41</v>
      </c>
      <c r="B41">
        <f t="shared" si="2"/>
        <v>35.889272728000002</v>
      </c>
      <c r="C41">
        <f t="shared" si="3"/>
        <v>-3.929625707807112E-2</v>
      </c>
    </row>
    <row r="42" spans="1:3">
      <c r="A42" s="2">
        <v>42</v>
      </c>
      <c r="B42">
        <f t="shared" si="2"/>
        <v>36.891454546199995</v>
      </c>
      <c r="C42">
        <f t="shared" si="3"/>
        <v>-3.9423128999372531E-2</v>
      </c>
    </row>
    <row r="43" spans="1:3">
      <c r="A43" s="2">
        <v>43</v>
      </c>
      <c r="B43">
        <f t="shared" si="2"/>
        <v>37.893636364399995</v>
      </c>
      <c r="C43">
        <f t="shared" si="3"/>
        <v>-3.9550559300295253E-2</v>
      </c>
    </row>
    <row r="44" spans="1:3">
      <c r="A44" s="2">
        <v>44</v>
      </c>
      <c r="B44">
        <f t="shared" si="2"/>
        <v>38.895818182599996</v>
      </c>
      <c r="C44">
        <f t="shared" si="3"/>
        <v>-3.9678547766714679E-2</v>
      </c>
    </row>
    <row r="45" spans="1:3">
      <c r="A45" s="2">
        <v>45</v>
      </c>
      <c r="B45">
        <f t="shared" si="2"/>
        <v>39.898000000799996</v>
      </c>
      <c r="C45">
        <f t="shared" si="3"/>
        <v>-3.9807094165352067E-2</v>
      </c>
    </row>
    <row r="46" spans="1:3">
      <c r="A46" s="2">
        <v>46</v>
      </c>
      <c r="B46">
        <f t="shared" si="2"/>
        <v>40.900181818999997</v>
      </c>
      <c r="C46">
        <f t="shared" si="3"/>
        <v>-3.9936198243814794E-2</v>
      </c>
    </row>
    <row r="47" spans="1:3">
      <c r="A47" s="2">
        <v>47</v>
      </c>
      <c r="B47">
        <f t="shared" si="2"/>
        <v>41.902363637199997</v>
      </c>
      <c r="C47">
        <f t="shared" si="3"/>
        <v>-4.0065859730639711E-2</v>
      </c>
    </row>
    <row r="48" spans="1:3">
      <c r="A48" s="2">
        <v>48</v>
      </c>
      <c r="B48">
        <f t="shared" si="2"/>
        <v>42.904545455399997</v>
      </c>
      <c r="C48">
        <f t="shared" si="3"/>
        <v>-4.019607833533987E-2</v>
      </c>
    </row>
    <row r="49" spans="1:3">
      <c r="A49" s="2">
        <v>49</v>
      </c>
      <c r="B49">
        <f t="shared" si="2"/>
        <v>43.906727273599998</v>
      </c>
      <c r="C49">
        <f t="shared" si="3"/>
        <v>-4.0326853748454301E-2</v>
      </c>
    </row>
    <row r="50" spans="1:3">
      <c r="A50" s="2">
        <v>50</v>
      </c>
      <c r="B50">
        <f t="shared" si="2"/>
        <v>44.908909091799998</v>
      </c>
      <c r="C50">
        <f t="shared" si="3"/>
        <v>-4.0458185641601127E-2</v>
      </c>
    </row>
    <row r="51" spans="1:3">
      <c r="A51" s="2">
        <v>51</v>
      </c>
      <c r="B51">
        <f t="shared" si="2"/>
        <v>45.911090909999999</v>
      </c>
      <c r="C51">
        <f t="shared" si="3"/>
        <v>-4.0590073667533817E-2</v>
      </c>
    </row>
    <row r="52" spans="1:3">
      <c r="A52" s="2">
        <v>52</v>
      </c>
      <c r="B52">
        <f t="shared" si="2"/>
        <v>46.913272728199999</v>
      </c>
      <c r="C52">
        <f t="shared" si="3"/>
        <v>-4.0722517460200516E-2</v>
      </c>
    </row>
    <row r="53" spans="1:3">
      <c r="A53" s="2">
        <v>53</v>
      </c>
      <c r="B53">
        <f t="shared" si="2"/>
        <v>47.915454546399999</v>
      </c>
      <c r="C53">
        <f t="shared" si="3"/>
        <v>-4.0855516634806605E-2</v>
      </c>
    </row>
    <row r="54" spans="1:3">
      <c r="A54" s="2">
        <v>54</v>
      </c>
      <c r="B54">
        <f t="shared" si="2"/>
        <v>48.9176363646</v>
      </c>
      <c r="C54">
        <f t="shared" si="3"/>
        <v>-4.0989070787880298E-2</v>
      </c>
    </row>
    <row r="55" spans="1:3">
      <c r="A55" s="2">
        <v>55</v>
      </c>
      <c r="B55">
        <f t="shared" si="2"/>
        <v>49.9198181828</v>
      </c>
      <c r="C55">
        <f t="shared" si="3"/>
        <v>-4.1123179497341282E-2</v>
      </c>
    </row>
    <row r="56" spans="1:3">
      <c r="A56" s="2">
        <v>56</v>
      </c>
      <c r="B56">
        <f t="shared" si="2"/>
        <v>50.922000001000001</v>
      </c>
      <c r="C56">
        <f t="shared" si="3"/>
        <v>-4.1257842322572541E-2</v>
      </c>
    </row>
    <row r="57" spans="1:3">
      <c r="A57" s="2">
        <v>57</v>
      </c>
      <c r="B57">
        <f t="shared" si="2"/>
        <v>51.924181819199994</v>
      </c>
      <c r="C57">
        <f t="shared" si="3"/>
        <v>-4.1393058804495064E-2</v>
      </c>
    </row>
    <row r="58" spans="1:3">
      <c r="A58" s="2">
        <v>58</v>
      </c>
      <c r="B58">
        <f t="shared" si="2"/>
        <v>52.926363637399994</v>
      </c>
      <c r="C58">
        <f t="shared" si="3"/>
        <v>-4.1528828465645568E-2</v>
      </c>
    </row>
    <row r="59" spans="1:3">
      <c r="A59" s="2">
        <v>59</v>
      </c>
      <c r="B59">
        <f t="shared" si="2"/>
        <v>53.928545455599995</v>
      </c>
      <c r="C59">
        <f t="shared" si="3"/>
        <v>-4.1665150810257262E-2</v>
      </c>
    </row>
    <row r="60" spans="1:3">
      <c r="A60" s="2">
        <v>60</v>
      </c>
      <c r="B60">
        <f t="shared" si="2"/>
        <v>54.930727273799995</v>
      </c>
      <c r="C60">
        <f t="shared" si="3"/>
        <v>-4.1802025324343468E-2</v>
      </c>
    </row>
    <row r="61" spans="1:3">
      <c r="A61" s="2">
        <v>61</v>
      </c>
      <c r="B61">
        <f t="shared" si="2"/>
        <v>55.932909091999996</v>
      </c>
      <c r="C61">
        <f t="shared" si="3"/>
        <v>-4.1939451475784123E-2</v>
      </c>
    </row>
    <row r="62" spans="1:3">
      <c r="A62" s="2">
        <v>62</v>
      </c>
      <c r="B62">
        <f t="shared" si="2"/>
        <v>56.935090910199996</v>
      </c>
      <c r="C62">
        <f t="shared" si="3"/>
        <v>-4.2077428714415215E-2</v>
      </c>
    </row>
    <row r="63" spans="1:3">
      <c r="A63" s="2">
        <v>63</v>
      </c>
      <c r="B63">
        <f t="shared" si="2"/>
        <v>57.937272728399996</v>
      </c>
      <c r="C63">
        <f t="shared" si="3"/>
        <v>-4.2215956472121015E-2</v>
      </c>
    </row>
    <row r="64" spans="1:3">
      <c r="A64" s="2">
        <v>64</v>
      </c>
      <c r="B64">
        <f t="shared" si="2"/>
        <v>58.939454546599997</v>
      </c>
      <c r="C64">
        <f t="shared" si="3"/>
        <v>-4.2355034162929059E-2</v>
      </c>
    </row>
    <row r="65" spans="1:3">
      <c r="A65" s="2">
        <v>65</v>
      </c>
      <c r="B65">
        <f t="shared" ref="B65:B96" si="4">-4.198+(A65-1)*1.0021818182</f>
        <v>59.941636364799997</v>
      </c>
      <c r="C65">
        <f t="shared" ref="C65:C96" si="5">0.0135257129260354+-0.00012096696901896*B65-0.048296231409623*(1.00657894736842+(B65-26.2795394736842)^2/86418.9042677632)^0.5</f>
        <v>-4.2494661183107921E-2</v>
      </c>
    </row>
    <row r="66" spans="1:3">
      <c r="A66" s="2">
        <v>66</v>
      </c>
      <c r="B66">
        <f t="shared" si="4"/>
        <v>60.943818182999998</v>
      </c>
      <c r="C66">
        <f t="shared" si="5"/>
        <v>-4.2634836911267779E-2</v>
      </c>
    </row>
    <row r="67" spans="1:3">
      <c r="A67" s="2">
        <v>67</v>
      </c>
      <c r="B67">
        <f t="shared" si="4"/>
        <v>61.946000001199998</v>
      </c>
      <c r="C67">
        <f t="shared" si="5"/>
        <v>-4.2775560708463493E-2</v>
      </c>
    </row>
    <row r="68" spans="1:3">
      <c r="A68" s="2">
        <v>68</v>
      </c>
      <c r="B68">
        <f t="shared" si="4"/>
        <v>62.948181819399998</v>
      </c>
      <c r="C68">
        <f t="shared" si="5"/>
        <v>-4.2916831918300494E-2</v>
      </c>
    </row>
    <row r="69" spans="1:3">
      <c r="A69" s="2">
        <v>69</v>
      </c>
      <c r="B69">
        <f t="shared" si="4"/>
        <v>63.950363637599999</v>
      </c>
      <c r="C69">
        <f t="shared" si="5"/>
        <v>-4.3058649867043164E-2</v>
      </c>
    </row>
    <row r="70" spans="1:3">
      <c r="A70" s="2">
        <v>70</v>
      </c>
      <c r="B70">
        <f t="shared" si="4"/>
        <v>64.952545455799992</v>
      </c>
      <c r="C70">
        <f t="shared" si="5"/>
        <v>-4.320101386372583E-2</v>
      </c>
    </row>
    <row r="71" spans="1:3">
      <c r="A71" s="2">
        <v>71</v>
      </c>
      <c r="B71">
        <f t="shared" si="4"/>
        <v>65.954727273999993</v>
      </c>
      <c r="C71">
        <f t="shared" si="5"/>
        <v>-4.334392320026622E-2</v>
      </c>
    </row>
    <row r="72" spans="1:3">
      <c r="A72" s="2">
        <v>72</v>
      </c>
      <c r="B72">
        <f t="shared" si="4"/>
        <v>66.956909092199993</v>
      </c>
      <c r="C72">
        <f t="shared" si="5"/>
        <v>-4.3487377151581505E-2</v>
      </c>
    </row>
    <row r="73" spans="1:3">
      <c r="A73" s="2">
        <v>73</v>
      </c>
      <c r="B73">
        <f t="shared" si="4"/>
        <v>67.959090910399993</v>
      </c>
      <c r="C73">
        <f t="shared" si="5"/>
        <v>-4.3631374975706655E-2</v>
      </c>
    </row>
    <row r="74" spans="1:3">
      <c r="A74" s="2">
        <v>74</v>
      </c>
      <c r="B74">
        <f t="shared" si="4"/>
        <v>68.961272728599994</v>
      </c>
      <c r="C74">
        <f t="shared" si="5"/>
        <v>-4.3775915913915206E-2</v>
      </c>
    </row>
    <row r="75" spans="1:3">
      <c r="A75" s="2">
        <v>75</v>
      </c>
      <c r="B75">
        <f t="shared" si="4"/>
        <v>69.963454546799994</v>
      </c>
      <c r="C75">
        <f t="shared" si="5"/>
        <v>-4.3920999190842455E-2</v>
      </c>
    </row>
    <row r="76" spans="1:3">
      <c r="A76" s="2">
        <v>76</v>
      </c>
      <c r="B76">
        <f t="shared" si="4"/>
        <v>70.965636364999995</v>
      </c>
      <c r="C76">
        <f t="shared" si="5"/>
        <v>-4.4066624014610846E-2</v>
      </c>
    </row>
    <row r="77" spans="1:3">
      <c r="A77" s="2">
        <v>77</v>
      </c>
      <c r="B77">
        <f t="shared" si="4"/>
        <v>71.967818183199995</v>
      </c>
      <c r="C77">
        <f t="shared" si="5"/>
        <v>-4.4212789576957692E-2</v>
      </c>
    </row>
    <row r="78" spans="1:3">
      <c r="A78" s="2">
        <v>78</v>
      </c>
      <c r="B78">
        <f t="shared" si="4"/>
        <v>72.970000001399995</v>
      </c>
      <c r="C78">
        <f t="shared" si="5"/>
        <v>-4.4359495053365061E-2</v>
      </c>
    </row>
    <row r="79" spans="1:3">
      <c r="A79" s="2">
        <v>79</v>
      </c>
      <c r="B79">
        <f t="shared" si="4"/>
        <v>73.972181819599996</v>
      </c>
      <c r="C79">
        <f t="shared" si="5"/>
        <v>-4.4506739603191778E-2</v>
      </c>
    </row>
    <row r="80" spans="1:3">
      <c r="A80" s="2">
        <v>80</v>
      </c>
      <c r="B80">
        <f t="shared" si="4"/>
        <v>74.974363637799996</v>
      </c>
      <c r="C80">
        <f t="shared" si="5"/>
        <v>-4.4654522369807645E-2</v>
      </c>
    </row>
    <row r="81" spans="1:3">
      <c r="A81" s="2">
        <v>81</v>
      </c>
      <c r="B81">
        <f t="shared" si="4"/>
        <v>75.976545455999997</v>
      </c>
      <c r="C81">
        <f t="shared" si="5"/>
        <v>-4.4802842480729667E-2</v>
      </c>
    </row>
    <row r="82" spans="1:3">
      <c r="A82" s="2">
        <v>82</v>
      </c>
      <c r="B82">
        <f t="shared" si="4"/>
        <v>76.978727274199997</v>
      </c>
      <c r="C82">
        <f t="shared" si="5"/>
        <v>-4.4951699047760238E-2</v>
      </c>
    </row>
    <row r="83" spans="1:3">
      <c r="A83" s="2">
        <v>83</v>
      </c>
      <c r="B83">
        <f t="shared" si="4"/>
        <v>77.980909092399997</v>
      </c>
      <c r="C83">
        <f t="shared" si="5"/>
        <v>-4.5101091167127391E-2</v>
      </c>
    </row>
    <row r="84" spans="1:3">
      <c r="A84" s="2">
        <v>84</v>
      </c>
      <c r="B84">
        <f t="shared" si="4"/>
        <v>78.983090910599998</v>
      </c>
      <c r="C84">
        <f t="shared" si="5"/>
        <v>-4.5251017919626886E-2</v>
      </c>
    </row>
    <row r="85" spans="1:3">
      <c r="A85" s="2">
        <v>85</v>
      </c>
      <c r="B85">
        <f t="shared" si="4"/>
        <v>79.985272728799998</v>
      </c>
      <c r="C85">
        <f t="shared" si="5"/>
        <v>-4.5401478370766253E-2</v>
      </c>
    </row>
    <row r="86" spans="1:3">
      <c r="A86" s="2">
        <v>86</v>
      </c>
      <c r="B86">
        <f t="shared" si="4"/>
        <v>80.987454546999999</v>
      </c>
      <c r="C86">
        <f t="shared" si="5"/>
        <v>-4.5552471570910497E-2</v>
      </c>
    </row>
    <row r="87" spans="1:3">
      <c r="A87" s="2">
        <v>87</v>
      </c>
      <c r="B87">
        <f t="shared" si="4"/>
        <v>81.989636365199999</v>
      </c>
      <c r="C87">
        <f t="shared" si="5"/>
        <v>-4.5703996555429761E-2</v>
      </c>
    </row>
    <row r="88" spans="1:3">
      <c r="A88" s="2">
        <v>88</v>
      </c>
      <c r="B88">
        <f t="shared" si="4"/>
        <v>82.991818183399999</v>
      </c>
      <c r="C88">
        <f t="shared" si="5"/>
        <v>-4.5856052344848526E-2</v>
      </c>
    </row>
    <row r="89" spans="1:3">
      <c r="A89" s="2">
        <v>89</v>
      </c>
      <c r="B89">
        <f t="shared" si="4"/>
        <v>83.9940000016</v>
      </c>
      <c r="C89">
        <f t="shared" si="5"/>
        <v>-4.60086379449966E-2</v>
      </c>
    </row>
    <row r="90" spans="1:3">
      <c r="A90" s="2">
        <v>90</v>
      </c>
      <c r="B90">
        <f t="shared" si="4"/>
        <v>84.9961818198</v>
      </c>
      <c r="C90">
        <f t="shared" si="5"/>
        <v>-4.6161752347161654E-2</v>
      </c>
    </row>
    <row r="91" spans="1:3">
      <c r="A91" s="2">
        <v>91</v>
      </c>
      <c r="B91">
        <f t="shared" si="4"/>
        <v>85.998363638000001</v>
      </c>
      <c r="C91">
        <f t="shared" si="5"/>
        <v>-4.6315394528243334E-2</v>
      </c>
    </row>
    <row r="92" spans="1:3">
      <c r="A92" s="2">
        <v>92</v>
      </c>
      <c r="B92">
        <f t="shared" si="4"/>
        <v>87.000545456200001</v>
      </c>
      <c r="C92">
        <f t="shared" si="5"/>
        <v>-4.646956345090885E-2</v>
      </c>
    </row>
    <row r="93" spans="1:3">
      <c r="A93" s="2">
        <v>93</v>
      </c>
      <c r="B93">
        <f t="shared" si="4"/>
        <v>88.002727274400002</v>
      </c>
      <c r="C93">
        <f t="shared" si="5"/>
        <v>-4.6624258063750104E-2</v>
      </c>
    </row>
    <row r="94" spans="1:3">
      <c r="A94" s="2">
        <v>94</v>
      </c>
      <c r="B94">
        <f t="shared" si="4"/>
        <v>89.004909092600002</v>
      </c>
      <c r="C94">
        <f t="shared" si="5"/>
        <v>-4.6779477301442128E-2</v>
      </c>
    </row>
    <row r="95" spans="1:3">
      <c r="A95" s="2">
        <v>95</v>
      </c>
      <c r="B95">
        <f t="shared" si="4"/>
        <v>90.007090910800002</v>
      </c>
      <c r="C95">
        <f t="shared" si="5"/>
        <v>-4.6935220084902932E-2</v>
      </c>
    </row>
    <row r="96" spans="1:3">
      <c r="A96" s="2">
        <v>96</v>
      </c>
      <c r="B96">
        <f t="shared" si="4"/>
        <v>91.009272729000003</v>
      </c>
      <c r="C96">
        <f t="shared" si="5"/>
        <v>-4.7091485321454574E-2</v>
      </c>
    </row>
    <row r="97" spans="1:3">
      <c r="A97" s="2">
        <v>97</v>
      </c>
      <c r="B97">
        <f t="shared" ref="B97:B100" si="6">-4.198+(A97-1)*1.0021818182</f>
        <v>92.011454547200003</v>
      </c>
      <c r="C97">
        <f t="shared" ref="C97:C100" si="7">0.0135257129260354+-0.00012096696901896*B97-0.048296231409623*(1.00657894736842+(B97-26.2795394736842)^2/86418.9042677632)^0.5</f>
        <v>-4.7248271904985636E-2</v>
      </c>
    </row>
    <row r="98" spans="1:3">
      <c r="A98" s="2">
        <v>98</v>
      </c>
      <c r="B98">
        <f t="shared" si="6"/>
        <v>93.013636365400004</v>
      </c>
      <c r="C98">
        <f t="shared" si="7"/>
        <v>-4.7405578716114671E-2</v>
      </c>
    </row>
    <row r="99" spans="1:3">
      <c r="A99" s="2">
        <v>99</v>
      </c>
      <c r="B99">
        <f t="shared" si="6"/>
        <v>94.015818183600004</v>
      </c>
      <c r="C99">
        <f t="shared" si="7"/>
        <v>-4.7563404622355004E-2</v>
      </c>
    </row>
    <row r="100" spans="1:3">
      <c r="A100" s="2">
        <v>100</v>
      </c>
      <c r="B100">
        <f t="shared" si="6"/>
        <v>95.018000001800004</v>
      </c>
      <c r="C100">
        <f t="shared" si="7"/>
        <v>-4.7721748478280493E-2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enableFormatConditionsCalculation="0"/>
  <dimension ref="A1:C100"/>
  <sheetViews>
    <sheetView workbookViewId="0"/>
  </sheetViews>
  <sheetFormatPr baseColWidth="10" defaultRowHeight="15.75"/>
  <sheetData>
    <row r="1" spans="1:3">
      <c r="A1" s="2">
        <v>1</v>
      </c>
      <c r="B1">
        <f t="shared" ref="B1:B32" si="0">-4.198+(A1-1)*1.0021818182</f>
        <v>-4.1980000000000004</v>
      </c>
      <c r="C1">
        <f t="shared" ref="C1:C32" si="1">0.0135257129260354+-0.00012096696901896*B1+0.048296231409623*(1.00657894736842+(B1-26.2795394736842)^2/86418.9042677632)^0.5</f>
        <v>6.2746393740217829E-2</v>
      </c>
    </row>
    <row r="2" spans="1:3">
      <c r="A2" s="2">
        <v>2</v>
      </c>
      <c r="B2">
        <f t="shared" si="0"/>
        <v>-3.1958181818000004</v>
      </c>
      <c r="C2">
        <f t="shared" si="1"/>
        <v>6.2608514347148536E-2</v>
      </c>
    </row>
    <row r="3" spans="1:3">
      <c r="A3" s="2">
        <v>3</v>
      </c>
      <c r="B3">
        <f t="shared" si="0"/>
        <v>-2.1936363636000005</v>
      </c>
      <c r="C3">
        <f t="shared" si="1"/>
        <v>6.2471186140306063E-2</v>
      </c>
    </row>
    <row r="4" spans="1:3">
      <c r="A4" s="2">
        <v>4</v>
      </c>
      <c r="B4">
        <f t="shared" si="0"/>
        <v>-1.1914545454000005</v>
      </c>
      <c r="C4">
        <f t="shared" si="1"/>
        <v>6.2334409666656064E-2</v>
      </c>
    </row>
    <row r="5" spans="1:3">
      <c r="A5" s="2">
        <v>5</v>
      </c>
      <c r="B5">
        <f t="shared" si="0"/>
        <v>-0.18927272720000055</v>
      </c>
      <c r="C5">
        <f t="shared" si="1"/>
        <v>6.2198185455104048E-2</v>
      </c>
    </row>
    <row r="6" spans="1:3">
      <c r="A6" s="2">
        <v>6</v>
      </c>
      <c r="B6">
        <f t="shared" si="0"/>
        <v>0.81290909099999986</v>
      </c>
      <c r="C6">
        <f t="shared" si="1"/>
        <v>6.2062514016406709E-2</v>
      </c>
    </row>
    <row r="7" spans="1:3">
      <c r="A7" s="2">
        <v>7</v>
      </c>
      <c r="B7">
        <f t="shared" si="0"/>
        <v>1.8150909091999994</v>
      </c>
      <c r="C7">
        <f t="shared" si="1"/>
        <v>6.192739584308566E-2</v>
      </c>
    </row>
    <row r="8" spans="1:3">
      <c r="A8" s="2">
        <v>8</v>
      </c>
      <c r="B8">
        <f t="shared" si="0"/>
        <v>2.8172727273999989</v>
      </c>
      <c r="C8">
        <f t="shared" si="1"/>
        <v>6.1792831409344509E-2</v>
      </c>
    </row>
    <row r="9" spans="1:3">
      <c r="A9" s="2">
        <v>9</v>
      </c>
      <c r="B9">
        <f t="shared" si="0"/>
        <v>3.8194545455999993</v>
      </c>
      <c r="C9">
        <f t="shared" si="1"/>
        <v>6.1658821170988559E-2</v>
      </c>
    </row>
    <row r="10" spans="1:3">
      <c r="A10" s="2">
        <v>10</v>
      </c>
      <c r="B10">
        <f t="shared" si="0"/>
        <v>4.8216363637999997</v>
      </c>
      <c r="C10">
        <f t="shared" si="1"/>
        <v>6.1525365565347656E-2</v>
      </c>
    </row>
    <row r="11" spans="1:3">
      <c r="A11" s="2">
        <v>11</v>
      </c>
      <c r="B11">
        <f t="shared" si="0"/>
        <v>5.8238181820000001</v>
      </c>
      <c r="C11">
        <f t="shared" si="1"/>
        <v>6.1392465011201901E-2</v>
      </c>
    </row>
    <row r="12" spans="1:3">
      <c r="A12" s="2">
        <v>12</v>
      </c>
      <c r="B12">
        <f t="shared" si="0"/>
        <v>6.8260000001999988</v>
      </c>
      <c r="C12">
        <f t="shared" si="1"/>
        <v>6.1260119908710511E-2</v>
      </c>
    </row>
    <row r="13" spans="1:3">
      <c r="A13" s="2">
        <v>13</v>
      </c>
      <c r="B13">
        <f t="shared" si="0"/>
        <v>7.8281818183999992</v>
      </c>
      <c r="C13">
        <f t="shared" si="1"/>
        <v>6.1128330639343614E-2</v>
      </c>
    </row>
    <row r="14" spans="1:3">
      <c r="A14" s="2">
        <v>14</v>
      </c>
      <c r="B14">
        <f t="shared" si="0"/>
        <v>8.8303636365999996</v>
      </c>
      <c r="C14">
        <f t="shared" si="1"/>
        <v>6.0997097565817275E-2</v>
      </c>
    </row>
    <row r="15" spans="1:3">
      <c r="A15" s="2">
        <v>15</v>
      </c>
      <c r="B15">
        <f t="shared" si="0"/>
        <v>9.8325454547999982</v>
      </c>
      <c r="C15">
        <f t="shared" si="1"/>
        <v>6.0866421032031465E-2</v>
      </c>
    </row>
    <row r="16" spans="1:3">
      <c r="A16" s="2">
        <v>16</v>
      </c>
      <c r="B16">
        <f t="shared" si="0"/>
        <v>10.834727272999999</v>
      </c>
      <c r="C16">
        <f t="shared" si="1"/>
        <v>6.0736301363011218E-2</v>
      </c>
    </row>
    <row r="17" spans="1:3">
      <c r="A17" s="2">
        <v>17</v>
      </c>
      <c r="B17">
        <f t="shared" si="0"/>
        <v>11.836909091199999</v>
      </c>
      <c r="C17">
        <f t="shared" si="1"/>
        <v>6.0606738864851059E-2</v>
      </c>
    </row>
    <row r="18" spans="1:3">
      <c r="A18" s="2">
        <v>18</v>
      </c>
      <c r="B18">
        <f t="shared" si="0"/>
        <v>12.839090909399999</v>
      </c>
      <c r="C18">
        <f t="shared" si="1"/>
        <v>6.0477733824662407E-2</v>
      </c>
    </row>
    <row r="19" spans="1:3">
      <c r="A19" s="2">
        <v>19</v>
      </c>
      <c r="B19">
        <f t="shared" si="0"/>
        <v>13.8412727276</v>
      </c>
      <c r="C19">
        <f t="shared" si="1"/>
        <v>6.0349286510524333E-2</v>
      </c>
    </row>
    <row r="20" spans="1:3">
      <c r="A20" s="2">
        <v>20</v>
      </c>
      <c r="B20">
        <f t="shared" si="0"/>
        <v>14.8434545458</v>
      </c>
      <c r="C20">
        <f t="shared" si="1"/>
        <v>6.022139717143743E-2</v>
      </c>
    </row>
    <row r="21" spans="1:3">
      <c r="A21" s="2">
        <v>21</v>
      </c>
      <c r="B21">
        <f t="shared" si="0"/>
        <v>15.845636364000001</v>
      </c>
      <c r="C21">
        <f t="shared" si="1"/>
        <v>6.0094066037281055E-2</v>
      </c>
    </row>
    <row r="22" spans="1:3">
      <c r="A22" s="2">
        <v>22</v>
      </c>
      <c r="B22">
        <f t="shared" si="0"/>
        <v>16.847818182199997</v>
      </c>
      <c r="C22">
        <f t="shared" si="1"/>
        <v>5.9967293318773603E-2</v>
      </c>
    </row>
    <row r="23" spans="1:3">
      <c r="A23" s="2">
        <v>23</v>
      </c>
      <c r="B23">
        <f t="shared" si="0"/>
        <v>17.850000000399998</v>
      </c>
      <c r="C23">
        <f t="shared" si="1"/>
        <v>5.9841079207436323E-2</v>
      </c>
    </row>
    <row r="24" spans="1:3">
      <c r="A24" s="2">
        <v>24</v>
      </c>
      <c r="B24">
        <f t="shared" si="0"/>
        <v>18.852181818599998</v>
      </c>
      <c r="C24">
        <f t="shared" si="1"/>
        <v>5.9715423875560183E-2</v>
      </c>
    </row>
    <row r="25" spans="1:3">
      <c r="A25" s="2">
        <v>25</v>
      </c>
      <c r="B25">
        <f t="shared" si="0"/>
        <v>19.854363636799999</v>
      </c>
      <c r="C25">
        <f t="shared" si="1"/>
        <v>5.9590327476176111E-2</v>
      </c>
    </row>
    <row r="26" spans="1:3">
      <c r="A26" s="2">
        <v>26</v>
      </c>
      <c r="B26">
        <f t="shared" si="0"/>
        <v>20.856545454999999</v>
      </c>
      <c r="C26">
        <f t="shared" si="1"/>
        <v>5.9465790143028663E-2</v>
      </c>
    </row>
    <row r="27" spans="1:3">
      <c r="A27" s="2">
        <v>27</v>
      </c>
      <c r="B27">
        <f t="shared" si="0"/>
        <v>21.8587272732</v>
      </c>
      <c r="C27">
        <f t="shared" si="1"/>
        <v>5.934181199055278E-2</v>
      </c>
    </row>
    <row r="28" spans="1:3">
      <c r="A28" s="2">
        <v>28</v>
      </c>
      <c r="B28">
        <f t="shared" si="0"/>
        <v>22.8609090914</v>
      </c>
      <c r="C28">
        <f t="shared" si="1"/>
        <v>5.9218393113854073E-2</v>
      </c>
    </row>
    <row r="29" spans="1:3">
      <c r="A29" s="2">
        <v>29</v>
      </c>
      <c r="B29">
        <f t="shared" si="0"/>
        <v>23.863090909599997</v>
      </c>
      <c r="C29">
        <f t="shared" si="1"/>
        <v>5.9095533588692344E-2</v>
      </c>
    </row>
    <row r="30" spans="1:3">
      <c r="A30" s="2">
        <v>30</v>
      </c>
      <c r="B30">
        <f t="shared" si="0"/>
        <v>24.865272727799997</v>
      </c>
      <c r="C30">
        <f t="shared" si="1"/>
        <v>5.8973233471468461E-2</v>
      </c>
    </row>
    <row r="31" spans="1:3">
      <c r="A31" s="2">
        <v>31</v>
      </c>
      <c r="B31">
        <f t="shared" si="0"/>
        <v>25.867454545999998</v>
      </c>
      <c r="C31">
        <f t="shared" si="1"/>
        <v>5.885149279921463E-2</v>
      </c>
    </row>
    <row r="32" spans="1:3">
      <c r="A32" s="2">
        <v>32</v>
      </c>
      <c r="B32">
        <f t="shared" si="0"/>
        <v>26.869636364199998</v>
      </c>
      <c r="C32">
        <f t="shared" si="1"/>
        <v>5.8730311589587976E-2</v>
      </c>
    </row>
    <row r="33" spans="1:3">
      <c r="A33" s="2">
        <v>33</v>
      </c>
      <c r="B33">
        <f t="shared" ref="B33:B64" si="2">-4.198+(A33-1)*1.0021818182</f>
        <v>27.871818182399998</v>
      </c>
      <c r="C33">
        <f t="shared" ref="C33:C64" si="3">0.0135257129260354+-0.00012096696901896*B33+0.048296231409623*(1.00657894736842+(B33-26.2795394736842)^2/86418.9042677632)^0.5</f>
        <v>5.8609689840867396E-2</v>
      </c>
    </row>
    <row r="34" spans="1:3">
      <c r="A34" s="2">
        <v>34</v>
      </c>
      <c r="B34">
        <f t="shared" si="2"/>
        <v>28.874000000599999</v>
      </c>
      <c r="C34">
        <f t="shared" si="3"/>
        <v>5.8489627531954025E-2</v>
      </c>
    </row>
    <row r="35" spans="1:3">
      <c r="A35" s="2">
        <v>35</v>
      </c>
      <c r="B35">
        <f t="shared" si="2"/>
        <v>29.876181818799999</v>
      </c>
      <c r="C35">
        <f t="shared" si="3"/>
        <v>5.8370124622374703E-2</v>
      </c>
    </row>
    <row r="36" spans="1:3">
      <c r="A36" s="2">
        <v>36</v>
      </c>
      <c r="B36">
        <f t="shared" si="2"/>
        <v>30.878363637</v>
      </c>
      <c r="C36">
        <f t="shared" si="3"/>
        <v>5.8251181052289172E-2</v>
      </c>
    </row>
    <row r="37" spans="1:3">
      <c r="A37" s="2">
        <v>37</v>
      </c>
      <c r="B37">
        <f t="shared" si="2"/>
        <v>31.8805454552</v>
      </c>
      <c r="C37">
        <f t="shared" si="3"/>
        <v>5.8132796742500277E-2</v>
      </c>
    </row>
    <row r="38" spans="1:3">
      <c r="A38" s="2">
        <v>38</v>
      </c>
      <c r="B38">
        <f t="shared" si="2"/>
        <v>32.8827272734</v>
      </c>
      <c r="C38">
        <f t="shared" si="3"/>
        <v>5.8014971594467724E-2</v>
      </c>
    </row>
    <row r="39" spans="1:3">
      <c r="A39" s="2">
        <v>39</v>
      </c>
      <c r="B39">
        <f t="shared" si="2"/>
        <v>33.884909091600001</v>
      </c>
      <c r="C39">
        <f t="shared" si="3"/>
        <v>5.7897705490325191E-2</v>
      </c>
    </row>
    <row r="40" spans="1:3">
      <c r="A40" s="2">
        <v>40</v>
      </c>
      <c r="B40">
        <f t="shared" si="2"/>
        <v>34.887090909800001</v>
      </c>
      <c r="C40">
        <f t="shared" si="3"/>
        <v>5.7780998292900607E-2</v>
      </c>
    </row>
    <row r="41" spans="1:3">
      <c r="A41" s="2">
        <v>41</v>
      </c>
      <c r="B41">
        <f t="shared" si="2"/>
        <v>35.889272728000002</v>
      </c>
      <c r="C41">
        <f t="shared" si="3"/>
        <v>5.7664849845739954E-2</v>
      </c>
    </row>
    <row r="42" spans="1:3">
      <c r="A42" s="2">
        <v>42</v>
      </c>
      <c r="B42">
        <f t="shared" si="2"/>
        <v>36.891454546199995</v>
      </c>
      <c r="C42">
        <f t="shared" si="3"/>
        <v>5.7549259973134245E-2</v>
      </c>
    </row>
    <row r="43" spans="1:3">
      <c r="A43" s="2">
        <v>43</v>
      </c>
      <c r="B43">
        <f t="shared" si="2"/>
        <v>37.893636364399995</v>
      </c>
      <c r="C43">
        <f t="shared" si="3"/>
        <v>5.7434228480149833E-2</v>
      </c>
    </row>
    <row r="44" spans="1:3">
      <c r="A44" s="2">
        <v>44</v>
      </c>
      <c r="B44">
        <f t="shared" si="2"/>
        <v>38.895818182599996</v>
      </c>
      <c r="C44">
        <f t="shared" si="3"/>
        <v>5.7319755152662126E-2</v>
      </c>
    </row>
    <row r="45" spans="1:3">
      <c r="A45" s="2">
        <v>45</v>
      </c>
      <c r="B45">
        <f t="shared" si="2"/>
        <v>39.898000000799996</v>
      </c>
      <c r="C45">
        <f t="shared" si="3"/>
        <v>5.7205839757392393E-2</v>
      </c>
    </row>
    <row r="46" spans="1:3">
      <c r="A46" s="2">
        <v>46</v>
      </c>
      <c r="B46">
        <f t="shared" si="2"/>
        <v>40.900181818999997</v>
      </c>
      <c r="C46">
        <f t="shared" si="3"/>
        <v>5.7092482041947987E-2</v>
      </c>
    </row>
    <row r="47" spans="1:3">
      <c r="A47" s="2">
        <v>47</v>
      </c>
      <c r="B47">
        <f t="shared" si="2"/>
        <v>41.902363637199997</v>
      </c>
      <c r="C47">
        <f t="shared" si="3"/>
        <v>5.6979681734865784E-2</v>
      </c>
    </row>
    <row r="48" spans="1:3">
      <c r="A48" s="2">
        <v>48</v>
      </c>
      <c r="B48">
        <f t="shared" si="2"/>
        <v>42.904545455399997</v>
      </c>
      <c r="C48">
        <f t="shared" si="3"/>
        <v>5.6867438545658809E-2</v>
      </c>
    </row>
    <row r="49" spans="1:3">
      <c r="A49" s="2">
        <v>49</v>
      </c>
      <c r="B49">
        <f t="shared" si="2"/>
        <v>43.906727273599998</v>
      </c>
      <c r="C49">
        <f t="shared" si="3"/>
        <v>5.6755752164866106E-2</v>
      </c>
    </row>
    <row r="50" spans="1:3">
      <c r="A50" s="2">
        <v>50</v>
      </c>
      <c r="B50">
        <f t="shared" si="2"/>
        <v>44.908909091799998</v>
      </c>
      <c r="C50">
        <f t="shared" si="3"/>
        <v>5.6644622264105798E-2</v>
      </c>
    </row>
    <row r="51" spans="1:3">
      <c r="A51" s="2">
        <v>51</v>
      </c>
      <c r="B51">
        <f t="shared" si="2"/>
        <v>45.911090909999999</v>
      </c>
      <c r="C51">
        <f t="shared" si="3"/>
        <v>5.6534048496131369E-2</v>
      </c>
    </row>
    <row r="52" spans="1:3">
      <c r="A52" s="2">
        <v>52</v>
      </c>
      <c r="B52">
        <f t="shared" si="2"/>
        <v>46.913272728199999</v>
      </c>
      <c r="C52">
        <f t="shared" si="3"/>
        <v>5.6424030494890934E-2</v>
      </c>
    </row>
    <row r="53" spans="1:3">
      <c r="A53" s="2">
        <v>53</v>
      </c>
      <c r="B53">
        <f t="shared" si="2"/>
        <v>47.915454546399999</v>
      </c>
      <c r="C53">
        <f t="shared" si="3"/>
        <v>5.6314567875589902E-2</v>
      </c>
    </row>
    <row r="54" spans="1:3">
      <c r="A54" s="2">
        <v>54</v>
      </c>
      <c r="B54">
        <f t="shared" si="2"/>
        <v>48.9176363646</v>
      </c>
      <c r="C54">
        <f t="shared" si="3"/>
        <v>5.6205660234756462E-2</v>
      </c>
    </row>
    <row r="55" spans="1:3">
      <c r="A55" s="2">
        <v>55</v>
      </c>
      <c r="B55">
        <f t="shared" si="2"/>
        <v>49.9198181828</v>
      </c>
      <c r="C55">
        <f t="shared" si="3"/>
        <v>5.6097307150310312E-2</v>
      </c>
    </row>
    <row r="56" spans="1:3">
      <c r="A56" s="2">
        <v>56</v>
      </c>
      <c r="B56">
        <f t="shared" si="2"/>
        <v>50.922000001000001</v>
      </c>
      <c r="C56">
        <f t="shared" si="3"/>
        <v>5.5989508181634451E-2</v>
      </c>
    </row>
    <row r="57" spans="1:3">
      <c r="A57" s="2">
        <v>57</v>
      </c>
      <c r="B57">
        <f t="shared" si="2"/>
        <v>51.924181819199994</v>
      </c>
      <c r="C57">
        <f t="shared" si="3"/>
        <v>5.588226286964984E-2</v>
      </c>
    </row>
    <row r="58" spans="1:3">
      <c r="A58" s="2">
        <v>58</v>
      </c>
      <c r="B58">
        <f t="shared" si="2"/>
        <v>52.926363637399994</v>
      </c>
      <c r="C58">
        <f t="shared" si="3"/>
        <v>5.577557073689321E-2</v>
      </c>
    </row>
    <row r="59" spans="1:3">
      <c r="A59" s="2">
        <v>59</v>
      </c>
      <c r="B59">
        <f t="shared" si="2"/>
        <v>53.928545455599995</v>
      </c>
      <c r="C59">
        <f t="shared" si="3"/>
        <v>5.5669431287597784E-2</v>
      </c>
    </row>
    <row r="60" spans="1:3">
      <c r="A60" s="2">
        <v>60</v>
      </c>
      <c r="B60">
        <f t="shared" si="2"/>
        <v>54.930727273799995</v>
      </c>
      <c r="C60">
        <f t="shared" si="3"/>
        <v>5.5563844007776857E-2</v>
      </c>
    </row>
    <row r="61" spans="1:3">
      <c r="A61" s="2">
        <v>61</v>
      </c>
      <c r="B61">
        <f t="shared" si="2"/>
        <v>55.932909091999996</v>
      </c>
      <c r="C61">
        <f t="shared" si="3"/>
        <v>5.5458808365310391E-2</v>
      </c>
    </row>
    <row r="62" spans="1:3">
      <c r="A62" s="2">
        <v>62</v>
      </c>
      <c r="B62">
        <f t="shared" si="2"/>
        <v>56.935090910199996</v>
      </c>
      <c r="C62">
        <f t="shared" si="3"/>
        <v>5.5354323810034349E-2</v>
      </c>
    </row>
    <row r="63" spans="1:3">
      <c r="A63" s="2">
        <v>63</v>
      </c>
      <c r="B63">
        <f t="shared" si="2"/>
        <v>57.937272728399996</v>
      </c>
      <c r="C63">
        <f t="shared" si="3"/>
        <v>5.5250389773833015E-2</v>
      </c>
    </row>
    <row r="64" spans="1:3">
      <c r="A64" s="2">
        <v>64</v>
      </c>
      <c r="B64">
        <f t="shared" si="2"/>
        <v>58.939454546599997</v>
      </c>
      <c r="C64">
        <f t="shared" si="3"/>
        <v>5.514700567073394E-2</v>
      </c>
    </row>
    <row r="65" spans="1:3">
      <c r="A65" s="2">
        <v>65</v>
      </c>
      <c r="B65">
        <f t="shared" ref="B65:B96" si="4">-4.198+(A65-1)*1.0021818182</f>
        <v>59.941636364799997</v>
      </c>
      <c r="C65">
        <f t="shared" ref="C65:C96" si="5">0.0135257129260354+-0.00012096696901896*B65+0.048296231409623*(1.00657894736842+(B65-26.2795394736842)^2/86418.9042677632)^0.5</f>
        <v>5.5044170897005668E-2</v>
      </c>
    </row>
    <row r="66" spans="1:3">
      <c r="A66" s="2">
        <v>66</v>
      </c>
      <c r="B66">
        <f t="shared" si="4"/>
        <v>60.943818182999998</v>
      </c>
      <c r="C66">
        <f t="shared" si="5"/>
        <v>5.4941884831258392E-2</v>
      </c>
    </row>
    <row r="67" spans="1:3">
      <c r="A67" s="2">
        <v>67</v>
      </c>
      <c r="B67">
        <f t="shared" si="4"/>
        <v>61.946000001199998</v>
      </c>
      <c r="C67">
        <f t="shared" si="5"/>
        <v>5.4840146834546986E-2</v>
      </c>
    </row>
    <row r="68" spans="1:3">
      <c r="A68" s="2">
        <v>68</v>
      </c>
      <c r="B68">
        <f t="shared" si="4"/>
        <v>62.948181819399998</v>
      </c>
      <c r="C68">
        <f t="shared" si="5"/>
        <v>5.4738956250476853E-2</v>
      </c>
    </row>
    <row r="69" spans="1:3">
      <c r="A69" s="2">
        <v>69</v>
      </c>
      <c r="B69">
        <f t="shared" si="4"/>
        <v>63.950363637599999</v>
      </c>
      <c r="C69">
        <f t="shared" si="5"/>
        <v>5.4638312405312389E-2</v>
      </c>
    </row>
    <row r="70" spans="1:3">
      <c r="A70" s="2">
        <v>70</v>
      </c>
      <c r="B70">
        <f t="shared" si="4"/>
        <v>64.952545455799992</v>
      </c>
      <c r="C70">
        <f t="shared" si="5"/>
        <v>5.4538214608087936E-2</v>
      </c>
    </row>
    <row r="71" spans="1:3">
      <c r="A71" s="2">
        <v>71</v>
      </c>
      <c r="B71">
        <f t="shared" si="4"/>
        <v>65.954727273999993</v>
      </c>
      <c r="C71">
        <f t="shared" si="5"/>
        <v>5.4438662150721191E-2</v>
      </c>
    </row>
    <row r="72" spans="1:3">
      <c r="A72" s="2">
        <v>72</v>
      </c>
      <c r="B72">
        <f t="shared" si="4"/>
        <v>66.956909092199993</v>
      </c>
      <c r="C72">
        <f t="shared" si="5"/>
        <v>5.4339654308129356E-2</v>
      </c>
    </row>
    <row r="73" spans="1:3">
      <c r="A73" s="2">
        <v>73</v>
      </c>
      <c r="B73">
        <f t="shared" si="4"/>
        <v>67.959090910399993</v>
      </c>
      <c r="C73">
        <f t="shared" si="5"/>
        <v>5.4241190338347373E-2</v>
      </c>
    </row>
    <row r="74" spans="1:3">
      <c r="A74" s="2">
        <v>74</v>
      </c>
      <c r="B74">
        <f t="shared" si="4"/>
        <v>68.961272728599994</v>
      </c>
      <c r="C74">
        <f t="shared" si="5"/>
        <v>5.414326948264879E-2</v>
      </c>
    </row>
    <row r="75" spans="1:3">
      <c r="A75" s="2">
        <v>75</v>
      </c>
      <c r="B75">
        <f t="shared" si="4"/>
        <v>69.963454546799994</v>
      </c>
      <c r="C75">
        <f t="shared" si="5"/>
        <v>5.4045890965668919E-2</v>
      </c>
    </row>
    <row r="76" spans="1:3">
      <c r="A76" s="2">
        <v>76</v>
      </c>
      <c r="B76">
        <f t="shared" si="4"/>
        <v>70.965636364999995</v>
      </c>
      <c r="C76">
        <f t="shared" si="5"/>
        <v>5.3949053995530176E-2</v>
      </c>
    </row>
    <row r="77" spans="1:3">
      <c r="A77" s="2">
        <v>77</v>
      </c>
      <c r="B77">
        <f t="shared" si="4"/>
        <v>71.967818183199995</v>
      </c>
      <c r="C77">
        <f t="shared" si="5"/>
        <v>5.3852757763969888E-2</v>
      </c>
    </row>
    <row r="78" spans="1:3">
      <c r="A78" s="2">
        <v>78</v>
      </c>
      <c r="B78">
        <f t="shared" si="4"/>
        <v>72.970000001399995</v>
      </c>
      <c r="C78">
        <f t="shared" si="5"/>
        <v>5.3757001446470137E-2</v>
      </c>
    </row>
    <row r="79" spans="1:3">
      <c r="A79" s="2">
        <v>79</v>
      </c>
      <c r="B79">
        <f t="shared" si="4"/>
        <v>73.972181819599996</v>
      </c>
      <c r="C79">
        <f t="shared" si="5"/>
        <v>5.366178420238972E-2</v>
      </c>
    </row>
    <row r="80" spans="1:3">
      <c r="A80" s="2">
        <v>80</v>
      </c>
      <c r="B80">
        <f t="shared" si="4"/>
        <v>74.974363637799996</v>
      </c>
      <c r="C80">
        <f t="shared" si="5"/>
        <v>5.3567105175098467E-2</v>
      </c>
    </row>
    <row r="81" spans="1:3">
      <c r="A81" s="2">
        <v>81</v>
      </c>
      <c r="B81">
        <f t="shared" si="4"/>
        <v>75.976545455999997</v>
      </c>
      <c r="C81">
        <f t="shared" si="5"/>
        <v>5.3472963492113355E-2</v>
      </c>
    </row>
    <row r="82" spans="1:3">
      <c r="A82" s="2">
        <v>82</v>
      </c>
      <c r="B82">
        <f t="shared" si="4"/>
        <v>76.978727274199997</v>
      </c>
      <c r="C82">
        <f t="shared" si="5"/>
        <v>5.3379358265236793E-2</v>
      </c>
    </row>
    <row r="83" spans="1:3">
      <c r="A83" s="2">
        <v>83</v>
      </c>
      <c r="B83">
        <f t="shared" si="4"/>
        <v>77.980909092399997</v>
      </c>
      <c r="C83">
        <f t="shared" si="5"/>
        <v>5.3286288590696812E-2</v>
      </c>
    </row>
    <row r="84" spans="1:3">
      <c r="A84" s="2">
        <v>84</v>
      </c>
      <c r="B84">
        <f t="shared" si="4"/>
        <v>78.983090910599998</v>
      </c>
      <c r="C84">
        <f t="shared" si="5"/>
        <v>5.3193753549289187E-2</v>
      </c>
    </row>
    <row r="85" spans="1:3">
      <c r="A85" s="2">
        <v>85</v>
      </c>
      <c r="B85">
        <f t="shared" si="4"/>
        <v>79.985272728799998</v>
      </c>
      <c r="C85">
        <f t="shared" si="5"/>
        <v>5.310175220652142E-2</v>
      </c>
    </row>
    <row r="86" spans="1:3">
      <c r="A86" s="2">
        <v>86</v>
      </c>
      <c r="B86">
        <f t="shared" si="4"/>
        <v>80.987454546999999</v>
      </c>
      <c r="C86">
        <f t="shared" si="5"/>
        <v>5.301028361275853E-2</v>
      </c>
    </row>
    <row r="87" spans="1:3">
      <c r="A87" s="2">
        <v>87</v>
      </c>
      <c r="B87">
        <f t="shared" si="4"/>
        <v>81.989636365199999</v>
      </c>
      <c r="C87">
        <f t="shared" si="5"/>
        <v>5.2919346803370675E-2</v>
      </c>
    </row>
    <row r="88" spans="1:3">
      <c r="A88" s="2">
        <v>88</v>
      </c>
      <c r="B88">
        <f t="shared" si="4"/>
        <v>82.991818183399999</v>
      </c>
      <c r="C88">
        <f t="shared" si="5"/>
        <v>5.2828940798882305E-2</v>
      </c>
    </row>
    <row r="89" spans="1:3">
      <c r="A89" s="2">
        <v>89</v>
      </c>
      <c r="B89">
        <f t="shared" si="4"/>
        <v>83.9940000016</v>
      </c>
      <c r="C89">
        <f t="shared" si="5"/>
        <v>5.2739064605123259E-2</v>
      </c>
    </row>
    <row r="90" spans="1:3">
      <c r="A90" s="2">
        <v>90</v>
      </c>
      <c r="B90">
        <f t="shared" si="4"/>
        <v>84.9961818198</v>
      </c>
      <c r="C90">
        <f t="shared" si="5"/>
        <v>5.2649717213381179E-2</v>
      </c>
    </row>
    <row r="91" spans="1:3">
      <c r="A91" s="2">
        <v>91</v>
      </c>
      <c r="B91">
        <f t="shared" si="4"/>
        <v>85.998363638000001</v>
      </c>
      <c r="C91">
        <f t="shared" si="5"/>
        <v>5.2560897600555725E-2</v>
      </c>
    </row>
    <row r="92" spans="1:3">
      <c r="A92" s="2">
        <v>92</v>
      </c>
      <c r="B92">
        <f t="shared" si="4"/>
        <v>87.000545456200001</v>
      </c>
      <c r="C92">
        <f t="shared" si="5"/>
        <v>5.2472604729314122E-2</v>
      </c>
    </row>
    <row r="93" spans="1:3">
      <c r="A93" s="2">
        <v>93</v>
      </c>
      <c r="B93">
        <f t="shared" si="4"/>
        <v>88.002727274400002</v>
      </c>
      <c r="C93">
        <f t="shared" si="5"/>
        <v>5.2384837548248242E-2</v>
      </c>
    </row>
    <row r="94" spans="1:3">
      <c r="A94" s="2">
        <v>94</v>
      </c>
      <c r="B94">
        <f t="shared" si="4"/>
        <v>89.004909092600002</v>
      </c>
      <c r="C94">
        <f t="shared" si="5"/>
        <v>5.2297594992033132E-2</v>
      </c>
    </row>
    <row r="95" spans="1:3">
      <c r="A95" s="2">
        <v>95</v>
      </c>
      <c r="B95">
        <f t="shared" si="4"/>
        <v>90.007090910800002</v>
      </c>
      <c r="C95">
        <f t="shared" si="5"/>
        <v>5.2210875981586816E-2</v>
      </c>
    </row>
    <row r="96" spans="1:3">
      <c r="A96" s="2">
        <v>96</v>
      </c>
      <c r="B96">
        <f t="shared" si="4"/>
        <v>91.009272729000003</v>
      </c>
      <c r="C96">
        <f t="shared" si="5"/>
        <v>5.2124679424231324E-2</v>
      </c>
    </row>
    <row r="97" spans="1:3">
      <c r="A97" s="2">
        <v>97</v>
      </c>
      <c r="B97">
        <f t="shared" ref="B97:B100" si="6">-4.198+(A97-1)*1.0021818182</f>
        <v>92.011454547200003</v>
      </c>
      <c r="C97">
        <f t="shared" ref="C97:C100" si="7">0.0135257129260354+-0.00012096696901896*B97+0.048296231409623*(1.00657894736842+(B97-26.2795394736842)^2/86418.9042677632)^0.5</f>
        <v>5.2039004213855253E-2</v>
      </c>
    </row>
    <row r="98" spans="1:3">
      <c r="A98" s="2">
        <v>98</v>
      </c>
      <c r="B98">
        <f t="shared" si="6"/>
        <v>93.013636365400004</v>
      </c>
      <c r="C98">
        <f t="shared" si="7"/>
        <v>5.1953849231077168E-2</v>
      </c>
    </row>
    <row r="99" spans="1:3">
      <c r="A99" s="2">
        <v>99</v>
      </c>
      <c r="B99">
        <f t="shared" si="6"/>
        <v>94.015818183600004</v>
      </c>
      <c r="C99">
        <f t="shared" si="7"/>
        <v>5.1869213343410367E-2</v>
      </c>
    </row>
    <row r="100" spans="1:3">
      <c r="A100" s="2">
        <v>100</v>
      </c>
      <c r="B100">
        <f t="shared" si="6"/>
        <v>95.018000001800004</v>
      </c>
      <c r="C100">
        <f t="shared" si="7"/>
        <v>5.1785095405428735E-2</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enableFormatConditionsCalculation="0"/>
  <dimension ref="A1:C70"/>
  <sheetViews>
    <sheetView workbookViewId="0"/>
  </sheetViews>
  <sheetFormatPr baseColWidth="10" defaultRowHeight="15.75"/>
  <sheetData>
    <row r="1" spans="1:3">
      <c r="A1" s="2">
        <v>1</v>
      </c>
      <c r="B1">
        <f t="shared" ref="B1:B32" si="0">0.0026317664+(A1-1)*0.0001885259</f>
        <v>2.6317663999999999E-3</v>
      </c>
      <c r="C1">
        <f t="shared" ref="C1:C32" si="1">0+1*B1-0.048296231409623*(1.00657894736842+(B1-0.0103467566886897)^2/0.0896159846003121)^0.5</f>
        <v>-4.5839057290567121E-2</v>
      </c>
    </row>
    <row r="2" spans="1:3">
      <c r="A2" s="2">
        <v>2</v>
      </c>
      <c r="B2">
        <f t="shared" si="0"/>
        <v>2.8202923E-3</v>
      </c>
      <c r="C2">
        <f t="shared" si="1"/>
        <v>-4.5649759898421176E-2</v>
      </c>
    </row>
    <row r="3" spans="1:3">
      <c r="A3" s="2">
        <v>3</v>
      </c>
      <c r="B3">
        <f t="shared" si="0"/>
        <v>3.0088182E-3</v>
      </c>
      <c r="C3">
        <f t="shared" si="1"/>
        <v>-4.5460481580060004E-2</v>
      </c>
    </row>
    <row r="4" spans="1:3">
      <c r="A4" s="2">
        <v>4</v>
      </c>
      <c r="B4">
        <f t="shared" si="0"/>
        <v>3.1973441E-3</v>
      </c>
      <c r="C4">
        <f t="shared" si="1"/>
        <v>-4.5271222336371895E-2</v>
      </c>
    </row>
    <row r="5" spans="1:3">
      <c r="A5" s="2">
        <v>5</v>
      </c>
      <c r="B5">
        <f t="shared" si="0"/>
        <v>3.38587E-3</v>
      </c>
      <c r="C5">
        <f t="shared" si="1"/>
        <v>-4.5081982168222685E-2</v>
      </c>
    </row>
    <row r="6" spans="1:3">
      <c r="A6" s="2">
        <v>6</v>
      </c>
      <c r="B6">
        <f t="shared" si="0"/>
        <v>3.5743959E-3</v>
      </c>
      <c r="C6">
        <f t="shared" si="1"/>
        <v>-4.4892761076455727E-2</v>
      </c>
    </row>
    <row r="7" spans="1:3">
      <c r="A7" s="2">
        <v>7</v>
      </c>
      <c r="B7">
        <f t="shared" si="0"/>
        <v>3.7629218000000001E-3</v>
      </c>
      <c r="C7">
        <f t="shared" si="1"/>
        <v>-4.4703559061891912E-2</v>
      </c>
    </row>
    <row r="8" spans="1:3">
      <c r="A8" s="2">
        <v>8</v>
      </c>
      <c r="B8">
        <f t="shared" si="0"/>
        <v>3.9514477000000001E-3</v>
      </c>
      <c r="C8">
        <f t="shared" si="1"/>
        <v>-4.4514376125329637E-2</v>
      </c>
    </row>
    <row r="9" spans="1:3">
      <c r="A9" s="2">
        <v>9</v>
      </c>
      <c r="B9">
        <f t="shared" si="0"/>
        <v>4.1399736000000001E-3</v>
      </c>
      <c r="C9">
        <f t="shared" si="1"/>
        <v>-4.4325212267544802E-2</v>
      </c>
    </row>
    <row r="10" spans="1:3">
      <c r="A10" s="2">
        <v>10</v>
      </c>
      <c r="B10">
        <f t="shared" si="0"/>
        <v>4.3284995000000001E-3</v>
      </c>
      <c r="C10">
        <f t="shared" si="1"/>
        <v>-4.4136067489290845E-2</v>
      </c>
    </row>
    <row r="11" spans="1:3">
      <c r="A11" s="2">
        <v>11</v>
      </c>
      <c r="B11">
        <f t="shared" si="0"/>
        <v>4.5170254000000002E-3</v>
      </c>
      <c r="C11">
        <f t="shared" si="1"/>
        <v>-4.3946941791298683E-2</v>
      </c>
    </row>
    <row r="12" spans="1:3">
      <c r="A12" s="2">
        <v>12</v>
      </c>
      <c r="B12">
        <f t="shared" si="0"/>
        <v>4.7055512999999993E-3</v>
      </c>
      <c r="C12">
        <f t="shared" si="1"/>
        <v>-4.3757835174276768E-2</v>
      </c>
    </row>
    <row r="13" spans="1:3">
      <c r="A13" s="2">
        <v>13</v>
      </c>
      <c r="B13">
        <f t="shared" si="0"/>
        <v>4.8940771999999994E-3</v>
      </c>
      <c r="C13">
        <f t="shared" si="1"/>
        <v>-4.3568747638911005E-2</v>
      </c>
    </row>
    <row r="14" spans="1:3">
      <c r="A14" s="2">
        <v>14</v>
      </c>
      <c r="B14">
        <f t="shared" si="0"/>
        <v>5.0826030999999994E-3</v>
      </c>
      <c r="C14">
        <f t="shared" si="1"/>
        <v>-4.3379679185864821E-2</v>
      </c>
    </row>
    <row r="15" spans="1:3">
      <c r="A15" s="2">
        <v>15</v>
      </c>
      <c r="B15">
        <f t="shared" si="0"/>
        <v>5.2711289999999994E-3</v>
      </c>
      <c r="C15">
        <f t="shared" si="1"/>
        <v>-4.3190629815779133E-2</v>
      </c>
    </row>
    <row r="16" spans="1:3">
      <c r="A16" s="2">
        <v>16</v>
      </c>
      <c r="B16">
        <f t="shared" si="0"/>
        <v>5.4596548999999994E-3</v>
      </c>
      <c r="C16">
        <f t="shared" si="1"/>
        <v>-4.3001599529272315E-2</v>
      </c>
    </row>
    <row r="17" spans="1:3">
      <c r="A17" s="2">
        <v>17</v>
      </c>
      <c r="B17">
        <f t="shared" si="0"/>
        <v>5.6481807999999994E-3</v>
      </c>
      <c r="C17">
        <f t="shared" si="1"/>
        <v>-4.2812588326940258E-2</v>
      </c>
    </row>
    <row r="18" spans="1:3">
      <c r="A18" s="2">
        <v>18</v>
      </c>
      <c r="B18">
        <f t="shared" si="0"/>
        <v>5.8367066999999995E-3</v>
      </c>
      <c r="C18">
        <f t="shared" si="1"/>
        <v>-4.2623596209356296E-2</v>
      </c>
    </row>
    <row r="19" spans="1:3">
      <c r="A19" s="2">
        <v>19</v>
      </c>
      <c r="B19">
        <f t="shared" si="0"/>
        <v>6.0252325999999995E-3</v>
      </c>
      <c r="C19">
        <f t="shared" si="1"/>
        <v>-4.2434623177071272E-2</v>
      </c>
    </row>
    <row r="20" spans="1:3">
      <c r="A20" s="2">
        <v>20</v>
      </c>
      <c r="B20">
        <f t="shared" si="0"/>
        <v>6.2137584999999995E-3</v>
      </c>
      <c r="C20">
        <f t="shared" si="1"/>
        <v>-4.2245669230613472E-2</v>
      </c>
    </row>
    <row r="21" spans="1:3">
      <c r="A21" s="2">
        <v>21</v>
      </c>
      <c r="B21">
        <f t="shared" si="0"/>
        <v>6.4022843999999995E-3</v>
      </c>
      <c r="C21">
        <f t="shared" si="1"/>
        <v>-4.2056734370488659E-2</v>
      </c>
    </row>
    <row r="22" spans="1:3">
      <c r="A22" s="2">
        <v>22</v>
      </c>
      <c r="B22">
        <f t="shared" si="0"/>
        <v>6.5908102999999996E-3</v>
      </c>
      <c r="C22">
        <f t="shared" si="1"/>
        <v>-4.1867818597180084E-2</v>
      </c>
    </row>
    <row r="23" spans="1:3">
      <c r="A23" s="2">
        <v>23</v>
      </c>
      <c r="B23">
        <f t="shared" si="0"/>
        <v>6.7793361999999996E-3</v>
      </c>
      <c r="C23">
        <f t="shared" si="1"/>
        <v>-4.1678921911148401E-2</v>
      </c>
    </row>
    <row r="24" spans="1:3">
      <c r="A24" s="2">
        <v>24</v>
      </c>
      <c r="B24">
        <f t="shared" si="0"/>
        <v>6.9678620999999996E-3</v>
      </c>
      <c r="C24">
        <f t="shared" si="1"/>
        <v>-4.1490044312831792E-2</v>
      </c>
    </row>
    <row r="25" spans="1:3">
      <c r="A25" s="2">
        <v>25</v>
      </c>
      <c r="B25">
        <f t="shared" si="0"/>
        <v>7.1563879999999996E-3</v>
      </c>
      <c r="C25">
        <f t="shared" si="1"/>
        <v>-4.1301185802645857E-2</v>
      </c>
    </row>
    <row r="26" spans="1:3">
      <c r="A26" s="2">
        <v>26</v>
      </c>
      <c r="B26">
        <f t="shared" si="0"/>
        <v>7.3449138999999997E-3</v>
      </c>
      <c r="C26">
        <f t="shared" si="1"/>
        <v>-4.1112346380983655E-2</v>
      </c>
    </row>
    <row r="27" spans="1:3">
      <c r="A27" s="2">
        <v>27</v>
      </c>
      <c r="B27">
        <f t="shared" si="0"/>
        <v>7.5334397999999997E-3</v>
      </c>
      <c r="C27">
        <f t="shared" si="1"/>
        <v>-4.0923526048215711E-2</v>
      </c>
    </row>
    <row r="28" spans="1:3">
      <c r="A28" s="2">
        <v>28</v>
      </c>
      <c r="B28">
        <f t="shared" si="0"/>
        <v>7.7219656999999997E-3</v>
      </c>
      <c r="C28">
        <f t="shared" si="1"/>
        <v>-4.073472480468996E-2</v>
      </c>
    </row>
    <row r="29" spans="1:3">
      <c r="A29" s="2">
        <v>29</v>
      </c>
      <c r="B29">
        <f t="shared" si="0"/>
        <v>7.9104915999999997E-3</v>
      </c>
      <c r="C29">
        <f t="shared" si="1"/>
        <v>-4.0545942650731845E-2</v>
      </c>
    </row>
    <row r="30" spans="1:3">
      <c r="A30" s="2">
        <v>30</v>
      </c>
      <c r="B30">
        <f t="shared" si="0"/>
        <v>8.0990174999999998E-3</v>
      </c>
      <c r="C30">
        <f t="shared" si="1"/>
        <v>-4.0357179586644212E-2</v>
      </c>
    </row>
    <row r="31" spans="1:3">
      <c r="A31" s="2">
        <v>31</v>
      </c>
      <c r="B31">
        <f t="shared" si="0"/>
        <v>8.2875433999999998E-3</v>
      </c>
      <c r="C31">
        <f t="shared" si="1"/>
        <v>-4.0168435612707359E-2</v>
      </c>
    </row>
    <row r="32" spans="1:3">
      <c r="A32" s="2">
        <v>32</v>
      </c>
      <c r="B32">
        <f t="shared" si="0"/>
        <v>8.4760692999999998E-3</v>
      </c>
      <c r="C32">
        <f t="shared" si="1"/>
        <v>-3.9979710729179031E-2</v>
      </c>
    </row>
    <row r="33" spans="1:3">
      <c r="A33" s="2">
        <v>33</v>
      </c>
      <c r="B33">
        <f t="shared" ref="B33:B64" si="2">0.0026317664+(A33-1)*0.0001885259</f>
        <v>8.6645951999999998E-3</v>
      </c>
      <c r="C33">
        <f t="shared" ref="C33:C64" si="3">0+1*B33-0.048296231409623*(1.00657894736842+(B33-0.0103467566886897)^2/0.0896159846003121)^0.5</f>
        <v>-3.9791004936294429E-2</v>
      </c>
    </row>
    <row r="34" spans="1:3">
      <c r="A34" s="2">
        <v>34</v>
      </c>
      <c r="B34">
        <f t="shared" si="2"/>
        <v>8.8531210999999999E-3</v>
      </c>
      <c r="C34">
        <f t="shared" si="3"/>
        <v>-3.9602318234266153E-2</v>
      </c>
    </row>
    <row r="35" spans="1:3">
      <c r="A35" s="2">
        <v>35</v>
      </c>
      <c r="B35">
        <f t="shared" si="2"/>
        <v>9.0416469999999999E-3</v>
      </c>
      <c r="C35">
        <f t="shared" si="3"/>
        <v>-3.9413650623284294E-2</v>
      </c>
    </row>
    <row r="36" spans="1:3">
      <c r="A36" s="2">
        <v>36</v>
      </c>
      <c r="B36">
        <f t="shared" si="2"/>
        <v>9.2301728999999999E-3</v>
      </c>
      <c r="C36">
        <f t="shared" si="3"/>
        <v>-3.9225002103516315E-2</v>
      </c>
    </row>
    <row r="37" spans="1:3">
      <c r="A37" s="2">
        <v>37</v>
      </c>
      <c r="B37">
        <f t="shared" si="2"/>
        <v>9.4186987999999999E-3</v>
      </c>
      <c r="C37">
        <f t="shared" si="3"/>
        <v>-3.9036372675107185E-2</v>
      </c>
    </row>
    <row r="38" spans="1:3">
      <c r="A38" s="2">
        <v>38</v>
      </c>
      <c r="B38">
        <f t="shared" si="2"/>
        <v>9.6072247E-3</v>
      </c>
      <c r="C38">
        <f t="shared" si="3"/>
        <v>-3.8847762338179256E-2</v>
      </c>
    </row>
    <row r="39" spans="1:3">
      <c r="A39" s="2">
        <v>39</v>
      </c>
      <c r="B39">
        <f t="shared" si="2"/>
        <v>9.7957506E-3</v>
      </c>
      <c r="C39">
        <f t="shared" si="3"/>
        <v>-3.8659171092832352E-2</v>
      </c>
    </row>
    <row r="40" spans="1:3">
      <c r="A40" s="2">
        <v>40</v>
      </c>
      <c r="B40">
        <f t="shared" si="2"/>
        <v>9.9842765E-3</v>
      </c>
      <c r="C40">
        <f t="shared" si="3"/>
        <v>-3.8470598939143681E-2</v>
      </c>
    </row>
    <row r="41" spans="1:3">
      <c r="A41" s="2">
        <v>41</v>
      </c>
      <c r="B41">
        <f t="shared" si="2"/>
        <v>1.01728024E-2</v>
      </c>
      <c r="C41">
        <f t="shared" si="3"/>
        <v>-3.828204587716795E-2</v>
      </c>
    </row>
    <row r="42" spans="1:3">
      <c r="A42" s="2">
        <v>42</v>
      </c>
      <c r="B42">
        <f t="shared" si="2"/>
        <v>1.03613283E-2</v>
      </c>
      <c r="C42">
        <f t="shared" si="3"/>
        <v>-3.8093511906937251E-2</v>
      </c>
    </row>
    <row r="43" spans="1:3">
      <c r="A43" s="2">
        <v>43</v>
      </c>
      <c r="B43">
        <f t="shared" si="2"/>
        <v>1.05498542E-2</v>
      </c>
      <c r="C43">
        <f t="shared" si="3"/>
        <v>-3.7904997028461118E-2</v>
      </c>
    </row>
    <row r="44" spans="1:3">
      <c r="A44" s="2">
        <v>44</v>
      </c>
      <c r="B44">
        <f t="shared" si="2"/>
        <v>1.07383801E-2</v>
      </c>
      <c r="C44">
        <f t="shared" si="3"/>
        <v>-3.7716501241726527E-2</v>
      </c>
    </row>
    <row r="45" spans="1:3">
      <c r="A45" s="2">
        <v>45</v>
      </c>
      <c r="B45">
        <f t="shared" si="2"/>
        <v>1.0926906E-2</v>
      </c>
      <c r="C45">
        <f t="shared" si="3"/>
        <v>-3.7528024546697882E-2</v>
      </c>
    </row>
    <row r="46" spans="1:3">
      <c r="A46" s="2">
        <v>46</v>
      </c>
      <c r="B46">
        <f t="shared" si="2"/>
        <v>1.11154319E-2</v>
      </c>
      <c r="C46">
        <f t="shared" si="3"/>
        <v>-3.733956694331704E-2</v>
      </c>
    </row>
    <row r="47" spans="1:3">
      <c r="A47" s="2">
        <v>47</v>
      </c>
      <c r="B47">
        <f t="shared" si="2"/>
        <v>1.13039578E-2</v>
      </c>
      <c r="C47">
        <f t="shared" si="3"/>
        <v>-3.7151128431503241E-2</v>
      </c>
    </row>
    <row r="48" spans="1:3">
      <c r="A48" s="2">
        <v>48</v>
      </c>
      <c r="B48">
        <f t="shared" si="2"/>
        <v>1.14924837E-2</v>
      </c>
      <c r="C48">
        <f t="shared" si="3"/>
        <v>-3.6962709011153214E-2</v>
      </c>
    </row>
    <row r="49" spans="1:3">
      <c r="A49" s="2">
        <v>49</v>
      </c>
      <c r="B49">
        <f t="shared" si="2"/>
        <v>1.16810096E-2</v>
      </c>
      <c r="C49">
        <f t="shared" si="3"/>
        <v>-3.6774308682141085E-2</v>
      </c>
    </row>
    <row r="50" spans="1:3">
      <c r="A50" s="2">
        <v>50</v>
      </c>
      <c r="B50">
        <f t="shared" si="2"/>
        <v>1.18695355E-2</v>
      </c>
      <c r="C50">
        <f t="shared" si="3"/>
        <v>-3.6585927444318454E-2</v>
      </c>
    </row>
    <row r="51" spans="1:3">
      <c r="A51" s="2">
        <v>51</v>
      </c>
      <c r="B51">
        <f t="shared" si="2"/>
        <v>1.20580614E-2</v>
      </c>
      <c r="C51">
        <f t="shared" si="3"/>
        <v>-3.6397565297514305E-2</v>
      </c>
    </row>
    <row r="52" spans="1:3">
      <c r="A52" s="2">
        <v>52</v>
      </c>
      <c r="B52">
        <f t="shared" si="2"/>
        <v>1.22465873E-2</v>
      </c>
      <c r="C52">
        <f t="shared" si="3"/>
        <v>-3.6209222241535097E-2</v>
      </c>
    </row>
    <row r="53" spans="1:3">
      <c r="A53" s="2">
        <v>53</v>
      </c>
      <c r="B53">
        <f t="shared" si="2"/>
        <v>1.24351132E-2</v>
      </c>
      <c r="C53">
        <f t="shared" si="3"/>
        <v>-3.6020898276164733E-2</v>
      </c>
    </row>
    <row r="54" spans="1:3">
      <c r="A54" s="2">
        <v>54</v>
      </c>
      <c r="B54">
        <f t="shared" si="2"/>
        <v>1.26236391E-2</v>
      </c>
      <c r="C54">
        <f t="shared" si="3"/>
        <v>-3.5832593401164521E-2</v>
      </c>
    </row>
    <row r="55" spans="1:3">
      <c r="A55" s="2">
        <v>55</v>
      </c>
      <c r="B55">
        <f t="shared" si="2"/>
        <v>1.2812165E-2</v>
      </c>
      <c r="C55">
        <f t="shared" si="3"/>
        <v>-3.5644307616273234E-2</v>
      </c>
    </row>
    <row r="56" spans="1:3">
      <c r="A56" s="2">
        <v>56</v>
      </c>
      <c r="B56">
        <f t="shared" si="2"/>
        <v>1.30006909E-2</v>
      </c>
      <c r="C56">
        <f t="shared" si="3"/>
        <v>-3.5456040921207098E-2</v>
      </c>
    </row>
    <row r="57" spans="1:3">
      <c r="A57" s="2">
        <v>57</v>
      </c>
      <c r="B57">
        <f t="shared" si="2"/>
        <v>1.31892168E-2</v>
      </c>
      <c r="C57">
        <f t="shared" si="3"/>
        <v>-3.5267793315659733E-2</v>
      </c>
    </row>
    <row r="58" spans="1:3">
      <c r="A58" s="2">
        <v>58</v>
      </c>
      <c r="B58">
        <f t="shared" si="2"/>
        <v>1.33777427E-2</v>
      </c>
      <c r="C58">
        <f t="shared" si="3"/>
        <v>-3.5079564799302285E-2</v>
      </c>
    </row>
    <row r="59" spans="1:3">
      <c r="A59" s="2">
        <v>59</v>
      </c>
      <c r="B59">
        <f t="shared" si="2"/>
        <v>1.35662686E-2</v>
      </c>
      <c r="C59">
        <f t="shared" si="3"/>
        <v>-3.4891355371783277E-2</v>
      </c>
    </row>
    <row r="60" spans="1:3">
      <c r="A60" s="2">
        <v>60</v>
      </c>
      <c r="B60">
        <f t="shared" si="2"/>
        <v>1.37547945E-2</v>
      </c>
      <c r="C60">
        <f t="shared" si="3"/>
        <v>-3.470316503272871E-2</v>
      </c>
    </row>
    <row r="61" spans="1:3">
      <c r="A61" s="2">
        <v>61</v>
      </c>
      <c r="B61">
        <f t="shared" si="2"/>
        <v>1.3943320400000001E-2</v>
      </c>
      <c r="C61">
        <f t="shared" si="3"/>
        <v>-3.4514993781742047E-2</v>
      </c>
    </row>
    <row r="62" spans="1:3">
      <c r="A62" s="2">
        <v>62</v>
      </c>
      <c r="B62">
        <f t="shared" si="2"/>
        <v>1.4131846300000001E-2</v>
      </c>
      <c r="C62">
        <f t="shared" si="3"/>
        <v>-3.4326841618404193E-2</v>
      </c>
    </row>
    <row r="63" spans="1:3">
      <c r="A63" s="2">
        <v>63</v>
      </c>
      <c r="B63">
        <f t="shared" si="2"/>
        <v>1.4320372200000001E-2</v>
      </c>
      <c r="C63">
        <f t="shared" si="3"/>
        <v>-3.4138708542273508E-2</v>
      </c>
    </row>
    <row r="64" spans="1:3">
      <c r="A64" s="2">
        <v>64</v>
      </c>
      <c r="B64">
        <f t="shared" si="2"/>
        <v>1.4508898100000001E-2</v>
      </c>
      <c r="C64">
        <f t="shared" si="3"/>
        <v>-3.3950594552885814E-2</v>
      </c>
    </row>
    <row r="65" spans="1:3">
      <c r="A65" s="2">
        <v>65</v>
      </c>
      <c r="B65">
        <f t="shared" ref="B65:B70" si="4">0.0026317664+(A65-1)*0.0001885259</f>
        <v>1.4697424000000001E-2</v>
      </c>
      <c r="C65">
        <f t="shared" ref="C65:C70" si="5">0+1*B65-0.048296231409623*(1.00657894736842+(B65-0.0103467566886897)^2/0.0896159846003121)^0.5</f>
        <v>-3.3762499649754404E-2</v>
      </c>
    </row>
    <row r="66" spans="1:3">
      <c r="A66" s="2">
        <v>66</v>
      </c>
      <c r="B66">
        <f t="shared" si="4"/>
        <v>1.4885949900000001E-2</v>
      </c>
      <c r="C66">
        <f t="shared" si="5"/>
        <v>-3.3574423832370026E-2</v>
      </c>
    </row>
    <row r="67" spans="1:3">
      <c r="A67" s="2">
        <v>67</v>
      </c>
      <c r="B67">
        <f t="shared" si="4"/>
        <v>1.5074475800000001E-2</v>
      </c>
      <c r="C67">
        <f t="shared" si="5"/>
        <v>-3.3386367100200896E-2</v>
      </c>
    </row>
    <row r="68" spans="1:3">
      <c r="A68" s="2">
        <v>68</v>
      </c>
      <c r="B68">
        <f t="shared" si="4"/>
        <v>1.5263001700000001E-2</v>
      </c>
      <c r="C68">
        <f t="shared" si="5"/>
        <v>-3.3198329452692715E-2</v>
      </c>
    </row>
    <row r="69" spans="1:3">
      <c r="A69" s="2">
        <v>69</v>
      </c>
      <c r="B69">
        <f t="shared" si="4"/>
        <v>1.5451527600000001E-2</v>
      </c>
      <c r="C69">
        <f t="shared" si="5"/>
        <v>-3.3010310889268639E-2</v>
      </c>
    </row>
    <row r="70" spans="1:3">
      <c r="A70" s="2">
        <v>70</v>
      </c>
      <c r="B70">
        <f t="shared" si="4"/>
        <v>1.5640053500000001E-2</v>
      </c>
      <c r="C70">
        <f t="shared" si="5"/>
        <v>-3.2822311409329334E-2</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enableFormatConditionsCalculation="0"/>
  <dimension ref="A1:C70"/>
  <sheetViews>
    <sheetView workbookViewId="0"/>
  </sheetViews>
  <sheetFormatPr baseColWidth="10" defaultRowHeight="15.75"/>
  <sheetData>
    <row r="1" spans="1:3">
      <c r="A1" s="2">
        <v>1</v>
      </c>
      <c r="B1">
        <f t="shared" ref="B1:B32" si="0">0.0024254627+(A1-1)*0.0001915158</f>
        <v>2.4254627E-3</v>
      </c>
      <c r="C1">
        <f t="shared" ref="C1:C32" si="1">0+1*B1+0.048296231409623*(1.00657894736842+(B1-0.0103467566886897)^2/0.0896159846003121)^0.5</f>
        <v>5.0897152489105479E-2</v>
      </c>
    </row>
    <row r="2" spans="1:3">
      <c r="A2" s="2">
        <v>2</v>
      </c>
      <c r="B2">
        <f t="shared" si="0"/>
        <v>2.6169785E-3</v>
      </c>
      <c r="C2">
        <f t="shared" si="1"/>
        <v>5.1087863512840094E-2</v>
      </c>
    </row>
    <row r="3" spans="1:3">
      <c r="A3" s="2">
        <v>3</v>
      </c>
      <c r="B3">
        <f t="shared" si="0"/>
        <v>2.8084943E-3</v>
      </c>
      <c r="C3">
        <f t="shared" si="1"/>
        <v>5.1278594219138281E-2</v>
      </c>
    </row>
    <row r="4" spans="1:3">
      <c r="A4" s="2">
        <v>4</v>
      </c>
      <c r="B4">
        <f t="shared" si="0"/>
        <v>3.0000101E-3</v>
      </c>
      <c r="C4">
        <f t="shared" si="1"/>
        <v>5.146934460895649E-2</v>
      </c>
    </row>
    <row r="5" spans="1:3">
      <c r="A5" s="2">
        <v>5</v>
      </c>
      <c r="B5">
        <f t="shared" si="0"/>
        <v>3.1915259000000001E-3</v>
      </c>
      <c r="C5">
        <f t="shared" si="1"/>
        <v>5.1660114683227218E-2</v>
      </c>
    </row>
    <row r="6" spans="1:3">
      <c r="A6" s="2">
        <v>6</v>
      </c>
      <c r="B6">
        <f t="shared" si="0"/>
        <v>3.3830417000000001E-3</v>
      </c>
      <c r="C6">
        <f t="shared" si="1"/>
        <v>5.1850904442859086E-2</v>
      </c>
    </row>
    <row r="7" spans="1:3">
      <c r="A7" s="2">
        <v>7</v>
      </c>
      <c r="B7">
        <f t="shared" si="0"/>
        <v>3.5745574999999996E-3</v>
      </c>
      <c r="C7">
        <f t="shared" si="1"/>
        <v>5.2041713888736733E-2</v>
      </c>
    </row>
    <row r="8" spans="1:3">
      <c r="A8" s="2">
        <v>8</v>
      </c>
      <c r="B8">
        <f t="shared" si="0"/>
        <v>3.7660732999999997E-3</v>
      </c>
      <c r="C8">
        <f t="shared" si="1"/>
        <v>5.2232543021720902E-2</v>
      </c>
    </row>
    <row r="9" spans="1:3">
      <c r="A9" s="2">
        <v>9</v>
      </c>
      <c r="B9">
        <f t="shared" si="0"/>
        <v>3.9575890999999997E-3</v>
      </c>
      <c r="C9">
        <f t="shared" si="1"/>
        <v>5.2423391842648374E-2</v>
      </c>
    </row>
    <row r="10" spans="1:3">
      <c r="A10" s="2">
        <v>10</v>
      </c>
      <c r="B10">
        <f t="shared" si="0"/>
        <v>4.1491048999999997E-3</v>
      </c>
      <c r="C10">
        <f t="shared" si="1"/>
        <v>5.2614260352331972E-2</v>
      </c>
    </row>
    <row r="11" spans="1:3">
      <c r="A11" s="2">
        <v>11</v>
      </c>
      <c r="B11">
        <f t="shared" si="0"/>
        <v>4.3406206999999997E-3</v>
      </c>
      <c r="C11">
        <f t="shared" si="1"/>
        <v>5.2805148551560613E-2</v>
      </c>
    </row>
    <row r="12" spans="1:3">
      <c r="A12" s="2">
        <v>12</v>
      </c>
      <c r="B12">
        <f t="shared" si="0"/>
        <v>4.5321364999999997E-3</v>
      </c>
      <c r="C12">
        <f t="shared" si="1"/>
        <v>5.2996056441099205E-2</v>
      </c>
    </row>
    <row r="13" spans="1:3">
      <c r="A13" s="2">
        <v>13</v>
      </c>
      <c r="B13">
        <f t="shared" si="0"/>
        <v>4.7236522999999997E-3</v>
      </c>
      <c r="C13">
        <f t="shared" si="1"/>
        <v>5.318698402168872E-2</v>
      </c>
    </row>
    <row r="14" spans="1:3">
      <c r="A14" s="2">
        <v>14</v>
      </c>
      <c r="B14">
        <f t="shared" si="0"/>
        <v>4.9151680999999997E-3</v>
      </c>
      <c r="C14">
        <f t="shared" si="1"/>
        <v>5.3377931294046166E-2</v>
      </c>
    </row>
    <row r="15" spans="1:3">
      <c r="A15" s="2">
        <v>15</v>
      </c>
      <c r="B15">
        <f t="shared" si="0"/>
        <v>5.1066838999999998E-3</v>
      </c>
      <c r="C15">
        <f t="shared" si="1"/>
        <v>5.3568898258864572E-2</v>
      </c>
    </row>
    <row r="16" spans="1:3">
      <c r="A16" s="2">
        <v>16</v>
      </c>
      <c r="B16">
        <f t="shared" si="0"/>
        <v>5.2981996999999998E-3</v>
      </c>
      <c r="C16">
        <f t="shared" si="1"/>
        <v>5.3759884916813008E-2</v>
      </c>
    </row>
    <row r="17" spans="1:3">
      <c r="A17" s="2">
        <v>17</v>
      </c>
      <c r="B17">
        <f t="shared" si="0"/>
        <v>5.4897154999999998E-3</v>
      </c>
      <c r="C17">
        <f t="shared" si="1"/>
        <v>5.3950891268536534E-2</v>
      </c>
    </row>
    <row r="18" spans="1:3">
      <c r="A18" s="2">
        <v>18</v>
      </c>
      <c r="B18">
        <f t="shared" si="0"/>
        <v>5.6812312999999998E-3</v>
      </c>
      <c r="C18">
        <f t="shared" si="1"/>
        <v>5.4141917314656278E-2</v>
      </c>
    </row>
    <row r="19" spans="1:3">
      <c r="A19" s="2">
        <v>19</v>
      </c>
      <c r="B19">
        <f t="shared" si="0"/>
        <v>5.8727470999999998E-3</v>
      </c>
      <c r="C19">
        <f t="shared" si="1"/>
        <v>5.4332963055769325E-2</v>
      </c>
    </row>
    <row r="20" spans="1:3">
      <c r="A20" s="2">
        <v>20</v>
      </c>
      <c r="B20">
        <f t="shared" si="0"/>
        <v>6.0642628999999998E-3</v>
      </c>
      <c r="C20">
        <f t="shared" si="1"/>
        <v>5.452402849244882E-2</v>
      </c>
    </row>
    <row r="21" spans="1:3">
      <c r="A21" s="2">
        <v>21</v>
      </c>
      <c r="B21">
        <f t="shared" si="0"/>
        <v>6.2557786999999998E-3</v>
      </c>
      <c r="C21">
        <f t="shared" si="1"/>
        <v>5.4715113625243873E-2</v>
      </c>
    </row>
    <row r="22" spans="1:3">
      <c r="A22" s="2">
        <v>22</v>
      </c>
      <c r="B22">
        <f t="shared" si="0"/>
        <v>6.447294499999999E-3</v>
      </c>
      <c r="C22">
        <f t="shared" si="1"/>
        <v>5.4906218454679641E-2</v>
      </c>
    </row>
    <row r="23" spans="1:3">
      <c r="A23" s="2">
        <v>23</v>
      </c>
      <c r="B23">
        <f t="shared" si="0"/>
        <v>6.638810299999999E-3</v>
      </c>
      <c r="C23">
        <f t="shared" si="1"/>
        <v>5.5097342981257236E-2</v>
      </c>
    </row>
    <row r="24" spans="1:3">
      <c r="A24" s="2">
        <v>24</v>
      </c>
      <c r="B24">
        <f t="shared" si="0"/>
        <v>6.830326099999999E-3</v>
      </c>
      <c r="C24">
        <f t="shared" si="1"/>
        <v>5.5288487205453804E-2</v>
      </c>
    </row>
    <row r="25" spans="1:3">
      <c r="A25" s="2">
        <v>25</v>
      </c>
      <c r="B25">
        <f t="shared" si="0"/>
        <v>7.021841899999999E-3</v>
      </c>
      <c r="C25">
        <f t="shared" si="1"/>
        <v>5.5479651127722462E-2</v>
      </c>
    </row>
    <row r="26" spans="1:3">
      <c r="A26" s="2">
        <v>26</v>
      </c>
      <c r="B26">
        <f t="shared" si="0"/>
        <v>7.213357699999999E-3</v>
      </c>
      <c r="C26">
        <f t="shared" si="1"/>
        <v>5.5670834748492326E-2</v>
      </c>
    </row>
    <row r="27" spans="1:3">
      <c r="A27" s="2">
        <v>27</v>
      </c>
      <c r="B27">
        <f t="shared" si="0"/>
        <v>7.4048734999999991E-3</v>
      </c>
      <c r="C27">
        <f t="shared" si="1"/>
        <v>5.5862038068168515E-2</v>
      </c>
    </row>
    <row r="28" spans="1:3">
      <c r="A28" s="2">
        <v>28</v>
      </c>
      <c r="B28">
        <f t="shared" si="0"/>
        <v>7.5963892999999991E-3</v>
      </c>
      <c r="C28">
        <f t="shared" si="1"/>
        <v>5.6053261087132107E-2</v>
      </c>
    </row>
    <row r="29" spans="1:3">
      <c r="A29" s="2">
        <v>29</v>
      </c>
      <c r="B29">
        <f t="shared" si="0"/>
        <v>7.7879050999999991E-3</v>
      </c>
      <c r="C29">
        <f t="shared" si="1"/>
        <v>5.6244503805740198E-2</v>
      </c>
    </row>
    <row r="30" spans="1:3">
      <c r="A30" s="2">
        <v>30</v>
      </c>
      <c r="B30">
        <f t="shared" si="0"/>
        <v>7.9794208999999991E-3</v>
      </c>
      <c r="C30">
        <f t="shared" si="1"/>
        <v>5.643576622432582E-2</v>
      </c>
    </row>
    <row r="31" spans="1:3">
      <c r="A31" s="2">
        <v>31</v>
      </c>
      <c r="B31">
        <f t="shared" si="0"/>
        <v>8.1709366999999991E-3</v>
      </c>
      <c r="C31">
        <f t="shared" si="1"/>
        <v>5.6627048343198032E-2</v>
      </c>
    </row>
    <row r="32" spans="1:3">
      <c r="A32" s="2">
        <v>32</v>
      </c>
      <c r="B32">
        <f t="shared" si="0"/>
        <v>8.3624524999999991E-3</v>
      </c>
      <c r="C32">
        <f t="shared" si="1"/>
        <v>5.6818350162641841E-2</v>
      </c>
    </row>
    <row r="33" spans="1:3">
      <c r="A33" s="2">
        <v>33</v>
      </c>
      <c r="B33">
        <f t="shared" ref="B33:B64" si="2">0.0024254627+(A33-1)*0.0001915158</f>
        <v>8.5539682999999991E-3</v>
      </c>
      <c r="C33">
        <f t="shared" ref="C33:C64" si="3">0+1*B33+0.048296231409623*(1.00657894736842+(B33-0.0103467566886897)^2/0.0896159846003121)^0.5</f>
        <v>5.7009671682918261E-2</v>
      </c>
    </row>
    <row r="34" spans="1:3">
      <c r="A34" s="2">
        <v>34</v>
      </c>
      <c r="B34">
        <f t="shared" si="2"/>
        <v>8.7454840999999992E-3</v>
      </c>
      <c r="C34">
        <f t="shared" si="3"/>
        <v>5.7201012904264222E-2</v>
      </c>
    </row>
    <row r="35" spans="1:3">
      <c r="A35" s="2">
        <v>35</v>
      </c>
      <c r="B35">
        <f t="shared" si="2"/>
        <v>8.9369998999999992E-3</v>
      </c>
      <c r="C35">
        <f t="shared" si="3"/>
        <v>5.7392373826892704E-2</v>
      </c>
    </row>
    <row r="36" spans="1:3">
      <c r="A36" s="2">
        <v>36</v>
      </c>
      <c r="B36">
        <f t="shared" si="2"/>
        <v>9.1285156999999992E-3</v>
      </c>
      <c r="C36">
        <f t="shared" si="3"/>
        <v>5.7583754450992598E-2</v>
      </c>
    </row>
    <row r="37" spans="1:3">
      <c r="A37" s="2">
        <v>37</v>
      </c>
      <c r="B37">
        <f t="shared" si="2"/>
        <v>9.3200314999999992E-3</v>
      </c>
      <c r="C37">
        <f t="shared" si="3"/>
        <v>5.7775154776728788E-2</v>
      </c>
    </row>
    <row r="38" spans="1:3">
      <c r="A38" s="2">
        <v>38</v>
      </c>
      <c r="B38">
        <f t="shared" si="2"/>
        <v>9.5115472999999992E-3</v>
      </c>
      <c r="C38">
        <f t="shared" si="3"/>
        <v>5.7966574804242145E-2</v>
      </c>
    </row>
    <row r="39" spans="1:3">
      <c r="A39" s="2">
        <v>39</v>
      </c>
      <c r="B39">
        <f t="shared" si="2"/>
        <v>9.7030630999999992E-3</v>
      </c>
      <c r="C39">
        <f t="shared" si="3"/>
        <v>5.815801453364948E-2</v>
      </c>
    </row>
    <row r="40" spans="1:3">
      <c r="A40" s="2">
        <v>40</v>
      </c>
      <c r="B40">
        <f t="shared" si="2"/>
        <v>9.8945788999999992E-3</v>
      </c>
      <c r="C40">
        <f t="shared" si="3"/>
        <v>5.8349473965043586E-2</v>
      </c>
    </row>
    <row r="41" spans="1:3">
      <c r="A41" s="2">
        <v>41</v>
      </c>
      <c r="B41">
        <f t="shared" si="2"/>
        <v>1.0086094699999999E-2</v>
      </c>
      <c r="C41">
        <f t="shared" si="3"/>
        <v>5.8540953098493213E-2</v>
      </c>
    </row>
    <row r="42" spans="1:3">
      <c r="A42" s="2">
        <v>42</v>
      </c>
      <c r="B42">
        <f t="shared" si="2"/>
        <v>1.0277610499999999E-2</v>
      </c>
      <c r="C42">
        <f t="shared" si="3"/>
        <v>5.8732451934043098E-2</v>
      </c>
    </row>
    <row r="43" spans="1:3">
      <c r="A43" s="2">
        <v>43</v>
      </c>
      <c r="B43">
        <f t="shared" si="2"/>
        <v>1.0469126299999999E-2</v>
      </c>
      <c r="C43">
        <f t="shared" si="3"/>
        <v>5.8923970471713938E-2</v>
      </c>
    </row>
    <row r="44" spans="1:3">
      <c r="A44" s="2">
        <v>44</v>
      </c>
      <c r="B44">
        <f t="shared" si="2"/>
        <v>1.0660642099999999E-2</v>
      </c>
      <c r="C44">
        <f t="shared" si="3"/>
        <v>5.9115508711502396E-2</v>
      </c>
    </row>
    <row r="45" spans="1:3">
      <c r="A45" s="2">
        <v>45</v>
      </c>
      <c r="B45">
        <f t="shared" si="2"/>
        <v>1.0852157899999999E-2</v>
      </c>
      <c r="C45">
        <f t="shared" si="3"/>
        <v>5.9307066653381077E-2</v>
      </c>
    </row>
    <row r="46" spans="1:3">
      <c r="A46" s="2">
        <v>46</v>
      </c>
      <c r="B46">
        <f t="shared" si="2"/>
        <v>1.1043673699999999E-2</v>
      </c>
      <c r="C46">
        <f t="shared" si="3"/>
        <v>5.9498644297298606E-2</v>
      </c>
    </row>
    <row r="47" spans="1:3">
      <c r="A47" s="2">
        <v>47</v>
      </c>
      <c r="B47">
        <f t="shared" si="2"/>
        <v>1.1235189499999999E-2</v>
      </c>
      <c r="C47">
        <f t="shared" si="3"/>
        <v>5.9690241643179529E-2</v>
      </c>
    </row>
    <row r="48" spans="1:3">
      <c r="A48" s="2">
        <v>48</v>
      </c>
      <c r="B48">
        <f t="shared" si="2"/>
        <v>1.1426705299999999E-2</v>
      </c>
      <c r="C48">
        <f t="shared" si="3"/>
        <v>5.9881858690924376E-2</v>
      </c>
    </row>
    <row r="49" spans="1:3">
      <c r="A49" s="2">
        <v>49</v>
      </c>
      <c r="B49">
        <f t="shared" si="2"/>
        <v>1.1618221099999999E-2</v>
      </c>
      <c r="C49">
        <f t="shared" si="3"/>
        <v>6.0073495440409644E-2</v>
      </c>
    </row>
    <row r="50" spans="1:3">
      <c r="A50" s="2">
        <v>50</v>
      </c>
      <c r="B50">
        <f t="shared" si="2"/>
        <v>1.1809736899999999E-2</v>
      </c>
      <c r="C50">
        <f t="shared" si="3"/>
        <v>6.0265151891487789E-2</v>
      </c>
    </row>
    <row r="51" spans="1:3">
      <c r="A51" s="2">
        <v>51</v>
      </c>
      <c r="B51">
        <f t="shared" si="2"/>
        <v>1.2001252699999999E-2</v>
      </c>
      <c r="C51">
        <f t="shared" si="3"/>
        <v>6.0456828043987283E-2</v>
      </c>
    </row>
    <row r="52" spans="1:3">
      <c r="A52" s="2">
        <v>52</v>
      </c>
      <c r="B52">
        <f t="shared" si="2"/>
        <v>1.2192768499999999E-2</v>
      </c>
      <c r="C52">
        <f t="shared" si="3"/>
        <v>6.0648523897712511E-2</v>
      </c>
    </row>
    <row r="53" spans="1:3">
      <c r="A53" s="2">
        <v>53</v>
      </c>
      <c r="B53">
        <f t="shared" si="2"/>
        <v>1.2384284299999999E-2</v>
      </c>
      <c r="C53">
        <f t="shared" si="3"/>
        <v>6.0840239452443851E-2</v>
      </c>
    </row>
    <row r="54" spans="1:3">
      <c r="A54" s="2">
        <v>54</v>
      </c>
      <c r="B54">
        <f t="shared" si="2"/>
        <v>1.2575800099999999E-2</v>
      </c>
      <c r="C54">
        <f t="shared" si="3"/>
        <v>6.103197470793767E-2</v>
      </c>
    </row>
    <row r="55" spans="1:3">
      <c r="A55" s="2">
        <v>55</v>
      </c>
      <c r="B55">
        <f t="shared" si="2"/>
        <v>1.2767315899999999E-2</v>
      </c>
      <c r="C55">
        <f t="shared" si="3"/>
        <v>6.1223729663926287E-2</v>
      </c>
    </row>
    <row r="56" spans="1:3">
      <c r="A56" s="2">
        <v>56</v>
      </c>
      <c r="B56">
        <f t="shared" si="2"/>
        <v>1.2958831699999999E-2</v>
      </c>
      <c r="C56">
        <f t="shared" si="3"/>
        <v>6.1415504320118018E-2</v>
      </c>
    </row>
    <row r="57" spans="1:3">
      <c r="A57" s="2">
        <v>57</v>
      </c>
      <c r="B57">
        <f t="shared" si="2"/>
        <v>1.3150347499999999E-2</v>
      </c>
      <c r="C57">
        <f t="shared" si="3"/>
        <v>6.1607298676197145E-2</v>
      </c>
    </row>
    <row r="58" spans="1:3">
      <c r="A58" s="2">
        <v>58</v>
      </c>
      <c r="B58">
        <f t="shared" si="2"/>
        <v>1.3341863299999999E-2</v>
      </c>
      <c r="C58">
        <f t="shared" si="3"/>
        <v>6.1799112731823945E-2</v>
      </c>
    </row>
    <row r="59" spans="1:3">
      <c r="A59" s="2">
        <v>59</v>
      </c>
      <c r="B59">
        <f t="shared" si="2"/>
        <v>1.3533379099999999E-2</v>
      </c>
      <c r="C59">
        <f t="shared" si="3"/>
        <v>6.199094648663464E-2</v>
      </c>
    </row>
    <row r="60" spans="1:3">
      <c r="A60" s="2">
        <v>60</v>
      </c>
      <c r="B60">
        <f t="shared" si="2"/>
        <v>1.37248949E-2</v>
      </c>
      <c r="C60">
        <f t="shared" si="3"/>
        <v>6.2182799940241479E-2</v>
      </c>
    </row>
    <row r="61" spans="1:3">
      <c r="A61" s="2">
        <v>61</v>
      </c>
      <c r="B61">
        <f t="shared" si="2"/>
        <v>1.39164107E-2</v>
      </c>
      <c r="C61">
        <f t="shared" si="3"/>
        <v>6.2374673092232692E-2</v>
      </c>
    </row>
    <row r="62" spans="1:3">
      <c r="A62" s="2">
        <v>62</v>
      </c>
      <c r="B62">
        <f t="shared" si="2"/>
        <v>1.41079265E-2</v>
      </c>
      <c r="C62">
        <f t="shared" si="3"/>
        <v>6.256656594217247E-2</v>
      </c>
    </row>
    <row r="63" spans="1:3">
      <c r="A63" s="2">
        <v>63</v>
      </c>
      <c r="B63">
        <f t="shared" si="2"/>
        <v>1.42994423E-2</v>
      </c>
      <c r="C63">
        <f t="shared" si="3"/>
        <v>6.2758478489601047E-2</v>
      </c>
    </row>
    <row r="64" spans="1:3">
      <c r="A64" s="2">
        <v>64</v>
      </c>
      <c r="B64">
        <f t="shared" si="2"/>
        <v>1.44909581E-2</v>
      </c>
      <c r="C64">
        <f t="shared" si="3"/>
        <v>6.2950410734034581E-2</v>
      </c>
    </row>
    <row r="65" spans="1:3">
      <c r="A65" s="2">
        <v>65</v>
      </c>
      <c r="B65">
        <f t="shared" ref="B65:B70" si="4">0.0024254627+(A65-1)*0.0001915158</f>
        <v>1.46824739E-2</v>
      </c>
      <c r="C65">
        <f t="shared" ref="C65:C70" si="5">0+1*B65+0.048296231409623*(1.00657894736842+(B65-0.0103467566886897)^2/0.0896159846003121)^0.5</f>
        <v>6.3142362674965286E-2</v>
      </c>
    </row>
    <row r="66" spans="1:3">
      <c r="A66" s="2">
        <v>66</v>
      </c>
      <c r="B66">
        <f t="shared" si="4"/>
        <v>1.48739897E-2</v>
      </c>
      <c r="C66">
        <f t="shared" si="5"/>
        <v>6.333433431186139E-2</v>
      </c>
    </row>
    <row r="67" spans="1:3">
      <c r="A67" s="2">
        <v>67</v>
      </c>
      <c r="B67">
        <f t="shared" si="4"/>
        <v>1.50655055E-2</v>
      </c>
      <c r="C67">
        <f t="shared" si="5"/>
        <v>6.3526325644167034E-2</v>
      </c>
    </row>
    <row r="68" spans="1:3">
      <c r="A68" s="2">
        <v>68</v>
      </c>
      <c r="B68">
        <f t="shared" si="4"/>
        <v>1.52570213E-2</v>
      </c>
      <c r="C68">
        <f t="shared" si="5"/>
        <v>6.3718336671302472E-2</v>
      </c>
    </row>
    <row r="69" spans="1:3">
      <c r="A69" s="2">
        <v>69</v>
      </c>
      <c r="B69">
        <f t="shared" si="4"/>
        <v>1.54485371E-2</v>
      </c>
      <c r="C69">
        <f t="shared" si="5"/>
        <v>6.3910367392663911E-2</v>
      </c>
    </row>
    <row r="70" spans="1:3">
      <c r="A70" s="2">
        <v>70</v>
      </c>
      <c r="B70">
        <f t="shared" si="4"/>
        <v>1.56400529E-2</v>
      </c>
      <c r="C70">
        <f t="shared" si="5"/>
        <v>6.4102417807623588E-2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0.0137394629648174+-0.0000950439480062748*B1-0.0484255886018306*(0.00657894736842105+(B1-35.6961842105263)^2/86774.9397868421)^0.5</f>
        <v>6.3854333612062292E-3</v>
      </c>
    </row>
    <row r="2" spans="1:3">
      <c r="A2" s="2">
        <v>2</v>
      </c>
      <c r="B2">
        <f t="shared" si="0"/>
        <v>-5.045826087</v>
      </c>
      <c r="C2">
        <f t="shared" si="1"/>
        <v>6.4546367065083802E-3</v>
      </c>
    </row>
    <row r="3" spans="1:3">
      <c r="A3" s="2">
        <v>3</v>
      </c>
      <c r="B3">
        <f t="shared" si="0"/>
        <v>-3.5856521740000002</v>
      </c>
      <c r="C3">
        <f t="shared" si="1"/>
        <v>6.5219397207798785E-3</v>
      </c>
    </row>
    <row r="4" spans="1:3">
      <c r="A4" s="2">
        <v>4</v>
      </c>
      <c r="B4">
        <f t="shared" si="0"/>
        <v>-2.1254782610000005</v>
      </c>
      <c r="C4">
        <f t="shared" si="1"/>
        <v>6.5871826477573361E-3</v>
      </c>
    </row>
    <row r="5" spans="1:3">
      <c r="A5" s="2">
        <v>5</v>
      </c>
      <c r="B5">
        <f t="shared" si="0"/>
        <v>-0.66530434800000027</v>
      </c>
      <c r="C5">
        <f t="shared" si="1"/>
        <v>6.6501891947146063E-3</v>
      </c>
    </row>
    <row r="6" spans="1:3">
      <c r="A6" s="2">
        <v>6</v>
      </c>
      <c r="B6">
        <f t="shared" si="0"/>
        <v>0.79486956499999994</v>
      </c>
      <c r="C6">
        <f t="shared" si="1"/>
        <v>6.7107646531146667E-3</v>
      </c>
    </row>
    <row r="7" spans="1:3">
      <c r="A7" s="2">
        <v>7</v>
      </c>
      <c r="B7">
        <f t="shared" si="0"/>
        <v>2.2550434779999993</v>
      </c>
      <c r="C7">
        <f t="shared" si="1"/>
        <v>6.7686938237787762E-3</v>
      </c>
    </row>
    <row r="8" spans="1:3">
      <c r="A8" s="2">
        <v>8</v>
      </c>
      <c r="B8">
        <f t="shared" si="0"/>
        <v>3.7152173909999995</v>
      </c>
      <c r="C8">
        <f t="shared" si="1"/>
        <v>6.823738740447058E-3</v>
      </c>
    </row>
    <row r="9" spans="1:3">
      <c r="A9" s="2">
        <v>9</v>
      </c>
      <c r="B9">
        <f t="shared" si="0"/>
        <v>5.1753913039999997</v>
      </c>
      <c r="C9">
        <f t="shared" si="1"/>
        <v>6.8756361925020925E-3</v>
      </c>
    </row>
    <row r="10" spans="1:3">
      <c r="A10" s="2">
        <v>10</v>
      </c>
      <c r="B10">
        <f t="shared" si="0"/>
        <v>6.6355652169999999</v>
      </c>
      <c r="C10">
        <f t="shared" si="1"/>
        <v>6.9240950581071119E-3</v>
      </c>
    </row>
    <row r="11" spans="1:3">
      <c r="A11" s="2">
        <v>11</v>
      </c>
      <c r="B11">
        <f t="shared" si="0"/>
        <v>8.0957391300000001</v>
      </c>
      <c r="C11">
        <f t="shared" si="1"/>
        <v>6.9687934742877862E-3</v>
      </c>
    </row>
    <row r="12" spans="1:3">
      <c r="A12" s="2">
        <v>12</v>
      </c>
      <c r="B12">
        <f t="shared" si="0"/>
        <v>9.5559130430000003</v>
      </c>
      <c r="C12">
        <f t="shared" si="1"/>
        <v>7.0093758920287885E-3</v>
      </c>
    </row>
    <row r="13" spans="1:3">
      <c r="A13" s="2">
        <v>13</v>
      </c>
      <c r="B13">
        <f t="shared" si="0"/>
        <v>11.016086955999999</v>
      </c>
      <c r="C13">
        <f t="shared" si="1"/>
        <v>7.045450093942379E-3</v>
      </c>
    </row>
    <row r="14" spans="1:3">
      <c r="A14" s="2">
        <v>14</v>
      </c>
      <c r="B14">
        <f t="shared" si="0"/>
        <v>12.476260869000001</v>
      </c>
      <c r="C14">
        <f t="shared" si="1"/>
        <v>7.0765842912597068E-3</v>
      </c>
    </row>
    <row r="15" spans="1:3">
      <c r="A15" s="2">
        <v>15</v>
      </c>
      <c r="B15">
        <f t="shared" si="0"/>
        <v>13.936434781999999</v>
      </c>
      <c r="C15">
        <f t="shared" si="1"/>
        <v>7.1023044673757633E-3</v>
      </c>
    </row>
    <row r="16" spans="1:3">
      <c r="A16" s="2">
        <v>16</v>
      </c>
      <c r="B16">
        <f t="shared" si="0"/>
        <v>15.396608695000001</v>
      </c>
      <c r="C16">
        <f t="shared" si="1"/>
        <v>7.1220921978584354E-3</v>
      </c>
    </row>
    <row r="17" spans="1:3">
      <c r="A17" s="2">
        <v>17</v>
      </c>
      <c r="B17">
        <f t="shared" si="0"/>
        <v>16.856782608</v>
      </c>
      <c r="C17">
        <f t="shared" si="1"/>
        <v>7.1353832511740463E-3</v>
      </c>
    </row>
    <row r="18" spans="1:3">
      <c r="A18" s="2">
        <v>18</v>
      </c>
      <c r="B18">
        <f t="shared" si="0"/>
        <v>18.316956520999998</v>
      </c>
      <c r="C18">
        <f t="shared" si="1"/>
        <v>7.141567357256416E-3</v>
      </c>
    </row>
    <row r="19" spans="1:3">
      <c r="A19" s="2">
        <v>19</v>
      </c>
      <c r="B19">
        <f t="shared" si="0"/>
        <v>19.777130434</v>
      </c>
      <c r="C19">
        <f t="shared" si="1"/>
        <v>7.1399896152222102E-3</v>
      </c>
    </row>
    <row r="20" spans="1:3">
      <c r="A20" s="2">
        <v>20</v>
      </c>
      <c r="B20">
        <f t="shared" si="0"/>
        <v>21.237304346999998</v>
      </c>
      <c r="C20">
        <f t="shared" si="1"/>
        <v>7.129954083977025E-3</v>
      </c>
    </row>
    <row r="21" spans="1:3">
      <c r="A21" s="2">
        <v>21</v>
      </c>
      <c r="B21">
        <f t="shared" si="0"/>
        <v>22.69747826</v>
      </c>
      <c r="C21">
        <f t="shared" si="1"/>
        <v>7.1107301398845441E-3</v>
      </c>
    </row>
    <row r="22" spans="1:3">
      <c r="A22" s="2">
        <v>22</v>
      </c>
      <c r="B22">
        <f t="shared" si="0"/>
        <v>24.157652172999999</v>
      </c>
      <c r="C22">
        <f t="shared" si="1"/>
        <v>7.081562166267286E-3</v>
      </c>
    </row>
    <row r="23" spans="1:3">
      <c r="A23" s="2">
        <v>23</v>
      </c>
      <c r="B23">
        <f t="shared" si="0"/>
        <v>25.617826086000001</v>
      </c>
      <c r="C23">
        <f t="shared" si="1"/>
        <v>7.0416830271093122E-3</v>
      </c>
    </row>
    <row r="24" spans="1:3">
      <c r="A24" s="2">
        <v>24</v>
      </c>
      <c r="B24">
        <f t="shared" si="0"/>
        <v>27.077999998999999</v>
      </c>
      <c r="C24">
        <f t="shared" si="1"/>
        <v>6.9903315396639062E-3</v>
      </c>
    </row>
    <row r="25" spans="1:3">
      <c r="A25" s="2">
        <v>25</v>
      </c>
      <c r="B25">
        <f t="shared" si="0"/>
        <v>28.538173911999998</v>
      </c>
      <c r="C25">
        <f t="shared" si="1"/>
        <v>6.9267737776296532E-3</v>
      </c>
    </row>
    <row r="26" spans="1:3">
      <c r="A26" s="2">
        <v>26</v>
      </c>
      <c r="B26">
        <f t="shared" si="0"/>
        <v>29.998347824999996</v>
      </c>
      <c r="C26">
        <f t="shared" si="1"/>
        <v>6.8503275157225383E-3</v>
      </c>
    </row>
    <row r="27" spans="1:3">
      <c r="A27" s="2">
        <v>27</v>
      </c>
      <c r="B27">
        <f t="shared" si="0"/>
        <v>31.458521738000002</v>
      </c>
      <c r="C27">
        <f t="shared" si="1"/>
        <v>6.7603885186644655E-3</v>
      </c>
    </row>
    <row r="28" spans="1:3">
      <c r="A28" s="2">
        <v>28</v>
      </c>
      <c r="B28">
        <f t="shared" si="0"/>
        <v>32.918695651</v>
      </c>
      <c r="C28">
        <f t="shared" si="1"/>
        <v>6.6564567845507497E-3</v>
      </c>
    </row>
    <row r="29" spans="1:3">
      <c r="A29" s="2">
        <v>29</v>
      </c>
      <c r="B29">
        <f t="shared" si="0"/>
        <v>34.378869563999999</v>
      </c>
      <c r="C29">
        <f t="shared" si="1"/>
        <v>6.5381604168744363E-3</v>
      </c>
    </row>
    <row r="30" spans="1:3">
      <c r="A30" s="2">
        <v>30</v>
      </c>
      <c r="B30">
        <f t="shared" si="0"/>
        <v>35.839043476999997</v>
      </c>
      <c r="C30">
        <f t="shared" si="1"/>
        <v>6.4052746711580977E-3</v>
      </c>
    </row>
    <row r="31" spans="1:3">
      <c r="A31" s="2">
        <v>31</v>
      </c>
      <c r="B31">
        <f t="shared" si="0"/>
        <v>37.299217390000003</v>
      </c>
      <c r="C31">
        <f t="shared" si="1"/>
        <v>6.2577340063735007E-3</v>
      </c>
    </row>
    <row r="32" spans="1:3">
      <c r="A32" s="2">
        <v>32</v>
      </c>
      <c r="B32">
        <f t="shared" si="0"/>
        <v>38.759391303000001</v>
      </c>
      <c r="C32">
        <f t="shared" si="1"/>
        <v>6.0956356768289985E-3</v>
      </c>
    </row>
    <row r="33" spans="1:3">
      <c r="A33" s="2">
        <v>33</v>
      </c>
      <c r="B33">
        <f t="shared" ref="B33:B64" si="2">-6.506+(A33-1)*1.460173913</f>
        <v>40.219565215999999</v>
      </c>
      <c r="C33">
        <f t="shared" ref="C33:C64" si="3">0.0137394629648174+-0.0000950439480062748*B33-0.0484255886018306*(0.00657894736842105+(B33-35.6961842105263)^2/86774.9397868421)^0.5</f>
        <v>5.9192344148541716E-3</v>
      </c>
    </row>
    <row r="34" spans="1:3">
      <c r="A34" s="2">
        <v>34</v>
      </c>
      <c r="B34">
        <f t="shared" si="2"/>
        <v>41.679739128999998</v>
      </c>
      <c r="C34">
        <f t="shared" si="3"/>
        <v>5.7289288678199386E-3</v>
      </c>
    </row>
    <row r="35" spans="1:3">
      <c r="A35" s="2">
        <v>35</v>
      </c>
      <c r="B35">
        <f t="shared" si="2"/>
        <v>43.139913041999996</v>
      </c>
      <c r="C35">
        <f t="shared" si="3"/>
        <v>5.5252414213867763E-3</v>
      </c>
    </row>
    <row r="36" spans="1:3">
      <c r="A36" s="2">
        <v>36</v>
      </c>
      <c r="B36">
        <f t="shared" si="2"/>
        <v>44.600086955000002</v>
      </c>
      <c r="C36">
        <f t="shared" si="3"/>
        <v>5.308793668973983E-3</v>
      </c>
    </row>
    <row r="37" spans="1:3">
      <c r="A37" s="2">
        <v>37</v>
      </c>
      <c r="B37">
        <f t="shared" si="2"/>
        <v>46.060260868</v>
      </c>
      <c r="C37">
        <f t="shared" si="3"/>
        <v>5.0802799866418473E-3</v>
      </c>
    </row>
    <row r="38" spans="1:3">
      <c r="A38" s="2">
        <v>38</v>
      </c>
      <c r="B38">
        <f t="shared" si="2"/>
        <v>47.520434780999999</v>
      </c>
      <c r="C38">
        <f t="shared" si="3"/>
        <v>4.8404414736165869E-3</v>
      </c>
    </row>
    <row r="39" spans="1:3">
      <c r="A39" s="2">
        <v>39</v>
      </c>
      <c r="B39">
        <f t="shared" si="2"/>
        <v>48.980608693999997</v>
      </c>
      <c r="C39">
        <f t="shared" si="3"/>
        <v>4.5900420399782385E-3</v>
      </c>
    </row>
    <row r="40" spans="1:3">
      <c r="A40" s="2">
        <v>40</v>
      </c>
      <c r="B40">
        <f t="shared" si="2"/>
        <v>50.440782607000003</v>
      </c>
      <c r="C40">
        <f t="shared" si="3"/>
        <v>4.3298478168229404E-3</v>
      </c>
    </row>
    <row r="41" spans="1:3">
      <c r="A41" s="2">
        <v>41</v>
      </c>
      <c r="B41">
        <f t="shared" si="2"/>
        <v>51.900956520000001</v>
      </c>
      <c r="C41">
        <f t="shared" si="3"/>
        <v>4.0606104670085439E-3</v>
      </c>
    </row>
    <row r="42" spans="1:3">
      <c r="A42" s="2">
        <v>42</v>
      </c>
      <c r="B42">
        <f t="shared" si="2"/>
        <v>53.361130433</v>
      </c>
      <c r="C42">
        <f t="shared" si="3"/>
        <v>3.7830544782625399E-3</v>
      </c>
    </row>
    <row r="43" spans="1:3">
      <c r="A43" s="2">
        <v>43</v>
      </c>
      <c r="B43">
        <f t="shared" si="2"/>
        <v>54.821304345999998</v>
      </c>
      <c r="C43">
        <f t="shared" si="3"/>
        <v>3.497868166347601E-3</v>
      </c>
    </row>
    <row r="44" spans="1:3">
      <c r="A44" s="2">
        <v>44</v>
      </c>
      <c r="B44">
        <f t="shared" si="2"/>
        <v>56.281478258999996</v>
      </c>
      <c r="C44">
        <f t="shared" si="3"/>
        <v>3.2056979049883598E-3</v>
      </c>
    </row>
    <row r="45" spans="1:3">
      <c r="A45" s="2">
        <v>45</v>
      </c>
      <c r="B45">
        <f t="shared" si="2"/>
        <v>57.741652172000002</v>
      </c>
      <c r="C45">
        <f t="shared" si="3"/>
        <v>2.9071450077563718E-3</v>
      </c>
    </row>
    <row r="46" spans="1:3">
      <c r="A46" s="2">
        <v>46</v>
      </c>
      <c r="B46">
        <f t="shared" si="2"/>
        <v>59.201826084999993</v>
      </c>
      <c r="C46">
        <f t="shared" si="3"/>
        <v>2.6027646819147309E-3</v>
      </c>
    </row>
    <row r="47" spans="1:3">
      <c r="A47" s="2">
        <v>47</v>
      </c>
      <c r="B47">
        <f t="shared" si="2"/>
        <v>60.661999997999999</v>
      </c>
      <c r="C47">
        <f t="shared" si="3"/>
        <v>2.2930665228796049E-3</v>
      </c>
    </row>
    <row r="48" spans="1:3">
      <c r="A48" s="2">
        <v>48</v>
      </c>
      <c r="B48">
        <f t="shared" si="2"/>
        <v>62.122173911000004</v>
      </c>
      <c r="C48">
        <f t="shared" si="3"/>
        <v>1.9785160940478802E-3</v>
      </c>
    </row>
    <row r="49" spans="1:3">
      <c r="A49" s="2">
        <v>49</v>
      </c>
      <c r="B49">
        <f t="shared" si="2"/>
        <v>63.582347823999996</v>
      </c>
      <c r="C49">
        <f t="shared" si="3"/>
        <v>1.65953722148091E-3</v>
      </c>
    </row>
    <row r="50" spans="1:3">
      <c r="A50" s="2">
        <v>50</v>
      </c>
      <c r="B50">
        <f t="shared" si="2"/>
        <v>65.042521737000001</v>
      </c>
      <c r="C50">
        <f t="shared" si="3"/>
        <v>1.3365147145561109E-3</v>
      </c>
    </row>
    <row r="51" spans="1:3">
      <c r="A51" s="2">
        <v>51</v>
      </c>
      <c r="B51">
        <f t="shared" si="2"/>
        <v>66.502695649999993</v>
      </c>
      <c r="C51">
        <f t="shared" si="3"/>
        <v>1.0097972959038923E-3</v>
      </c>
    </row>
    <row r="52" spans="1:3">
      <c r="A52" s="2">
        <v>52</v>
      </c>
      <c r="B52">
        <f t="shared" si="2"/>
        <v>67.962869562999998</v>
      </c>
      <c r="C52">
        <f t="shared" si="3"/>
        <v>6.7970058422254283E-4</v>
      </c>
    </row>
    <row r="53" spans="1:3">
      <c r="A53" s="2">
        <v>53</v>
      </c>
      <c r="B53">
        <f t="shared" si="2"/>
        <v>69.423043476000004</v>
      </c>
      <c r="C53">
        <f t="shared" si="3"/>
        <v>3.4651002173400388E-4</v>
      </c>
    </row>
    <row r="54" spans="1:3">
      <c r="A54" s="2">
        <v>54</v>
      </c>
      <c r="B54">
        <f t="shared" si="2"/>
        <v>70.883217388999995</v>
      </c>
      <c r="C54">
        <f t="shared" si="3"/>
        <v>1.0483675201874813E-5</v>
      </c>
    </row>
    <row r="55" spans="1:3">
      <c r="A55" s="2">
        <v>55</v>
      </c>
      <c r="B55">
        <f t="shared" si="2"/>
        <v>72.343391302000001</v>
      </c>
      <c r="C55">
        <f t="shared" si="3"/>
        <v>-3.2814513277411046E-4</v>
      </c>
    </row>
    <row r="56" spans="1:3">
      <c r="A56" s="2">
        <v>56</v>
      </c>
      <c r="B56">
        <f t="shared" si="2"/>
        <v>73.803565215000006</v>
      </c>
      <c r="C56">
        <f t="shared" si="3"/>
        <v>-6.6916538528313634E-4</v>
      </c>
    </row>
    <row r="57" spans="1:3">
      <c r="A57" s="2">
        <v>57</v>
      </c>
      <c r="B57">
        <f t="shared" si="2"/>
        <v>75.263739127999997</v>
      </c>
      <c r="C57">
        <f t="shared" si="3"/>
        <v>-1.0123861343131193E-3</v>
      </c>
    </row>
    <row r="58" spans="1:3">
      <c r="A58" s="2">
        <v>58</v>
      </c>
      <c r="B58">
        <f t="shared" si="2"/>
        <v>76.723913041000003</v>
      </c>
      <c r="C58">
        <f t="shared" si="3"/>
        <v>-1.3576344648189532E-3</v>
      </c>
    </row>
    <row r="59" spans="1:3">
      <c r="A59" s="2">
        <v>59</v>
      </c>
      <c r="B59">
        <f t="shared" si="2"/>
        <v>78.184086953999994</v>
      </c>
      <c r="C59">
        <f t="shared" si="3"/>
        <v>-1.7047536525059267E-3</v>
      </c>
    </row>
    <row r="60" spans="1:3">
      <c r="A60" s="2">
        <v>60</v>
      </c>
      <c r="B60">
        <f t="shared" si="2"/>
        <v>79.644260867</v>
      </c>
      <c r="C60">
        <f t="shared" si="3"/>
        <v>-2.0536015043205371E-3</v>
      </c>
    </row>
    <row r="61" spans="1:3">
      <c r="A61" s="2">
        <v>61</v>
      </c>
      <c r="B61">
        <f t="shared" si="2"/>
        <v>81.104434780000005</v>
      </c>
      <c r="C61">
        <f t="shared" si="3"/>
        <v>-2.4040488685181964E-3</v>
      </c>
    </row>
    <row r="62" spans="1:3">
      <c r="A62" s="2">
        <v>62</v>
      </c>
      <c r="B62">
        <f t="shared" si="2"/>
        <v>82.564608692999997</v>
      </c>
      <c r="C62">
        <f t="shared" si="3"/>
        <v>-2.7559783002623801E-3</v>
      </c>
    </row>
    <row r="63" spans="1:3">
      <c r="A63" s="2">
        <v>63</v>
      </c>
      <c r="B63">
        <f t="shared" si="2"/>
        <v>84.024782606000002</v>
      </c>
      <c r="C63">
        <f t="shared" si="3"/>
        <v>-3.1092828686067955E-3</v>
      </c>
    </row>
    <row r="64" spans="1:3">
      <c r="A64" s="2">
        <v>64</v>
      </c>
      <c r="B64">
        <f t="shared" si="2"/>
        <v>85.484956518999994</v>
      </c>
      <c r="C64">
        <f t="shared" si="3"/>
        <v>-3.4638650911351845E-3</v>
      </c>
    </row>
    <row r="65" spans="1:3">
      <c r="A65" s="2">
        <v>65</v>
      </c>
      <c r="B65">
        <f t="shared" ref="B65:B70" si="4">-6.506+(A65-1)*1.460173913</f>
        <v>86.945130431999999</v>
      </c>
      <c r="C65">
        <f t="shared" ref="C65:C70" si="5">0.0137394629648174+-0.0000950439480062748*B65-0.0484255886018306*(0.00657894736842105+(B65-35.6961842105263)^2/86774.9397868421)^0.5</f>
        <v>-3.8196359832779799E-3</v>
      </c>
    </row>
    <row r="66" spans="1:3">
      <c r="A66" s="2">
        <v>66</v>
      </c>
      <c r="B66">
        <f t="shared" si="4"/>
        <v>88.405304345000005</v>
      </c>
      <c r="C66">
        <f t="shared" si="5"/>
        <v>-4.1765142102477577E-3</v>
      </c>
    </row>
    <row r="67" spans="1:3">
      <c r="A67" s="2">
        <v>67</v>
      </c>
      <c r="B67">
        <f t="shared" si="4"/>
        <v>89.865478257999996</v>
      </c>
      <c r="C67">
        <f t="shared" si="5"/>
        <v>-4.5344253305391533E-3</v>
      </c>
    </row>
    <row r="68" spans="1:3">
      <c r="A68" s="2">
        <v>68</v>
      </c>
      <c r="B68">
        <f t="shared" si="4"/>
        <v>91.325652171000002</v>
      </c>
      <c r="C68">
        <f t="shared" si="5"/>
        <v>-4.8933011209575192E-3</v>
      </c>
    </row>
    <row r="69" spans="1:3">
      <c r="A69" s="2">
        <v>69</v>
      </c>
      <c r="B69">
        <f t="shared" si="4"/>
        <v>92.785826083999993</v>
      </c>
      <c r="C69">
        <f t="shared" si="5"/>
        <v>-5.2530789741324461E-3</v>
      </c>
    </row>
    <row r="70" spans="1:3">
      <c r="A70" s="2">
        <v>70</v>
      </c>
      <c r="B70">
        <f t="shared" si="4"/>
        <v>94.245999996999998</v>
      </c>
      <c r="C70">
        <f t="shared" si="5"/>
        <v>-5.6137013604118016E-3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0.0137394629648174+-0.0000950439480062748*B1+0.0484255886018306*(0.00657894736842105+(B1-35.6961842105263)^2/86774.9397868421)^0.5</f>
        <v>2.2330204419886222E-2</v>
      </c>
    </row>
    <row r="2" spans="1:3">
      <c r="A2" s="2">
        <v>2</v>
      </c>
      <c r="B2">
        <f t="shared" si="0"/>
        <v>-5.045826087</v>
      </c>
      <c r="C2">
        <f t="shared" si="1"/>
        <v>2.1983439687649486E-2</v>
      </c>
    </row>
    <row r="3" spans="1:3">
      <c r="A3" s="2">
        <v>3</v>
      </c>
      <c r="B3">
        <f t="shared" si="0"/>
        <v>-3.5856521740000002</v>
      </c>
      <c r="C3">
        <f t="shared" si="1"/>
        <v>2.1638575286443407E-2</v>
      </c>
    </row>
    <row r="4" spans="1:3">
      <c r="A4" s="2">
        <v>4</v>
      </c>
      <c r="B4">
        <f t="shared" si="0"/>
        <v>-2.1254782610000005</v>
      </c>
      <c r="C4">
        <f t="shared" si="1"/>
        <v>2.1295770972531367E-2</v>
      </c>
    </row>
    <row r="5" spans="1:3">
      <c r="A5" s="2">
        <v>5</v>
      </c>
      <c r="B5">
        <f t="shared" si="0"/>
        <v>-0.66530434800000027</v>
      </c>
      <c r="C5">
        <f t="shared" si="1"/>
        <v>2.0955203038639517E-2</v>
      </c>
    </row>
    <row r="6" spans="1:3">
      <c r="A6" s="2">
        <v>6</v>
      </c>
      <c r="B6">
        <f t="shared" si="0"/>
        <v>0.79486956499999994</v>
      </c>
      <c r="C6">
        <f t="shared" si="1"/>
        <v>2.0617066193304872E-2</v>
      </c>
    </row>
    <row r="7" spans="1:3">
      <c r="A7" s="2">
        <v>7</v>
      </c>
      <c r="B7">
        <f t="shared" si="0"/>
        <v>2.2550434779999993</v>
      </c>
      <c r="C7">
        <f t="shared" si="1"/>
        <v>2.0281575635706182E-2</v>
      </c>
    </row>
    <row r="8" spans="1:3">
      <c r="A8" s="2">
        <v>8</v>
      </c>
      <c r="B8">
        <f t="shared" si="0"/>
        <v>3.7152173909999995</v>
      </c>
      <c r="C8">
        <f t="shared" si="1"/>
        <v>1.9948969332103321E-2</v>
      </c>
    </row>
    <row r="9" spans="1:3">
      <c r="A9" s="2">
        <v>9</v>
      </c>
      <c r="B9">
        <f t="shared" si="0"/>
        <v>5.1753913039999997</v>
      </c>
      <c r="C9">
        <f t="shared" si="1"/>
        <v>1.9619510493113702E-2</v>
      </c>
    </row>
    <row r="10" spans="1:3">
      <c r="A10" s="2">
        <v>10</v>
      </c>
      <c r="B10">
        <f t="shared" si="0"/>
        <v>6.6355652169999999</v>
      </c>
      <c r="C10">
        <f t="shared" si="1"/>
        <v>1.9293490240574102E-2</v>
      </c>
    </row>
    <row r="11" spans="1:3">
      <c r="A11" s="2">
        <v>11</v>
      </c>
      <c r="B11">
        <f t="shared" si="0"/>
        <v>8.0957391300000001</v>
      </c>
      <c r="C11">
        <f t="shared" si="1"/>
        <v>1.8971230437458846E-2</v>
      </c>
    </row>
    <row r="12" spans="1:3">
      <c r="A12" s="2">
        <v>12</v>
      </c>
      <c r="B12">
        <f t="shared" si="0"/>
        <v>9.5559130430000003</v>
      </c>
      <c r="C12">
        <f t="shared" si="1"/>
        <v>1.8653086632783263E-2</v>
      </c>
    </row>
    <row r="13" spans="1:3">
      <c r="A13" s="2">
        <v>13</v>
      </c>
      <c r="B13">
        <f t="shared" si="0"/>
        <v>11.016086955999999</v>
      </c>
      <c r="C13">
        <f t="shared" si="1"/>
        <v>1.8339451043935088E-2</v>
      </c>
    </row>
    <row r="14" spans="1:3">
      <c r="A14" s="2">
        <v>14</v>
      </c>
      <c r="B14">
        <f t="shared" si="0"/>
        <v>12.476260869000001</v>
      </c>
      <c r="C14">
        <f t="shared" si="1"/>
        <v>1.8030755459683179E-2</v>
      </c>
    </row>
    <row r="15" spans="1:3">
      <c r="A15" s="2">
        <v>15</v>
      </c>
      <c r="B15">
        <f t="shared" si="0"/>
        <v>13.936434781999999</v>
      </c>
      <c r="C15">
        <f t="shared" si="1"/>
        <v>1.7727473896632543E-2</v>
      </c>
    </row>
    <row r="16" spans="1:3">
      <c r="A16" s="2">
        <v>16</v>
      </c>
      <c r="B16">
        <f t="shared" si="0"/>
        <v>15.396608695000001</v>
      </c>
      <c r="C16">
        <f t="shared" si="1"/>
        <v>1.7430124779215288E-2</v>
      </c>
    </row>
    <row r="17" spans="1:3">
      <c r="A17" s="2">
        <v>17</v>
      </c>
      <c r="B17">
        <f t="shared" si="0"/>
        <v>16.856782608</v>
      </c>
      <c r="C17">
        <f t="shared" si="1"/>
        <v>1.7139272338965096E-2</v>
      </c>
    </row>
    <row r="18" spans="1:3">
      <c r="A18" s="2">
        <v>18</v>
      </c>
      <c r="B18">
        <f t="shared" si="0"/>
        <v>18.316956520999998</v>
      </c>
      <c r="C18">
        <f t="shared" si="1"/>
        <v>1.6855526845948144E-2</v>
      </c>
    </row>
    <row r="19" spans="1:3">
      <c r="A19" s="2">
        <v>19</v>
      </c>
      <c r="B19">
        <f t="shared" si="0"/>
        <v>19.777130434</v>
      </c>
      <c r="C19">
        <f t="shared" si="1"/>
        <v>1.6579543201047771E-2</v>
      </c>
    </row>
    <row r="20" spans="1:3">
      <c r="A20" s="2">
        <v>20</v>
      </c>
      <c r="B20">
        <f t="shared" si="0"/>
        <v>21.237304346999998</v>
      </c>
      <c r="C20">
        <f t="shared" si="1"/>
        <v>1.6312017345358375E-2</v>
      </c>
    </row>
    <row r="21" spans="1:3">
      <c r="A21" s="2">
        <v>21</v>
      </c>
      <c r="B21">
        <f t="shared" si="0"/>
        <v>22.69747826</v>
      </c>
      <c r="C21">
        <f t="shared" si="1"/>
        <v>1.6053679902516271E-2</v>
      </c>
    </row>
    <row r="22" spans="1:3">
      <c r="A22" s="2">
        <v>22</v>
      </c>
      <c r="B22">
        <f t="shared" si="0"/>
        <v>24.157652172999999</v>
      </c>
      <c r="C22">
        <f t="shared" si="1"/>
        <v>1.5805286489198947E-2</v>
      </c>
    </row>
    <row r="23" spans="1:3">
      <c r="A23" s="2">
        <v>23</v>
      </c>
      <c r="B23">
        <f t="shared" si="0"/>
        <v>25.617826086000001</v>
      </c>
      <c r="C23">
        <f t="shared" si="1"/>
        <v>1.5567604241422343E-2</v>
      </c>
    </row>
    <row r="24" spans="1:3">
      <c r="A24" s="2">
        <v>24</v>
      </c>
      <c r="B24">
        <f t="shared" si="0"/>
        <v>27.077999998999999</v>
      </c>
      <c r="C24">
        <f t="shared" si="1"/>
        <v>1.5341394341933164E-2</v>
      </c>
    </row>
    <row r="25" spans="1:3">
      <c r="A25" s="2">
        <v>25</v>
      </c>
      <c r="B25">
        <f t="shared" si="0"/>
        <v>28.538173911999998</v>
      </c>
      <c r="C25">
        <f t="shared" si="1"/>
        <v>1.5127390717032837E-2</v>
      </c>
    </row>
    <row r="26" spans="1:3">
      <c r="A26" s="2">
        <v>26</v>
      </c>
      <c r="B26">
        <f t="shared" si="0"/>
        <v>29.998347824999996</v>
      </c>
      <c r="C26">
        <f t="shared" si="1"/>
        <v>1.4926275592005371E-2</v>
      </c>
    </row>
    <row r="27" spans="1:3">
      <c r="A27" s="2">
        <v>27</v>
      </c>
      <c r="B27">
        <f t="shared" si="0"/>
        <v>31.458521738000002</v>
      </c>
      <c r="C27">
        <f t="shared" si="1"/>
        <v>1.473865320212886E-2</v>
      </c>
    </row>
    <row r="28" spans="1:3">
      <c r="A28" s="2">
        <v>28</v>
      </c>
      <c r="B28">
        <f t="shared" si="0"/>
        <v>32.918695651</v>
      </c>
      <c r="C28">
        <f t="shared" si="1"/>
        <v>1.4565023549307995E-2</v>
      </c>
    </row>
    <row r="29" spans="1:3">
      <c r="A29" s="2">
        <v>29</v>
      </c>
      <c r="B29">
        <f t="shared" si="0"/>
        <v>34.378869563999999</v>
      </c>
      <c r="C29">
        <f t="shared" si="1"/>
        <v>1.4405758530049727E-2</v>
      </c>
    </row>
    <row r="30" spans="1:3">
      <c r="A30" s="2">
        <v>30</v>
      </c>
      <c r="B30">
        <f t="shared" si="0"/>
        <v>35.839043476999997</v>
      </c>
      <c r="C30">
        <f t="shared" si="1"/>
        <v>1.4261082888831485E-2</v>
      </c>
    </row>
    <row r="31" spans="1:3">
      <c r="A31" s="2">
        <v>31</v>
      </c>
      <c r="B31">
        <f t="shared" si="0"/>
        <v>37.299217390000003</v>
      </c>
      <c r="C31">
        <f t="shared" si="1"/>
        <v>1.4131062166681498E-2</v>
      </c>
    </row>
    <row r="32" spans="1:3">
      <c r="A32" s="2">
        <v>32</v>
      </c>
      <c r="B32">
        <f t="shared" si="0"/>
        <v>38.759391303000001</v>
      </c>
      <c r="C32">
        <f t="shared" si="1"/>
        <v>1.401559910929142E-2</v>
      </c>
    </row>
    <row r="33" spans="1:3">
      <c r="A33" s="2">
        <v>33</v>
      </c>
      <c r="B33">
        <f t="shared" ref="B33:B64" si="2">-6.506+(A33-1)*1.460173913</f>
        <v>40.219565215999999</v>
      </c>
      <c r="C33">
        <f t="shared" ref="C33:C64" si="3">0.0137394629648174+-0.0000950439480062748*B33+0.0484255886018306*(0.00657894736842105+(B33-35.6961842105263)^2/86774.9397868421)^0.5</f>
        <v>1.3914438984331666E-2</v>
      </c>
    </row>
    <row r="34" spans="1:3">
      <c r="A34" s="2">
        <v>34</v>
      </c>
      <c r="B34">
        <f t="shared" si="2"/>
        <v>41.679739128999998</v>
      </c>
      <c r="C34">
        <f t="shared" si="3"/>
        <v>1.3827183144431317E-2</v>
      </c>
    </row>
    <row r="35" spans="1:3">
      <c r="A35" s="2">
        <v>35</v>
      </c>
      <c r="B35">
        <f t="shared" si="2"/>
        <v>43.139913041999996</v>
      </c>
      <c r="C35">
        <f t="shared" si="3"/>
        <v>1.3753309203929896E-2</v>
      </c>
    </row>
    <row r="36" spans="1:3">
      <c r="A36" s="2">
        <v>36</v>
      </c>
      <c r="B36">
        <f t="shared" si="2"/>
        <v>44.600086955000002</v>
      </c>
      <c r="C36">
        <f t="shared" si="3"/>
        <v>1.3692195569408105E-2</v>
      </c>
    </row>
    <row r="37" spans="1:3">
      <c r="A37" s="2">
        <v>37</v>
      </c>
      <c r="B37">
        <f t="shared" si="2"/>
        <v>46.060260868</v>
      </c>
      <c r="C37">
        <f t="shared" si="3"/>
        <v>1.3643147864805662E-2</v>
      </c>
    </row>
    <row r="38" spans="1:3">
      <c r="A38" s="2">
        <v>38</v>
      </c>
      <c r="B38">
        <f t="shared" si="2"/>
        <v>47.520434780999999</v>
      </c>
      <c r="C38">
        <f t="shared" si="3"/>
        <v>1.3605424990896339E-2</v>
      </c>
    </row>
    <row r="39" spans="1:3">
      <c r="A39" s="2">
        <v>39</v>
      </c>
      <c r="B39">
        <f t="shared" si="2"/>
        <v>48.980608693999997</v>
      </c>
      <c r="C39">
        <f t="shared" si="3"/>
        <v>1.3578263037600107E-2</v>
      </c>
    </row>
    <row r="40" spans="1:3">
      <c r="A40" s="2">
        <v>40</v>
      </c>
      <c r="B40">
        <f t="shared" si="2"/>
        <v>50.440782607000003</v>
      </c>
      <c r="C40">
        <f t="shared" si="3"/>
        <v>1.3560895873820825E-2</v>
      </c>
    </row>
    <row r="41" spans="1:3">
      <c r="A41" s="2">
        <v>41</v>
      </c>
      <c r="B41">
        <f t="shared" si="2"/>
        <v>51.900956520000001</v>
      </c>
      <c r="C41">
        <f t="shared" si="3"/>
        <v>1.3552571836700637E-2</v>
      </c>
    </row>
    <row r="42" spans="1:3">
      <c r="A42" s="2">
        <v>42</v>
      </c>
      <c r="B42">
        <f t="shared" si="2"/>
        <v>53.361130433</v>
      </c>
      <c r="C42">
        <f t="shared" si="3"/>
        <v>1.355256643851206E-2</v>
      </c>
    </row>
    <row r="43" spans="1:3">
      <c r="A43" s="2">
        <v>43</v>
      </c>
      <c r="B43">
        <f t="shared" si="2"/>
        <v>54.821304345999998</v>
      </c>
      <c r="C43">
        <f t="shared" si="3"/>
        <v>1.3560191363492419E-2</v>
      </c>
    </row>
    <row r="44" spans="1:3">
      <c r="A44" s="2">
        <v>44</v>
      </c>
      <c r="B44">
        <f t="shared" si="2"/>
        <v>56.281478258999996</v>
      </c>
      <c r="C44">
        <f t="shared" si="3"/>
        <v>1.357480023791708E-2</v>
      </c>
    </row>
    <row r="45" spans="1:3">
      <c r="A45" s="2">
        <v>45</v>
      </c>
      <c r="B45">
        <f t="shared" si="2"/>
        <v>57.741652172000002</v>
      </c>
      <c r="C45">
        <f t="shared" si="3"/>
        <v>1.3595791748214483E-2</v>
      </c>
    </row>
    <row r="46" spans="1:3">
      <c r="A46" s="2">
        <v>46</v>
      </c>
      <c r="B46">
        <f t="shared" si="2"/>
        <v>59.201826084999993</v>
      </c>
      <c r="C46">
        <f t="shared" si="3"/>
        <v>1.3622610687121544E-2</v>
      </c>
    </row>
    <row r="47" spans="1:3">
      <c r="A47" s="2">
        <v>47</v>
      </c>
      <c r="B47">
        <f t="shared" si="2"/>
        <v>60.661999997999999</v>
      </c>
      <c r="C47">
        <f t="shared" si="3"/>
        <v>1.3654747459222089E-2</v>
      </c>
    </row>
    <row r="48" spans="1:3">
      <c r="A48" s="2">
        <v>48</v>
      </c>
      <c r="B48">
        <f t="shared" si="2"/>
        <v>62.122173911000004</v>
      </c>
      <c r="C48">
        <f t="shared" si="3"/>
        <v>1.3691736501119229E-2</v>
      </c>
    </row>
    <row r="49" spans="1:3">
      <c r="A49" s="2">
        <v>49</v>
      </c>
      <c r="B49">
        <f t="shared" si="2"/>
        <v>63.582347823999996</v>
      </c>
      <c r="C49">
        <f t="shared" si="3"/>
        <v>1.3733153986751619E-2</v>
      </c>
    </row>
    <row r="50" spans="1:3">
      <c r="A50" s="2">
        <v>50</v>
      </c>
      <c r="B50">
        <f t="shared" si="2"/>
        <v>65.042521737000001</v>
      </c>
      <c r="C50">
        <f t="shared" si="3"/>
        <v>1.3778615106741837E-2</v>
      </c>
    </row>
    <row r="51" spans="1:3">
      <c r="A51" s="2">
        <v>51</v>
      </c>
      <c r="B51">
        <f t="shared" si="2"/>
        <v>66.502695649999993</v>
      </c>
      <c r="C51">
        <f t="shared" si="3"/>
        <v>1.3827771138459476E-2</v>
      </c>
    </row>
    <row r="52" spans="1:3">
      <c r="A52" s="2">
        <v>52</v>
      </c>
      <c r="B52">
        <f t="shared" si="2"/>
        <v>67.962869562999998</v>
      </c>
      <c r="C52">
        <f t="shared" si="3"/>
        <v>1.3880306463206243E-2</v>
      </c>
    </row>
    <row r="53" spans="1:3">
      <c r="A53" s="2">
        <v>53</v>
      </c>
      <c r="B53">
        <f t="shared" si="2"/>
        <v>69.423043476000004</v>
      </c>
      <c r="C53">
        <f t="shared" si="3"/>
        <v>1.3935935638760198E-2</v>
      </c>
    </row>
    <row r="54" spans="1:3">
      <c r="A54" s="2">
        <v>54</v>
      </c>
      <c r="B54">
        <f t="shared" si="2"/>
        <v>70.883217388999995</v>
      </c>
      <c r="C54">
        <f t="shared" si="3"/>
        <v>1.3994400598357746E-2</v>
      </c>
    </row>
    <row r="55" spans="1:3">
      <c r="A55" s="2">
        <v>55</v>
      </c>
      <c r="B55">
        <f t="shared" si="2"/>
        <v>72.343391302000001</v>
      </c>
      <c r="C55">
        <f t="shared" si="3"/>
        <v>1.405546801939915E-2</v>
      </c>
    </row>
    <row r="56" spans="1:3">
      <c r="A56" s="2">
        <v>56</v>
      </c>
      <c r="B56">
        <f t="shared" si="2"/>
        <v>73.803565215000006</v>
      </c>
      <c r="C56">
        <f t="shared" si="3"/>
        <v>1.4118926884973593E-2</v>
      </c>
    </row>
    <row r="57" spans="1:3">
      <c r="A57" s="2">
        <v>57</v>
      </c>
      <c r="B57">
        <f t="shared" si="2"/>
        <v>75.263739127999997</v>
      </c>
      <c r="C57">
        <f t="shared" si="3"/>
        <v>1.4184586247068996E-2</v>
      </c>
    </row>
    <row r="58" spans="1:3">
      <c r="A58" s="2">
        <v>58</v>
      </c>
      <c r="B58">
        <f t="shared" si="2"/>
        <v>76.723913041000003</v>
      </c>
      <c r="C58">
        <f t="shared" si="3"/>
        <v>1.4252273190640246E-2</v>
      </c>
    </row>
    <row r="59" spans="1:3">
      <c r="A59" s="2">
        <v>59</v>
      </c>
      <c r="B59">
        <f t="shared" si="2"/>
        <v>78.184086953999994</v>
      </c>
      <c r="C59">
        <f t="shared" si="3"/>
        <v>1.4321830991392639E-2</v>
      </c>
    </row>
    <row r="60" spans="1:3">
      <c r="A60" s="2">
        <v>60</v>
      </c>
      <c r="B60">
        <f t="shared" si="2"/>
        <v>79.644260867</v>
      </c>
      <c r="C60">
        <f t="shared" si="3"/>
        <v>1.4393117456272668E-2</v>
      </c>
    </row>
    <row r="61" spans="1:3">
      <c r="A61" s="2">
        <v>61</v>
      </c>
      <c r="B61">
        <f t="shared" si="2"/>
        <v>81.104434780000005</v>
      </c>
      <c r="C61">
        <f t="shared" si="3"/>
        <v>1.4466003433535744E-2</v>
      </c>
    </row>
    <row r="62" spans="1:3">
      <c r="A62" s="2">
        <v>62</v>
      </c>
      <c r="B62">
        <f t="shared" si="2"/>
        <v>82.564608692999997</v>
      </c>
      <c r="C62">
        <f t="shared" si="3"/>
        <v>1.4540371478345349E-2</v>
      </c>
    </row>
    <row r="63" spans="1:3">
      <c r="A63" s="2">
        <v>63</v>
      </c>
      <c r="B63">
        <f t="shared" si="2"/>
        <v>84.024782606000002</v>
      </c>
      <c r="C63">
        <f t="shared" si="3"/>
        <v>1.4616114659755181E-2</v>
      </c>
    </row>
    <row r="64" spans="1:3">
      <c r="A64" s="2">
        <v>64</v>
      </c>
      <c r="B64">
        <f t="shared" si="2"/>
        <v>85.484956518999994</v>
      </c>
      <c r="C64">
        <f t="shared" si="3"/>
        <v>1.4693135495348989E-2</v>
      </c>
    </row>
    <row r="65" spans="1:3">
      <c r="A65" s="2">
        <v>65</v>
      </c>
      <c r="B65">
        <f t="shared" ref="B65:B70" si="4">-6.506+(A65-1)*1.460173913</f>
        <v>86.945130431999999</v>
      </c>
      <c r="C65">
        <f t="shared" ref="C65:C70" si="5">0.0137394629648174+-0.0000950439480062748*B65+0.0484255886018306*(0.00657894736842105+(B65-35.6961842105263)^2/86774.9397868421)^0.5</f>
        <v>1.4771345000557204E-2</v>
      </c>
    </row>
    <row r="66" spans="1:3">
      <c r="A66" s="2">
        <v>66</v>
      </c>
      <c r="B66">
        <f t="shared" si="4"/>
        <v>88.405304345000005</v>
      </c>
      <c r="C66">
        <f t="shared" si="5"/>
        <v>1.4850661840592397E-2</v>
      </c>
    </row>
    <row r="67" spans="1:3">
      <c r="A67" s="2">
        <v>67</v>
      </c>
      <c r="B67">
        <f t="shared" si="4"/>
        <v>89.865478257999996</v>
      </c>
      <c r="C67">
        <f t="shared" si="5"/>
        <v>1.4931011573949212E-2</v>
      </c>
    </row>
    <row r="68" spans="1:3">
      <c r="A68" s="2">
        <v>68</v>
      </c>
      <c r="B68">
        <f t="shared" si="4"/>
        <v>91.325652171000002</v>
      </c>
      <c r="C68">
        <f t="shared" si="5"/>
        <v>1.5012325977432997E-2</v>
      </c>
    </row>
    <row r="69" spans="1:3">
      <c r="A69" s="2">
        <v>69</v>
      </c>
      <c r="B69">
        <f t="shared" si="4"/>
        <v>92.785826083999993</v>
      </c>
      <c r="C69">
        <f t="shared" si="5"/>
        <v>1.5094542443673344E-2</v>
      </c>
    </row>
    <row r="70" spans="1:3">
      <c r="A70" s="2">
        <v>70</v>
      </c>
      <c r="B70">
        <f t="shared" si="4"/>
        <v>94.245999996999998</v>
      </c>
      <c r="C70">
        <f t="shared" si="5"/>
        <v>1.5177603443018115E-2</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0.0137394629648174+-0.0000950439480062748*B1-0.0484255886018306*(1.00657894736842+(B1-35.6961842105263)^2/86774.9397868421)^0.5</f>
        <v>-3.4719635836264667E-2</v>
      </c>
    </row>
    <row r="2" spans="1:3">
      <c r="A2" s="2">
        <v>2</v>
      </c>
      <c r="B2">
        <f t="shared" si="0"/>
        <v>-5.4883030303</v>
      </c>
      <c r="C2">
        <f t="shared" si="1"/>
        <v>-3.4792991597013372E-2</v>
      </c>
    </row>
    <row r="3" spans="1:3">
      <c r="A3" s="2">
        <v>3</v>
      </c>
      <c r="B3">
        <f t="shared" si="0"/>
        <v>-4.4706060605999998</v>
      </c>
      <c r="C3">
        <f t="shared" si="1"/>
        <v>-3.4866907068255119E-2</v>
      </c>
    </row>
    <row r="4" spans="1:3">
      <c r="A4" s="2">
        <v>4</v>
      </c>
      <c r="B4">
        <f t="shared" si="0"/>
        <v>-3.4529090909000004</v>
      </c>
      <c r="C4">
        <f t="shared" si="1"/>
        <v>-3.4941383031514797E-2</v>
      </c>
    </row>
    <row r="5" spans="1:3">
      <c r="A5" s="2">
        <v>5</v>
      </c>
      <c r="B5">
        <f t="shared" si="0"/>
        <v>-2.4352121212000002</v>
      </c>
      <c r="C5">
        <f t="shared" si="1"/>
        <v>-3.5016420250516336E-2</v>
      </c>
    </row>
    <row r="6" spans="1:3">
      <c r="A6" s="2">
        <v>6</v>
      </c>
      <c r="B6">
        <f t="shared" si="0"/>
        <v>-1.4175151515</v>
      </c>
      <c r="C6">
        <f t="shared" si="1"/>
        <v>-3.5092019471054753E-2</v>
      </c>
    </row>
    <row r="7" spans="1:3">
      <c r="A7" s="2">
        <v>7</v>
      </c>
      <c r="B7">
        <f t="shared" si="0"/>
        <v>-0.39981818180000062</v>
      </c>
      <c r="C7">
        <f t="shared" si="1"/>
        <v>-3.5168181420870838E-2</v>
      </c>
    </row>
    <row r="8" spans="1:3">
      <c r="A8" s="2">
        <v>8</v>
      </c>
      <c r="B8">
        <f t="shared" si="0"/>
        <v>0.61787878789999962</v>
      </c>
      <c r="C8">
        <f t="shared" si="1"/>
        <v>-3.5244906809528589E-2</v>
      </c>
    </row>
    <row r="9" spans="1:3">
      <c r="A9" s="2">
        <v>9</v>
      </c>
      <c r="B9">
        <f t="shared" si="0"/>
        <v>1.6355757575999998</v>
      </c>
      <c r="C9">
        <f t="shared" si="1"/>
        <v>-3.5322196328295224E-2</v>
      </c>
    </row>
    <row r="10" spans="1:3">
      <c r="A10" s="2">
        <v>10</v>
      </c>
      <c r="B10">
        <f t="shared" si="0"/>
        <v>2.6532727272999992</v>
      </c>
      <c r="C10">
        <f t="shared" si="1"/>
        <v>-3.540005065002412E-2</v>
      </c>
    </row>
    <row r="11" spans="1:3">
      <c r="A11" s="2">
        <v>11</v>
      </c>
      <c r="B11">
        <f t="shared" si="0"/>
        <v>3.6709696970000003</v>
      </c>
      <c r="C11">
        <f t="shared" si="1"/>
        <v>-3.5478470429040385E-2</v>
      </c>
    </row>
    <row r="12" spans="1:3">
      <c r="A12" s="2">
        <v>12</v>
      </c>
      <c r="B12">
        <f t="shared" si="0"/>
        <v>4.6886666666999997</v>
      </c>
      <c r="C12">
        <f t="shared" si="1"/>
        <v>-3.5557456301029453E-2</v>
      </c>
    </row>
    <row r="13" spans="1:3">
      <c r="A13" s="2">
        <v>13</v>
      </c>
      <c r="B13">
        <f t="shared" si="0"/>
        <v>5.706363636399999</v>
      </c>
      <c r="C13">
        <f t="shared" si="1"/>
        <v>-3.5637008882928457E-2</v>
      </c>
    </row>
    <row r="14" spans="1:3">
      <c r="A14" s="2">
        <v>14</v>
      </c>
      <c r="B14">
        <f t="shared" si="0"/>
        <v>6.7240606061000001</v>
      </c>
      <c r="C14">
        <f t="shared" si="1"/>
        <v>-3.5717128772820614E-2</v>
      </c>
    </row>
    <row r="15" spans="1:3">
      <c r="A15" s="2">
        <v>15</v>
      </c>
      <c r="B15">
        <f t="shared" si="0"/>
        <v>7.7417575757999995</v>
      </c>
      <c r="C15">
        <f t="shared" si="1"/>
        <v>-3.579781654983253E-2</v>
      </c>
    </row>
    <row r="16" spans="1:3">
      <c r="A16" s="2">
        <v>16</v>
      </c>
      <c r="B16">
        <f t="shared" si="0"/>
        <v>8.7594545455000006</v>
      </c>
      <c r="C16">
        <f t="shared" si="1"/>
        <v>-3.5879072774034584E-2</v>
      </c>
    </row>
    <row r="17" spans="1:3">
      <c r="A17" s="2">
        <v>17</v>
      </c>
      <c r="B17">
        <f t="shared" si="0"/>
        <v>9.7771515151999999</v>
      </c>
      <c r="C17">
        <f t="shared" si="1"/>
        <v>-3.5960897986344366E-2</v>
      </c>
    </row>
    <row r="18" spans="1:3">
      <c r="A18" s="2">
        <v>18</v>
      </c>
      <c r="B18">
        <f t="shared" si="0"/>
        <v>10.794848484900001</v>
      </c>
      <c r="C18">
        <f t="shared" si="1"/>
        <v>-3.6043292708433129E-2</v>
      </c>
    </row>
    <row r="19" spans="1:3">
      <c r="A19" s="2">
        <v>19</v>
      </c>
      <c r="B19">
        <f t="shared" si="0"/>
        <v>11.812545454599999</v>
      </c>
      <c r="C19">
        <f t="shared" si="1"/>
        <v>-3.6126257442635548E-2</v>
      </c>
    </row>
    <row r="20" spans="1:3">
      <c r="A20" s="2">
        <v>20</v>
      </c>
      <c r="B20">
        <f t="shared" si="0"/>
        <v>12.8302424243</v>
      </c>
      <c r="C20">
        <f t="shared" si="1"/>
        <v>-3.6209792671862466E-2</v>
      </c>
    </row>
    <row r="21" spans="1:3">
      <c r="A21" s="2">
        <v>21</v>
      </c>
      <c r="B21">
        <f t="shared" si="0"/>
        <v>13.847939394000001</v>
      </c>
      <c r="C21">
        <f t="shared" si="1"/>
        <v>-3.6293898859516997E-2</v>
      </c>
    </row>
    <row r="22" spans="1:3">
      <c r="A22" s="2">
        <v>22</v>
      </c>
      <c r="B22">
        <f t="shared" si="0"/>
        <v>14.865636363699998</v>
      </c>
      <c r="C22">
        <f t="shared" si="1"/>
        <v>-3.6378576449413759E-2</v>
      </c>
    </row>
    <row r="23" spans="1:3">
      <c r="A23" s="2">
        <v>23</v>
      </c>
      <c r="B23">
        <f t="shared" si="0"/>
        <v>15.8833333334</v>
      </c>
      <c r="C23">
        <f t="shared" si="1"/>
        <v>-3.6463825865701474E-2</v>
      </c>
    </row>
    <row r="24" spans="1:3">
      <c r="A24" s="2">
        <v>24</v>
      </c>
      <c r="B24">
        <f t="shared" si="0"/>
        <v>16.901030303100001</v>
      </c>
      <c r="C24">
        <f t="shared" si="1"/>
        <v>-3.6549647512788788E-2</v>
      </c>
    </row>
    <row r="25" spans="1:3">
      <c r="A25" s="2">
        <v>25</v>
      </c>
      <c r="B25">
        <f t="shared" si="0"/>
        <v>17.918727272799998</v>
      </c>
      <c r="C25">
        <f t="shared" si="1"/>
        <v>-3.6636041775273527E-2</v>
      </c>
    </row>
    <row r="26" spans="1:3">
      <c r="A26" s="2">
        <v>26</v>
      </c>
      <c r="B26">
        <f t="shared" si="0"/>
        <v>18.936424242499999</v>
      </c>
      <c r="C26">
        <f t="shared" si="1"/>
        <v>-3.6723009017875216E-2</v>
      </c>
    </row>
    <row r="27" spans="1:3">
      <c r="A27" s="2">
        <v>27</v>
      </c>
      <c r="B27">
        <f t="shared" si="0"/>
        <v>19.9541212122</v>
      </c>
      <c r="C27">
        <f t="shared" si="1"/>
        <v>-3.6810549585371041E-2</v>
      </c>
    </row>
    <row r="28" spans="1:3">
      <c r="A28" s="2">
        <v>28</v>
      </c>
      <c r="B28">
        <f t="shared" si="0"/>
        <v>20.971818181900002</v>
      </c>
      <c r="C28">
        <f t="shared" si="1"/>
        <v>-3.6898663802535231E-2</v>
      </c>
    </row>
    <row r="29" spans="1:3">
      <c r="A29" s="2">
        <v>29</v>
      </c>
      <c r="B29">
        <f t="shared" si="0"/>
        <v>21.989515151599999</v>
      </c>
      <c r="C29">
        <f t="shared" si="1"/>
        <v>-3.69873519740819E-2</v>
      </c>
    </row>
    <row r="30" spans="1:3">
      <c r="A30" s="2">
        <v>30</v>
      </c>
      <c r="B30">
        <f t="shared" si="0"/>
        <v>23.0072121213</v>
      </c>
      <c r="C30">
        <f t="shared" si="1"/>
        <v>-3.7076614384611302E-2</v>
      </c>
    </row>
    <row r="31" spans="1:3">
      <c r="A31" s="2">
        <v>31</v>
      </c>
      <c r="B31">
        <f t="shared" si="0"/>
        <v>24.024909091000001</v>
      </c>
      <c r="C31">
        <f t="shared" si="1"/>
        <v>-3.7166451298559562E-2</v>
      </c>
    </row>
    <row r="32" spans="1:3">
      <c r="A32" s="2">
        <v>32</v>
      </c>
      <c r="B32">
        <f t="shared" si="0"/>
        <v>25.042606060699999</v>
      </c>
      <c r="C32">
        <f t="shared" si="1"/>
        <v>-3.7256862960152071E-2</v>
      </c>
    </row>
    <row r="33" spans="1:3">
      <c r="A33" s="2">
        <v>33</v>
      </c>
      <c r="B33">
        <f t="shared" ref="B33:B64" si="2">-6.506+(A33-1)*1.0176969697</f>
        <v>26.0603030304</v>
      </c>
      <c r="C33">
        <f t="shared" ref="C33:C64" si="3">0.0137394629648174+-0.0000950439480062748*B33-0.0484255886018306*(1.00657894736842+(B33-35.6961842105263)^2/86774.9397868421)^0.5</f>
        <v>-3.7347849593360162E-2</v>
      </c>
    </row>
    <row r="34" spans="1:3">
      <c r="A34" s="2">
        <v>34</v>
      </c>
      <c r="B34">
        <f t="shared" si="2"/>
        <v>27.078000000099998</v>
      </c>
      <c r="C34">
        <f t="shared" si="3"/>
        <v>-3.7439411401861591E-2</v>
      </c>
    </row>
    <row r="35" spans="1:3">
      <c r="A35" s="2">
        <v>35</v>
      </c>
      <c r="B35">
        <f t="shared" si="2"/>
        <v>28.095696969800002</v>
      </c>
      <c r="C35">
        <f t="shared" si="3"/>
        <v>-3.7531548569004355E-2</v>
      </c>
    </row>
    <row r="36" spans="1:3">
      <c r="A36" s="2">
        <v>36</v>
      </c>
      <c r="B36">
        <f t="shared" si="2"/>
        <v>29.1133939395</v>
      </c>
      <c r="C36">
        <f t="shared" si="3"/>
        <v>-3.7624261257774239E-2</v>
      </c>
    </row>
    <row r="37" spans="1:3">
      <c r="A37" s="2">
        <v>37</v>
      </c>
      <c r="B37">
        <f t="shared" si="2"/>
        <v>30.131090909199997</v>
      </c>
      <c r="C37">
        <f t="shared" si="3"/>
        <v>-3.7717549610765878E-2</v>
      </c>
    </row>
    <row r="38" spans="1:3">
      <c r="A38" s="2">
        <v>38</v>
      </c>
      <c r="B38">
        <f t="shared" si="2"/>
        <v>31.148787878900002</v>
      </c>
      <c r="C38">
        <f t="shared" si="3"/>
        <v>-3.7811413750157487E-2</v>
      </c>
    </row>
    <row r="39" spans="1:3">
      <c r="A39" s="2">
        <v>39</v>
      </c>
      <c r="B39">
        <f t="shared" si="2"/>
        <v>32.1664848486</v>
      </c>
      <c r="C39">
        <f t="shared" si="3"/>
        <v>-3.7905853777689083E-2</v>
      </c>
    </row>
    <row r="40" spans="1:3">
      <c r="A40" s="2">
        <v>40</v>
      </c>
      <c r="B40">
        <f t="shared" si="2"/>
        <v>33.184181818299997</v>
      </c>
      <c r="C40">
        <f t="shared" si="3"/>
        <v>-3.800086977464448E-2</v>
      </c>
    </row>
    <row r="41" spans="1:3">
      <c r="A41" s="2">
        <v>41</v>
      </c>
      <c r="B41">
        <f t="shared" si="2"/>
        <v>34.201878788000002</v>
      </c>
      <c r="C41">
        <f t="shared" si="3"/>
        <v>-3.8096461801836831E-2</v>
      </c>
    </row>
    <row r="42" spans="1:3">
      <c r="A42" s="2">
        <v>42</v>
      </c>
      <c r="B42">
        <f t="shared" si="2"/>
        <v>35.219575757699999</v>
      </c>
      <c r="C42">
        <f t="shared" si="3"/>
        <v>-3.819262989959777E-2</v>
      </c>
    </row>
    <row r="43" spans="1:3">
      <c r="A43" s="2">
        <v>43</v>
      </c>
      <c r="B43">
        <f t="shared" si="2"/>
        <v>36.237272727399997</v>
      </c>
      <c r="C43">
        <f t="shared" si="3"/>
        <v>-3.8289374087770292E-2</v>
      </c>
    </row>
    <row r="44" spans="1:3">
      <c r="A44" s="2">
        <v>44</v>
      </c>
      <c r="B44">
        <f t="shared" si="2"/>
        <v>37.254969697100002</v>
      </c>
      <c r="C44">
        <f t="shared" si="3"/>
        <v>-3.8386694365705208E-2</v>
      </c>
    </row>
    <row r="45" spans="1:3">
      <c r="A45" s="2">
        <v>45</v>
      </c>
      <c r="B45">
        <f t="shared" si="2"/>
        <v>38.272666666799999</v>
      </c>
      <c r="C45">
        <f t="shared" si="3"/>
        <v>-3.8484590712261235E-2</v>
      </c>
    </row>
    <row r="46" spans="1:3">
      <c r="A46" s="2">
        <v>46</v>
      </c>
      <c r="B46">
        <f t="shared" si="2"/>
        <v>39.290363636499997</v>
      </c>
      <c r="C46">
        <f t="shared" si="3"/>
        <v>-3.8583063085808798E-2</v>
      </c>
    </row>
    <row r="47" spans="1:3">
      <c r="A47" s="2">
        <v>47</v>
      </c>
      <c r="B47">
        <f t="shared" si="2"/>
        <v>40.308060606200002</v>
      </c>
      <c r="C47">
        <f t="shared" si="3"/>
        <v>-3.8682111424237393E-2</v>
      </c>
    </row>
    <row r="48" spans="1:3">
      <c r="A48" s="2">
        <v>48</v>
      </c>
      <c r="B48">
        <f t="shared" si="2"/>
        <v>41.325757575899999</v>
      </c>
      <c r="C48">
        <f t="shared" si="3"/>
        <v>-3.8781735644966675E-2</v>
      </c>
    </row>
    <row r="49" spans="1:3">
      <c r="A49" s="2">
        <v>49</v>
      </c>
      <c r="B49">
        <f t="shared" si="2"/>
        <v>42.343454545599997</v>
      </c>
      <c r="C49">
        <f t="shared" si="3"/>
        <v>-3.8881935644961077E-2</v>
      </c>
    </row>
    <row r="50" spans="1:3">
      <c r="A50" s="2">
        <v>50</v>
      </c>
      <c r="B50">
        <f t="shared" si="2"/>
        <v>43.361151515300001</v>
      </c>
      <c r="C50">
        <f t="shared" si="3"/>
        <v>-3.8982711300748166E-2</v>
      </c>
    </row>
    <row r="51" spans="1:3">
      <c r="A51" s="2">
        <v>51</v>
      </c>
      <c r="B51">
        <f t="shared" si="2"/>
        <v>44.378848484999999</v>
      </c>
      <c r="C51">
        <f t="shared" si="3"/>
        <v>-3.908406246844056E-2</v>
      </c>
    </row>
    <row r="52" spans="1:3">
      <c r="A52" s="2">
        <v>52</v>
      </c>
      <c r="B52">
        <f t="shared" si="2"/>
        <v>45.396545454700004</v>
      </c>
      <c r="C52">
        <f t="shared" si="3"/>
        <v>-3.9185988983761445E-2</v>
      </c>
    </row>
    <row r="53" spans="1:3">
      <c r="A53" s="2">
        <v>53</v>
      </c>
      <c r="B53">
        <f t="shared" si="2"/>
        <v>46.414242424400001</v>
      </c>
      <c r="C53">
        <f t="shared" si="3"/>
        <v>-3.9288490662073752E-2</v>
      </c>
    </row>
    <row r="54" spans="1:3">
      <c r="A54" s="2">
        <v>54</v>
      </c>
      <c r="B54">
        <f t="shared" si="2"/>
        <v>47.431939394099999</v>
      </c>
      <c r="C54">
        <f t="shared" si="3"/>
        <v>-3.9391567298412859E-2</v>
      </c>
    </row>
    <row r="55" spans="1:3">
      <c r="A55" s="2">
        <v>55</v>
      </c>
      <c r="B55">
        <f t="shared" si="2"/>
        <v>48.449636363800003</v>
      </c>
      <c r="C55">
        <f t="shared" si="3"/>
        <v>-3.9495218667522917E-2</v>
      </c>
    </row>
    <row r="56" spans="1:3">
      <c r="A56" s="2">
        <v>56</v>
      </c>
      <c r="B56">
        <f t="shared" si="2"/>
        <v>49.467333333500001</v>
      </c>
      <c r="C56">
        <f t="shared" si="3"/>
        <v>-3.9599444523896722E-2</v>
      </c>
    </row>
    <row r="57" spans="1:3">
      <c r="A57" s="2">
        <v>57</v>
      </c>
      <c r="B57">
        <f t="shared" si="2"/>
        <v>50.485030303199999</v>
      </c>
      <c r="C57">
        <f t="shared" si="3"/>
        <v>-3.9704244601819108E-2</v>
      </c>
    </row>
    <row r="58" spans="1:3">
      <c r="A58" s="2">
        <v>58</v>
      </c>
      <c r="B58">
        <f t="shared" si="2"/>
        <v>51.502727272900003</v>
      </c>
      <c r="C58">
        <f t="shared" si="3"/>
        <v>-3.9809618615413919E-2</v>
      </c>
    </row>
    <row r="59" spans="1:3">
      <c r="A59" s="2">
        <v>59</v>
      </c>
      <c r="B59">
        <f t="shared" si="2"/>
        <v>52.520424242600001</v>
      </c>
      <c r="C59">
        <f t="shared" si="3"/>
        <v>-3.9915566258694454E-2</v>
      </c>
    </row>
    <row r="60" spans="1:3">
      <c r="A60" s="2">
        <v>60</v>
      </c>
      <c r="B60">
        <f t="shared" si="2"/>
        <v>53.538121212299998</v>
      </c>
      <c r="C60">
        <f t="shared" si="3"/>
        <v>-4.0022087205617361E-2</v>
      </c>
    </row>
    <row r="61" spans="1:3">
      <c r="A61" s="2">
        <v>61</v>
      </c>
      <c r="B61">
        <f t="shared" si="2"/>
        <v>54.555818182000003</v>
      </c>
      <c r="C61">
        <f t="shared" si="3"/>
        <v>-4.0129181110140105E-2</v>
      </c>
    </row>
    <row r="62" spans="1:3">
      <c r="A62" s="2">
        <v>62</v>
      </c>
      <c r="B62">
        <f t="shared" si="2"/>
        <v>55.573515151700001</v>
      </c>
      <c r="C62">
        <f t="shared" si="3"/>
        <v>-4.0236847606281753E-2</v>
      </c>
    </row>
    <row r="63" spans="1:3">
      <c r="A63" s="2">
        <v>63</v>
      </c>
      <c r="B63">
        <f t="shared" si="2"/>
        <v>56.591212121399998</v>
      </c>
      <c r="C63">
        <f t="shared" si="3"/>
        <v>-4.0345086308187263E-2</v>
      </c>
    </row>
    <row r="64" spans="1:3">
      <c r="A64" s="2">
        <v>64</v>
      </c>
      <c r="B64">
        <f t="shared" si="2"/>
        <v>57.608909091100003</v>
      </c>
      <c r="C64">
        <f t="shared" si="3"/>
        <v>-4.0453896810195122E-2</v>
      </c>
    </row>
    <row r="65" spans="1:3">
      <c r="A65" s="2">
        <v>65</v>
      </c>
      <c r="B65">
        <f t="shared" ref="B65:B96" si="4">-6.506+(A65-1)*1.0176969697</f>
        <v>58.6266060608</v>
      </c>
      <c r="C65">
        <f t="shared" ref="C65:C96" si="5">0.0137394629648174+-0.0000950439480062748*B65-0.0484255886018306*(1.00657894736842+(B65-35.6961842105263)^2/86774.9397868421)^0.5</f>
        <v>-4.0563278686908399E-2</v>
      </c>
    </row>
    <row r="66" spans="1:3">
      <c r="A66" s="2">
        <v>66</v>
      </c>
      <c r="B66">
        <f t="shared" si="4"/>
        <v>59.644303030499998</v>
      </c>
      <c r="C66">
        <f t="shared" si="5"/>
        <v>-4.0673231493269013E-2</v>
      </c>
    </row>
    <row r="67" spans="1:3">
      <c r="A67" s="2">
        <v>67</v>
      </c>
      <c r="B67">
        <f t="shared" si="4"/>
        <v>60.662000000199995</v>
      </c>
      <c r="C67">
        <f t="shared" si="5"/>
        <v>-4.0783754764635444E-2</v>
      </c>
    </row>
    <row r="68" spans="1:3">
      <c r="A68" s="2">
        <v>68</v>
      </c>
      <c r="B68">
        <f t="shared" si="4"/>
        <v>61.679696969900007</v>
      </c>
      <c r="C68">
        <f t="shared" si="5"/>
        <v>-4.0894848016863654E-2</v>
      </c>
    </row>
    <row r="69" spans="1:3">
      <c r="A69" s="2">
        <v>69</v>
      </c>
      <c r="B69">
        <f t="shared" si="4"/>
        <v>62.697393939600005</v>
      </c>
      <c r="C69">
        <f t="shared" si="5"/>
        <v>-4.1006510746391209E-2</v>
      </c>
    </row>
    <row r="70" spans="1:3">
      <c r="A70" s="2">
        <v>70</v>
      </c>
      <c r="B70">
        <f t="shared" si="4"/>
        <v>63.715090909300002</v>
      </c>
      <c r="C70">
        <f t="shared" si="5"/>
        <v>-4.1118742430324713E-2</v>
      </c>
    </row>
    <row r="71" spans="1:3">
      <c r="A71" s="2">
        <v>71</v>
      </c>
      <c r="B71">
        <f t="shared" si="4"/>
        <v>64.732787879</v>
      </c>
      <c r="C71">
        <f t="shared" si="5"/>
        <v>-4.123154252653026E-2</v>
      </c>
    </row>
    <row r="72" spans="1:3">
      <c r="A72" s="2">
        <v>72</v>
      </c>
      <c r="B72">
        <f t="shared" si="4"/>
        <v>65.750484848699998</v>
      </c>
      <c r="C72">
        <f t="shared" si="5"/>
        <v>-4.1344910473727223E-2</v>
      </c>
    </row>
    <row r="73" spans="1:3">
      <c r="A73" s="2">
        <v>73</v>
      </c>
      <c r="B73">
        <f t="shared" si="4"/>
        <v>66.768181818399995</v>
      </c>
      <c r="C73">
        <f t="shared" si="5"/>
        <v>-4.1458845691584915E-2</v>
      </c>
    </row>
    <row r="74" spans="1:3">
      <c r="A74" s="2">
        <v>74</v>
      </c>
      <c r="B74">
        <f t="shared" si="4"/>
        <v>67.785878788100007</v>
      </c>
      <c r="C74">
        <f t="shared" si="5"/>
        <v>-4.157334758082247E-2</v>
      </c>
    </row>
    <row r="75" spans="1:3">
      <c r="A75" s="2">
        <v>75</v>
      </c>
      <c r="B75">
        <f t="shared" si="4"/>
        <v>68.803575757800004</v>
      </c>
      <c r="C75">
        <f t="shared" si="5"/>
        <v>-4.1688415523311748E-2</v>
      </c>
    </row>
    <row r="76" spans="1:3">
      <c r="A76" s="2">
        <v>76</v>
      </c>
      <c r="B76">
        <f t="shared" si="4"/>
        <v>69.821272727500002</v>
      </c>
      <c r="C76">
        <f t="shared" si="5"/>
        <v>-4.1804048882183059E-2</v>
      </c>
    </row>
    <row r="77" spans="1:3">
      <c r="A77" s="2">
        <v>77</v>
      </c>
      <c r="B77">
        <f t="shared" si="4"/>
        <v>70.8389696972</v>
      </c>
      <c r="C77">
        <f t="shared" si="5"/>
        <v>-4.1920247001934037E-2</v>
      </c>
    </row>
    <row r="78" spans="1:3">
      <c r="A78" s="2">
        <v>78</v>
      </c>
      <c r="B78">
        <f t="shared" si="4"/>
        <v>71.856666666899997</v>
      </c>
      <c r="C78">
        <f t="shared" si="5"/>
        <v>-4.2037009208541191E-2</v>
      </c>
    </row>
    <row r="79" spans="1:3">
      <c r="A79" s="2">
        <v>79</v>
      </c>
      <c r="B79">
        <f t="shared" si="4"/>
        <v>72.874363636599995</v>
      </c>
      <c r="C79">
        <f t="shared" si="5"/>
        <v>-4.2154334809574548E-2</v>
      </c>
    </row>
    <row r="80" spans="1:3">
      <c r="A80" s="2">
        <v>80</v>
      </c>
      <c r="B80">
        <f t="shared" si="4"/>
        <v>73.892060606300006</v>
      </c>
      <c r="C80">
        <f t="shared" si="5"/>
        <v>-4.2272223094314859E-2</v>
      </c>
    </row>
    <row r="81" spans="1:3">
      <c r="A81" s="2">
        <v>81</v>
      </c>
      <c r="B81">
        <f t="shared" si="4"/>
        <v>74.909757576000004</v>
      </c>
      <c r="C81">
        <f t="shared" si="5"/>
        <v>-4.2390673333873759E-2</v>
      </c>
    </row>
    <row r="82" spans="1:3">
      <c r="A82" s="2">
        <v>82</v>
      </c>
      <c r="B82">
        <f t="shared" si="4"/>
        <v>75.927454545700002</v>
      </c>
      <c r="C82">
        <f t="shared" si="5"/>
        <v>-4.2509684781316545E-2</v>
      </c>
    </row>
    <row r="83" spans="1:3">
      <c r="A83" s="2">
        <v>83</v>
      </c>
      <c r="B83">
        <f t="shared" si="4"/>
        <v>76.945151515399999</v>
      </c>
      <c r="C83">
        <f t="shared" si="5"/>
        <v>-4.2629256671787623E-2</v>
      </c>
    </row>
    <row r="84" spans="1:3">
      <c r="A84" s="2">
        <v>84</v>
      </c>
      <c r="B84">
        <f t="shared" si="4"/>
        <v>77.962848485099997</v>
      </c>
      <c r="C84">
        <f t="shared" si="5"/>
        <v>-4.2749388222638601E-2</v>
      </c>
    </row>
    <row r="85" spans="1:3">
      <c r="A85" s="2">
        <v>85</v>
      </c>
      <c r="B85">
        <f t="shared" si="4"/>
        <v>78.980545454799994</v>
      </c>
      <c r="C85">
        <f t="shared" si="5"/>
        <v>-4.2870078633558968E-2</v>
      </c>
    </row>
    <row r="86" spans="1:3">
      <c r="A86" s="2">
        <v>86</v>
      </c>
      <c r="B86">
        <f t="shared" si="4"/>
        <v>79.998242424500006</v>
      </c>
      <c r="C86">
        <f t="shared" si="5"/>
        <v>-4.299132708670924E-2</v>
      </c>
    </row>
    <row r="87" spans="1:3">
      <c r="A87" s="2">
        <v>87</v>
      </c>
      <c r="B87">
        <f t="shared" si="4"/>
        <v>81.015939394200004</v>
      </c>
      <c r="C87">
        <f t="shared" si="5"/>
        <v>-4.3113132746856637E-2</v>
      </c>
    </row>
    <row r="88" spans="1:3">
      <c r="A88" s="2">
        <v>88</v>
      </c>
      <c r="B88">
        <f t="shared" si="4"/>
        <v>82.033636363900001</v>
      </c>
      <c r="C88">
        <f t="shared" si="5"/>
        <v>-4.323549476151313E-2</v>
      </c>
    </row>
    <row r="89" spans="1:3">
      <c r="A89" s="2">
        <v>89</v>
      </c>
      <c r="B89">
        <f t="shared" si="4"/>
        <v>83.051333333599999</v>
      </c>
      <c r="C89">
        <f t="shared" si="5"/>
        <v>-4.3358412261075896E-2</v>
      </c>
    </row>
    <row r="90" spans="1:3">
      <c r="A90" s="2">
        <v>90</v>
      </c>
      <c r="B90">
        <f t="shared" si="4"/>
        <v>84.069030303299996</v>
      </c>
      <c r="C90">
        <f t="shared" si="5"/>
        <v>-4.3481884358970081E-2</v>
      </c>
    </row>
    <row r="91" spans="1:3">
      <c r="A91" s="2">
        <v>91</v>
      </c>
      <c r="B91">
        <f t="shared" si="4"/>
        <v>85.086727272999994</v>
      </c>
      <c r="C91">
        <f t="shared" si="5"/>
        <v>-4.3605910151793791E-2</v>
      </c>
    </row>
    <row r="92" spans="1:3">
      <c r="A92" s="2">
        <v>92</v>
      </c>
      <c r="B92">
        <f t="shared" si="4"/>
        <v>86.104424242700006</v>
      </c>
      <c r="C92">
        <f t="shared" si="5"/>
        <v>-4.3730488719465346E-2</v>
      </c>
    </row>
    <row r="93" spans="1:3">
      <c r="A93" s="2">
        <v>93</v>
      </c>
      <c r="B93">
        <f t="shared" si="4"/>
        <v>87.122121212400003</v>
      </c>
      <c r="C93">
        <f t="shared" si="5"/>
        <v>-4.3855619125372655E-2</v>
      </c>
    </row>
    <row r="94" spans="1:3">
      <c r="A94" s="2">
        <v>94</v>
      </c>
      <c r="B94">
        <f t="shared" si="4"/>
        <v>88.139818182100001</v>
      </c>
      <c r="C94">
        <f t="shared" si="5"/>
        <v>-4.3981300416524691E-2</v>
      </c>
    </row>
    <row r="95" spans="1:3">
      <c r="A95" s="2">
        <v>95</v>
      </c>
      <c r="B95">
        <f t="shared" si="4"/>
        <v>89.157515151799998</v>
      </c>
      <c r="C95">
        <f t="shared" si="5"/>
        <v>-4.4107531623705065E-2</v>
      </c>
    </row>
    <row r="96" spans="1:3">
      <c r="A96" s="2">
        <v>96</v>
      </c>
      <c r="B96">
        <f t="shared" si="4"/>
        <v>90.175212121499996</v>
      </c>
      <c r="C96">
        <f t="shared" si="5"/>
        <v>-4.4234311761627523E-2</v>
      </c>
    </row>
    <row r="97" spans="1:3">
      <c r="A97" s="2">
        <v>97</v>
      </c>
      <c r="B97">
        <f t="shared" ref="B97:B100" si="6">-6.506+(A97-1)*1.0176969697</f>
        <v>91.192909091199994</v>
      </c>
      <c r="C97">
        <f t="shared" ref="C97:C100" si="7">0.0137394629648174+-0.0000950439480062748*B97-0.0484255886018306*(1.00657894736842+(B97-35.6961842105263)^2/86774.9397868421)^0.5</f>
        <v>-4.4361639829093413E-2</v>
      </c>
    </row>
    <row r="98" spans="1:3">
      <c r="A98" s="2">
        <v>98</v>
      </c>
      <c r="B98">
        <f t="shared" si="6"/>
        <v>92.210606060900005</v>
      </c>
      <c r="C98">
        <f t="shared" si="7"/>
        <v>-4.4489514809151032E-2</v>
      </c>
    </row>
    <row r="99" spans="1:3">
      <c r="A99" s="2">
        <v>99</v>
      </c>
      <c r="B99">
        <f t="shared" si="6"/>
        <v>93.228303030600003</v>
      </c>
      <c r="C99">
        <f t="shared" si="7"/>
        <v>-4.4617935669256793E-2</v>
      </c>
    </row>
    <row r="100" spans="1:3">
      <c r="A100" s="2">
        <v>100</v>
      </c>
      <c r="B100">
        <f t="shared" si="6"/>
        <v>94.2460000003</v>
      </c>
      <c r="C100">
        <f t="shared" si="7"/>
        <v>-4.4746901361438184E-2</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0.0137394629648174+-0.0000950439480062748*B1+0.0484255886018306*(1.00657894736842+(B1-35.6961842105263)^2/86774.9397868421)^0.5</f>
        <v>6.3435273617357124E-2</v>
      </c>
    </row>
    <row r="2" spans="1:3">
      <c r="A2" s="2">
        <v>2</v>
      </c>
      <c r="B2">
        <f t="shared" si="0"/>
        <v>-5.4883030303</v>
      </c>
      <c r="C2">
        <f t="shared" si="1"/>
        <v>6.3315177502357198E-2</v>
      </c>
    </row>
    <row r="3" spans="1:3">
      <c r="A3" s="2">
        <v>3</v>
      </c>
      <c r="B3">
        <f t="shared" si="0"/>
        <v>-4.4706060605999998</v>
      </c>
      <c r="C3">
        <f t="shared" si="1"/>
        <v>6.3195641097850336E-2</v>
      </c>
    </row>
    <row r="4" spans="1:3">
      <c r="A4" s="2">
        <v>4</v>
      </c>
      <c r="B4">
        <f t="shared" si="0"/>
        <v>-3.4529090909000004</v>
      </c>
      <c r="C4">
        <f t="shared" si="1"/>
        <v>6.3076665185361383E-2</v>
      </c>
    </row>
    <row r="5" spans="1:3">
      <c r="A5" s="2">
        <v>5</v>
      </c>
      <c r="B5">
        <f t="shared" si="0"/>
        <v>-2.4352121212000002</v>
      </c>
      <c r="C5">
        <f t="shared" si="1"/>
        <v>6.2958250528614298E-2</v>
      </c>
    </row>
    <row r="6" spans="1:3">
      <c r="A6" s="2">
        <v>6</v>
      </c>
      <c r="B6">
        <f t="shared" si="0"/>
        <v>-1.4175151515</v>
      </c>
      <c r="C6">
        <f t="shared" si="1"/>
        <v>6.2840397873404105E-2</v>
      </c>
    </row>
    <row r="7" spans="1:3">
      <c r="A7" s="2">
        <v>7</v>
      </c>
      <c r="B7">
        <f t="shared" si="0"/>
        <v>-0.39981818180000062</v>
      </c>
      <c r="C7">
        <f t="shared" si="1"/>
        <v>6.272310794747156E-2</v>
      </c>
    </row>
    <row r="8" spans="1:3">
      <c r="A8" s="2">
        <v>8</v>
      </c>
      <c r="B8">
        <f t="shared" si="0"/>
        <v>0.61787878789999962</v>
      </c>
      <c r="C8">
        <f t="shared" si="1"/>
        <v>6.2606381460380695E-2</v>
      </c>
    </row>
    <row r="9" spans="1:3">
      <c r="A9" s="2">
        <v>9</v>
      </c>
      <c r="B9">
        <f t="shared" si="0"/>
        <v>1.6355757575999998</v>
      </c>
      <c r="C9">
        <f t="shared" si="1"/>
        <v>6.2490219103398706E-2</v>
      </c>
    </row>
    <row r="10" spans="1:3">
      <c r="A10" s="2">
        <v>10</v>
      </c>
      <c r="B10">
        <f t="shared" si="0"/>
        <v>2.6532727272999992</v>
      </c>
      <c r="C10">
        <f t="shared" si="1"/>
        <v>6.2374621549378992E-2</v>
      </c>
    </row>
    <row r="11" spans="1:3">
      <c r="A11" s="2">
        <v>11</v>
      </c>
      <c r="B11">
        <f t="shared" si="0"/>
        <v>3.6709696970000003</v>
      </c>
      <c r="C11">
        <f t="shared" si="1"/>
        <v>6.2259589452646633E-2</v>
      </c>
    </row>
    <row r="12" spans="1:3">
      <c r="A12" s="2">
        <v>12</v>
      </c>
      <c r="B12">
        <f t="shared" si="0"/>
        <v>4.6886666666999997</v>
      </c>
      <c r="C12">
        <f t="shared" si="1"/>
        <v>6.2145123448887077E-2</v>
      </c>
    </row>
    <row r="13" spans="1:3">
      <c r="A13" s="2">
        <v>13</v>
      </c>
      <c r="B13">
        <f t="shared" si="0"/>
        <v>5.706363636399999</v>
      </c>
      <c r="C13">
        <f t="shared" si="1"/>
        <v>6.2031224155037458E-2</v>
      </c>
    </row>
    <row r="14" spans="1:3">
      <c r="A14" s="2">
        <v>14</v>
      </c>
      <c r="B14">
        <f t="shared" si="0"/>
        <v>6.7240606061000001</v>
      </c>
      <c r="C14">
        <f t="shared" si="1"/>
        <v>6.1917892169181005E-2</v>
      </c>
    </row>
    <row r="15" spans="1:3">
      <c r="A15" s="2">
        <v>15</v>
      </c>
      <c r="B15">
        <f t="shared" si="0"/>
        <v>7.7417575757999995</v>
      </c>
      <c r="C15">
        <f t="shared" si="1"/>
        <v>6.1805128070444297E-2</v>
      </c>
    </row>
    <row r="16" spans="1:3">
      <c r="A16" s="2">
        <v>16</v>
      </c>
      <c r="B16">
        <f t="shared" si="0"/>
        <v>8.7594545455000006</v>
      </c>
      <c r="C16">
        <f t="shared" si="1"/>
        <v>6.1692932418897728E-2</v>
      </c>
    </row>
    <row r="17" spans="1:3">
      <c r="A17" s="2">
        <v>17</v>
      </c>
      <c r="B17">
        <f t="shared" si="0"/>
        <v>9.7771515151999999</v>
      </c>
      <c r="C17">
        <f t="shared" si="1"/>
        <v>6.1581305755458886E-2</v>
      </c>
    </row>
    <row r="18" spans="1:3">
      <c r="A18" s="2">
        <v>18</v>
      </c>
      <c r="B18">
        <f t="shared" si="0"/>
        <v>10.794848484900001</v>
      </c>
      <c r="C18">
        <f t="shared" si="1"/>
        <v>6.1470248601799025E-2</v>
      </c>
    </row>
    <row r="19" spans="1:3">
      <c r="A19" s="2">
        <v>19</v>
      </c>
      <c r="B19">
        <f t="shared" si="0"/>
        <v>11.812545454599999</v>
      </c>
      <c r="C19">
        <f t="shared" si="1"/>
        <v>6.1359761460252821E-2</v>
      </c>
    </row>
    <row r="20" spans="1:3">
      <c r="A20" s="2">
        <v>20</v>
      </c>
      <c r="B20">
        <f t="shared" si="0"/>
        <v>12.8302424243</v>
      </c>
      <c r="C20">
        <f t="shared" si="1"/>
        <v>6.1249844813731129E-2</v>
      </c>
    </row>
    <row r="21" spans="1:3">
      <c r="A21" s="2">
        <v>21</v>
      </c>
      <c r="B21">
        <f t="shared" si="0"/>
        <v>13.847939394000001</v>
      </c>
      <c r="C21">
        <f t="shared" si="1"/>
        <v>6.1140499125637036E-2</v>
      </c>
    </row>
    <row r="22" spans="1:3">
      <c r="A22" s="2">
        <v>22</v>
      </c>
      <c r="B22">
        <f t="shared" si="0"/>
        <v>14.865636363699998</v>
      </c>
      <c r="C22">
        <f t="shared" si="1"/>
        <v>6.1031724839785174E-2</v>
      </c>
    </row>
    <row r="23" spans="1:3">
      <c r="A23" s="2">
        <v>23</v>
      </c>
      <c r="B23">
        <f t="shared" si="0"/>
        <v>15.8833333334</v>
      </c>
      <c r="C23">
        <f t="shared" si="1"/>
        <v>6.0923522380324266E-2</v>
      </c>
    </row>
    <row r="24" spans="1:3">
      <c r="A24" s="2">
        <v>24</v>
      </c>
      <c r="B24">
        <f t="shared" si="0"/>
        <v>16.901030303100001</v>
      </c>
      <c r="C24">
        <f t="shared" si="1"/>
        <v>6.081589215166297E-2</v>
      </c>
    </row>
    <row r="25" spans="1:3">
      <c r="A25" s="2">
        <v>25</v>
      </c>
      <c r="B25">
        <f t="shared" si="0"/>
        <v>17.918727272799998</v>
      </c>
      <c r="C25">
        <f t="shared" si="1"/>
        <v>6.0708834538399085E-2</v>
      </c>
    </row>
    <row r="26" spans="1:3">
      <c r="A26" s="2">
        <v>26</v>
      </c>
      <c r="B26">
        <f t="shared" si="0"/>
        <v>18.936424242499999</v>
      </c>
      <c r="C26">
        <f t="shared" si="1"/>
        <v>6.0602349905252151E-2</v>
      </c>
    </row>
    <row r="27" spans="1:3">
      <c r="A27" s="2">
        <v>27</v>
      </c>
      <c r="B27">
        <f t="shared" si="0"/>
        <v>19.9541212122</v>
      </c>
      <c r="C27">
        <f t="shared" si="1"/>
        <v>6.0496438596999352E-2</v>
      </c>
    </row>
    <row r="28" spans="1:3">
      <c r="A28" s="2">
        <v>28</v>
      </c>
      <c r="B28">
        <f t="shared" si="0"/>
        <v>20.971818181900002</v>
      </c>
      <c r="C28">
        <f t="shared" si="1"/>
        <v>6.0391100938414932E-2</v>
      </c>
    </row>
    <row r="29" spans="1:3">
      <c r="A29" s="2">
        <v>29</v>
      </c>
      <c r="B29">
        <f t="shared" si="0"/>
        <v>21.989515151599999</v>
      </c>
      <c r="C29">
        <f t="shared" si="1"/>
        <v>6.0286337234212978E-2</v>
      </c>
    </row>
    <row r="30" spans="1:3">
      <c r="A30" s="2">
        <v>30</v>
      </c>
      <c r="B30">
        <f t="shared" si="0"/>
        <v>23.0072121213</v>
      </c>
      <c r="C30">
        <f t="shared" si="1"/>
        <v>6.0182147768993756E-2</v>
      </c>
    </row>
    <row r="31" spans="1:3">
      <c r="A31" s="2">
        <v>31</v>
      </c>
      <c r="B31">
        <f t="shared" si="0"/>
        <v>24.024909091000001</v>
      </c>
      <c r="C31">
        <f t="shared" si="1"/>
        <v>6.0078532807193392E-2</v>
      </c>
    </row>
    <row r="32" spans="1:3">
      <c r="A32" s="2">
        <v>32</v>
      </c>
      <c r="B32">
        <f t="shared" si="0"/>
        <v>25.042606060699999</v>
      </c>
      <c r="C32">
        <f t="shared" si="1"/>
        <v>5.9975492593037277E-2</v>
      </c>
    </row>
    <row r="33" spans="1:3">
      <c r="A33" s="2">
        <v>33</v>
      </c>
      <c r="B33">
        <f t="shared" ref="B33:B64" si="2">-6.506+(A33-1)*1.0176969697</f>
        <v>26.0603030304</v>
      </c>
      <c r="C33">
        <f t="shared" ref="C33:C64" si="3">0.0137394629648174+-0.0000950439480062748*B33+0.0484255886018306*(1.00657894736842+(B33-35.6961842105263)^2/86774.9397868421)^0.5</f>
        <v>5.9873027350496759E-2</v>
      </c>
    </row>
    <row r="34" spans="1:3">
      <c r="A34" s="2">
        <v>34</v>
      </c>
      <c r="B34">
        <f t="shared" si="2"/>
        <v>27.078000000099998</v>
      </c>
      <c r="C34">
        <f t="shared" si="3"/>
        <v>5.9771137283249565E-2</v>
      </c>
    </row>
    <row r="35" spans="1:3">
      <c r="A35" s="2">
        <v>35</v>
      </c>
      <c r="B35">
        <f t="shared" si="2"/>
        <v>28.095696969800002</v>
      </c>
      <c r="C35">
        <f t="shared" si="3"/>
        <v>5.9669822574643705E-2</v>
      </c>
    </row>
    <row r="36" spans="1:3">
      <c r="A36" s="2">
        <v>36</v>
      </c>
      <c r="B36">
        <f t="shared" si="2"/>
        <v>29.1133939395</v>
      </c>
      <c r="C36">
        <f t="shared" si="3"/>
        <v>5.9569083387664978E-2</v>
      </c>
    </row>
    <row r="37" spans="1:3">
      <c r="A37" s="2">
        <v>37</v>
      </c>
      <c r="B37">
        <f t="shared" si="2"/>
        <v>30.131090909199997</v>
      </c>
      <c r="C37">
        <f t="shared" si="3"/>
        <v>5.9468919864907994E-2</v>
      </c>
    </row>
    <row r="38" spans="1:3">
      <c r="A38" s="2">
        <v>38</v>
      </c>
      <c r="B38">
        <f t="shared" si="2"/>
        <v>31.148787878900002</v>
      </c>
      <c r="C38">
        <f t="shared" si="3"/>
        <v>5.9369332128550979E-2</v>
      </c>
    </row>
    <row r="39" spans="1:3">
      <c r="A39" s="2">
        <v>39</v>
      </c>
      <c r="B39">
        <f t="shared" si="2"/>
        <v>32.1664848486</v>
      </c>
      <c r="C39">
        <f t="shared" si="3"/>
        <v>5.9270320280333952E-2</v>
      </c>
    </row>
    <row r="40" spans="1:3">
      <c r="A40" s="2">
        <v>40</v>
      </c>
      <c r="B40">
        <f t="shared" si="2"/>
        <v>33.184181818299997</v>
      </c>
      <c r="C40">
        <f t="shared" si="3"/>
        <v>5.9171884401540725E-2</v>
      </c>
    </row>
    <row r="41" spans="1:3">
      <c r="A41" s="2">
        <v>41</v>
      </c>
      <c r="B41">
        <f t="shared" si="2"/>
        <v>34.201878788000002</v>
      </c>
      <c r="C41">
        <f t="shared" si="3"/>
        <v>5.9074024552984453E-2</v>
      </c>
    </row>
    <row r="42" spans="1:3">
      <c r="A42" s="2">
        <v>42</v>
      </c>
      <c r="B42">
        <f t="shared" si="2"/>
        <v>35.219575757699999</v>
      </c>
      <c r="C42">
        <f t="shared" si="3"/>
        <v>5.8976740774996782E-2</v>
      </c>
    </row>
    <row r="43" spans="1:3">
      <c r="A43" s="2">
        <v>43</v>
      </c>
      <c r="B43">
        <f t="shared" si="2"/>
        <v>36.237272727399997</v>
      </c>
      <c r="C43">
        <f t="shared" si="3"/>
        <v>5.888003308742068E-2</v>
      </c>
    </row>
    <row r="44" spans="1:3">
      <c r="A44" s="2">
        <v>44</v>
      </c>
      <c r="B44">
        <f t="shared" si="2"/>
        <v>37.254969697100002</v>
      </c>
      <c r="C44">
        <f t="shared" si="3"/>
        <v>5.8783901489606973E-2</v>
      </c>
    </row>
    <row r="45" spans="1:3">
      <c r="A45" s="2">
        <v>45</v>
      </c>
      <c r="B45">
        <f t="shared" si="2"/>
        <v>38.272666666799999</v>
      </c>
      <c r="C45">
        <f t="shared" si="3"/>
        <v>5.868834596041439E-2</v>
      </c>
    </row>
    <row r="46" spans="1:3">
      <c r="A46" s="2">
        <v>46</v>
      </c>
      <c r="B46">
        <f t="shared" si="2"/>
        <v>39.290363636499997</v>
      </c>
      <c r="C46">
        <f t="shared" si="3"/>
        <v>5.8593366458213329E-2</v>
      </c>
    </row>
    <row r="47" spans="1:3">
      <c r="A47" s="2">
        <v>47</v>
      </c>
      <c r="B47">
        <f t="shared" si="2"/>
        <v>40.308060606200002</v>
      </c>
      <c r="C47">
        <f t="shared" si="3"/>
        <v>5.8498962920893301E-2</v>
      </c>
    </row>
    <row r="48" spans="1:3">
      <c r="A48" s="2">
        <v>48</v>
      </c>
      <c r="B48">
        <f t="shared" si="2"/>
        <v>41.325757575899999</v>
      </c>
      <c r="C48">
        <f t="shared" si="3"/>
        <v>5.8405135265873959E-2</v>
      </c>
    </row>
    <row r="49" spans="1:3">
      <c r="A49" s="2">
        <v>49</v>
      </c>
      <c r="B49">
        <f t="shared" si="2"/>
        <v>42.343454545599997</v>
      </c>
      <c r="C49">
        <f t="shared" si="3"/>
        <v>5.8311883390119751E-2</v>
      </c>
    </row>
    <row r="50" spans="1:3">
      <c r="A50" s="2">
        <v>50</v>
      </c>
      <c r="B50">
        <f t="shared" si="2"/>
        <v>43.361151515300001</v>
      </c>
      <c r="C50">
        <f t="shared" si="3"/>
        <v>5.8219207170158216E-2</v>
      </c>
    </row>
    <row r="51" spans="1:3">
      <c r="A51" s="2">
        <v>51</v>
      </c>
      <c r="B51">
        <f t="shared" si="2"/>
        <v>44.378848484999999</v>
      </c>
      <c r="C51">
        <f t="shared" si="3"/>
        <v>5.8127106462101986E-2</v>
      </c>
    </row>
    <row r="52" spans="1:3">
      <c r="A52" s="2">
        <v>52</v>
      </c>
      <c r="B52">
        <f t="shared" si="2"/>
        <v>45.396545454700004</v>
      </c>
      <c r="C52">
        <f t="shared" si="3"/>
        <v>5.8035581101674248E-2</v>
      </c>
    </row>
    <row r="53" spans="1:3">
      <c r="A53" s="2">
        <v>53</v>
      </c>
      <c r="B53">
        <f t="shared" si="2"/>
        <v>46.414242424400001</v>
      </c>
      <c r="C53">
        <f t="shared" si="3"/>
        <v>5.7944630904237945E-2</v>
      </c>
    </row>
    <row r="54" spans="1:3">
      <c r="A54" s="2">
        <v>54</v>
      </c>
      <c r="B54">
        <f t="shared" si="2"/>
        <v>47.431939394099999</v>
      </c>
      <c r="C54">
        <f t="shared" si="3"/>
        <v>5.7854255664828429E-2</v>
      </c>
    </row>
    <row r="55" spans="1:3">
      <c r="A55" s="2">
        <v>55</v>
      </c>
      <c r="B55">
        <f t="shared" si="2"/>
        <v>48.449636363800003</v>
      </c>
      <c r="C55">
        <f t="shared" si="3"/>
        <v>5.7764455158189863E-2</v>
      </c>
    </row>
    <row r="56" spans="1:3">
      <c r="A56" s="2">
        <v>56</v>
      </c>
      <c r="B56">
        <f t="shared" si="2"/>
        <v>49.467333333500001</v>
      </c>
      <c r="C56">
        <f t="shared" si="3"/>
        <v>5.7675229138815044E-2</v>
      </c>
    </row>
    <row r="57" spans="1:3">
      <c r="A57" s="2">
        <v>57</v>
      </c>
      <c r="B57">
        <f t="shared" si="2"/>
        <v>50.485030303199999</v>
      </c>
      <c r="C57">
        <f t="shared" si="3"/>
        <v>5.7586577340988807E-2</v>
      </c>
    </row>
    <row r="58" spans="1:3">
      <c r="A58" s="2">
        <v>58</v>
      </c>
      <c r="B58">
        <f t="shared" si="2"/>
        <v>51.502727272900003</v>
      </c>
      <c r="C58">
        <f t="shared" si="3"/>
        <v>5.7498499478834994E-2</v>
      </c>
    </row>
    <row r="59" spans="1:3">
      <c r="A59" s="2">
        <v>59</v>
      </c>
      <c r="B59">
        <f t="shared" si="2"/>
        <v>52.520424242600001</v>
      </c>
      <c r="C59">
        <f t="shared" si="3"/>
        <v>5.7410995246366919E-2</v>
      </c>
    </row>
    <row r="60" spans="1:3">
      <c r="A60" s="2">
        <v>60</v>
      </c>
      <c r="B60">
        <f t="shared" si="2"/>
        <v>53.538121212299998</v>
      </c>
      <c r="C60">
        <f t="shared" si="3"/>
        <v>5.7324064317541203E-2</v>
      </c>
    </row>
    <row r="61" spans="1:3">
      <c r="A61" s="2">
        <v>61</v>
      </c>
      <c r="B61">
        <f t="shared" si="2"/>
        <v>54.555818182000003</v>
      </c>
      <c r="C61">
        <f t="shared" si="3"/>
        <v>5.7237706346315323E-2</v>
      </c>
    </row>
    <row r="62" spans="1:3">
      <c r="A62" s="2">
        <v>62</v>
      </c>
      <c r="B62">
        <f t="shared" si="2"/>
        <v>55.573515151700001</v>
      </c>
      <c r="C62">
        <f t="shared" si="3"/>
        <v>5.7151920966708347E-2</v>
      </c>
    </row>
    <row r="63" spans="1:3">
      <c r="A63" s="2">
        <v>63</v>
      </c>
      <c r="B63">
        <f t="shared" si="2"/>
        <v>56.591212121399998</v>
      </c>
      <c r="C63">
        <f t="shared" si="3"/>
        <v>5.7066707792865247E-2</v>
      </c>
    </row>
    <row r="64" spans="1:3">
      <c r="A64" s="2">
        <v>64</v>
      </c>
      <c r="B64">
        <f t="shared" si="2"/>
        <v>57.608909091100003</v>
      </c>
      <c r="C64">
        <f t="shared" si="3"/>
        <v>5.6982066419124483E-2</v>
      </c>
    </row>
    <row r="65" spans="1:3">
      <c r="A65" s="2">
        <v>65</v>
      </c>
      <c r="B65">
        <f t="shared" ref="B65:B96" si="4">-6.506+(A65-1)*1.0176969697</f>
        <v>58.6266060608</v>
      </c>
      <c r="C65">
        <f t="shared" ref="C65:C96" si="5">0.0137394629648174+-0.0000950439480062748*B65+0.0484255886018306*(1.00657894736842+(B65-35.6961842105263)^2/86774.9397868421)^0.5</f>
        <v>5.6897996420089136E-2</v>
      </c>
    </row>
    <row r="66" spans="1:3">
      <c r="A66" s="2">
        <v>66</v>
      </c>
      <c r="B66">
        <f t="shared" si="4"/>
        <v>59.644303030499998</v>
      </c>
      <c r="C66">
        <f t="shared" si="5"/>
        <v>5.6814497350701126E-2</v>
      </c>
    </row>
    <row r="67" spans="1:3">
      <c r="A67" s="2">
        <v>67</v>
      </c>
      <c r="B67">
        <f t="shared" si="4"/>
        <v>60.662000000199995</v>
      </c>
      <c r="C67">
        <f t="shared" si="5"/>
        <v>5.6731568746318947E-2</v>
      </c>
    </row>
    <row r="68" spans="1:3">
      <c r="A68" s="2">
        <v>68</v>
      </c>
      <c r="B68">
        <f t="shared" si="4"/>
        <v>61.679696969900007</v>
      </c>
      <c r="C68">
        <f t="shared" si="5"/>
        <v>5.6649210122798534E-2</v>
      </c>
    </row>
    <row r="69" spans="1:3">
      <c r="A69" s="2">
        <v>69</v>
      </c>
      <c r="B69">
        <f t="shared" si="4"/>
        <v>62.697393939600005</v>
      </c>
      <c r="C69">
        <f t="shared" si="5"/>
        <v>5.6567420976577465E-2</v>
      </c>
    </row>
    <row r="70" spans="1:3">
      <c r="A70" s="2">
        <v>70</v>
      </c>
      <c r="B70">
        <f t="shared" si="4"/>
        <v>63.715090909300002</v>
      </c>
      <c r="C70">
        <f t="shared" si="5"/>
        <v>5.6486200784762346E-2</v>
      </c>
    </row>
    <row r="71" spans="1:3">
      <c r="A71" s="2">
        <v>71</v>
      </c>
      <c r="B71">
        <f t="shared" si="4"/>
        <v>64.732787879</v>
      </c>
      <c r="C71">
        <f t="shared" si="5"/>
        <v>5.6405549005219283E-2</v>
      </c>
    </row>
    <row r="72" spans="1:3">
      <c r="A72" s="2">
        <v>72</v>
      </c>
      <c r="B72">
        <f t="shared" si="4"/>
        <v>65.750484848699998</v>
      </c>
      <c r="C72">
        <f t="shared" si="5"/>
        <v>5.6325465076667622E-2</v>
      </c>
    </row>
    <row r="73" spans="1:3">
      <c r="A73" s="2">
        <v>73</v>
      </c>
      <c r="B73">
        <f t="shared" si="4"/>
        <v>66.768181818399995</v>
      </c>
      <c r="C73">
        <f t="shared" si="5"/>
        <v>5.6245948418776691E-2</v>
      </c>
    </row>
    <row r="74" spans="1:3">
      <c r="A74" s="2">
        <v>74</v>
      </c>
      <c r="B74">
        <f t="shared" si="4"/>
        <v>67.785878788100007</v>
      </c>
      <c r="C74">
        <f t="shared" si="5"/>
        <v>5.6166998432265622E-2</v>
      </c>
    </row>
    <row r="75" spans="1:3">
      <c r="A75" s="2">
        <v>75</v>
      </c>
      <c r="B75">
        <f t="shared" si="4"/>
        <v>68.803575757800004</v>
      </c>
      <c r="C75">
        <f t="shared" si="5"/>
        <v>5.608861449900629E-2</v>
      </c>
    </row>
    <row r="76" spans="1:3">
      <c r="A76" s="2">
        <v>76</v>
      </c>
      <c r="B76">
        <f t="shared" si="4"/>
        <v>69.821272727500002</v>
      </c>
      <c r="C76">
        <f t="shared" si="5"/>
        <v>5.6010795982128977E-2</v>
      </c>
    </row>
    <row r="77" spans="1:3">
      <c r="A77" s="2">
        <v>77</v>
      </c>
      <c r="B77">
        <f t="shared" si="4"/>
        <v>70.8389696972</v>
      </c>
      <c r="C77">
        <f t="shared" si="5"/>
        <v>5.5933542226131332E-2</v>
      </c>
    </row>
    <row r="78" spans="1:3">
      <c r="A78" s="2">
        <v>78</v>
      </c>
      <c r="B78">
        <f t="shared" si="4"/>
        <v>71.856666666899997</v>
      </c>
      <c r="C78">
        <f t="shared" si="5"/>
        <v>5.5856852556989862E-2</v>
      </c>
    </row>
    <row r="79" spans="1:3">
      <c r="A79" s="2">
        <v>79</v>
      </c>
      <c r="B79">
        <f t="shared" si="4"/>
        <v>72.874363636599995</v>
      </c>
      <c r="C79">
        <f t="shared" si="5"/>
        <v>5.5780726282274595E-2</v>
      </c>
    </row>
    <row r="80" spans="1:3">
      <c r="A80" s="2">
        <v>80</v>
      </c>
      <c r="B80">
        <f t="shared" si="4"/>
        <v>73.892060606300006</v>
      </c>
      <c r="C80">
        <f t="shared" si="5"/>
        <v>5.5705162691266297E-2</v>
      </c>
    </row>
    <row r="81" spans="1:3">
      <c r="A81" s="2">
        <v>81</v>
      </c>
      <c r="B81">
        <f t="shared" si="4"/>
        <v>74.909757576000004</v>
      </c>
      <c r="C81">
        <f t="shared" si="5"/>
        <v>5.5630161055076573E-2</v>
      </c>
    </row>
    <row r="82" spans="1:3">
      <c r="A82" s="2">
        <v>82</v>
      </c>
      <c r="B82">
        <f t="shared" si="4"/>
        <v>75.927454545700002</v>
      </c>
      <c r="C82">
        <f t="shared" si="5"/>
        <v>5.5555720626770735E-2</v>
      </c>
    </row>
    <row r="83" spans="1:3">
      <c r="A83" s="2">
        <v>83</v>
      </c>
      <c r="B83">
        <f t="shared" si="4"/>
        <v>76.945151515399999</v>
      </c>
      <c r="C83">
        <f t="shared" si="5"/>
        <v>5.5481840641493189E-2</v>
      </c>
    </row>
    <row r="84" spans="1:3">
      <c r="A84" s="2">
        <v>84</v>
      </c>
      <c r="B84">
        <f t="shared" si="4"/>
        <v>77.962848485099997</v>
      </c>
      <c r="C84">
        <f t="shared" si="5"/>
        <v>5.5408520316595558E-2</v>
      </c>
    </row>
    <row r="85" spans="1:3">
      <c r="A85" s="2">
        <v>85</v>
      </c>
      <c r="B85">
        <f t="shared" si="4"/>
        <v>78.980545454799994</v>
      </c>
      <c r="C85">
        <f t="shared" si="5"/>
        <v>5.5335758851767301E-2</v>
      </c>
    </row>
    <row r="86" spans="1:3">
      <c r="A86" s="2">
        <v>86</v>
      </c>
      <c r="B86">
        <f t="shared" si="4"/>
        <v>79.998242424500006</v>
      </c>
      <c r="C86">
        <f t="shared" si="5"/>
        <v>5.5263555429168949E-2</v>
      </c>
    </row>
    <row r="87" spans="1:3">
      <c r="A87" s="2">
        <v>87</v>
      </c>
      <c r="B87">
        <f t="shared" si="4"/>
        <v>81.015939394200004</v>
      </c>
      <c r="C87">
        <f t="shared" si="5"/>
        <v>5.5191909213567723E-2</v>
      </c>
    </row>
    <row r="88" spans="1:3">
      <c r="A88" s="2">
        <v>88</v>
      </c>
      <c r="B88">
        <f t="shared" si="4"/>
        <v>82.033636363900001</v>
      </c>
      <c r="C88">
        <f t="shared" si="5"/>
        <v>5.5120819352475592E-2</v>
      </c>
    </row>
    <row r="89" spans="1:3">
      <c r="A89" s="2">
        <v>89</v>
      </c>
      <c r="B89">
        <f t="shared" si="4"/>
        <v>83.051333333599999</v>
      </c>
      <c r="C89">
        <f t="shared" si="5"/>
        <v>5.5050284976289748E-2</v>
      </c>
    </row>
    <row r="90" spans="1:3">
      <c r="A90" s="2">
        <v>90</v>
      </c>
      <c r="B90">
        <f t="shared" si="4"/>
        <v>84.069030303299996</v>
      </c>
      <c r="C90">
        <f t="shared" si="5"/>
        <v>5.498030519843531E-2</v>
      </c>
    </row>
    <row r="91" spans="1:3">
      <c r="A91" s="2">
        <v>91</v>
      </c>
      <c r="B91">
        <f t="shared" si="4"/>
        <v>85.086727272999994</v>
      </c>
      <c r="C91">
        <f t="shared" si="5"/>
        <v>5.4910879115510396E-2</v>
      </c>
    </row>
    <row r="92" spans="1:3">
      <c r="A92" s="2">
        <v>92</v>
      </c>
      <c r="B92">
        <f t="shared" si="4"/>
        <v>86.104424242700006</v>
      </c>
      <c r="C92">
        <f t="shared" si="5"/>
        <v>5.4842005807433328E-2</v>
      </c>
    </row>
    <row r="93" spans="1:3">
      <c r="A93" s="2">
        <v>93</v>
      </c>
      <c r="B93">
        <f t="shared" si="4"/>
        <v>87.122121212400003</v>
      </c>
      <c r="C93">
        <f t="shared" si="5"/>
        <v>5.4773684337592027E-2</v>
      </c>
    </row>
    <row r="94" spans="1:3">
      <c r="A94" s="2">
        <v>94</v>
      </c>
      <c r="B94">
        <f t="shared" si="4"/>
        <v>88.139818182100001</v>
      </c>
      <c r="C94">
        <f t="shared" si="5"/>
        <v>5.4705913752995439E-2</v>
      </c>
    </row>
    <row r="95" spans="1:3">
      <c r="A95" s="2">
        <v>95</v>
      </c>
      <c r="B95">
        <f t="shared" si="4"/>
        <v>89.157515151799998</v>
      </c>
      <c r="C95">
        <f t="shared" si="5"/>
        <v>5.463869308442719E-2</v>
      </c>
    </row>
    <row r="96" spans="1:3">
      <c r="A96" s="2">
        <v>96</v>
      </c>
      <c r="B96">
        <f t="shared" si="4"/>
        <v>90.175212121499996</v>
      </c>
      <c r="C96">
        <f t="shared" si="5"/>
        <v>5.4572021346601024E-2</v>
      </c>
    </row>
    <row r="97" spans="1:3">
      <c r="A97" s="2">
        <v>97</v>
      </c>
      <c r="B97">
        <f t="shared" ref="B97:B100" si="6">-6.506+(A97-1)*1.0176969697</f>
        <v>91.192909091199994</v>
      </c>
      <c r="C97">
        <f t="shared" ref="C97:C100" si="7">0.0137394629648174+-0.0000950439480062748*B97+0.0484255886018306*(1.00657894736842+(B97-35.6961842105263)^2/86774.9397868421)^0.5</f>
        <v>5.4505897538318304E-2</v>
      </c>
    </row>
    <row r="98" spans="1:3">
      <c r="A98" s="2">
        <v>98</v>
      </c>
      <c r="B98">
        <f t="shared" si="6"/>
        <v>92.210606060900005</v>
      </c>
      <c r="C98">
        <f t="shared" si="7"/>
        <v>5.4440320642627299E-2</v>
      </c>
    </row>
    <row r="99" spans="1:3">
      <c r="A99" s="2">
        <v>99</v>
      </c>
      <c r="B99">
        <f t="shared" si="6"/>
        <v>93.228303030600003</v>
      </c>
      <c r="C99">
        <f t="shared" si="7"/>
        <v>5.4375289626984437E-2</v>
      </c>
    </row>
    <row r="100" spans="1:3">
      <c r="A100" s="2">
        <v>100</v>
      </c>
      <c r="B100">
        <f t="shared" si="6"/>
        <v>94.2460000003</v>
      </c>
      <c r="C100">
        <f t="shared" si="7"/>
        <v>5.4310803443417204E-2</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enableFormatConditionsCalculation="0"/>
  <dimension ref="A1:C70"/>
  <sheetViews>
    <sheetView workbookViewId="0"/>
  </sheetViews>
  <sheetFormatPr baseColWidth="10" defaultRowHeight="15.75"/>
  <sheetData>
    <row r="1" spans="1:3">
      <c r="A1" s="2">
        <v>1</v>
      </c>
      <c r="B1">
        <f t="shared" ref="B1:B32" si="0">0.0052607444+(A1-1)*0.0001595805</f>
        <v>5.2607443999999996E-3</v>
      </c>
      <c r="C1">
        <f t="shared" ref="C1:C32" si="1">0+1*B1-0.0484255886018306*(1.00657894736842+(B1-0.0103467566886897)^2/0.0900966845022564)^0.5</f>
        <v>-4.3330806210658129E-2</v>
      </c>
    </row>
    <row r="2" spans="1:3">
      <c r="A2" s="2">
        <v>2</v>
      </c>
      <c r="B2">
        <f t="shared" si="0"/>
        <v>5.4203248999999997E-3</v>
      </c>
      <c r="C2">
        <f t="shared" si="1"/>
        <v>-4.3170797781292125E-2</v>
      </c>
    </row>
    <row r="3" spans="1:3">
      <c r="A3" s="2">
        <v>3</v>
      </c>
      <c r="B3">
        <f t="shared" si="0"/>
        <v>5.5799053999999997E-3</v>
      </c>
      <c r="C3">
        <f t="shared" si="1"/>
        <v>-4.3010802989197357E-2</v>
      </c>
    </row>
    <row r="4" spans="1:3">
      <c r="A4" s="2">
        <v>4</v>
      </c>
      <c r="B4">
        <f t="shared" si="0"/>
        <v>5.7394858999999998E-3</v>
      </c>
      <c r="C4">
        <f t="shared" si="1"/>
        <v>-4.2850821834722649E-2</v>
      </c>
    </row>
    <row r="5" spans="1:3">
      <c r="A5" s="2">
        <v>5</v>
      </c>
      <c r="B5">
        <f t="shared" si="0"/>
        <v>5.8990663999999998E-3</v>
      </c>
      <c r="C5">
        <f t="shared" si="1"/>
        <v>-4.2690854318205358E-2</v>
      </c>
    </row>
    <row r="6" spans="1:3">
      <c r="A6" s="2">
        <v>6</v>
      </c>
      <c r="B6">
        <f t="shared" si="0"/>
        <v>6.0586468999999999E-3</v>
      </c>
      <c r="C6">
        <f t="shared" si="1"/>
        <v>-4.2530900439971348E-2</v>
      </c>
    </row>
    <row r="7" spans="1:3">
      <c r="A7" s="2">
        <v>7</v>
      </c>
      <c r="B7">
        <f t="shared" si="0"/>
        <v>6.2182273999999999E-3</v>
      </c>
      <c r="C7">
        <f t="shared" si="1"/>
        <v>-4.2370960200335032E-2</v>
      </c>
    </row>
    <row r="8" spans="1:3">
      <c r="A8" s="2">
        <v>8</v>
      </c>
      <c r="B8">
        <f t="shared" si="0"/>
        <v>6.3778078999999991E-3</v>
      </c>
      <c r="C8">
        <f t="shared" si="1"/>
        <v>-4.2211033599599351E-2</v>
      </c>
    </row>
    <row r="9" spans="1:3">
      <c r="A9" s="2">
        <v>9</v>
      </c>
      <c r="B9">
        <f t="shared" si="0"/>
        <v>6.5373884E-3</v>
      </c>
      <c r="C9">
        <f t="shared" si="1"/>
        <v>-4.2051120638055745E-2</v>
      </c>
    </row>
    <row r="10" spans="1:3">
      <c r="A10" s="2">
        <v>10</v>
      </c>
      <c r="B10">
        <f t="shared" si="0"/>
        <v>6.6969688999999992E-3</v>
      </c>
      <c r="C10">
        <f t="shared" si="1"/>
        <v>-4.189122131598419E-2</v>
      </c>
    </row>
    <row r="11" spans="1:3">
      <c r="A11" s="2">
        <v>11</v>
      </c>
      <c r="B11">
        <f t="shared" si="0"/>
        <v>6.8565494000000001E-3</v>
      </c>
      <c r="C11">
        <f t="shared" si="1"/>
        <v>-4.1731335633653187E-2</v>
      </c>
    </row>
    <row r="12" spans="1:3">
      <c r="A12" s="2">
        <v>12</v>
      </c>
      <c r="B12">
        <f t="shared" si="0"/>
        <v>7.0161298999999993E-3</v>
      </c>
      <c r="C12">
        <f t="shared" si="1"/>
        <v>-4.1571463591319753E-2</v>
      </c>
    </row>
    <row r="13" spans="1:3">
      <c r="A13" s="2">
        <v>13</v>
      </c>
      <c r="B13">
        <f t="shared" si="0"/>
        <v>7.1757103999999993E-3</v>
      </c>
      <c r="C13">
        <f t="shared" si="1"/>
        <v>-4.1411605189229414E-2</v>
      </c>
    </row>
    <row r="14" spans="1:3">
      <c r="A14" s="2">
        <v>14</v>
      </c>
      <c r="B14">
        <f t="shared" si="0"/>
        <v>7.3352908999999994E-3</v>
      </c>
      <c r="C14">
        <f t="shared" si="1"/>
        <v>-4.1251760427616246E-2</v>
      </c>
    </row>
    <row r="15" spans="1:3">
      <c r="A15" s="2">
        <v>15</v>
      </c>
      <c r="B15">
        <f t="shared" si="0"/>
        <v>7.4948713999999994E-3</v>
      </c>
      <c r="C15">
        <f t="shared" si="1"/>
        <v>-4.1091929306702801E-2</v>
      </c>
    </row>
    <row r="16" spans="1:3">
      <c r="A16" s="2">
        <v>16</v>
      </c>
      <c r="B16">
        <f t="shared" si="0"/>
        <v>7.6544518999999995E-3</v>
      </c>
      <c r="C16">
        <f t="shared" si="1"/>
        <v>-4.0932111826700167E-2</v>
      </c>
    </row>
    <row r="17" spans="1:3">
      <c r="A17" s="2">
        <v>17</v>
      </c>
      <c r="B17">
        <f t="shared" si="0"/>
        <v>7.8140324000000004E-3</v>
      </c>
      <c r="C17">
        <f t="shared" si="1"/>
        <v>-4.077230798780794E-2</v>
      </c>
    </row>
    <row r="18" spans="1:3">
      <c r="A18" s="2">
        <v>18</v>
      </c>
      <c r="B18">
        <f t="shared" si="0"/>
        <v>7.9736128999999996E-3</v>
      </c>
      <c r="C18">
        <f t="shared" si="1"/>
        <v>-4.0612517790214256E-2</v>
      </c>
    </row>
    <row r="19" spans="1:3">
      <c r="A19" s="2">
        <v>19</v>
      </c>
      <c r="B19">
        <f t="shared" si="0"/>
        <v>8.1331933999999988E-3</v>
      </c>
      <c r="C19">
        <f t="shared" si="1"/>
        <v>-4.0452741234095715E-2</v>
      </c>
    </row>
    <row r="20" spans="1:3">
      <c r="A20" s="2">
        <v>20</v>
      </c>
      <c r="B20">
        <f t="shared" si="0"/>
        <v>8.2927738999999997E-3</v>
      </c>
      <c r="C20">
        <f t="shared" si="1"/>
        <v>-4.0292978319617478E-2</v>
      </c>
    </row>
    <row r="21" spans="1:3">
      <c r="A21" s="2">
        <v>21</v>
      </c>
      <c r="B21">
        <f t="shared" si="0"/>
        <v>8.4523544000000006E-3</v>
      </c>
      <c r="C21">
        <f t="shared" si="1"/>
        <v>-4.0133229046933186E-2</v>
      </c>
    </row>
    <row r="22" spans="1:3">
      <c r="A22" s="2">
        <v>22</v>
      </c>
      <c r="B22">
        <f t="shared" si="0"/>
        <v>8.6119348999999998E-3</v>
      </c>
      <c r="C22">
        <f t="shared" si="1"/>
        <v>-3.9973493416185016E-2</v>
      </c>
    </row>
    <row r="23" spans="1:3">
      <c r="A23" s="2">
        <v>23</v>
      </c>
      <c r="B23">
        <f t="shared" si="0"/>
        <v>8.771515399999999E-3</v>
      </c>
      <c r="C23">
        <f t="shared" si="1"/>
        <v>-3.9813771427503634E-2</v>
      </c>
    </row>
    <row r="24" spans="1:3">
      <c r="A24" s="2">
        <v>24</v>
      </c>
      <c r="B24">
        <f t="shared" si="0"/>
        <v>8.9310958999999999E-3</v>
      </c>
      <c r="C24">
        <f t="shared" si="1"/>
        <v>-3.9654063081008224E-2</v>
      </c>
    </row>
    <row r="25" spans="1:3">
      <c r="A25" s="2">
        <v>25</v>
      </c>
      <c r="B25">
        <f t="shared" si="0"/>
        <v>9.0906763999999991E-3</v>
      </c>
      <c r="C25">
        <f t="shared" si="1"/>
        <v>-3.9494368376806463E-2</v>
      </c>
    </row>
    <row r="26" spans="1:3">
      <c r="A26" s="2">
        <v>26</v>
      </c>
      <c r="B26">
        <f t="shared" si="0"/>
        <v>9.2502569E-3</v>
      </c>
      <c r="C26">
        <f t="shared" si="1"/>
        <v>-3.9334687314994593E-2</v>
      </c>
    </row>
    <row r="27" spans="1:3">
      <c r="A27" s="2">
        <v>27</v>
      </c>
      <c r="B27">
        <f t="shared" si="0"/>
        <v>9.4098373999999992E-3</v>
      </c>
      <c r="C27">
        <f t="shared" si="1"/>
        <v>-3.917501989565729E-2</v>
      </c>
    </row>
    <row r="28" spans="1:3">
      <c r="A28" s="2">
        <v>28</v>
      </c>
      <c r="B28">
        <f t="shared" si="0"/>
        <v>9.5694178999999983E-3</v>
      </c>
      <c r="C28">
        <f t="shared" si="1"/>
        <v>-3.9015366118867786E-2</v>
      </c>
    </row>
    <row r="29" spans="1:3">
      <c r="A29" s="2">
        <v>29</v>
      </c>
      <c r="B29">
        <f t="shared" si="0"/>
        <v>9.7289983999999993E-3</v>
      </c>
      <c r="C29">
        <f t="shared" si="1"/>
        <v>-3.8855725984687825E-2</v>
      </c>
    </row>
    <row r="30" spans="1:3">
      <c r="A30" s="2">
        <v>30</v>
      </c>
      <c r="B30">
        <f t="shared" si="0"/>
        <v>9.8885789000000002E-3</v>
      </c>
      <c r="C30">
        <f t="shared" si="1"/>
        <v>-3.8696099493167629E-2</v>
      </c>
    </row>
    <row r="31" spans="1:3">
      <c r="A31" s="2">
        <v>31</v>
      </c>
      <c r="B31">
        <f t="shared" si="0"/>
        <v>1.0048159399999999E-2</v>
      </c>
      <c r="C31">
        <f t="shared" si="1"/>
        <v>-3.8536486644345933E-2</v>
      </c>
    </row>
    <row r="32" spans="1:3">
      <c r="A32" s="2">
        <v>32</v>
      </c>
      <c r="B32">
        <f t="shared" si="0"/>
        <v>1.0207739899999999E-2</v>
      </c>
      <c r="C32">
        <f t="shared" si="1"/>
        <v>-3.8376887438249997E-2</v>
      </c>
    </row>
    <row r="33" spans="1:3">
      <c r="A33" s="2">
        <v>33</v>
      </c>
      <c r="B33">
        <f t="shared" ref="B33:B64" si="2">0.0052607444+(A33-1)*0.0001595805</f>
        <v>1.0367320399999999E-2</v>
      </c>
      <c r="C33">
        <f t="shared" ref="C33:C64" si="3">0+1*B33-0.0484255886018306*(1.00657894736842+(B33-0.0103467566886897)^2/0.0900966845022564)^0.5</f>
        <v>-3.8217301874895582E-2</v>
      </c>
    </row>
    <row r="34" spans="1:3">
      <c r="A34" s="2">
        <v>34</v>
      </c>
      <c r="B34">
        <f t="shared" si="2"/>
        <v>1.05269009E-2</v>
      </c>
      <c r="C34">
        <f t="shared" si="3"/>
        <v>-3.8057729954286953E-2</v>
      </c>
    </row>
    <row r="35" spans="1:3">
      <c r="A35" s="2">
        <v>35</v>
      </c>
      <c r="B35">
        <f t="shared" si="2"/>
        <v>1.06864814E-2</v>
      </c>
      <c r="C35">
        <f t="shared" si="3"/>
        <v>-3.7898171676416861E-2</v>
      </c>
    </row>
    <row r="36" spans="1:3">
      <c r="A36" s="2">
        <v>36</v>
      </c>
      <c r="B36">
        <f t="shared" si="2"/>
        <v>1.0846061899999999E-2</v>
      </c>
      <c r="C36">
        <f t="shared" si="3"/>
        <v>-3.7738627041266626E-2</v>
      </c>
    </row>
    <row r="37" spans="1:3">
      <c r="A37" s="2">
        <v>37</v>
      </c>
      <c r="B37">
        <f t="shared" si="2"/>
        <v>1.10056424E-2</v>
      </c>
      <c r="C37">
        <f t="shared" si="3"/>
        <v>-3.7579096048806007E-2</v>
      </c>
    </row>
    <row r="38" spans="1:3">
      <c r="A38" s="2">
        <v>38</v>
      </c>
      <c r="B38">
        <f t="shared" si="2"/>
        <v>1.1165222900000001E-2</v>
      </c>
      <c r="C38">
        <f t="shared" si="3"/>
        <v>-3.7419578698993317E-2</v>
      </c>
    </row>
    <row r="39" spans="1:3">
      <c r="A39" s="2">
        <v>39</v>
      </c>
      <c r="B39">
        <f t="shared" si="2"/>
        <v>1.13248034E-2</v>
      </c>
      <c r="C39">
        <f t="shared" si="3"/>
        <v>-3.7260074991775333E-2</v>
      </c>
    </row>
    <row r="40" spans="1:3">
      <c r="A40" s="2">
        <v>40</v>
      </c>
      <c r="B40">
        <f t="shared" si="2"/>
        <v>1.1484383899999999E-2</v>
      </c>
      <c r="C40">
        <f t="shared" si="3"/>
        <v>-3.7100584927087378E-2</v>
      </c>
    </row>
    <row r="41" spans="1:3">
      <c r="A41" s="2">
        <v>41</v>
      </c>
      <c r="B41">
        <f t="shared" si="2"/>
        <v>1.16439644E-2</v>
      </c>
      <c r="C41">
        <f t="shared" si="3"/>
        <v>-3.6941108504853284E-2</v>
      </c>
    </row>
    <row r="42" spans="1:3">
      <c r="A42" s="2">
        <v>42</v>
      </c>
      <c r="B42">
        <f t="shared" si="2"/>
        <v>1.1803544899999999E-2</v>
      </c>
      <c r="C42">
        <f t="shared" si="3"/>
        <v>-3.6781645724985351E-2</v>
      </c>
    </row>
    <row r="43" spans="1:3">
      <c r="A43" s="2">
        <v>43</v>
      </c>
      <c r="B43">
        <f t="shared" si="2"/>
        <v>1.19631254E-2</v>
      </c>
      <c r="C43">
        <f t="shared" si="3"/>
        <v>-3.6622196587384429E-2</v>
      </c>
    </row>
    <row r="44" spans="1:3">
      <c r="A44" s="2">
        <v>44</v>
      </c>
      <c r="B44">
        <f t="shared" si="2"/>
        <v>1.2122705899999999E-2</v>
      </c>
      <c r="C44">
        <f t="shared" si="3"/>
        <v>-3.6462761091939869E-2</v>
      </c>
    </row>
    <row r="45" spans="1:3">
      <c r="A45" s="2">
        <v>45</v>
      </c>
      <c r="B45">
        <f t="shared" si="2"/>
        <v>1.2282286399999998E-2</v>
      </c>
      <c r="C45">
        <f t="shared" si="3"/>
        <v>-3.6303339238529533E-2</v>
      </c>
    </row>
    <row r="46" spans="1:3">
      <c r="A46" s="2">
        <v>46</v>
      </c>
      <c r="B46">
        <f t="shared" si="2"/>
        <v>1.2441866899999999E-2</v>
      </c>
      <c r="C46">
        <f t="shared" si="3"/>
        <v>-3.6143931027019738E-2</v>
      </c>
    </row>
    <row r="47" spans="1:3">
      <c r="A47" s="2">
        <v>47</v>
      </c>
      <c r="B47">
        <f t="shared" si="2"/>
        <v>1.26014474E-2</v>
      </c>
      <c r="C47">
        <f t="shared" si="3"/>
        <v>-3.5984536457265417E-2</v>
      </c>
    </row>
    <row r="48" spans="1:3">
      <c r="A48" s="2">
        <v>48</v>
      </c>
      <c r="B48">
        <f t="shared" si="2"/>
        <v>1.2761027899999999E-2</v>
      </c>
      <c r="C48">
        <f t="shared" si="3"/>
        <v>-3.5825155529109913E-2</v>
      </c>
    </row>
    <row r="49" spans="1:3">
      <c r="A49" s="2">
        <v>49</v>
      </c>
      <c r="B49">
        <f t="shared" si="2"/>
        <v>1.2920608399999998E-2</v>
      </c>
      <c r="C49">
        <f t="shared" si="3"/>
        <v>-3.5665788242385157E-2</v>
      </c>
    </row>
    <row r="50" spans="1:3">
      <c r="A50" s="2">
        <v>50</v>
      </c>
      <c r="B50">
        <f t="shared" si="2"/>
        <v>1.3080188899999999E-2</v>
      </c>
      <c r="C50">
        <f t="shared" si="3"/>
        <v>-3.5506434596911537E-2</v>
      </c>
    </row>
    <row r="51" spans="1:3">
      <c r="A51" s="2">
        <v>51</v>
      </c>
      <c r="B51">
        <f t="shared" si="2"/>
        <v>1.3239769399999999E-2</v>
      </c>
      <c r="C51">
        <f t="shared" si="3"/>
        <v>-3.5347094592498005E-2</v>
      </c>
    </row>
    <row r="52" spans="1:3">
      <c r="A52" s="2">
        <v>52</v>
      </c>
      <c r="B52">
        <f t="shared" si="2"/>
        <v>1.33993499E-2</v>
      </c>
      <c r="C52">
        <f t="shared" si="3"/>
        <v>-3.5187768228941971E-2</v>
      </c>
    </row>
    <row r="53" spans="1:3">
      <c r="A53" s="2">
        <v>53</v>
      </c>
      <c r="B53">
        <f t="shared" si="2"/>
        <v>1.3558930399999999E-2</v>
      </c>
      <c r="C53">
        <f t="shared" si="3"/>
        <v>-3.5028455506029385E-2</v>
      </c>
    </row>
    <row r="54" spans="1:3">
      <c r="A54" s="2">
        <v>54</v>
      </c>
      <c r="B54">
        <f t="shared" si="2"/>
        <v>1.37185109E-2</v>
      </c>
      <c r="C54">
        <f t="shared" si="3"/>
        <v>-3.4869156423534761E-2</v>
      </c>
    </row>
    <row r="55" spans="1:3">
      <c r="A55" s="2">
        <v>55</v>
      </c>
      <c r="B55">
        <f t="shared" si="2"/>
        <v>1.3878091399999999E-2</v>
      </c>
      <c r="C55">
        <f t="shared" si="3"/>
        <v>-3.4709870981221039E-2</v>
      </c>
    </row>
    <row r="56" spans="1:3">
      <c r="A56" s="2">
        <v>56</v>
      </c>
      <c r="B56">
        <f t="shared" si="2"/>
        <v>1.40376719E-2</v>
      </c>
      <c r="C56">
        <f t="shared" si="3"/>
        <v>-3.4550599178839764E-2</v>
      </c>
    </row>
    <row r="57" spans="1:3">
      <c r="A57" s="2">
        <v>57</v>
      </c>
      <c r="B57">
        <f t="shared" si="2"/>
        <v>1.4197252399999999E-2</v>
      </c>
      <c r="C57">
        <f t="shared" si="3"/>
        <v>-3.4391341016130929E-2</v>
      </c>
    </row>
    <row r="58" spans="1:3">
      <c r="A58" s="2">
        <v>58</v>
      </c>
      <c r="B58">
        <f t="shared" si="2"/>
        <v>1.43568329E-2</v>
      </c>
      <c r="C58">
        <f t="shared" si="3"/>
        <v>-3.4232096492823084E-2</v>
      </c>
    </row>
    <row r="59" spans="1:3">
      <c r="A59" s="2">
        <v>59</v>
      </c>
      <c r="B59">
        <f t="shared" si="2"/>
        <v>1.4516413399999999E-2</v>
      </c>
      <c r="C59">
        <f t="shared" si="3"/>
        <v>-3.4072865608633318E-2</v>
      </c>
    </row>
    <row r="60" spans="1:3">
      <c r="A60" s="2">
        <v>60</v>
      </c>
      <c r="B60">
        <f t="shared" si="2"/>
        <v>1.46759939E-2</v>
      </c>
      <c r="C60">
        <f t="shared" si="3"/>
        <v>-3.3913648363267185E-2</v>
      </c>
    </row>
    <row r="61" spans="1:3">
      <c r="A61" s="2">
        <v>61</v>
      </c>
      <c r="B61">
        <f t="shared" si="2"/>
        <v>1.4835574399999999E-2</v>
      </c>
      <c r="C61">
        <f t="shared" si="3"/>
        <v>-3.3754444756418825E-2</v>
      </c>
    </row>
    <row r="62" spans="1:3">
      <c r="A62" s="2">
        <v>62</v>
      </c>
      <c r="B62">
        <f t="shared" si="2"/>
        <v>1.49951549E-2</v>
      </c>
      <c r="C62">
        <f t="shared" si="3"/>
        <v>-3.3595254787770867E-2</v>
      </c>
    </row>
    <row r="63" spans="1:3">
      <c r="A63" s="2">
        <v>63</v>
      </c>
      <c r="B63">
        <f t="shared" si="2"/>
        <v>1.5154735399999999E-2</v>
      </c>
      <c r="C63">
        <f t="shared" si="3"/>
        <v>-3.3436078456994471E-2</v>
      </c>
    </row>
    <row r="64" spans="1:3">
      <c r="A64" s="2">
        <v>64</v>
      </c>
      <c r="B64">
        <f t="shared" si="2"/>
        <v>1.53143159E-2</v>
      </c>
      <c r="C64">
        <f t="shared" si="3"/>
        <v>-3.3276915763749332E-2</v>
      </c>
    </row>
    <row r="65" spans="1:3">
      <c r="A65" s="2">
        <v>65</v>
      </c>
      <c r="B65">
        <f t="shared" ref="B65:B70" si="4">0.0052607444+(A65-1)*0.0001595805</f>
        <v>1.5473896399999999E-2</v>
      </c>
      <c r="C65">
        <f t="shared" ref="C65:C70" si="5">0+1*B65-0.0484255886018306*(1.00657894736842+(B65-0.0103467566886897)^2/0.0900966845022564)^0.5</f>
        <v>-3.3117766707683662E-2</v>
      </c>
    </row>
    <row r="66" spans="1:3">
      <c r="A66" s="2">
        <v>66</v>
      </c>
      <c r="B66">
        <f t="shared" si="4"/>
        <v>1.5633476899999998E-2</v>
      </c>
      <c r="C66">
        <f t="shared" si="5"/>
        <v>-3.295863128843423E-2</v>
      </c>
    </row>
    <row r="67" spans="1:3">
      <c r="A67" s="2">
        <v>67</v>
      </c>
      <c r="B67">
        <f t="shared" si="4"/>
        <v>1.5793057399999998E-2</v>
      </c>
      <c r="C67">
        <f t="shared" si="5"/>
        <v>-3.2799509505626295E-2</v>
      </c>
    </row>
    <row r="68" spans="1:3">
      <c r="A68" s="2">
        <v>68</v>
      </c>
      <c r="B68">
        <f t="shared" si="4"/>
        <v>1.5952637899999997E-2</v>
      </c>
      <c r="C68">
        <f t="shared" si="5"/>
        <v>-3.2640401358873694E-2</v>
      </c>
    </row>
    <row r="69" spans="1:3">
      <c r="A69" s="2">
        <v>69</v>
      </c>
      <c r="B69">
        <f t="shared" si="4"/>
        <v>1.6112218399999999E-2</v>
      </c>
      <c r="C69">
        <f t="shared" si="5"/>
        <v>-3.2481306847778765E-2</v>
      </c>
    </row>
    <row r="70" spans="1:3">
      <c r="A70" s="2">
        <v>70</v>
      </c>
      <c r="B70">
        <f t="shared" si="4"/>
        <v>1.6271798899999999E-2</v>
      </c>
      <c r="C70">
        <f t="shared" si="5"/>
        <v>-3.232222597193242E-2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enableFormatConditionsCalculation="0"/>
  <dimension ref="A1:C70"/>
  <sheetViews>
    <sheetView workbookViewId="0"/>
  </sheetViews>
  <sheetFormatPr baseColWidth="10" defaultRowHeight="15.75"/>
  <sheetData>
    <row r="1" spans="1:3">
      <c r="A1" s="2">
        <v>1</v>
      </c>
      <c r="B1">
        <f t="shared" ref="B1:B32" si="0">29.8984155061+(A1-1)*0.3403467721</f>
        <v>29.898415506100001</v>
      </c>
      <c r="C1">
        <f t="shared" ref="C1:C32" si="1">0+1*B1-78.837779537689*(1.00625+(B1-36.06875)^2/251739.382713266)^0.5</f>
        <v>-49.191291281260554</v>
      </c>
    </row>
    <row r="2" spans="1:3">
      <c r="A2" s="2">
        <v>2</v>
      </c>
      <c r="B2">
        <f t="shared" si="0"/>
        <v>30.238762278199999</v>
      </c>
      <c r="C2">
        <f t="shared" si="1"/>
        <v>-48.850307003658486</v>
      </c>
    </row>
    <row r="3" spans="1:3">
      <c r="A3" s="2">
        <v>3</v>
      </c>
      <c r="B3">
        <f t="shared" si="0"/>
        <v>30.579109050300001</v>
      </c>
      <c r="C3">
        <f t="shared" si="1"/>
        <v>-48.509358882532283</v>
      </c>
    </row>
    <row r="4" spans="1:3">
      <c r="A4" s="2">
        <v>4</v>
      </c>
      <c r="B4">
        <f t="shared" si="0"/>
        <v>30.9194558224</v>
      </c>
      <c r="C4">
        <f t="shared" si="1"/>
        <v>-48.168446918706763</v>
      </c>
    </row>
    <row r="5" spans="1:3">
      <c r="A5" s="2">
        <v>5</v>
      </c>
      <c r="B5">
        <f t="shared" si="0"/>
        <v>31.259802594500002</v>
      </c>
      <c r="C5">
        <f t="shared" si="1"/>
        <v>-47.827571112957074</v>
      </c>
    </row>
    <row r="6" spans="1:3">
      <c r="A6" s="2">
        <v>6</v>
      </c>
      <c r="B6">
        <f t="shared" si="0"/>
        <v>31.6001493666</v>
      </c>
      <c r="C6">
        <f t="shared" si="1"/>
        <v>-47.486731466008841</v>
      </c>
    </row>
    <row r="7" spans="1:3">
      <c r="A7" s="2">
        <v>7</v>
      </c>
      <c r="B7">
        <f t="shared" si="0"/>
        <v>31.940496138700002</v>
      </c>
      <c r="C7">
        <f t="shared" si="1"/>
        <v>-47.145927978538111</v>
      </c>
    </row>
    <row r="8" spans="1:3">
      <c r="A8" s="2">
        <v>8</v>
      </c>
      <c r="B8">
        <f t="shared" si="0"/>
        <v>32.280842910800004</v>
      </c>
      <c r="C8">
        <f t="shared" si="1"/>
        <v>-46.805160651171335</v>
      </c>
    </row>
    <row r="9" spans="1:3">
      <c r="A9" s="2">
        <v>9</v>
      </c>
      <c r="B9">
        <f t="shared" si="0"/>
        <v>32.621189682900003</v>
      </c>
      <c r="C9">
        <f t="shared" si="1"/>
        <v>-46.464429484485358</v>
      </c>
    </row>
    <row r="10" spans="1:3">
      <c r="A10" s="2">
        <v>10</v>
      </c>
      <c r="B10">
        <f t="shared" si="0"/>
        <v>32.961536455000001</v>
      </c>
      <c r="C10">
        <f t="shared" si="1"/>
        <v>-46.123734479007481</v>
      </c>
    </row>
    <row r="11" spans="1:3">
      <c r="A11" s="2">
        <v>11</v>
      </c>
      <c r="B11">
        <f t="shared" si="0"/>
        <v>33.301883227099999</v>
      </c>
      <c r="C11">
        <f t="shared" si="1"/>
        <v>-45.78307563521539</v>
      </c>
    </row>
    <row r="12" spans="1:3">
      <c r="A12" s="2">
        <v>12</v>
      </c>
      <c r="B12">
        <f t="shared" si="0"/>
        <v>33.642229999199998</v>
      </c>
      <c r="C12">
        <f t="shared" si="1"/>
        <v>-45.442452953537142</v>
      </c>
    </row>
    <row r="13" spans="1:3">
      <c r="A13" s="2">
        <v>13</v>
      </c>
      <c r="B13">
        <f t="shared" si="0"/>
        <v>33.982576771300003</v>
      </c>
      <c r="C13">
        <f t="shared" si="1"/>
        <v>-45.101866434351251</v>
      </c>
    </row>
    <row r="14" spans="1:3">
      <c r="A14" s="2">
        <v>14</v>
      </c>
      <c r="B14">
        <f t="shared" si="0"/>
        <v>34.322923543400002</v>
      </c>
      <c r="C14">
        <f t="shared" si="1"/>
        <v>-44.761316077986599</v>
      </c>
    </row>
    <row r="15" spans="1:3">
      <c r="A15" s="2">
        <v>15</v>
      </c>
      <c r="B15">
        <f t="shared" si="0"/>
        <v>34.6632703155</v>
      </c>
      <c r="C15">
        <f t="shared" si="1"/>
        <v>-44.420801884722465</v>
      </c>
    </row>
    <row r="16" spans="1:3">
      <c r="A16" s="2">
        <v>16</v>
      </c>
      <c r="B16">
        <f t="shared" si="0"/>
        <v>35.003617087599999</v>
      </c>
      <c r="C16">
        <f t="shared" si="1"/>
        <v>-44.080323854788524</v>
      </c>
    </row>
    <row r="17" spans="1:3">
      <c r="A17" s="2">
        <v>17</v>
      </c>
      <c r="B17">
        <f t="shared" si="0"/>
        <v>35.343963859699997</v>
      </c>
      <c r="C17">
        <f t="shared" si="1"/>
        <v>-43.739881988364814</v>
      </c>
    </row>
    <row r="18" spans="1:3">
      <c r="A18" s="2">
        <v>18</v>
      </c>
      <c r="B18">
        <f t="shared" si="0"/>
        <v>35.684310631800003</v>
      </c>
      <c r="C18">
        <f t="shared" si="1"/>
        <v>-43.399476285581812</v>
      </c>
    </row>
    <row r="19" spans="1:3">
      <c r="A19" s="2">
        <v>19</v>
      </c>
      <c r="B19">
        <f t="shared" si="0"/>
        <v>36.024657403900001</v>
      </c>
      <c r="C19">
        <f t="shared" si="1"/>
        <v>-43.059106746520378</v>
      </c>
    </row>
    <row r="20" spans="1:3">
      <c r="A20" s="2">
        <v>20</v>
      </c>
      <c r="B20">
        <f t="shared" si="0"/>
        <v>36.365004175999999</v>
      </c>
      <c r="C20">
        <f t="shared" si="1"/>
        <v>-42.718773371211711</v>
      </c>
    </row>
    <row r="21" spans="1:3">
      <c r="A21" s="2">
        <v>21</v>
      </c>
      <c r="B21">
        <f t="shared" si="0"/>
        <v>36.705350948099998</v>
      </c>
      <c r="C21">
        <f t="shared" si="1"/>
        <v>-42.378476159637465</v>
      </c>
    </row>
    <row r="22" spans="1:3">
      <c r="A22" s="2">
        <v>22</v>
      </c>
      <c r="B22">
        <f t="shared" si="0"/>
        <v>37.045697720200003</v>
      </c>
      <c r="C22">
        <f t="shared" si="1"/>
        <v>-42.038215111729606</v>
      </c>
    </row>
    <row r="23" spans="1:3">
      <c r="A23" s="2">
        <v>23</v>
      </c>
      <c r="B23">
        <f t="shared" si="0"/>
        <v>37.386044492300002</v>
      </c>
      <c r="C23">
        <f t="shared" si="1"/>
        <v>-41.697990227370582</v>
      </c>
    </row>
    <row r="24" spans="1:3">
      <c r="A24" s="2">
        <v>24</v>
      </c>
      <c r="B24">
        <f t="shared" si="0"/>
        <v>37.7263912644</v>
      </c>
      <c r="C24">
        <f t="shared" si="1"/>
        <v>-41.357801506393152</v>
      </c>
    </row>
    <row r="25" spans="1:3">
      <c r="A25" s="2">
        <v>25</v>
      </c>
      <c r="B25">
        <f t="shared" si="0"/>
        <v>38.066738036499999</v>
      </c>
      <c r="C25">
        <f t="shared" si="1"/>
        <v>-41.017648948580515</v>
      </c>
    </row>
    <row r="26" spans="1:3">
      <c r="A26" s="2">
        <v>26</v>
      </c>
      <c r="B26">
        <f t="shared" si="0"/>
        <v>38.407084808600004</v>
      </c>
      <c r="C26">
        <f t="shared" si="1"/>
        <v>-40.677532553666225</v>
      </c>
    </row>
    <row r="27" spans="1:3">
      <c r="A27" s="2">
        <v>27</v>
      </c>
      <c r="B27">
        <f t="shared" si="0"/>
        <v>38.747431580700002</v>
      </c>
      <c r="C27">
        <f t="shared" si="1"/>
        <v>-40.337452321334275</v>
      </c>
    </row>
    <row r="28" spans="1:3">
      <c r="A28" s="2">
        <v>28</v>
      </c>
      <c r="B28">
        <f t="shared" si="0"/>
        <v>39.087778352800001</v>
      </c>
      <c r="C28">
        <f t="shared" si="1"/>
        <v>-39.997408251219014</v>
      </c>
    </row>
    <row r="29" spans="1:3">
      <c r="A29" s="2">
        <v>29</v>
      </c>
      <c r="B29">
        <f t="shared" si="0"/>
        <v>39.428125124899999</v>
      </c>
      <c r="C29">
        <f t="shared" si="1"/>
        <v>-39.657400342905213</v>
      </c>
    </row>
    <row r="30" spans="1:3">
      <c r="A30" s="2">
        <v>30</v>
      </c>
      <c r="B30">
        <f t="shared" si="0"/>
        <v>39.768471896999998</v>
      </c>
      <c r="C30">
        <f t="shared" si="1"/>
        <v>-39.317428595928021</v>
      </c>
    </row>
    <row r="31" spans="1:3">
      <c r="A31" s="2">
        <v>31</v>
      </c>
      <c r="B31">
        <f t="shared" si="0"/>
        <v>40.108818669100003</v>
      </c>
      <c r="C31">
        <f t="shared" si="1"/>
        <v>-38.977493009773042</v>
      </c>
    </row>
    <row r="32" spans="1:3">
      <c r="A32" s="2">
        <v>32</v>
      </c>
      <c r="B32">
        <f t="shared" si="0"/>
        <v>40.449165441200002</v>
      </c>
      <c r="C32">
        <f t="shared" si="1"/>
        <v>-38.637593583876232</v>
      </c>
    </row>
    <row r="33" spans="1:3">
      <c r="A33" s="2">
        <v>33</v>
      </c>
      <c r="B33">
        <f t="shared" ref="B33:B64" si="2">29.8984155061+(A33-1)*0.3403467721</f>
        <v>40.7895122133</v>
      </c>
      <c r="C33">
        <f t="shared" ref="C33:C64" si="3">0+1*B33-78.837779537689*(1.00625+(B33-36.06875)^2/251739.382713266)^0.5</f>
        <v>-38.297730317623987</v>
      </c>
    </row>
    <row r="34" spans="1:3">
      <c r="A34" s="2">
        <v>34</v>
      </c>
      <c r="B34">
        <f t="shared" si="2"/>
        <v>41.129858985399999</v>
      </c>
      <c r="C34">
        <f t="shared" si="3"/>
        <v>-37.95790321035313</v>
      </c>
    </row>
    <row r="35" spans="1:3">
      <c r="A35" s="2">
        <v>35</v>
      </c>
      <c r="B35">
        <f t="shared" si="2"/>
        <v>41.470205757499997</v>
      </c>
      <c r="C35">
        <f t="shared" si="3"/>
        <v>-37.618112261350873</v>
      </c>
    </row>
    <row r="36" spans="1:3">
      <c r="A36" s="2">
        <v>36</v>
      </c>
      <c r="B36">
        <f t="shared" si="2"/>
        <v>41.810552529600002</v>
      </c>
      <c r="C36">
        <f t="shared" si="3"/>
        <v>-37.278357469854896</v>
      </c>
    </row>
    <row r="37" spans="1:3">
      <c r="A37" s="2">
        <v>37</v>
      </c>
      <c r="B37">
        <f t="shared" si="2"/>
        <v>42.150899301700001</v>
      </c>
      <c r="C37">
        <f t="shared" si="3"/>
        <v>-36.938638835053261</v>
      </c>
    </row>
    <row r="38" spans="1:3">
      <c r="A38" s="2">
        <v>38</v>
      </c>
      <c r="B38">
        <f t="shared" si="2"/>
        <v>42.491246073799999</v>
      </c>
      <c r="C38">
        <f t="shared" si="3"/>
        <v>-36.598956356084528</v>
      </c>
    </row>
    <row r="39" spans="1:3">
      <c r="A39" s="2">
        <v>39</v>
      </c>
      <c r="B39">
        <f t="shared" si="2"/>
        <v>42.831592845899998</v>
      </c>
      <c r="C39">
        <f t="shared" si="3"/>
        <v>-36.259310032037654</v>
      </c>
    </row>
    <row r="40" spans="1:3">
      <c r="A40" s="2">
        <v>40</v>
      </c>
      <c r="B40">
        <f t="shared" si="2"/>
        <v>43.171939617999996</v>
      </c>
      <c r="C40">
        <f t="shared" si="3"/>
        <v>-35.919699861952026</v>
      </c>
    </row>
    <row r="41" spans="1:3">
      <c r="A41" s="2">
        <v>41</v>
      </c>
      <c r="B41">
        <f t="shared" si="2"/>
        <v>43.512286390100002</v>
      </c>
      <c r="C41">
        <f t="shared" si="3"/>
        <v>-35.580125844817559</v>
      </c>
    </row>
    <row r="42" spans="1:3">
      <c r="A42" s="2">
        <v>42</v>
      </c>
      <c r="B42">
        <f t="shared" si="2"/>
        <v>43.8526331622</v>
      </c>
      <c r="C42">
        <f t="shared" si="3"/>
        <v>-35.240587979574592</v>
      </c>
    </row>
    <row r="43" spans="1:3">
      <c r="A43" s="2">
        <v>43</v>
      </c>
      <c r="B43">
        <f t="shared" si="2"/>
        <v>44.192979934299998</v>
      </c>
      <c r="C43">
        <f t="shared" si="3"/>
        <v>-34.901086265113918</v>
      </c>
    </row>
    <row r="44" spans="1:3">
      <c r="A44" s="2">
        <v>44</v>
      </c>
      <c r="B44">
        <f t="shared" si="2"/>
        <v>44.533326706400004</v>
      </c>
      <c r="C44">
        <f t="shared" si="3"/>
        <v>-34.561620700276791</v>
      </c>
    </row>
    <row r="45" spans="1:3">
      <c r="A45" s="2">
        <v>45</v>
      </c>
      <c r="B45">
        <f t="shared" si="2"/>
        <v>44.873673478499995</v>
      </c>
      <c r="C45">
        <f t="shared" si="3"/>
        <v>-34.22219128385504</v>
      </c>
    </row>
    <row r="46" spans="1:3">
      <c r="A46" s="2">
        <v>46</v>
      </c>
      <c r="B46">
        <f t="shared" si="2"/>
        <v>45.214020250600001</v>
      </c>
      <c r="C46">
        <f t="shared" si="3"/>
        <v>-33.88279801459089</v>
      </c>
    </row>
    <row r="47" spans="1:3">
      <c r="A47" s="2">
        <v>47</v>
      </c>
      <c r="B47">
        <f t="shared" si="2"/>
        <v>45.554367022699999</v>
      </c>
      <c r="C47">
        <f t="shared" si="3"/>
        <v>-33.543440891177134</v>
      </c>
    </row>
    <row r="48" spans="1:3">
      <c r="A48" s="2">
        <v>48</v>
      </c>
      <c r="B48">
        <f t="shared" si="2"/>
        <v>45.894713794799998</v>
      </c>
      <c r="C48">
        <f t="shared" si="3"/>
        <v>-33.204119912257042</v>
      </c>
    </row>
    <row r="49" spans="1:3">
      <c r="A49" s="2">
        <v>49</v>
      </c>
      <c r="B49">
        <f t="shared" si="2"/>
        <v>46.235060566900003</v>
      </c>
      <c r="C49">
        <f t="shared" si="3"/>
        <v>-32.864835076424399</v>
      </c>
    </row>
    <row r="50" spans="1:3">
      <c r="A50" s="2">
        <v>50</v>
      </c>
      <c r="B50">
        <f t="shared" si="2"/>
        <v>46.575407338999995</v>
      </c>
      <c r="C50">
        <f t="shared" si="3"/>
        <v>-32.525586382223537</v>
      </c>
    </row>
    <row r="51" spans="1:3">
      <c r="A51" s="2">
        <v>51</v>
      </c>
      <c r="B51">
        <f t="shared" si="2"/>
        <v>46.9157541111</v>
      </c>
      <c r="C51">
        <f t="shared" si="3"/>
        <v>-32.186373828149343</v>
      </c>
    </row>
    <row r="52" spans="1:3">
      <c r="A52" s="2">
        <v>52</v>
      </c>
      <c r="B52">
        <f t="shared" si="2"/>
        <v>47.256100883199998</v>
      </c>
      <c r="C52">
        <f t="shared" si="3"/>
        <v>-31.84719741264724</v>
      </c>
    </row>
    <row r="53" spans="1:3">
      <c r="A53" s="2">
        <v>53</v>
      </c>
      <c r="B53">
        <f t="shared" si="2"/>
        <v>47.596447655299997</v>
      </c>
      <c r="C53">
        <f t="shared" si="3"/>
        <v>-31.508057134113187</v>
      </c>
    </row>
    <row r="54" spans="1:3">
      <c r="A54" s="2">
        <v>54</v>
      </c>
      <c r="B54">
        <f t="shared" si="2"/>
        <v>47.936794427400002</v>
      </c>
      <c r="C54">
        <f t="shared" si="3"/>
        <v>-31.168952990893743</v>
      </c>
    </row>
    <row r="55" spans="1:3">
      <c r="A55" s="2">
        <v>55</v>
      </c>
      <c r="B55">
        <f t="shared" si="2"/>
        <v>48.277141199500001</v>
      </c>
      <c r="C55">
        <f t="shared" si="3"/>
        <v>-30.82988498128605</v>
      </c>
    </row>
    <row r="56" spans="1:3">
      <c r="A56" s="2">
        <v>56</v>
      </c>
      <c r="B56">
        <f t="shared" si="2"/>
        <v>48.617487971599999</v>
      </c>
      <c r="C56">
        <f t="shared" si="3"/>
        <v>-30.490853103537859</v>
      </c>
    </row>
    <row r="57" spans="1:3">
      <c r="A57" s="2">
        <v>57</v>
      </c>
      <c r="B57">
        <f t="shared" si="2"/>
        <v>48.957834743699998</v>
      </c>
      <c r="C57">
        <f t="shared" si="3"/>
        <v>-30.151857355847504</v>
      </c>
    </row>
    <row r="58" spans="1:3">
      <c r="A58" s="2">
        <v>58</v>
      </c>
      <c r="B58">
        <f t="shared" si="2"/>
        <v>49.298181515799996</v>
      </c>
      <c r="C58">
        <f t="shared" si="3"/>
        <v>-29.812897736363908</v>
      </c>
    </row>
    <row r="59" spans="1:3">
      <c r="A59" s="2">
        <v>59</v>
      </c>
      <c r="B59">
        <f t="shared" si="2"/>
        <v>49.638528287900002</v>
      </c>
      <c r="C59">
        <f t="shared" si="3"/>
        <v>-29.473974243186717</v>
      </c>
    </row>
    <row r="60" spans="1:3">
      <c r="A60" s="2">
        <v>60</v>
      </c>
      <c r="B60">
        <f t="shared" si="2"/>
        <v>49.97887506</v>
      </c>
      <c r="C60">
        <f t="shared" si="3"/>
        <v>-29.135086874366117</v>
      </c>
    </row>
    <row r="61" spans="1:3">
      <c r="A61" s="2">
        <v>61</v>
      </c>
      <c r="B61">
        <f t="shared" si="2"/>
        <v>50.319221832099998</v>
      </c>
      <c r="C61">
        <f t="shared" si="3"/>
        <v>-28.796235627903059</v>
      </c>
    </row>
    <row r="62" spans="1:3">
      <c r="A62" s="2">
        <v>62</v>
      </c>
      <c r="B62">
        <f t="shared" si="2"/>
        <v>50.659568604200004</v>
      </c>
      <c r="C62">
        <f t="shared" si="3"/>
        <v>-28.457420501749056</v>
      </c>
    </row>
    <row r="63" spans="1:3">
      <c r="A63" s="2">
        <v>63</v>
      </c>
      <c r="B63">
        <f t="shared" si="2"/>
        <v>50.999915376299995</v>
      </c>
      <c r="C63">
        <f t="shared" si="3"/>
        <v>-28.118641493806408</v>
      </c>
    </row>
    <row r="64" spans="1:3">
      <c r="A64" s="2">
        <v>64</v>
      </c>
      <c r="B64">
        <f t="shared" si="2"/>
        <v>51.340262148400001</v>
      </c>
      <c r="C64">
        <f t="shared" si="3"/>
        <v>-27.779898601928039</v>
      </c>
    </row>
    <row r="65" spans="1:3">
      <c r="A65" s="2">
        <v>65</v>
      </c>
      <c r="B65">
        <f t="shared" ref="B65:B70" si="4">29.8984155061+(A65-1)*0.3403467721</f>
        <v>51.680608920499999</v>
      </c>
      <c r="C65">
        <f t="shared" ref="C65:C70" si="5">0+1*B65-78.837779537689*(1.00625+(B65-36.06875)^2/251739.382713266)^0.5</f>
        <v>-27.441191823917656</v>
      </c>
    </row>
    <row r="66" spans="1:3">
      <c r="A66" s="2">
        <v>66</v>
      </c>
      <c r="B66">
        <f t="shared" si="4"/>
        <v>52.020955692599998</v>
      </c>
      <c r="C66">
        <f t="shared" si="5"/>
        <v>-27.102521157529608</v>
      </c>
    </row>
    <row r="67" spans="1:3">
      <c r="A67" s="2">
        <v>67</v>
      </c>
      <c r="B67">
        <f t="shared" si="4"/>
        <v>52.361302464700003</v>
      </c>
      <c r="C67">
        <f t="shared" si="5"/>
        <v>-26.763886600469093</v>
      </c>
    </row>
    <row r="68" spans="1:3">
      <c r="A68" s="2">
        <v>68</v>
      </c>
      <c r="B68">
        <f t="shared" si="4"/>
        <v>52.701649236799994</v>
      </c>
      <c r="C68">
        <f t="shared" si="5"/>
        <v>-26.425288150391992</v>
      </c>
    </row>
    <row r="69" spans="1:3">
      <c r="A69" s="2">
        <v>69</v>
      </c>
      <c r="B69">
        <f t="shared" si="4"/>
        <v>53.0419960089</v>
      </c>
      <c r="C69">
        <f t="shared" si="5"/>
        <v>-26.086725804905001</v>
      </c>
    </row>
    <row r="70" spans="1:3">
      <c r="A70" s="2">
        <v>70</v>
      </c>
      <c r="B70">
        <f t="shared" si="4"/>
        <v>53.382342780999998</v>
      </c>
      <c r="C70">
        <f t="shared" si="5"/>
        <v>-25.748199561565592</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enableFormatConditionsCalculation="0"/>
  <dimension ref="A1:C70"/>
  <sheetViews>
    <sheetView workbookViewId="0"/>
  </sheetViews>
  <sheetFormatPr baseColWidth="10" defaultRowHeight="15.75"/>
  <sheetData>
    <row r="1" spans="1:3">
      <c r="A1" s="2">
        <v>1</v>
      </c>
      <c r="B1">
        <f t="shared" ref="B1:B32" si="0">0.004463952+(A1-1)*0.0001711282</f>
        <v>4.4639520000000002E-3</v>
      </c>
      <c r="C1">
        <f t="shared" ref="C1:C32" si="1">0+1*B1+0.0484255886018306*(1.00657894736842+(B1-0.0103467566886897)^2/0.0900966845022564)^0.5</f>
        <v>5.3057843305327403E-2</v>
      </c>
    </row>
    <row r="2" spans="1:3">
      <c r="A2" s="2">
        <v>2</v>
      </c>
      <c r="B2">
        <f t="shared" si="0"/>
        <v>4.6350801999999998E-3</v>
      </c>
      <c r="C2">
        <f t="shared" si="1"/>
        <v>5.3228440126054877E-2</v>
      </c>
    </row>
    <row r="3" spans="1:3">
      <c r="A3" s="2">
        <v>3</v>
      </c>
      <c r="B3">
        <f t="shared" si="0"/>
        <v>4.8062084000000003E-3</v>
      </c>
      <c r="C3">
        <f t="shared" si="1"/>
        <v>5.3399052626961083E-2</v>
      </c>
    </row>
    <row r="4" spans="1:3">
      <c r="A4" s="2">
        <v>4</v>
      </c>
      <c r="B4">
        <f t="shared" si="0"/>
        <v>4.9773365999999999E-3</v>
      </c>
      <c r="C4">
        <f t="shared" si="1"/>
        <v>5.3569680808545274E-2</v>
      </c>
    </row>
    <row r="5" spans="1:3">
      <c r="A5" s="2">
        <v>5</v>
      </c>
      <c r="B5">
        <f t="shared" si="0"/>
        <v>5.1484648000000004E-3</v>
      </c>
      <c r="C5">
        <f t="shared" si="1"/>
        <v>5.3740324671291514E-2</v>
      </c>
    </row>
    <row r="6" spans="1:3">
      <c r="A6" s="2">
        <v>6</v>
      </c>
      <c r="B6">
        <f t="shared" si="0"/>
        <v>5.3195930000000001E-3</v>
      </c>
      <c r="C6">
        <f t="shared" si="1"/>
        <v>5.39109842156687E-2</v>
      </c>
    </row>
    <row r="7" spans="1:3">
      <c r="A7" s="2">
        <v>7</v>
      </c>
      <c r="B7">
        <f t="shared" si="0"/>
        <v>5.4907211999999997E-3</v>
      </c>
      <c r="C7">
        <f t="shared" si="1"/>
        <v>5.4081659442130593E-2</v>
      </c>
    </row>
    <row r="8" spans="1:3">
      <c r="A8" s="2">
        <v>8</v>
      </c>
      <c r="B8">
        <f t="shared" si="0"/>
        <v>5.6618494000000002E-3</v>
      </c>
      <c r="C8">
        <f t="shared" si="1"/>
        <v>5.4252350351115752E-2</v>
      </c>
    </row>
    <row r="9" spans="1:3">
      <c r="A9" s="2">
        <v>9</v>
      </c>
      <c r="B9">
        <f t="shared" si="0"/>
        <v>5.8329776000000007E-3</v>
      </c>
      <c r="C9">
        <f t="shared" si="1"/>
        <v>5.4423056943047596E-2</v>
      </c>
    </row>
    <row r="10" spans="1:3">
      <c r="A10" s="2">
        <v>10</v>
      </c>
      <c r="B10">
        <f t="shared" si="0"/>
        <v>6.0041058000000003E-3</v>
      </c>
      <c r="C10">
        <f t="shared" si="1"/>
        <v>5.4593779218334373E-2</v>
      </c>
    </row>
    <row r="11" spans="1:3">
      <c r="A11" s="2">
        <v>11</v>
      </c>
      <c r="B11">
        <f t="shared" si="0"/>
        <v>6.1752339999999999E-3</v>
      </c>
      <c r="C11">
        <f t="shared" si="1"/>
        <v>5.4764517177369139E-2</v>
      </c>
    </row>
    <row r="12" spans="1:3">
      <c r="A12" s="2">
        <v>12</v>
      </c>
      <c r="B12">
        <f t="shared" si="0"/>
        <v>6.3463622000000004E-3</v>
      </c>
      <c r="C12">
        <f t="shared" si="1"/>
        <v>5.4935270820529777E-2</v>
      </c>
    </row>
    <row r="13" spans="1:3">
      <c r="A13" s="2">
        <v>13</v>
      </c>
      <c r="B13">
        <f t="shared" si="0"/>
        <v>6.5174904000000001E-3</v>
      </c>
      <c r="C13">
        <f t="shared" si="1"/>
        <v>5.5106040148179006E-2</v>
      </c>
    </row>
    <row r="14" spans="1:3">
      <c r="A14" s="2">
        <v>14</v>
      </c>
      <c r="B14">
        <f t="shared" si="0"/>
        <v>6.6886185999999997E-3</v>
      </c>
      <c r="C14">
        <f t="shared" si="1"/>
        <v>5.5276825160664386E-2</v>
      </c>
    </row>
    <row r="15" spans="1:3">
      <c r="A15" s="2">
        <v>15</v>
      </c>
      <c r="B15">
        <f t="shared" si="0"/>
        <v>6.8597468000000002E-3</v>
      </c>
      <c r="C15">
        <f t="shared" si="1"/>
        <v>5.5447625858318236E-2</v>
      </c>
    </row>
    <row r="16" spans="1:3">
      <c r="A16" s="2">
        <v>16</v>
      </c>
      <c r="B16">
        <f t="shared" si="0"/>
        <v>7.0308750000000007E-3</v>
      </c>
      <c r="C16">
        <f t="shared" si="1"/>
        <v>5.5618442241457768E-2</v>
      </c>
    </row>
    <row r="17" spans="1:3">
      <c r="A17" s="2">
        <v>17</v>
      </c>
      <c r="B17">
        <f t="shared" si="0"/>
        <v>7.2020032000000003E-3</v>
      </c>
      <c r="C17">
        <f t="shared" si="1"/>
        <v>5.578927431038494E-2</v>
      </c>
    </row>
    <row r="18" spans="1:3">
      <c r="A18" s="2">
        <v>18</v>
      </c>
      <c r="B18">
        <f t="shared" si="0"/>
        <v>7.3731313999999999E-3</v>
      </c>
      <c r="C18">
        <f t="shared" si="1"/>
        <v>5.5960122065386586E-2</v>
      </c>
    </row>
    <row r="19" spans="1:3">
      <c r="A19" s="2">
        <v>19</v>
      </c>
      <c r="B19">
        <f t="shared" si="0"/>
        <v>7.5442596000000004E-3</v>
      </c>
      <c r="C19">
        <f t="shared" si="1"/>
        <v>5.6130985506734316E-2</v>
      </c>
    </row>
    <row r="20" spans="1:3">
      <c r="A20" s="2">
        <v>20</v>
      </c>
      <c r="B20">
        <f t="shared" si="0"/>
        <v>7.7153878000000009E-3</v>
      </c>
      <c r="C20">
        <f t="shared" si="1"/>
        <v>5.6301864634684576E-2</v>
      </c>
    </row>
    <row r="21" spans="1:3">
      <c r="A21" s="2">
        <v>21</v>
      </c>
      <c r="B21">
        <f t="shared" si="0"/>
        <v>7.8865159999999997E-3</v>
      </c>
      <c r="C21">
        <f t="shared" si="1"/>
        <v>5.6472759449478604E-2</v>
      </c>
    </row>
    <row r="22" spans="1:3">
      <c r="A22" s="2">
        <v>22</v>
      </c>
      <c r="B22">
        <f t="shared" si="0"/>
        <v>8.0576442000000002E-3</v>
      </c>
      <c r="C22">
        <f t="shared" si="1"/>
        <v>5.6643669951342436E-2</v>
      </c>
    </row>
    <row r="23" spans="1:3">
      <c r="A23" s="2">
        <v>23</v>
      </c>
      <c r="B23">
        <f t="shared" si="0"/>
        <v>8.2287724000000007E-3</v>
      </c>
      <c r="C23">
        <f t="shared" si="1"/>
        <v>5.6814596140486999E-2</v>
      </c>
    </row>
    <row r="24" spans="1:3">
      <c r="A24" s="2">
        <v>24</v>
      </c>
      <c r="B24">
        <f t="shared" si="0"/>
        <v>8.3999005999999994E-3</v>
      </c>
      <c r="C24">
        <f t="shared" si="1"/>
        <v>5.6985538017107901E-2</v>
      </c>
    </row>
    <row r="25" spans="1:3">
      <c r="A25" s="2">
        <v>25</v>
      </c>
      <c r="B25">
        <f t="shared" si="0"/>
        <v>8.5710287999999999E-3</v>
      </c>
      <c r="C25">
        <f t="shared" si="1"/>
        <v>5.715649558138567E-2</v>
      </c>
    </row>
    <row r="26" spans="1:3">
      <c r="A26" s="2">
        <v>26</v>
      </c>
      <c r="B26">
        <f t="shared" si="0"/>
        <v>8.7421570000000004E-3</v>
      </c>
      <c r="C26">
        <f t="shared" si="1"/>
        <v>5.7327468833485586E-2</v>
      </c>
    </row>
    <row r="27" spans="1:3">
      <c r="A27" s="2">
        <v>27</v>
      </c>
      <c r="B27">
        <f t="shared" si="0"/>
        <v>8.9132851999999992E-3</v>
      </c>
      <c r="C27">
        <f t="shared" si="1"/>
        <v>5.7498457773557721E-2</v>
      </c>
    </row>
    <row r="28" spans="1:3">
      <c r="A28" s="2">
        <v>28</v>
      </c>
      <c r="B28">
        <f t="shared" si="0"/>
        <v>9.0844134000000014E-3</v>
      </c>
      <c r="C28">
        <f t="shared" si="1"/>
        <v>5.7669462401737009E-2</v>
      </c>
    </row>
    <row r="29" spans="1:3">
      <c r="A29" s="2">
        <v>29</v>
      </c>
      <c r="B29">
        <f t="shared" si="0"/>
        <v>9.2555416000000001E-3</v>
      </c>
      <c r="C29">
        <f t="shared" si="1"/>
        <v>5.7840482718143127E-2</v>
      </c>
    </row>
    <row r="30" spans="1:3">
      <c r="A30" s="2">
        <v>30</v>
      </c>
      <c r="B30">
        <f t="shared" si="0"/>
        <v>9.4266698000000006E-3</v>
      </c>
      <c r="C30">
        <f t="shared" si="1"/>
        <v>5.8011518722880594E-2</v>
      </c>
    </row>
    <row r="31" spans="1:3">
      <c r="A31" s="2">
        <v>31</v>
      </c>
      <c r="B31">
        <f t="shared" si="0"/>
        <v>9.5977980000000011E-3</v>
      </c>
      <c r="C31">
        <f t="shared" si="1"/>
        <v>5.818257041603872E-2</v>
      </c>
    </row>
    <row r="32" spans="1:3">
      <c r="A32" s="2">
        <v>32</v>
      </c>
      <c r="B32">
        <f t="shared" si="0"/>
        <v>9.7689261999999999E-3</v>
      </c>
      <c r="C32">
        <f t="shared" si="1"/>
        <v>5.8353637797691621E-2</v>
      </c>
    </row>
    <row r="33" spans="1:3">
      <c r="A33" s="2">
        <v>33</v>
      </c>
      <c r="B33">
        <f t="shared" ref="B33:B64" si="2">0.004463952+(A33-1)*0.0001711282</f>
        <v>9.9400544000000004E-3</v>
      </c>
      <c r="C33">
        <f t="shared" ref="C33:C64" si="3">0+1*B33+0.0484255886018306*(1.00657894736842+(B33-0.0103467566886897)^2/0.0900966845022564)^0.5</f>
        <v>5.8524720867898214E-2</v>
      </c>
    </row>
    <row r="34" spans="1:3">
      <c r="A34" s="2">
        <v>34</v>
      </c>
      <c r="B34">
        <f t="shared" si="2"/>
        <v>1.0111182600000001E-2</v>
      </c>
      <c r="C34">
        <f t="shared" si="3"/>
        <v>5.8695819626702214E-2</v>
      </c>
    </row>
    <row r="35" spans="1:3">
      <c r="A35" s="2">
        <v>35</v>
      </c>
      <c r="B35">
        <f t="shared" si="2"/>
        <v>1.02823108E-2</v>
      </c>
      <c r="C35">
        <f t="shared" si="3"/>
        <v>5.8866934074132148E-2</v>
      </c>
    </row>
    <row r="36" spans="1:3">
      <c r="A36" s="2">
        <v>36</v>
      </c>
      <c r="B36">
        <f t="shared" si="2"/>
        <v>1.0453439E-2</v>
      </c>
      <c r="C36">
        <f t="shared" si="3"/>
        <v>5.903806421020133E-2</v>
      </c>
    </row>
    <row r="37" spans="1:3">
      <c r="A37" s="2">
        <v>37</v>
      </c>
      <c r="B37">
        <f t="shared" si="2"/>
        <v>1.0624567200000001E-2</v>
      </c>
      <c r="C37">
        <f t="shared" si="3"/>
        <v>5.920921003490788E-2</v>
      </c>
    </row>
    <row r="38" spans="1:3">
      <c r="A38" s="2">
        <v>38</v>
      </c>
      <c r="B38">
        <f t="shared" si="2"/>
        <v>1.0795695399999999E-2</v>
      </c>
      <c r="C38">
        <f t="shared" si="3"/>
        <v>5.9380371548234744E-2</v>
      </c>
    </row>
    <row r="39" spans="1:3">
      <c r="A39" s="2">
        <v>39</v>
      </c>
      <c r="B39">
        <f t="shared" si="2"/>
        <v>1.0966823600000002E-2</v>
      </c>
      <c r="C39">
        <f t="shared" si="3"/>
        <v>5.955154875014964E-2</v>
      </c>
    </row>
    <row r="40" spans="1:3">
      <c r="A40" s="2">
        <v>40</v>
      </c>
      <c r="B40">
        <f t="shared" si="2"/>
        <v>1.11379518E-2</v>
      </c>
      <c r="C40">
        <f t="shared" si="3"/>
        <v>5.9722741640605093E-2</v>
      </c>
    </row>
    <row r="41" spans="1:3">
      <c r="A41" s="2">
        <v>41</v>
      </c>
      <c r="B41">
        <f t="shared" si="2"/>
        <v>1.1309080000000001E-2</v>
      </c>
      <c r="C41">
        <f t="shared" si="3"/>
        <v>5.9893950219538444E-2</v>
      </c>
    </row>
    <row r="42" spans="1:3">
      <c r="A42" s="2">
        <v>42</v>
      </c>
      <c r="B42">
        <f t="shared" si="2"/>
        <v>1.1480208200000001E-2</v>
      </c>
      <c r="C42">
        <f t="shared" si="3"/>
        <v>6.006517448687182E-2</v>
      </c>
    </row>
    <row r="43" spans="1:3">
      <c r="A43" s="2">
        <v>43</v>
      </c>
      <c r="B43">
        <f t="shared" si="2"/>
        <v>1.16513364E-2</v>
      </c>
      <c r="C43">
        <f t="shared" si="3"/>
        <v>6.0236414442512168E-2</v>
      </c>
    </row>
    <row r="44" spans="1:3">
      <c r="A44" s="2">
        <v>44</v>
      </c>
      <c r="B44">
        <f t="shared" si="2"/>
        <v>1.1822464600000001E-2</v>
      </c>
      <c r="C44">
        <f t="shared" si="3"/>
        <v>6.0407670086351214E-2</v>
      </c>
    </row>
    <row r="45" spans="1:3">
      <c r="A45" s="2">
        <v>45</v>
      </c>
      <c r="B45">
        <f t="shared" si="2"/>
        <v>1.1993592800000001E-2</v>
      </c>
      <c r="C45">
        <f t="shared" si="3"/>
        <v>6.0578941418265524E-2</v>
      </c>
    </row>
    <row r="46" spans="1:3">
      <c r="A46" s="2">
        <v>46</v>
      </c>
      <c r="B46">
        <f t="shared" si="2"/>
        <v>1.2164721E-2</v>
      </c>
      <c r="C46">
        <f t="shared" si="3"/>
        <v>6.0750228438116421E-2</v>
      </c>
    </row>
    <row r="47" spans="1:3">
      <c r="A47" s="2">
        <v>47</v>
      </c>
      <c r="B47">
        <f t="shared" si="2"/>
        <v>1.23358492E-2</v>
      </c>
      <c r="C47">
        <f t="shared" si="3"/>
        <v>6.0921531145750094E-2</v>
      </c>
    </row>
    <row r="48" spans="1:3">
      <c r="A48" s="2">
        <v>48</v>
      </c>
      <c r="B48">
        <f t="shared" si="2"/>
        <v>1.2506977400000001E-2</v>
      </c>
      <c r="C48">
        <f t="shared" si="3"/>
        <v>6.1092849540997488E-2</v>
      </c>
    </row>
    <row r="49" spans="1:3">
      <c r="A49" s="2">
        <v>49</v>
      </c>
      <c r="B49">
        <f t="shared" si="2"/>
        <v>1.26781056E-2</v>
      </c>
      <c r="C49">
        <f t="shared" si="3"/>
        <v>6.1264183623674348E-2</v>
      </c>
    </row>
    <row r="50" spans="1:3">
      <c r="A50" s="2">
        <v>50</v>
      </c>
      <c r="B50">
        <f t="shared" si="2"/>
        <v>1.28492338E-2</v>
      </c>
      <c r="C50">
        <f t="shared" si="3"/>
        <v>6.1435533393581286E-2</v>
      </c>
    </row>
    <row r="51" spans="1:3">
      <c r="A51" s="2">
        <v>51</v>
      </c>
      <c r="B51">
        <f t="shared" si="2"/>
        <v>1.3020362000000001E-2</v>
      </c>
      <c r="C51">
        <f t="shared" si="3"/>
        <v>6.1606898850503668E-2</v>
      </c>
    </row>
    <row r="52" spans="1:3">
      <c r="A52" s="2">
        <v>52</v>
      </c>
      <c r="B52">
        <f t="shared" si="2"/>
        <v>1.3191490200000001E-2</v>
      </c>
      <c r="C52">
        <f t="shared" si="3"/>
        <v>6.1778279994211691E-2</v>
      </c>
    </row>
    <row r="53" spans="1:3">
      <c r="A53" s="2">
        <v>53</v>
      </c>
      <c r="B53">
        <f t="shared" si="2"/>
        <v>1.33626184E-2</v>
      </c>
      <c r="C53">
        <f t="shared" si="3"/>
        <v>6.1949676824460342E-2</v>
      </c>
    </row>
    <row r="54" spans="1:3">
      <c r="A54" s="2">
        <v>54</v>
      </c>
      <c r="B54">
        <f t="shared" si="2"/>
        <v>1.35337466E-2</v>
      </c>
      <c r="C54">
        <f t="shared" si="3"/>
        <v>6.2121089340989477E-2</v>
      </c>
    </row>
    <row r="55" spans="1:3">
      <c r="A55" s="2">
        <v>55</v>
      </c>
      <c r="B55">
        <f t="shared" si="2"/>
        <v>1.3704874800000001E-2</v>
      </c>
      <c r="C55">
        <f t="shared" si="3"/>
        <v>6.229251754352369E-2</v>
      </c>
    </row>
    <row r="56" spans="1:3">
      <c r="A56" s="2">
        <v>56</v>
      </c>
      <c r="B56">
        <f t="shared" si="2"/>
        <v>1.3876003000000001E-2</v>
      </c>
      <c r="C56">
        <f t="shared" si="3"/>
        <v>6.2463961431772422E-2</v>
      </c>
    </row>
    <row r="57" spans="1:3">
      <c r="A57" s="2">
        <v>57</v>
      </c>
      <c r="B57">
        <f t="shared" si="2"/>
        <v>1.40471312E-2</v>
      </c>
      <c r="C57">
        <f t="shared" si="3"/>
        <v>6.2635421005429959E-2</v>
      </c>
    </row>
    <row r="58" spans="1:3">
      <c r="A58" s="2">
        <v>58</v>
      </c>
      <c r="B58">
        <f t="shared" si="2"/>
        <v>1.4218259400000001E-2</v>
      </c>
      <c r="C58">
        <f t="shared" si="3"/>
        <v>6.2806896264175363E-2</v>
      </c>
    </row>
    <row r="59" spans="1:3">
      <c r="A59" s="2">
        <v>59</v>
      </c>
      <c r="B59">
        <f t="shared" si="2"/>
        <v>1.4389387600000001E-2</v>
      </c>
      <c r="C59">
        <f t="shared" si="3"/>
        <v>6.2978387207672543E-2</v>
      </c>
    </row>
    <row r="60" spans="1:3">
      <c r="A60" s="2">
        <v>60</v>
      </c>
      <c r="B60">
        <f t="shared" si="2"/>
        <v>1.45605158E-2</v>
      </c>
      <c r="C60">
        <f t="shared" si="3"/>
        <v>6.3149893835570209E-2</v>
      </c>
    </row>
    <row r="61" spans="1:3">
      <c r="A61" s="2">
        <v>61</v>
      </c>
      <c r="B61">
        <f t="shared" si="2"/>
        <v>1.4731644E-2</v>
      </c>
      <c r="C61">
        <f t="shared" si="3"/>
        <v>6.3321416147501891E-2</v>
      </c>
    </row>
    <row r="62" spans="1:3">
      <c r="A62" s="2">
        <v>62</v>
      </c>
      <c r="B62">
        <f t="shared" si="2"/>
        <v>1.4902772200000001E-2</v>
      </c>
      <c r="C62">
        <f t="shared" si="3"/>
        <v>6.349295414308595E-2</v>
      </c>
    </row>
    <row r="63" spans="1:3">
      <c r="A63" s="2">
        <v>63</v>
      </c>
      <c r="B63">
        <f t="shared" si="2"/>
        <v>1.5073900400000001E-2</v>
      </c>
      <c r="C63">
        <f t="shared" si="3"/>
        <v>6.3664507821925592E-2</v>
      </c>
    </row>
    <row r="64" spans="1:3">
      <c r="A64" s="2">
        <v>64</v>
      </c>
      <c r="B64">
        <f t="shared" si="2"/>
        <v>1.52450286E-2</v>
      </c>
      <c r="C64">
        <f t="shared" si="3"/>
        <v>6.3836077183608828E-2</v>
      </c>
    </row>
    <row r="65" spans="1:3">
      <c r="A65" s="2">
        <v>65</v>
      </c>
      <c r="B65">
        <f t="shared" ref="B65:B70" si="4">0.004463952+(A65-1)*0.0001711282</f>
        <v>1.5416156800000001E-2</v>
      </c>
      <c r="C65">
        <f t="shared" ref="C65:C70" si="5">0+1*B65+0.0484255886018306*(1.00657894736842+(B65-0.0103467566886897)^2/0.0900966845022564)^0.5</f>
        <v>6.4007662227708498E-2</v>
      </c>
    </row>
    <row r="66" spans="1:3">
      <c r="A66" s="2">
        <v>66</v>
      </c>
      <c r="B66">
        <f t="shared" si="4"/>
        <v>1.5587285000000001E-2</v>
      </c>
      <c r="C66">
        <f t="shared" si="5"/>
        <v>6.4179262953782304E-2</v>
      </c>
    </row>
    <row r="67" spans="1:3">
      <c r="A67" s="2">
        <v>67</v>
      </c>
      <c r="B67">
        <f t="shared" si="4"/>
        <v>1.5758413200000002E-2</v>
      </c>
      <c r="C67">
        <f t="shared" si="5"/>
        <v>6.4350879361372723E-2</v>
      </c>
    </row>
    <row r="68" spans="1:3">
      <c r="A68" s="2">
        <v>68</v>
      </c>
      <c r="B68">
        <f t="shared" si="4"/>
        <v>1.59295414E-2</v>
      </c>
      <c r="C68">
        <f t="shared" si="5"/>
        <v>6.452251145000712E-2</v>
      </c>
    </row>
    <row r="69" spans="1:3">
      <c r="A69" s="2">
        <v>69</v>
      </c>
      <c r="B69">
        <f t="shared" si="4"/>
        <v>1.6100669599999999E-2</v>
      </c>
      <c r="C69">
        <f t="shared" si="5"/>
        <v>6.4694159219197689E-2</v>
      </c>
    </row>
    <row r="70" spans="1:3">
      <c r="A70" s="2">
        <v>70</v>
      </c>
      <c r="B70">
        <f t="shared" si="4"/>
        <v>1.6271797800000001E-2</v>
      </c>
      <c r="C70">
        <f t="shared" si="5"/>
        <v>6.4865822668441472E-2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enableFormatConditionsCalculation="0"/>
  <dimension ref="A1:C70"/>
  <sheetViews>
    <sheetView workbookViewId="0"/>
  </sheetViews>
  <sheetFormatPr baseColWidth="10" defaultRowHeight="15.75"/>
  <sheetData>
    <row r="1" spans="1:3">
      <c r="A1" s="2">
        <v>1</v>
      </c>
      <c r="B1">
        <f t="shared" ref="B1:B32" si="0">0.0038647541+(A1-1)*0.0003889277</f>
        <v>3.8647540999999998E-3</v>
      </c>
      <c r="C1">
        <f t="shared" ref="C1:C32" si="1">0+1*B1-0.0484480755164509*(1.00657894736842+(B1-0.0103467566886897)^2/0.0871254825407888)^0.5</f>
        <v>-4.4754071259749707E-2</v>
      </c>
    </row>
    <row r="2" spans="1:3">
      <c r="A2" s="2">
        <v>2</v>
      </c>
      <c r="B2">
        <f t="shared" si="0"/>
        <v>4.2536817999999999E-3</v>
      </c>
      <c r="C2">
        <f t="shared" si="1"/>
        <v>-4.4363788498257527E-2</v>
      </c>
    </row>
    <row r="3" spans="1:3">
      <c r="A3" s="2">
        <v>3</v>
      </c>
      <c r="B3">
        <f t="shared" si="0"/>
        <v>4.6426094999999995E-3</v>
      </c>
      <c r="C3">
        <f t="shared" si="1"/>
        <v>-4.3973589522341303E-2</v>
      </c>
    </row>
    <row r="4" spans="1:3">
      <c r="A4" s="2">
        <v>4</v>
      </c>
      <c r="B4">
        <f t="shared" si="0"/>
        <v>5.0315372000000001E-3</v>
      </c>
      <c r="C4">
        <f t="shared" si="1"/>
        <v>-4.3583474338573965E-2</v>
      </c>
    </row>
    <row r="5" spans="1:3">
      <c r="A5" s="2">
        <v>5</v>
      </c>
      <c r="B5">
        <f t="shared" si="0"/>
        <v>5.4204648999999997E-3</v>
      </c>
      <c r="C5">
        <f t="shared" si="1"/>
        <v>-4.3193442953095844E-2</v>
      </c>
    </row>
    <row r="6" spans="1:3">
      <c r="A6" s="2">
        <v>6</v>
      </c>
      <c r="B6">
        <f t="shared" si="0"/>
        <v>5.8093925999999994E-3</v>
      </c>
      <c r="C6">
        <f t="shared" si="1"/>
        <v>-4.2803495371614493E-2</v>
      </c>
    </row>
    <row r="7" spans="1:3">
      <c r="A7" s="2">
        <v>7</v>
      </c>
      <c r="B7">
        <f t="shared" si="0"/>
        <v>6.198320299999999E-3</v>
      </c>
      <c r="C7">
        <f t="shared" si="1"/>
        <v>-4.2413631599404568E-2</v>
      </c>
    </row>
    <row r="8" spans="1:3">
      <c r="A8" s="2">
        <v>8</v>
      </c>
      <c r="B8">
        <f t="shared" si="0"/>
        <v>6.5872479999999995E-3</v>
      </c>
      <c r="C8">
        <f t="shared" si="1"/>
        <v>-4.202385164130764E-2</v>
      </c>
    </row>
    <row r="9" spans="1:3">
      <c r="A9" s="2">
        <v>9</v>
      </c>
      <c r="B9">
        <f t="shared" si="0"/>
        <v>6.9761757000000001E-3</v>
      </c>
      <c r="C9">
        <f t="shared" si="1"/>
        <v>-4.1634155501732092E-2</v>
      </c>
    </row>
    <row r="10" spans="1:3">
      <c r="A10" s="2">
        <v>10</v>
      </c>
      <c r="B10">
        <f t="shared" si="0"/>
        <v>7.3651033999999997E-3</v>
      </c>
      <c r="C10">
        <f t="shared" si="1"/>
        <v>-4.1244543184653065E-2</v>
      </c>
    </row>
    <row r="11" spans="1:3">
      <c r="A11" s="2">
        <v>11</v>
      </c>
      <c r="B11">
        <f t="shared" si="0"/>
        <v>7.7540310999999994E-3</v>
      </c>
      <c r="C11">
        <f t="shared" si="1"/>
        <v>-4.0855014693612232E-2</v>
      </c>
    </row>
    <row r="12" spans="1:3">
      <c r="A12" s="2">
        <v>12</v>
      </c>
      <c r="B12">
        <f t="shared" si="0"/>
        <v>8.142958799999999E-3</v>
      </c>
      <c r="C12">
        <f t="shared" si="1"/>
        <v>-4.0465570031717815E-2</v>
      </c>
    </row>
    <row r="13" spans="1:3">
      <c r="A13" s="2">
        <v>13</v>
      </c>
      <c r="B13">
        <f t="shared" si="0"/>
        <v>8.5318864999999987E-3</v>
      </c>
      <c r="C13">
        <f t="shared" si="1"/>
        <v>-4.007620920164448E-2</v>
      </c>
    </row>
    <row r="14" spans="1:3">
      <c r="A14" s="2">
        <v>14</v>
      </c>
      <c r="B14">
        <f t="shared" si="0"/>
        <v>8.9208142000000001E-3</v>
      </c>
      <c r="C14">
        <f t="shared" si="1"/>
        <v>-3.9686932205633206E-2</v>
      </c>
    </row>
    <row r="15" spans="1:3">
      <c r="A15" s="2">
        <v>15</v>
      </c>
      <c r="B15">
        <f t="shared" si="0"/>
        <v>9.3097418999999997E-3</v>
      </c>
      <c r="C15">
        <f t="shared" si="1"/>
        <v>-3.9297739045491317E-2</v>
      </c>
    </row>
    <row r="16" spans="1:3">
      <c r="A16" s="2">
        <v>16</v>
      </c>
      <c r="B16">
        <f t="shared" si="0"/>
        <v>9.6986695999999994E-3</v>
      </c>
      <c r="C16">
        <f t="shared" si="1"/>
        <v>-3.8908629722592382E-2</v>
      </c>
    </row>
    <row r="17" spans="1:3">
      <c r="A17" s="2">
        <v>17</v>
      </c>
      <c r="B17">
        <f t="shared" si="0"/>
        <v>1.0087597299999999E-2</v>
      </c>
      <c r="C17">
        <f t="shared" si="1"/>
        <v>-3.8519604237876176E-2</v>
      </c>
    </row>
    <row r="18" spans="1:3">
      <c r="A18" s="2">
        <v>18</v>
      </c>
      <c r="B18">
        <f t="shared" si="0"/>
        <v>1.0476524999999999E-2</v>
      </c>
      <c r="C18">
        <f t="shared" si="1"/>
        <v>-3.813066259184867E-2</v>
      </c>
    </row>
    <row r="19" spans="1:3">
      <c r="A19" s="2">
        <v>19</v>
      </c>
      <c r="B19">
        <f t="shared" si="0"/>
        <v>1.08654527E-2</v>
      </c>
      <c r="C19">
        <f t="shared" si="1"/>
        <v>-3.7741804784582042E-2</v>
      </c>
    </row>
    <row r="20" spans="1:3">
      <c r="A20" s="2">
        <v>20</v>
      </c>
      <c r="B20">
        <f t="shared" si="0"/>
        <v>1.12543804E-2</v>
      </c>
      <c r="C20">
        <f t="shared" si="1"/>
        <v>-3.735303081571463E-2</v>
      </c>
    </row>
    <row r="21" spans="1:3">
      <c r="A21" s="2">
        <v>21</v>
      </c>
      <c r="B21">
        <f t="shared" si="0"/>
        <v>1.1643308099999999E-2</v>
      </c>
      <c r="C21">
        <f t="shared" si="1"/>
        <v>-3.696434068445098E-2</v>
      </c>
    </row>
    <row r="22" spans="1:3">
      <c r="A22" s="2">
        <v>22</v>
      </c>
      <c r="B22">
        <f t="shared" si="0"/>
        <v>1.2032235799999999E-2</v>
      </c>
      <c r="C22">
        <f t="shared" si="1"/>
        <v>-3.6575734389561812E-2</v>
      </c>
    </row>
    <row r="23" spans="1:3">
      <c r="A23" s="2">
        <v>23</v>
      </c>
      <c r="B23">
        <f t="shared" si="0"/>
        <v>1.2421163499999999E-2</v>
      </c>
      <c r="C23">
        <f t="shared" si="1"/>
        <v>-3.6187211929384143E-2</v>
      </c>
    </row>
    <row r="24" spans="1:3">
      <c r="A24" s="2">
        <v>24</v>
      </c>
      <c r="B24">
        <f t="shared" si="0"/>
        <v>1.2810091199999998E-2</v>
      </c>
      <c r="C24">
        <f t="shared" si="1"/>
        <v>-3.5798773301821227E-2</v>
      </c>
    </row>
    <row r="25" spans="1:3">
      <c r="A25" s="2">
        <v>25</v>
      </c>
      <c r="B25">
        <f t="shared" si="0"/>
        <v>1.3199018899999998E-2</v>
      </c>
      <c r="C25">
        <f t="shared" si="1"/>
        <v>-3.5410418504342678E-2</v>
      </c>
    </row>
    <row r="26" spans="1:3">
      <c r="A26" s="2">
        <v>26</v>
      </c>
      <c r="B26">
        <f t="shared" si="0"/>
        <v>1.3587946599999999E-2</v>
      </c>
      <c r="C26">
        <f t="shared" si="1"/>
        <v>-3.502214753398452E-2</v>
      </c>
    </row>
    <row r="27" spans="1:3">
      <c r="A27" s="2">
        <v>27</v>
      </c>
      <c r="B27">
        <f t="shared" si="0"/>
        <v>1.3976874299999999E-2</v>
      </c>
      <c r="C27">
        <f t="shared" si="1"/>
        <v>-3.4633960387349269E-2</v>
      </c>
    </row>
    <row r="28" spans="1:3">
      <c r="A28" s="2">
        <v>28</v>
      </c>
      <c r="B28">
        <f t="shared" si="0"/>
        <v>1.4365801999999999E-2</v>
      </c>
      <c r="C28">
        <f t="shared" si="1"/>
        <v>-3.4245857060605962E-2</v>
      </c>
    </row>
    <row r="29" spans="1:3">
      <c r="A29" s="2">
        <v>29</v>
      </c>
      <c r="B29">
        <f t="shared" si="0"/>
        <v>1.4754729699999998E-2</v>
      </c>
      <c r="C29">
        <f t="shared" si="1"/>
        <v>-3.3857837549490358E-2</v>
      </c>
    </row>
    <row r="30" spans="1:3">
      <c r="A30" s="2">
        <v>30</v>
      </c>
      <c r="B30">
        <f t="shared" si="0"/>
        <v>1.5143657399999998E-2</v>
      </c>
      <c r="C30">
        <f t="shared" si="1"/>
        <v>-3.3469901849304998E-2</v>
      </c>
    </row>
    <row r="31" spans="1:3">
      <c r="A31" s="2">
        <v>31</v>
      </c>
      <c r="B31">
        <f t="shared" si="0"/>
        <v>1.5532585099999999E-2</v>
      </c>
      <c r="C31">
        <f t="shared" si="1"/>
        <v>-3.3082049954919257E-2</v>
      </c>
    </row>
    <row r="32" spans="1:3">
      <c r="A32" s="2">
        <v>32</v>
      </c>
      <c r="B32">
        <f t="shared" si="0"/>
        <v>1.5921512799999999E-2</v>
      </c>
      <c r="C32">
        <f t="shared" si="1"/>
        <v>-3.2694281860769614E-2</v>
      </c>
    </row>
    <row r="33" spans="1:3">
      <c r="A33" s="2">
        <v>33</v>
      </c>
      <c r="B33">
        <f t="shared" ref="B33:B64" si="2">0.0038647541+(A33-1)*0.0003889277</f>
        <v>1.6310440499999999E-2</v>
      </c>
      <c r="C33">
        <f t="shared" ref="C33:C64" si="3">0+1*B33-0.0484480755164509*(1.00657894736842+(B33-0.0103467566886897)^2/0.0871254825407888)^0.5</f>
        <v>-3.2306597560859698E-2</v>
      </c>
    </row>
    <row r="34" spans="1:3">
      <c r="A34" s="2">
        <v>34</v>
      </c>
      <c r="B34">
        <f t="shared" si="2"/>
        <v>1.6699368199999998E-2</v>
      </c>
      <c r="C34">
        <f t="shared" si="3"/>
        <v>-3.1918997048760486E-2</v>
      </c>
    </row>
    <row r="35" spans="1:3">
      <c r="A35" s="2">
        <v>35</v>
      </c>
      <c r="B35">
        <f t="shared" si="2"/>
        <v>1.7088295899999998E-2</v>
      </c>
      <c r="C35">
        <f t="shared" si="3"/>
        <v>-3.1531480317610397E-2</v>
      </c>
    </row>
    <row r="36" spans="1:3">
      <c r="A36" s="2">
        <v>36</v>
      </c>
      <c r="B36">
        <f t="shared" si="2"/>
        <v>1.7477223600000001E-2</v>
      </c>
      <c r="C36">
        <f t="shared" si="3"/>
        <v>-3.1144047360115598E-2</v>
      </c>
    </row>
    <row r="37" spans="1:3">
      <c r="A37" s="2">
        <v>37</v>
      </c>
      <c r="B37">
        <f t="shared" si="2"/>
        <v>1.7866151300000001E-2</v>
      </c>
      <c r="C37">
        <f t="shared" si="3"/>
        <v>-3.0756698168550096E-2</v>
      </c>
    </row>
    <row r="38" spans="1:3">
      <c r="A38" s="2">
        <v>38</v>
      </c>
      <c r="B38">
        <f t="shared" si="2"/>
        <v>1.8255079E-2</v>
      </c>
      <c r="C38">
        <f t="shared" si="3"/>
        <v>-3.0369432734755931E-2</v>
      </c>
    </row>
    <row r="39" spans="1:3">
      <c r="A39" s="2">
        <v>39</v>
      </c>
      <c r="B39">
        <f t="shared" si="2"/>
        <v>1.86440067E-2</v>
      </c>
      <c r="C39">
        <f t="shared" si="3"/>
        <v>-2.9982251050143453E-2</v>
      </c>
    </row>
    <row r="40" spans="1:3">
      <c r="A40" s="2">
        <v>40</v>
      </c>
      <c r="B40">
        <f t="shared" si="2"/>
        <v>1.90329344E-2</v>
      </c>
      <c r="C40">
        <f t="shared" si="3"/>
        <v>-2.9595153105691503E-2</v>
      </c>
    </row>
    <row r="41" spans="1:3">
      <c r="A41" s="2">
        <v>41</v>
      </c>
      <c r="B41">
        <f t="shared" si="2"/>
        <v>1.9421862099999999E-2</v>
      </c>
      <c r="C41">
        <f t="shared" si="3"/>
        <v>-2.9208138891947635E-2</v>
      </c>
    </row>
    <row r="42" spans="1:3">
      <c r="A42" s="2">
        <v>42</v>
      </c>
      <c r="B42">
        <f t="shared" si="2"/>
        <v>1.9810789799999999E-2</v>
      </c>
      <c r="C42">
        <f t="shared" si="3"/>
        <v>-2.8821208399028367E-2</v>
      </c>
    </row>
    <row r="43" spans="1:3">
      <c r="A43" s="2">
        <v>43</v>
      </c>
      <c r="B43">
        <f t="shared" si="2"/>
        <v>2.0199717499999999E-2</v>
      </c>
      <c r="C43">
        <f t="shared" si="3"/>
        <v>-2.8434361616619483E-2</v>
      </c>
    </row>
    <row r="44" spans="1:3">
      <c r="A44" s="2">
        <v>44</v>
      </c>
      <c r="B44">
        <f t="shared" si="2"/>
        <v>2.0588645199999998E-2</v>
      </c>
      <c r="C44">
        <f t="shared" si="3"/>
        <v>-2.8047598533976238E-2</v>
      </c>
    </row>
    <row r="45" spans="1:3">
      <c r="A45" s="2">
        <v>45</v>
      </c>
      <c r="B45">
        <f t="shared" si="2"/>
        <v>2.0977572899999998E-2</v>
      </c>
      <c r="C45">
        <f t="shared" si="3"/>
        <v>-2.7660919139923648E-2</v>
      </c>
    </row>
    <row r="46" spans="1:3">
      <c r="A46" s="2">
        <v>46</v>
      </c>
      <c r="B46">
        <f t="shared" si="2"/>
        <v>2.1366500599999998E-2</v>
      </c>
      <c r="C46">
        <f t="shared" si="3"/>
        <v>-2.7274323422856801E-2</v>
      </c>
    </row>
    <row r="47" spans="1:3">
      <c r="A47" s="2">
        <v>47</v>
      </c>
      <c r="B47">
        <f t="shared" si="2"/>
        <v>2.1755428299999997E-2</v>
      </c>
      <c r="C47">
        <f t="shared" si="3"/>
        <v>-2.6887811370741137E-2</v>
      </c>
    </row>
    <row r="48" spans="1:3">
      <c r="A48" s="2">
        <v>48</v>
      </c>
      <c r="B48">
        <f t="shared" si="2"/>
        <v>2.2144355999999997E-2</v>
      </c>
      <c r="C48">
        <f t="shared" si="3"/>
        <v>-2.650138297111277E-2</v>
      </c>
    </row>
    <row r="49" spans="1:3">
      <c r="A49" s="2">
        <v>49</v>
      </c>
      <c r="B49">
        <f t="shared" si="2"/>
        <v>2.2533283699999997E-2</v>
      </c>
      <c r="C49">
        <f t="shared" si="3"/>
        <v>-2.6115038211078793E-2</v>
      </c>
    </row>
    <row r="50" spans="1:3">
      <c r="A50" s="2">
        <v>50</v>
      </c>
      <c r="B50">
        <f t="shared" si="2"/>
        <v>2.29222114E-2</v>
      </c>
      <c r="C50">
        <f t="shared" si="3"/>
        <v>-2.5728777077317615E-2</v>
      </c>
    </row>
    <row r="51" spans="1:3">
      <c r="A51" s="2">
        <v>51</v>
      </c>
      <c r="B51">
        <f t="shared" si="2"/>
        <v>2.3311139099999999E-2</v>
      </c>
      <c r="C51">
        <f t="shared" si="3"/>
        <v>-2.5342599556079339E-2</v>
      </c>
    </row>
    <row r="52" spans="1:3">
      <c r="A52" s="2">
        <v>52</v>
      </c>
      <c r="B52">
        <f t="shared" si="2"/>
        <v>2.3700066799999999E-2</v>
      </c>
      <c r="C52">
        <f t="shared" si="3"/>
        <v>-2.4956505633186039E-2</v>
      </c>
    </row>
    <row r="53" spans="1:3">
      <c r="A53" s="2">
        <v>53</v>
      </c>
      <c r="B53">
        <f t="shared" si="2"/>
        <v>2.4088994499999999E-2</v>
      </c>
      <c r="C53">
        <f t="shared" si="3"/>
        <v>-2.4570495294032216E-2</v>
      </c>
    </row>
    <row r="54" spans="1:3">
      <c r="A54" s="2">
        <v>54</v>
      </c>
      <c r="B54">
        <f t="shared" si="2"/>
        <v>2.4477922199999998E-2</v>
      </c>
      <c r="C54">
        <f t="shared" si="3"/>
        <v>-2.4184568523585071E-2</v>
      </c>
    </row>
    <row r="55" spans="1:3">
      <c r="A55" s="2">
        <v>55</v>
      </c>
      <c r="B55">
        <f t="shared" si="2"/>
        <v>2.4866849899999998E-2</v>
      </c>
      <c r="C55">
        <f t="shared" si="3"/>
        <v>-2.3798725306385018E-2</v>
      </c>
    </row>
    <row r="56" spans="1:3">
      <c r="A56" s="2">
        <v>56</v>
      </c>
      <c r="B56">
        <f t="shared" si="2"/>
        <v>2.5255777599999998E-2</v>
      </c>
      <c r="C56">
        <f t="shared" si="3"/>
        <v>-2.3412965626545965E-2</v>
      </c>
    </row>
    <row r="57" spans="1:3">
      <c r="A57" s="2">
        <v>57</v>
      </c>
      <c r="B57">
        <f t="shared" si="2"/>
        <v>2.5644705299999997E-2</v>
      </c>
      <c r="C57">
        <f t="shared" si="3"/>
        <v>-2.3027289467755761E-2</v>
      </c>
    </row>
    <row r="58" spans="1:3">
      <c r="A58" s="2">
        <v>58</v>
      </c>
      <c r="B58">
        <f t="shared" si="2"/>
        <v>2.6033632999999997E-2</v>
      </c>
      <c r="C58">
        <f t="shared" si="3"/>
        <v>-2.2641696813276661E-2</v>
      </c>
    </row>
    <row r="59" spans="1:3">
      <c r="A59" s="2">
        <v>59</v>
      </c>
      <c r="B59">
        <f t="shared" si="2"/>
        <v>2.6422560699999997E-2</v>
      </c>
      <c r="C59">
        <f t="shared" si="3"/>
        <v>-2.2256187645945665E-2</v>
      </c>
    </row>
    <row r="60" spans="1:3">
      <c r="A60" s="2">
        <v>60</v>
      </c>
      <c r="B60">
        <f t="shared" si="2"/>
        <v>2.68114884E-2</v>
      </c>
      <c r="C60">
        <f t="shared" si="3"/>
        <v>-2.1870761948175069E-2</v>
      </c>
    </row>
    <row r="61" spans="1:3">
      <c r="A61" s="2">
        <v>61</v>
      </c>
      <c r="B61">
        <f t="shared" si="2"/>
        <v>2.7200416099999999E-2</v>
      </c>
      <c r="C61">
        <f t="shared" si="3"/>
        <v>-2.1485419701952779E-2</v>
      </c>
    </row>
    <row r="62" spans="1:3">
      <c r="A62" s="2">
        <v>62</v>
      </c>
      <c r="B62">
        <f t="shared" si="2"/>
        <v>2.7589343799999999E-2</v>
      </c>
      <c r="C62">
        <f t="shared" si="3"/>
        <v>-2.1100160888842943E-2</v>
      </c>
    </row>
    <row r="63" spans="1:3">
      <c r="A63" s="2">
        <v>63</v>
      </c>
      <c r="B63">
        <f t="shared" si="2"/>
        <v>2.7978271499999999E-2</v>
      </c>
      <c r="C63">
        <f t="shared" si="3"/>
        <v>-2.0714985489986237E-2</v>
      </c>
    </row>
    <row r="64" spans="1:3">
      <c r="A64" s="2">
        <v>64</v>
      </c>
      <c r="B64">
        <f t="shared" si="2"/>
        <v>2.8367199199999998E-2</v>
      </c>
      <c r="C64">
        <f t="shared" si="3"/>
        <v>-2.0329893486100495E-2</v>
      </c>
    </row>
    <row r="65" spans="1:3">
      <c r="A65" s="2">
        <v>65</v>
      </c>
      <c r="B65">
        <f t="shared" ref="B65:B70" si="4">0.0038647541+(A65-1)*0.0003889277</f>
        <v>2.8756126899999998E-2</v>
      </c>
      <c r="C65">
        <f t="shared" ref="C65:C70" si="5">0+1*B65-0.0484480755164509*(1.00657894736842+(B65-0.0103467566886897)^2/0.0871254825407888)^0.5</f>
        <v>-1.9944884857481124E-2</v>
      </c>
    </row>
    <row r="66" spans="1:3">
      <c r="A66" s="2">
        <v>66</v>
      </c>
      <c r="B66">
        <f t="shared" si="4"/>
        <v>2.9145054599999998E-2</v>
      </c>
      <c r="C66">
        <f t="shared" si="5"/>
        <v>-1.9559959584001647E-2</v>
      </c>
    </row>
    <row r="67" spans="1:3">
      <c r="A67" s="2">
        <v>67</v>
      </c>
      <c r="B67">
        <f t="shared" si="4"/>
        <v>2.9533982299999997E-2</v>
      </c>
      <c r="C67">
        <f t="shared" si="5"/>
        <v>-1.9175117645114183E-2</v>
      </c>
    </row>
    <row r="68" spans="1:3">
      <c r="A68" s="2">
        <v>68</v>
      </c>
      <c r="B68">
        <f t="shared" si="4"/>
        <v>2.9922909999999997E-2</v>
      </c>
      <c r="C68">
        <f t="shared" si="5"/>
        <v>-1.8790359019849996E-2</v>
      </c>
    </row>
    <row r="69" spans="1:3">
      <c r="A69" s="2">
        <v>69</v>
      </c>
      <c r="B69">
        <f t="shared" si="4"/>
        <v>3.0311837699999997E-2</v>
      </c>
      <c r="C69">
        <f t="shared" si="5"/>
        <v>-1.8405683686820017E-2</v>
      </c>
    </row>
    <row r="70" spans="1:3">
      <c r="A70" s="2">
        <v>70</v>
      </c>
      <c r="B70">
        <f t="shared" si="4"/>
        <v>3.0700765399999996E-2</v>
      </c>
      <c r="C70">
        <f t="shared" si="5"/>
        <v>-1.8021091624215411E-2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enableFormatConditionsCalculation="0"/>
  <dimension ref="A1:C70"/>
  <sheetViews>
    <sheetView workbookViewId="0"/>
  </sheetViews>
  <sheetFormatPr baseColWidth="10" defaultRowHeight="15.75"/>
  <sheetData>
    <row r="1" spans="1:3">
      <c r="A1" s="2">
        <v>1</v>
      </c>
      <c r="B1">
        <f t="shared" ref="B1:B32" si="0">0.0037600869+(A1-1)*0.0003904446</f>
        <v>3.7600869E-3</v>
      </c>
      <c r="C1">
        <f t="shared" ref="C1:C32" si="1">0+1*B1+0.0484480755164509*(1.00657894736842+(B1-0.0103467566886897)^2/0.0871254825407888)^0.5</f>
        <v>5.23792912375678E-2</v>
      </c>
    </row>
    <row r="2" spans="1:3">
      <c r="A2" s="2">
        <v>2</v>
      </c>
      <c r="B2">
        <f t="shared" si="0"/>
        <v>4.1505315000000004E-3</v>
      </c>
      <c r="C2">
        <f t="shared" si="1"/>
        <v>5.2768353020156554E-2</v>
      </c>
    </row>
    <row r="3" spans="1:3">
      <c r="A3" s="2">
        <v>3</v>
      </c>
      <c r="B3">
        <f t="shared" si="0"/>
        <v>4.5409761E-3</v>
      </c>
      <c r="C3">
        <f t="shared" si="1"/>
        <v>5.3157499241328274E-2</v>
      </c>
    </row>
    <row r="4" spans="1:3">
      <c r="A4" s="2">
        <v>4</v>
      </c>
      <c r="B4">
        <f t="shared" si="0"/>
        <v>4.9314206999999995E-3</v>
      </c>
      <c r="C4">
        <f t="shared" si="1"/>
        <v>5.3546729907848339E-2</v>
      </c>
    </row>
    <row r="5" spans="1:3">
      <c r="A5" s="2">
        <v>5</v>
      </c>
      <c r="B5">
        <f t="shared" si="0"/>
        <v>5.3218652999999999E-3</v>
      </c>
      <c r="C5">
        <f t="shared" si="1"/>
        <v>5.3936045026042718E-2</v>
      </c>
    </row>
    <row r="6" spans="1:3">
      <c r="A6" s="2">
        <v>6</v>
      </c>
      <c r="B6">
        <f t="shared" si="0"/>
        <v>5.7123099000000004E-3</v>
      </c>
      <c r="C6">
        <f t="shared" si="1"/>
        <v>5.4325444601797904E-2</v>
      </c>
    </row>
    <row r="7" spans="1:3">
      <c r="A7" s="2">
        <v>7</v>
      </c>
      <c r="B7">
        <f t="shared" si="0"/>
        <v>6.1027544999999999E-3</v>
      </c>
      <c r="C7">
        <f t="shared" si="1"/>
        <v>5.4714928640560684E-2</v>
      </c>
    </row>
    <row r="8" spans="1:3">
      <c r="A8" s="2">
        <v>8</v>
      </c>
      <c r="B8">
        <f t="shared" si="0"/>
        <v>6.4931990999999994E-3</v>
      </c>
      <c r="C8">
        <f t="shared" si="1"/>
        <v>5.510449714733804E-2</v>
      </c>
    </row>
    <row r="9" spans="1:3">
      <c r="A9" s="2">
        <v>9</v>
      </c>
      <c r="B9">
        <f t="shared" si="0"/>
        <v>6.8836436999999999E-3</v>
      </c>
      <c r="C9">
        <f t="shared" si="1"/>
        <v>5.5494150126696985E-2</v>
      </c>
    </row>
    <row r="10" spans="1:3">
      <c r="A10" s="2">
        <v>10</v>
      </c>
      <c r="B10">
        <f t="shared" si="0"/>
        <v>7.2740883000000003E-3</v>
      </c>
      <c r="C10">
        <f t="shared" si="1"/>
        <v>5.5883887582764497E-2</v>
      </c>
    </row>
    <row r="11" spans="1:3">
      <c r="A11" s="2">
        <v>11</v>
      </c>
      <c r="B11">
        <f t="shared" si="0"/>
        <v>7.6645328999999998E-3</v>
      </c>
      <c r="C11">
        <f t="shared" si="1"/>
        <v>5.6273709519227368E-2</v>
      </c>
    </row>
    <row r="12" spans="1:3">
      <c r="A12" s="2">
        <v>12</v>
      </c>
      <c r="B12">
        <f t="shared" si="0"/>
        <v>8.0549775000000011E-3</v>
      </c>
      <c r="C12">
        <f t="shared" si="1"/>
        <v>5.6663615939332085E-2</v>
      </c>
    </row>
    <row r="13" spans="1:3">
      <c r="A13" s="2">
        <v>13</v>
      </c>
      <c r="B13">
        <f t="shared" si="0"/>
        <v>8.4454220999999989E-3</v>
      </c>
      <c r="C13">
        <f t="shared" si="1"/>
        <v>5.7053606845884813E-2</v>
      </c>
    </row>
    <row r="14" spans="1:3">
      <c r="A14" s="2">
        <v>14</v>
      </c>
      <c r="B14">
        <f t="shared" si="0"/>
        <v>8.8358667000000002E-3</v>
      </c>
      <c r="C14">
        <f t="shared" si="1"/>
        <v>5.7443682241251293E-2</v>
      </c>
    </row>
    <row r="15" spans="1:3">
      <c r="A15" s="2">
        <v>15</v>
      </c>
      <c r="B15">
        <f t="shared" si="0"/>
        <v>9.2263112999999997E-3</v>
      </c>
      <c r="C15">
        <f t="shared" si="1"/>
        <v>5.7833842127356754E-2</v>
      </c>
    </row>
    <row r="16" spans="1:3">
      <c r="A16" s="2">
        <v>16</v>
      </c>
      <c r="B16">
        <f t="shared" si="0"/>
        <v>9.6167558999999993E-3</v>
      </c>
      <c r="C16">
        <f t="shared" si="1"/>
        <v>5.822408650568589E-2</v>
      </c>
    </row>
    <row r="17" spans="1:3">
      <c r="A17" s="2">
        <v>17</v>
      </c>
      <c r="B17">
        <f t="shared" si="0"/>
        <v>1.0007200500000001E-2</v>
      </c>
      <c r="C17">
        <f t="shared" si="1"/>
        <v>5.8614415377282812E-2</v>
      </c>
    </row>
    <row r="18" spans="1:3">
      <c r="A18" s="2">
        <v>18</v>
      </c>
      <c r="B18">
        <f t="shared" si="0"/>
        <v>1.0397645099999998E-2</v>
      </c>
      <c r="C18">
        <f t="shared" si="1"/>
        <v>5.900482874275103E-2</v>
      </c>
    </row>
    <row r="19" spans="1:3">
      <c r="A19" s="2">
        <v>19</v>
      </c>
      <c r="B19">
        <f t="shared" si="0"/>
        <v>1.07880897E-2</v>
      </c>
      <c r="C19">
        <f t="shared" si="1"/>
        <v>5.9395326602253426E-2</v>
      </c>
    </row>
    <row r="20" spans="1:3">
      <c r="A20" s="2">
        <v>20</v>
      </c>
      <c r="B20">
        <f t="shared" si="0"/>
        <v>1.1178534300000001E-2</v>
      </c>
      <c r="C20">
        <f t="shared" si="1"/>
        <v>5.9785908955512286E-2</v>
      </c>
    </row>
    <row r="21" spans="1:3">
      <c r="A21" s="2">
        <v>21</v>
      </c>
      <c r="B21">
        <f t="shared" si="0"/>
        <v>1.1568978899999999E-2</v>
      </c>
      <c r="C21">
        <f t="shared" si="1"/>
        <v>6.0176575801809212E-2</v>
      </c>
    </row>
    <row r="22" spans="1:3">
      <c r="A22" s="2">
        <v>22</v>
      </c>
      <c r="B22">
        <f t="shared" si="0"/>
        <v>1.19594235E-2</v>
      </c>
      <c r="C22">
        <f t="shared" si="1"/>
        <v>6.0567327139985236E-2</v>
      </c>
    </row>
    <row r="23" spans="1:3">
      <c r="A23" s="2">
        <v>23</v>
      </c>
      <c r="B23">
        <f t="shared" si="0"/>
        <v>1.2349868100000001E-2</v>
      </c>
      <c r="C23">
        <f t="shared" si="1"/>
        <v>6.0958162968440859E-2</v>
      </c>
    </row>
    <row r="24" spans="1:3">
      <c r="A24" s="2">
        <v>24</v>
      </c>
      <c r="B24">
        <f t="shared" si="0"/>
        <v>1.2740312699999999E-2</v>
      </c>
      <c r="C24">
        <f t="shared" si="1"/>
        <v>6.1349083285135997E-2</v>
      </c>
    </row>
    <row r="25" spans="1:3">
      <c r="A25" s="2">
        <v>25</v>
      </c>
      <c r="B25">
        <f t="shared" si="0"/>
        <v>1.31307573E-2</v>
      </c>
      <c r="C25">
        <f t="shared" si="1"/>
        <v>6.17400880875901E-2</v>
      </c>
    </row>
    <row r="26" spans="1:3">
      <c r="A26" s="2">
        <v>26</v>
      </c>
      <c r="B26">
        <f t="shared" si="0"/>
        <v>1.3521201899999998E-2</v>
      </c>
      <c r="C26">
        <f t="shared" si="1"/>
        <v>6.2131177372882221E-2</v>
      </c>
    </row>
    <row r="27" spans="1:3">
      <c r="A27" s="2">
        <v>27</v>
      </c>
      <c r="B27">
        <f t="shared" si="0"/>
        <v>1.3911646499999999E-2</v>
      </c>
      <c r="C27">
        <f t="shared" si="1"/>
        <v>6.2522351137651089E-2</v>
      </c>
    </row>
    <row r="28" spans="1:3">
      <c r="A28" s="2">
        <v>28</v>
      </c>
      <c r="B28">
        <f t="shared" si="0"/>
        <v>1.4302091100000001E-2</v>
      </c>
      <c r="C28">
        <f t="shared" si="1"/>
        <v>6.2913609378095162E-2</v>
      </c>
    </row>
    <row r="29" spans="1:3">
      <c r="A29" s="2">
        <v>29</v>
      </c>
      <c r="B29">
        <f t="shared" si="0"/>
        <v>1.4692535699999999E-2</v>
      </c>
      <c r="C29">
        <f t="shared" si="1"/>
        <v>6.3304952089972749E-2</v>
      </c>
    </row>
    <row r="30" spans="1:3">
      <c r="A30" s="2">
        <v>30</v>
      </c>
      <c r="B30">
        <f t="shared" si="0"/>
        <v>1.50829803E-2</v>
      </c>
      <c r="C30">
        <f t="shared" si="1"/>
        <v>6.3696379268602124E-2</v>
      </c>
    </row>
    <row r="31" spans="1:3">
      <c r="A31" s="2">
        <v>31</v>
      </c>
      <c r="B31">
        <f t="shared" si="0"/>
        <v>1.5473424900000001E-2</v>
      </c>
      <c r="C31">
        <f t="shared" si="1"/>
        <v>6.4087890908861675E-2</v>
      </c>
    </row>
    <row r="32" spans="1:3">
      <c r="A32" s="2">
        <v>32</v>
      </c>
      <c r="B32">
        <f t="shared" si="0"/>
        <v>1.5863869499999999E-2</v>
      </c>
      <c r="C32">
        <f t="shared" si="1"/>
        <v>6.4479487005189948E-2</v>
      </c>
    </row>
    <row r="33" spans="1:3">
      <c r="A33" s="2">
        <v>33</v>
      </c>
      <c r="B33">
        <f t="shared" ref="B33:B64" si="2">0.0037600869+(A33-1)*0.0003904446</f>
        <v>1.62543141E-2</v>
      </c>
      <c r="C33">
        <f t="shared" ref="C33:C64" si="3">0+1*B33+0.0484480755164509*(1.00657894736842+(B33-0.0103467566886897)^2/0.0871254825407888)^0.5</f>
        <v>6.4871167551585923E-2</v>
      </c>
    </row>
    <row r="34" spans="1:3">
      <c r="A34" s="2">
        <v>34</v>
      </c>
      <c r="B34">
        <f t="shared" si="2"/>
        <v>1.6644758699999998E-2</v>
      </c>
      <c r="C34">
        <f t="shared" si="3"/>
        <v>6.5262932541609017E-2</v>
      </c>
    </row>
    <row r="35" spans="1:3">
      <c r="A35" s="2">
        <v>35</v>
      </c>
      <c r="B35">
        <f t="shared" si="2"/>
        <v>1.7035203299999999E-2</v>
      </c>
      <c r="C35">
        <f t="shared" si="3"/>
        <v>6.5654781968379414E-2</v>
      </c>
    </row>
    <row r="36" spans="1:3">
      <c r="A36" s="2">
        <v>36</v>
      </c>
      <c r="B36">
        <f t="shared" si="2"/>
        <v>1.7425647900000001E-2</v>
      </c>
      <c r="C36">
        <f t="shared" si="3"/>
        <v>6.604671582457812E-2</v>
      </c>
    </row>
    <row r="37" spans="1:3">
      <c r="A37" s="2">
        <v>37</v>
      </c>
      <c r="B37">
        <f t="shared" si="2"/>
        <v>1.7816092499999998E-2</v>
      </c>
      <c r="C37">
        <f t="shared" si="3"/>
        <v>6.6438734102447175E-2</v>
      </c>
    </row>
    <row r="38" spans="1:3">
      <c r="A38" s="2">
        <v>38</v>
      </c>
      <c r="B38">
        <f t="shared" si="2"/>
        <v>1.82065371E-2</v>
      </c>
      <c r="C38">
        <f t="shared" si="3"/>
        <v>6.6830836793789941E-2</v>
      </c>
    </row>
    <row r="39" spans="1:3">
      <c r="A39" s="2">
        <v>39</v>
      </c>
      <c r="B39">
        <f t="shared" si="2"/>
        <v>1.8596981700000001E-2</v>
      </c>
      <c r="C39">
        <f t="shared" si="3"/>
        <v>6.7223023889971187E-2</v>
      </c>
    </row>
    <row r="40" spans="1:3">
      <c r="A40" s="2">
        <v>40</v>
      </c>
      <c r="B40">
        <f t="shared" si="2"/>
        <v>1.8987426299999999E-2</v>
      </c>
      <c r="C40">
        <f t="shared" si="3"/>
        <v>6.7615295381917406E-2</v>
      </c>
    </row>
    <row r="41" spans="1:3">
      <c r="A41" s="2">
        <v>41</v>
      </c>
      <c r="B41">
        <f t="shared" si="2"/>
        <v>1.93778709E-2</v>
      </c>
      <c r="C41">
        <f t="shared" si="3"/>
        <v>6.8007651260117041E-2</v>
      </c>
    </row>
    <row r="42" spans="1:3">
      <c r="A42" s="2">
        <v>42</v>
      </c>
      <c r="B42">
        <f t="shared" si="2"/>
        <v>1.9768315500000001E-2</v>
      </c>
      <c r="C42">
        <f t="shared" si="3"/>
        <v>6.8400091514620703E-2</v>
      </c>
    </row>
    <row r="43" spans="1:3">
      <c r="A43" s="2">
        <v>43</v>
      </c>
      <c r="B43">
        <f t="shared" si="2"/>
        <v>2.0158760099999999E-2</v>
      </c>
      <c r="C43">
        <f t="shared" si="3"/>
        <v>6.8792616135041396E-2</v>
      </c>
    </row>
    <row r="44" spans="1:3">
      <c r="A44" s="2">
        <v>44</v>
      </c>
      <c r="B44">
        <f t="shared" si="2"/>
        <v>2.05492047E-2</v>
      </c>
      <c r="C44">
        <f t="shared" si="3"/>
        <v>6.9185225110554915E-2</v>
      </c>
    </row>
    <row r="45" spans="1:3">
      <c r="A45" s="2">
        <v>45</v>
      </c>
      <c r="B45">
        <f t="shared" si="2"/>
        <v>2.0939649300000002E-2</v>
      </c>
      <c r="C45">
        <f t="shared" si="3"/>
        <v>6.9577918429899965E-2</v>
      </c>
    </row>
    <row r="46" spans="1:3">
      <c r="A46" s="2">
        <v>46</v>
      </c>
      <c r="B46">
        <f t="shared" si="2"/>
        <v>2.1330093899999999E-2</v>
      </c>
      <c r="C46">
        <f t="shared" si="3"/>
        <v>6.9970696081378569E-2</v>
      </c>
    </row>
    <row r="47" spans="1:3">
      <c r="A47" s="2">
        <v>47</v>
      </c>
      <c r="B47">
        <f t="shared" si="2"/>
        <v>2.1720538500000001E-2</v>
      </c>
      <c r="C47">
        <f t="shared" si="3"/>
        <v>7.0363558052856337E-2</v>
      </c>
    </row>
    <row r="48" spans="1:3">
      <c r="A48" s="2">
        <v>48</v>
      </c>
      <c r="B48">
        <f t="shared" si="2"/>
        <v>2.2110983099999999E-2</v>
      </c>
      <c r="C48">
        <f t="shared" si="3"/>
        <v>7.0756504331762768E-2</v>
      </c>
    </row>
    <row r="49" spans="1:3">
      <c r="A49" s="2">
        <v>49</v>
      </c>
      <c r="B49">
        <f t="shared" si="2"/>
        <v>2.25014277E-2</v>
      </c>
      <c r="C49">
        <f t="shared" si="3"/>
        <v>7.1149534905091627E-2</v>
      </c>
    </row>
    <row r="50" spans="1:3">
      <c r="A50" s="2">
        <v>50</v>
      </c>
      <c r="B50">
        <f t="shared" si="2"/>
        <v>2.2891872300000001E-2</v>
      </c>
      <c r="C50">
        <f t="shared" si="3"/>
        <v>7.1542649759401153E-2</v>
      </c>
    </row>
    <row r="51" spans="1:3">
      <c r="A51" s="2">
        <v>51</v>
      </c>
      <c r="B51">
        <f t="shared" si="2"/>
        <v>2.3282316899999999E-2</v>
      </c>
      <c r="C51">
        <f t="shared" si="3"/>
        <v>7.1935848880814598E-2</v>
      </c>
    </row>
    <row r="52" spans="1:3">
      <c r="A52" s="2">
        <v>52</v>
      </c>
      <c r="B52">
        <f t="shared" si="2"/>
        <v>2.36727615E-2</v>
      </c>
      <c r="C52">
        <f t="shared" si="3"/>
        <v>7.2329132255020426E-2</v>
      </c>
    </row>
    <row r="53" spans="1:3">
      <c r="A53" s="2">
        <v>53</v>
      </c>
      <c r="B53">
        <f t="shared" si="2"/>
        <v>2.4063206099999998E-2</v>
      </c>
      <c r="C53">
        <f t="shared" si="3"/>
        <v>7.272249986727275E-2</v>
      </c>
    </row>
    <row r="54" spans="1:3">
      <c r="A54" s="2">
        <v>54</v>
      </c>
      <c r="B54">
        <f t="shared" si="2"/>
        <v>2.4453650699999999E-2</v>
      </c>
      <c r="C54">
        <f t="shared" si="3"/>
        <v>7.3115951702391727E-2</v>
      </c>
    </row>
    <row r="55" spans="1:3">
      <c r="A55" s="2">
        <v>55</v>
      </c>
      <c r="B55">
        <f t="shared" si="2"/>
        <v>2.4844095300000001E-2</v>
      </c>
      <c r="C55">
        <f t="shared" si="3"/>
        <v>7.3509487744763943E-2</v>
      </c>
    </row>
    <row r="56" spans="1:3">
      <c r="A56" s="2">
        <v>56</v>
      </c>
      <c r="B56">
        <f t="shared" si="2"/>
        <v>2.5234539899999998E-2</v>
      </c>
      <c r="C56">
        <f t="shared" si="3"/>
        <v>7.3903107978342764E-2</v>
      </c>
    </row>
    <row r="57" spans="1:3">
      <c r="A57" s="2">
        <v>57</v>
      </c>
      <c r="B57">
        <f t="shared" si="2"/>
        <v>2.56249845E-2</v>
      </c>
      <c r="C57">
        <f t="shared" si="3"/>
        <v>7.42968123866488E-2</v>
      </c>
    </row>
    <row r="58" spans="1:3">
      <c r="A58" s="2">
        <v>58</v>
      </c>
      <c r="B58">
        <f t="shared" si="2"/>
        <v>2.6015429100000001E-2</v>
      </c>
      <c r="C58">
        <f t="shared" si="3"/>
        <v>7.4690600952770386E-2</v>
      </c>
    </row>
    <row r="59" spans="1:3">
      <c r="A59" s="2">
        <v>59</v>
      </c>
      <c r="B59">
        <f t="shared" si="2"/>
        <v>2.6405873699999999E-2</v>
      </c>
      <c r="C59">
        <f t="shared" si="3"/>
        <v>7.5084473659363868E-2</v>
      </c>
    </row>
    <row r="60" spans="1:3">
      <c r="A60" s="2">
        <v>60</v>
      </c>
      <c r="B60">
        <f t="shared" si="2"/>
        <v>2.67963183E-2</v>
      </c>
      <c r="C60">
        <f t="shared" si="3"/>
        <v>7.5478430488654213E-2</v>
      </c>
    </row>
    <row r="61" spans="1:3">
      <c r="A61" s="2">
        <v>61</v>
      </c>
      <c r="B61">
        <f t="shared" si="2"/>
        <v>2.7186762900000001E-2</v>
      </c>
      <c r="C61">
        <f t="shared" si="3"/>
        <v>7.5872471422435361E-2</v>
      </c>
    </row>
    <row r="62" spans="1:3">
      <c r="A62" s="2">
        <v>62</v>
      </c>
      <c r="B62">
        <f t="shared" si="2"/>
        <v>2.7577207499999999E-2</v>
      </c>
      <c r="C62">
        <f t="shared" si="3"/>
        <v>7.6266596442070705E-2</v>
      </c>
    </row>
    <row r="63" spans="1:3">
      <c r="A63" s="2">
        <v>63</v>
      </c>
      <c r="B63">
        <f t="shared" si="2"/>
        <v>2.79676521E-2</v>
      </c>
      <c r="C63">
        <f t="shared" si="3"/>
        <v>7.6660805528493706E-2</v>
      </c>
    </row>
    <row r="64" spans="1:3">
      <c r="A64" s="2">
        <v>64</v>
      </c>
      <c r="B64">
        <f t="shared" si="2"/>
        <v>2.8358096699999998E-2</v>
      </c>
      <c r="C64">
        <f t="shared" si="3"/>
        <v>7.705509866220811E-2</v>
      </c>
    </row>
    <row r="65" spans="1:3">
      <c r="A65" s="2">
        <v>65</v>
      </c>
      <c r="B65">
        <f t="shared" ref="B65:B70" si="4">0.0037600869+(A65-1)*0.0003904446</f>
        <v>2.87485413E-2</v>
      </c>
      <c r="C65">
        <f t="shared" ref="C65:C70" si="5">0+1*B65+0.0484480755164509*(1.00657894736842+(B65-0.0103467566886897)^2/0.0871254825407888)^0.5</f>
        <v>7.744947582328876E-2</v>
      </c>
    </row>
    <row r="66" spans="1:3">
      <c r="A66" s="2">
        <v>66</v>
      </c>
      <c r="B66">
        <f t="shared" si="4"/>
        <v>2.9138985900000001E-2</v>
      </c>
      <c r="C66">
        <f t="shared" si="5"/>
        <v>7.7843936991381882E-2</v>
      </c>
    </row>
    <row r="67" spans="1:3">
      <c r="A67" s="2">
        <v>67</v>
      </c>
      <c r="B67">
        <f t="shared" si="4"/>
        <v>2.9529430499999999E-2</v>
      </c>
      <c r="C67">
        <f t="shared" si="5"/>
        <v>7.8238482145705737E-2</v>
      </c>
    </row>
    <row r="68" spans="1:3">
      <c r="A68" s="2">
        <v>68</v>
      </c>
      <c r="B68">
        <f t="shared" si="4"/>
        <v>2.99198751E-2</v>
      </c>
      <c r="C68">
        <f t="shared" si="5"/>
        <v>7.8633111265051084E-2</v>
      </c>
    </row>
    <row r="69" spans="1:3">
      <c r="A69" s="2">
        <v>69</v>
      </c>
      <c r="B69">
        <f t="shared" si="4"/>
        <v>3.0310319699999998E-2</v>
      </c>
      <c r="C69">
        <f t="shared" si="5"/>
        <v>7.9027824327781743E-2</v>
      </c>
    </row>
    <row r="70" spans="1:3">
      <c r="A70" s="2">
        <v>70</v>
      </c>
      <c r="B70">
        <f t="shared" si="4"/>
        <v>3.0700764299999999E-2</v>
      </c>
      <c r="C70">
        <f t="shared" si="5"/>
        <v>7.9422621311835237E-2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enableFormatConditionsCalculation="0"/>
  <dimension ref="A1:C70"/>
  <sheetViews>
    <sheetView workbookViewId="0"/>
  </sheetViews>
  <sheetFormatPr baseColWidth="10" defaultRowHeight="15.75"/>
  <sheetData>
    <row r="1" spans="1:3">
      <c r="A1" s="2">
        <v>1</v>
      </c>
      <c r="B1">
        <f t="shared" ref="B1:B32" si="0">-0.0208651776+(A1-1)*0.0009896797</f>
        <v>-2.08651776E-2</v>
      </c>
      <c r="C1">
        <f t="shared" ref="C1:C32" si="1">0+1*B1-0.0450643050965262*(1.00657894736842+(B1-0.0103467566886897)^2/0.0737944000271722)^0.5</f>
        <v>-6.6372992662518795E-2</v>
      </c>
    </row>
    <row r="2" spans="1:3">
      <c r="A2" s="2">
        <v>2</v>
      </c>
      <c r="B2">
        <f t="shared" si="0"/>
        <v>-1.9875497900000001E-2</v>
      </c>
      <c r="C2">
        <f t="shared" si="1"/>
        <v>-6.5364925639386909E-2</v>
      </c>
    </row>
    <row r="3" spans="1:3">
      <c r="A3" s="2">
        <v>3</v>
      </c>
      <c r="B3">
        <f t="shared" si="0"/>
        <v>-1.8885818200000001E-2</v>
      </c>
      <c r="C3">
        <f t="shared" si="1"/>
        <v>-6.4357443961003971E-2</v>
      </c>
    </row>
    <row r="4" spans="1:3">
      <c r="A4" s="2">
        <v>4</v>
      </c>
      <c r="B4">
        <f t="shared" si="0"/>
        <v>-1.7896138499999999E-2</v>
      </c>
      <c r="C4">
        <f t="shared" si="1"/>
        <v>-6.3350548315111485E-2</v>
      </c>
    </row>
    <row r="5" spans="1:3">
      <c r="A5" s="2">
        <v>5</v>
      </c>
      <c r="B5">
        <f t="shared" si="0"/>
        <v>-1.6906458799999999E-2</v>
      </c>
      <c r="C5">
        <f t="shared" si="1"/>
        <v>-6.2344239367835966E-2</v>
      </c>
    </row>
    <row r="6" spans="1:3">
      <c r="A6" s="2">
        <v>6</v>
      </c>
      <c r="B6">
        <f t="shared" si="0"/>
        <v>-1.59167791E-2</v>
      </c>
      <c r="C6">
        <f t="shared" si="1"/>
        <v>-6.1338517763562049E-2</v>
      </c>
    </row>
    <row r="7" spans="1:3">
      <c r="A7" s="2">
        <v>7</v>
      </c>
      <c r="B7">
        <f t="shared" si="0"/>
        <v>-1.4927099399999999E-2</v>
      </c>
      <c r="C7">
        <f t="shared" si="1"/>
        <v>-6.0333384124809278E-2</v>
      </c>
    </row>
    <row r="8" spans="1:3">
      <c r="A8" s="2">
        <v>8</v>
      </c>
      <c r="B8">
        <f t="shared" si="0"/>
        <v>-1.3937419699999998E-2</v>
      </c>
      <c r="C8">
        <f t="shared" si="1"/>
        <v>-5.9328839052112961E-2</v>
      </c>
    </row>
    <row r="9" spans="1:3">
      <c r="A9" s="2">
        <v>9</v>
      </c>
      <c r="B9">
        <f t="shared" si="0"/>
        <v>-1.2947739999999999E-2</v>
      </c>
      <c r="C9">
        <f t="shared" si="1"/>
        <v>-5.8324883123908849E-2</v>
      </c>
    </row>
    <row r="10" spans="1:3">
      <c r="A10" s="2">
        <v>10</v>
      </c>
      <c r="B10">
        <f t="shared" si="0"/>
        <v>-1.19580603E-2</v>
      </c>
      <c r="C10">
        <f t="shared" si="1"/>
        <v>-5.7321516896421842E-2</v>
      </c>
    </row>
    <row r="11" spans="1:3">
      <c r="A11" s="2">
        <v>11</v>
      </c>
      <c r="B11">
        <f t="shared" si="0"/>
        <v>-1.0968380599999999E-2</v>
      </c>
      <c r="C11">
        <f t="shared" si="1"/>
        <v>-5.6318740903558699E-2</v>
      </c>
    </row>
    <row r="12" spans="1:3">
      <c r="A12" s="2">
        <v>12</v>
      </c>
      <c r="B12">
        <f t="shared" si="0"/>
        <v>-9.9787008999999982E-3</v>
      </c>
      <c r="C12">
        <f t="shared" si="1"/>
        <v>-5.5316555656804975E-2</v>
      </c>
    </row>
    <row r="13" spans="1:3">
      <c r="A13" s="2">
        <v>13</v>
      </c>
      <c r="B13">
        <f t="shared" si="0"/>
        <v>-8.989021199999999E-3</v>
      </c>
      <c r="C13">
        <f t="shared" si="1"/>
        <v>-5.4314961645125906E-2</v>
      </c>
    </row>
    <row r="14" spans="1:3">
      <c r="A14" s="2">
        <v>14</v>
      </c>
      <c r="B14">
        <f t="shared" si="0"/>
        <v>-7.9993414999999998E-3</v>
      </c>
      <c r="C14">
        <f t="shared" si="1"/>
        <v>-5.3313959334871597E-2</v>
      </c>
    </row>
    <row r="15" spans="1:3">
      <c r="A15" s="2">
        <v>15</v>
      </c>
      <c r="B15">
        <f t="shared" si="0"/>
        <v>-7.0096617999999989E-3</v>
      </c>
      <c r="C15">
        <f t="shared" si="1"/>
        <v>-5.2313549169686405E-2</v>
      </c>
    </row>
    <row r="16" spans="1:3">
      <c r="A16" s="2">
        <v>16</v>
      </c>
      <c r="B16">
        <f t="shared" si="0"/>
        <v>-6.019982099999998E-3</v>
      </c>
      <c r="C16">
        <f t="shared" si="1"/>
        <v>-5.1313731570422585E-2</v>
      </c>
    </row>
    <row r="17" spans="1:3">
      <c r="A17" s="2">
        <v>17</v>
      </c>
      <c r="B17">
        <f t="shared" si="0"/>
        <v>-5.0303023999999988E-3</v>
      </c>
      <c r="C17">
        <f t="shared" si="1"/>
        <v>-5.0314506935058227E-2</v>
      </c>
    </row>
    <row r="18" spans="1:3">
      <c r="A18" s="2">
        <v>18</v>
      </c>
      <c r="B18">
        <f t="shared" si="0"/>
        <v>-4.0406226999999996E-3</v>
      </c>
      <c r="C18">
        <f t="shared" si="1"/>
        <v>-4.9315875638619514E-2</v>
      </c>
    </row>
    <row r="19" spans="1:3">
      <c r="A19" s="2">
        <v>19</v>
      </c>
      <c r="B19">
        <f t="shared" si="0"/>
        <v>-3.0509430000000004E-3</v>
      </c>
      <c r="C19">
        <f t="shared" si="1"/>
        <v>-4.8317838033107442E-2</v>
      </c>
    </row>
    <row r="20" spans="1:3">
      <c r="A20" s="2">
        <v>20</v>
      </c>
      <c r="B20">
        <f t="shared" si="0"/>
        <v>-2.0612632999999977E-3</v>
      </c>
      <c r="C20">
        <f t="shared" si="1"/>
        <v>-4.7320394447428867E-2</v>
      </c>
    </row>
    <row r="21" spans="1:3">
      <c r="A21" s="2">
        <v>21</v>
      </c>
      <c r="B21">
        <f t="shared" si="0"/>
        <v>-1.0715835999999986E-3</v>
      </c>
      <c r="C21">
        <f t="shared" si="1"/>
        <v>-4.6323545187331991E-2</v>
      </c>
    </row>
    <row r="22" spans="1:3">
      <c r="A22" s="2">
        <v>22</v>
      </c>
      <c r="B22">
        <f t="shared" si="0"/>
        <v>-8.1903899999999363E-5</v>
      </c>
      <c r="C22">
        <f t="shared" si="1"/>
        <v>-4.5327290535346385E-2</v>
      </c>
    </row>
    <row r="23" spans="1:3">
      <c r="A23" s="2">
        <v>23</v>
      </c>
      <c r="B23">
        <f t="shared" si="0"/>
        <v>9.077758000000033E-4</v>
      </c>
      <c r="C23">
        <f t="shared" si="1"/>
        <v>-4.4331630750727408E-2</v>
      </c>
    </row>
    <row r="24" spans="1:3">
      <c r="A24" s="2">
        <v>24</v>
      </c>
      <c r="B24">
        <f t="shared" si="0"/>
        <v>1.8974555000000025E-3</v>
      </c>
      <c r="C24">
        <f t="shared" si="1"/>
        <v>-4.3336566069405252E-2</v>
      </c>
    </row>
    <row r="25" spans="1:3">
      <c r="A25" s="2">
        <v>25</v>
      </c>
      <c r="B25">
        <f t="shared" si="0"/>
        <v>2.8871352000000017E-3</v>
      </c>
      <c r="C25">
        <f t="shared" si="1"/>
        <v>-4.23420967039385E-2</v>
      </c>
    </row>
    <row r="26" spans="1:3">
      <c r="A26" s="2">
        <v>26</v>
      </c>
      <c r="B26">
        <f t="shared" si="0"/>
        <v>3.8768149000000009E-3</v>
      </c>
      <c r="C26">
        <f t="shared" si="1"/>
        <v>-4.1348222843472185E-2</v>
      </c>
    </row>
    <row r="27" spans="1:3">
      <c r="A27" s="2">
        <v>27</v>
      </c>
      <c r="B27">
        <f t="shared" si="0"/>
        <v>4.8664946000000001E-3</v>
      </c>
      <c r="C27">
        <f t="shared" si="1"/>
        <v>-4.03549446537005E-2</v>
      </c>
    </row>
    <row r="28" spans="1:3">
      <c r="A28" s="2">
        <v>28</v>
      </c>
      <c r="B28">
        <f t="shared" si="0"/>
        <v>5.8561743000000027E-3</v>
      </c>
      <c r="C28">
        <f t="shared" si="1"/>
        <v>-3.9362262276834134E-2</v>
      </c>
    </row>
    <row r="29" spans="1:3">
      <c r="A29" s="2">
        <v>29</v>
      </c>
      <c r="B29">
        <f t="shared" si="0"/>
        <v>6.8458540000000019E-3</v>
      </c>
      <c r="C29">
        <f t="shared" si="1"/>
        <v>-3.8370175831572151E-2</v>
      </c>
    </row>
    <row r="30" spans="1:3">
      <c r="A30" s="2">
        <v>30</v>
      </c>
      <c r="B30">
        <f t="shared" si="0"/>
        <v>7.8355337000000011E-3</v>
      </c>
      <c r="C30">
        <f t="shared" si="1"/>
        <v>-3.7378685413078601E-2</v>
      </c>
    </row>
    <row r="31" spans="1:3">
      <c r="A31" s="2">
        <v>31</v>
      </c>
      <c r="B31">
        <f t="shared" si="0"/>
        <v>8.8252134000000038E-3</v>
      </c>
      <c r="C31">
        <f t="shared" si="1"/>
        <v>-3.6387791092963591E-2</v>
      </c>
    </row>
    <row r="32" spans="1:3">
      <c r="A32" s="2">
        <v>32</v>
      </c>
      <c r="B32">
        <f t="shared" si="0"/>
        <v>9.814893100000003E-3</v>
      </c>
      <c r="C32">
        <f t="shared" si="1"/>
        <v>-3.5397492919269274E-2</v>
      </c>
    </row>
    <row r="33" spans="1:3">
      <c r="A33" s="2">
        <v>33</v>
      </c>
      <c r="B33">
        <f t="shared" ref="B33:B64" si="2">-0.0208651776+(A33-1)*0.0009896797</f>
        <v>1.0804572800000002E-2</v>
      </c>
      <c r="C33">
        <f t="shared" ref="C33:C64" si="3">0+1*B33-0.0450643050965262*(1.00657894736842+(B33-0.0103467566886897)^2/0.0737944000271722)^0.5</f>
        <v>-3.4407790916460269E-2</v>
      </c>
    </row>
    <row r="34" spans="1:3">
      <c r="A34" s="2">
        <v>34</v>
      </c>
      <c r="B34">
        <f t="shared" si="2"/>
        <v>1.1794252500000005E-2</v>
      </c>
      <c r="C34">
        <f t="shared" si="3"/>
        <v>-3.3418685085418794E-2</v>
      </c>
    </row>
    <row r="35" spans="1:3">
      <c r="A35" s="2">
        <v>35</v>
      </c>
      <c r="B35">
        <f t="shared" si="2"/>
        <v>1.2783932200000001E-2</v>
      </c>
      <c r="C35">
        <f t="shared" si="3"/>
        <v>-3.2430175403444568E-2</v>
      </c>
    </row>
    <row r="36" spans="1:3">
      <c r="A36" s="2">
        <v>36</v>
      </c>
      <c r="B36">
        <f t="shared" si="2"/>
        <v>1.3773611900000003E-2</v>
      </c>
      <c r="C36">
        <f t="shared" si="3"/>
        <v>-3.144226182425925E-2</v>
      </c>
    </row>
    <row r="37" spans="1:3">
      <c r="A37" s="2">
        <v>37</v>
      </c>
      <c r="B37">
        <f t="shared" si="2"/>
        <v>1.4763291599999999E-2</v>
      </c>
      <c r="C37">
        <f t="shared" si="3"/>
        <v>-3.0454944278015615E-2</v>
      </c>
    </row>
    <row r="38" spans="1:3">
      <c r="A38" s="2">
        <v>38</v>
      </c>
      <c r="B38">
        <f t="shared" si="2"/>
        <v>1.5752971300000002E-2</v>
      </c>
      <c r="C38">
        <f t="shared" si="3"/>
        <v>-2.9468222671311335E-2</v>
      </c>
    </row>
    <row r="39" spans="1:3">
      <c r="A39" s="2">
        <v>39</v>
      </c>
      <c r="B39">
        <f t="shared" si="2"/>
        <v>1.6742651000000004E-2</v>
      </c>
      <c r="C39">
        <f t="shared" si="3"/>
        <v>-2.8482096887207466E-2</v>
      </c>
    </row>
    <row r="40" spans="1:3">
      <c r="A40" s="2">
        <v>40</v>
      </c>
      <c r="B40">
        <f t="shared" si="2"/>
        <v>1.77323307E-2</v>
      </c>
      <c r="C40">
        <f t="shared" si="3"/>
        <v>-2.7496566785251565E-2</v>
      </c>
    </row>
    <row r="41" spans="1:3">
      <c r="A41" s="2">
        <v>41</v>
      </c>
      <c r="B41">
        <f t="shared" si="2"/>
        <v>1.8722010400000003E-2</v>
      </c>
      <c r="C41">
        <f t="shared" si="3"/>
        <v>-2.6511632201505347E-2</v>
      </c>
    </row>
    <row r="42" spans="1:3">
      <c r="A42" s="2">
        <v>42</v>
      </c>
      <c r="B42">
        <f t="shared" si="2"/>
        <v>1.9711690100000005E-2</v>
      </c>
      <c r="C42">
        <f t="shared" si="3"/>
        <v>-2.5527292948577134E-2</v>
      </c>
    </row>
    <row r="43" spans="1:3">
      <c r="A43" s="2">
        <v>43</v>
      </c>
      <c r="B43">
        <f t="shared" si="2"/>
        <v>2.0701369800000001E-2</v>
      </c>
      <c r="C43">
        <f t="shared" si="3"/>
        <v>-2.4543548815658775E-2</v>
      </c>
    </row>
    <row r="44" spans="1:3">
      <c r="A44" s="2">
        <v>44</v>
      </c>
      <c r="B44">
        <f t="shared" si="2"/>
        <v>2.1691049500000004E-2</v>
      </c>
      <c r="C44">
        <f t="shared" si="3"/>
        <v>-2.3560399568567161E-2</v>
      </c>
    </row>
    <row r="45" spans="1:3">
      <c r="A45" s="2">
        <v>45</v>
      </c>
      <c r="B45">
        <f t="shared" si="2"/>
        <v>2.2680729200000006E-2</v>
      </c>
      <c r="C45">
        <f t="shared" si="3"/>
        <v>-2.2577844949790392E-2</v>
      </c>
    </row>
    <row r="46" spans="1:3">
      <c r="A46" s="2">
        <v>46</v>
      </c>
      <c r="B46">
        <f t="shared" si="2"/>
        <v>2.3670408900000002E-2</v>
      </c>
      <c r="C46">
        <f t="shared" si="3"/>
        <v>-2.1595884678538436E-2</v>
      </c>
    </row>
    <row r="47" spans="1:3">
      <c r="A47" s="2">
        <v>47</v>
      </c>
      <c r="B47">
        <f t="shared" si="2"/>
        <v>2.4660088600000005E-2</v>
      </c>
      <c r="C47">
        <f t="shared" si="3"/>
        <v>-2.0614518450798251E-2</v>
      </c>
    </row>
    <row r="48" spans="1:3">
      <c r="A48" s="2">
        <v>48</v>
      </c>
      <c r="B48">
        <f t="shared" si="2"/>
        <v>2.56497683E-2</v>
      </c>
      <c r="C48">
        <f t="shared" si="3"/>
        <v>-1.9633745939393529E-2</v>
      </c>
    </row>
    <row r="49" spans="1:3">
      <c r="A49" s="2">
        <v>49</v>
      </c>
      <c r="B49">
        <f t="shared" si="2"/>
        <v>2.6639448000000003E-2</v>
      </c>
      <c r="C49">
        <f t="shared" si="3"/>
        <v>-1.8653566794048851E-2</v>
      </c>
    </row>
    <row r="50" spans="1:3">
      <c r="A50" s="2">
        <v>50</v>
      </c>
      <c r="B50">
        <f t="shared" si="2"/>
        <v>2.7629127700000006E-2</v>
      </c>
      <c r="C50">
        <f t="shared" si="3"/>
        <v>-1.7673980641458274E-2</v>
      </c>
    </row>
    <row r="51" spans="1:3">
      <c r="A51" s="2">
        <v>51</v>
      </c>
      <c r="B51">
        <f t="shared" si="2"/>
        <v>2.8618807400000001E-2</v>
      </c>
      <c r="C51">
        <f t="shared" si="3"/>
        <v>-1.6694987085358319E-2</v>
      </c>
    </row>
    <row r="52" spans="1:3">
      <c r="A52" s="2">
        <v>52</v>
      </c>
      <c r="B52">
        <f t="shared" si="2"/>
        <v>2.9608487100000004E-2</v>
      </c>
      <c r="C52">
        <f t="shared" si="3"/>
        <v>-1.5716585706605397E-2</v>
      </c>
    </row>
    <row r="53" spans="1:3">
      <c r="A53" s="2">
        <v>53</v>
      </c>
      <c r="B53">
        <f t="shared" si="2"/>
        <v>3.05981668E-2</v>
      </c>
      <c r="C53">
        <f t="shared" si="3"/>
        <v>-1.4738776063257512E-2</v>
      </c>
    </row>
    <row r="54" spans="1:3">
      <c r="A54" s="2">
        <v>54</v>
      </c>
      <c r="B54">
        <f t="shared" si="2"/>
        <v>3.1587846500000002E-2</v>
      </c>
      <c r="C54">
        <f t="shared" si="3"/>
        <v>-1.37615576906603E-2</v>
      </c>
    </row>
    <row r="55" spans="1:3">
      <c r="A55" s="2">
        <v>55</v>
      </c>
      <c r="B55">
        <f t="shared" si="2"/>
        <v>3.2577526200000005E-2</v>
      </c>
      <c r="C55">
        <f t="shared" si="3"/>
        <v>-1.2784930101537355E-2</v>
      </c>
    </row>
    <row r="56" spans="1:3">
      <c r="A56" s="2">
        <v>56</v>
      </c>
      <c r="B56">
        <f t="shared" si="2"/>
        <v>3.3567205900000001E-2</v>
      </c>
      <c r="C56">
        <f t="shared" si="3"/>
        <v>-1.1808892786084733E-2</v>
      </c>
    </row>
    <row r="57" spans="1:3">
      <c r="A57" s="2">
        <v>57</v>
      </c>
      <c r="B57">
        <f t="shared" si="2"/>
        <v>3.4556885600000004E-2</v>
      </c>
      <c r="C57">
        <f t="shared" si="3"/>
        <v>-1.0833445212069651E-2</v>
      </c>
    </row>
    <row r="58" spans="1:3">
      <c r="A58" s="2">
        <v>58</v>
      </c>
      <c r="B58">
        <f t="shared" si="2"/>
        <v>3.5546565300000006E-2</v>
      </c>
      <c r="C58">
        <f t="shared" si="3"/>
        <v>-9.8585868249334158E-3</v>
      </c>
    </row>
    <row r="59" spans="1:3">
      <c r="A59" s="2">
        <v>59</v>
      </c>
      <c r="B59">
        <f t="shared" si="2"/>
        <v>3.6536245000000002E-2</v>
      </c>
      <c r="C59">
        <f t="shared" si="3"/>
        <v>-8.8843170478982852E-3</v>
      </c>
    </row>
    <row r="60" spans="1:3">
      <c r="A60" s="2">
        <v>60</v>
      </c>
      <c r="B60">
        <f t="shared" si="2"/>
        <v>3.7525924700000005E-2</v>
      </c>
      <c r="C60">
        <f t="shared" si="3"/>
        <v>-7.9106352820784778E-3</v>
      </c>
    </row>
    <row r="61" spans="1:3">
      <c r="A61" s="2">
        <v>61</v>
      </c>
      <c r="B61">
        <f t="shared" si="2"/>
        <v>3.8515604400000007E-2</v>
      </c>
      <c r="C61">
        <f t="shared" si="3"/>
        <v>-6.9375409065952215E-3</v>
      </c>
    </row>
    <row r="62" spans="1:3">
      <c r="A62" s="2">
        <v>62</v>
      </c>
      <c r="B62">
        <f t="shared" si="2"/>
        <v>3.9505284100000003E-2</v>
      </c>
      <c r="C62">
        <f t="shared" si="3"/>
        <v>-5.9650332786956167E-3</v>
      </c>
    </row>
    <row r="63" spans="1:3">
      <c r="A63" s="2">
        <v>63</v>
      </c>
      <c r="B63">
        <f t="shared" si="2"/>
        <v>4.0494963800000006E-2</v>
      </c>
      <c r="C63">
        <f t="shared" si="3"/>
        <v>-4.9931117338755174E-3</v>
      </c>
    </row>
    <row r="64" spans="1:3">
      <c r="A64" s="2">
        <v>64</v>
      </c>
      <c r="B64">
        <f t="shared" si="2"/>
        <v>4.1484643500000001E-2</v>
      </c>
      <c r="C64">
        <f t="shared" si="3"/>
        <v>-4.0217755860061655E-3</v>
      </c>
    </row>
    <row r="65" spans="1:3">
      <c r="A65" s="2">
        <v>65</v>
      </c>
      <c r="B65">
        <f t="shared" ref="B65:B70" si="4">-0.0208651776+(A65-1)*0.0009896797</f>
        <v>4.2474323200000004E-2</v>
      </c>
      <c r="C65">
        <f t="shared" ref="C65:C70" si="5">0+1*B65-0.0450643050965262*(1.00657894736842+(B65-0.0103467566886897)^2/0.0737944000271722)^0.5</f>
        <v>-3.0510241274646632E-3</v>
      </c>
    </row>
    <row r="66" spans="1:3">
      <c r="A66" s="2">
        <v>66</v>
      </c>
      <c r="B66">
        <f t="shared" si="4"/>
        <v>4.34640029E-2</v>
      </c>
      <c r="C66">
        <f t="shared" si="5"/>
        <v>-2.0808566292681574E-3</v>
      </c>
    </row>
    <row r="67" spans="1:3">
      <c r="A67" s="2">
        <v>67</v>
      </c>
      <c r="B67">
        <f t="shared" si="4"/>
        <v>4.4453682600000009E-2</v>
      </c>
      <c r="C67">
        <f t="shared" si="5"/>
        <v>-1.1112723412116388E-3</v>
      </c>
    </row>
    <row r="68" spans="1:3">
      <c r="A68" s="2">
        <v>68</v>
      </c>
      <c r="B68">
        <f t="shared" si="4"/>
        <v>4.5443362300000005E-2</v>
      </c>
      <c r="C68">
        <f t="shared" si="5"/>
        <v>-1.4227049200951636E-4</v>
      </c>
    </row>
    <row r="69" spans="1:3">
      <c r="A69" s="2">
        <v>69</v>
      </c>
      <c r="B69">
        <f t="shared" si="4"/>
        <v>4.6433042000000001E-2</v>
      </c>
      <c r="C69">
        <f t="shared" si="5"/>
        <v>8.2614971055952613E-4</v>
      </c>
    </row>
    <row r="70" spans="1:3">
      <c r="A70" s="2">
        <v>70</v>
      </c>
      <c r="B70">
        <f t="shared" si="4"/>
        <v>4.742272170000001E-2</v>
      </c>
      <c r="C70">
        <f t="shared" si="5"/>
        <v>1.7939890795039409E-3</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enableFormatConditionsCalculation="0"/>
  <dimension ref="A1:C70"/>
  <sheetViews>
    <sheetView workbookViewId="0"/>
  </sheetViews>
  <sheetFormatPr baseColWidth="10" defaultRowHeight="15.75"/>
  <sheetData>
    <row r="1" spans="1:3">
      <c r="A1" s="2">
        <v>1</v>
      </c>
      <c r="B1">
        <f t="shared" ref="B1:B32" si="0">-0.022251254+(A1-1)*0.0010097678</f>
        <v>-2.2251254000000002E-2</v>
      </c>
      <c r="C1">
        <f t="shared" ref="C1:C32" si="1">0+1*B1+0.0450643050965262*(1.00657894736842+(B1-0.0103467566886897)^2/0.0737944000271722)^0.5</f>
        <v>2.3283295679133339E-2</v>
      </c>
    </row>
    <row r="2" spans="1:3">
      <c r="A2" s="2">
        <v>2</v>
      </c>
      <c r="B2">
        <f t="shared" si="0"/>
        <v>-2.1241486200000003E-2</v>
      </c>
      <c r="C2">
        <f t="shared" si="1"/>
        <v>2.427347377464226E-2</v>
      </c>
    </row>
    <row r="3" spans="1:3">
      <c r="A3" s="2">
        <v>3</v>
      </c>
      <c r="B3">
        <f t="shared" si="0"/>
        <v>-2.0231718400000001E-2</v>
      </c>
      <c r="C3">
        <f t="shared" si="1"/>
        <v>2.5264260193263777E-2</v>
      </c>
    </row>
    <row r="4" spans="1:3">
      <c r="A4" s="2">
        <v>4</v>
      </c>
      <c r="B4">
        <f t="shared" si="0"/>
        <v>-1.9221950600000003E-2</v>
      </c>
      <c r="C4">
        <f t="shared" si="1"/>
        <v>2.6255655696701137E-2</v>
      </c>
    </row>
    <row r="5" spans="1:3">
      <c r="A5" s="2">
        <v>5</v>
      </c>
      <c r="B5">
        <f t="shared" si="0"/>
        <v>-1.8212182800000001E-2</v>
      </c>
      <c r="C5">
        <f t="shared" si="1"/>
        <v>2.724766102342718E-2</v>
      </c>
    </row>
    <row r="6" spans="1:3">
      <c r="A6" s="2">
        <v>6</v>
      </c>
      <c r="B6">
        <f t="shared" si="0"/>
        <v>-1.7202415000000002E-2</v>
      </c>
      <c r="C6">
        <f t="shared" si="1"/>
        <v>2.8240276888538408E-2</v>
      </c>
    </row>
    <row r="7" spans="1:3">
      <c r="A7" s="2">
        <v>7</v>
      </c>
      <c r="B7">
        <f t="shared" si="0"/>
        <v>-1.61926472E-2</v>
      </c>
      <c r="C7">
        <f t="shared" si="1"/>
        <v>2.9233503983613206E-2</v>
      </c>
    </row>
    <row r="8" spans="1:3">
      <c r="A8" s="2">
        <v>8</v>
      </c>
      <c r="B8">
        <f t="shared" si="0"/>
        <v>-1.5182879400000002E-2</v>
      </c>
      <c r="C8">
        <f t="shared" si="1"/>
        <v>3.0227342976574388E-2</v>
      </c>
    </row>
    <row r="9" spans="1:3">
      <c r="A9" s="2">
        <v>9</v>
      </c>
      <c r="B9">
        <f t="shared" si="0"/>
        <v>-1.4173111600000001E-2</v>
      </c>
      <c r="C9">
        <f t="shared" si="1"/>
        <v>3.1221794511556128E-2</v>
      </c>
    </row>
    <row r="10" spans="1:3">
      <c r="A10" s="2">
        <v>10</v>
      </c>
      <c r="B10">
        <f t="shared" si="0"/>
        <v>-1.3163343800000001E-2</v>
      </c>
      <c r="C10">
        <f t="shared" si="1"/>
        <v>3.2216859208775303E-2</v>
      </c>
    </row>
    <row r="11" spans="1:3">
      <c r="A11" s="2">
        <v>11</v>
      </c>
      <c r="B11">
        <f t="shared" si="0"/>
        <v>-1.2153576000000001E-2</v>
      </c>
      <c r="C11">
        <f t="shared" si="1"/>
        <v>3.3212537664407363E-2</v>
      </c>
    </row>
    <row r="12" spans="1:3">
      <c r="A12" s="2">
        <v>12</v>
      </c>
      <c r="B12">
        <f t="shared" si="0"/>
        <v>-1.1143808200000001E-2</v>
      </c>
      <c r="C12">
        <f t="shared" si="1"/>
        <v>3.4208830450466639E-2</v>
      </c>
    </row>
    <row r="13" spans="1:3">
      <c r="A13" s="2">
        <v>13</v>
      </c>
      <c r="B13">
        <f t="shared" si="0"/>
        <v>-1.0134040400000002E-2</v>
      </c>
      <c r="C13">
        <f t="shared" si="1"/>
        <v>3.5205738114691479E-2</v>
      </c>
    </row>
    <row r="14" spans="1:3">
      <c r="A14" s="2">
        <v>14</v>
      </c>
      <c r="B14">
        <f t="shared" si="0"/>
        <v>-9.1242726000000021E-3</v>
      </c>
      <c r="C14">
        <f t="shared" si="1"/>
        <v>3.6203261180433745E-2</v>
      </c>
    </row>
    <row r="15" spans="1:3">
      <c r="A15" s="2">
        <v>15</v>
      </c>
      <c r="B15">
        <f t="shared" si="0"/>
        <v>-8.1145048000000018E-3</v>
      </c>
      <c r="C15">
        <f t="shared" si="1"/>
        <v>3.7201400146553251E-2</v>
      </c>
    </row>
    <row r="16" spans="1:3">
      <c r="A16" s="2">
        <v>16</v>
      </c>
      <c r="B16">
        <f t="shared" si="0"/>
        <v>-7.1047370000000016E-3</v>
      </c>
      <c r="C16">
        <f t="shared" si="1"/>
        <v>3.8200155487316888E-2</v>
      </c>
    </row>
    <row r="17" spans="1:3">
      <c r="A17" s="2">
        <v>17</v>
      </c>
      <c r="B17">
        <f t="shared" si="0"/>
        <v>-6.0949692000000014E-3</v>
      </c>
      <c r="C17">
        <f t="shared" si="1"/>
        <v>3.9199527652302481E-2</v>
      </c>
    </row>
    <row r="18" spans="1:3">
      <c r="A18" s="2">
        <v>18</v>
      </c>
      <c r="B18">
        <f t="shared" si="0"/>
        <v>-5.0852014000000029E-3</v>
      </c>
      <c r="C18">
        <f t="shared" si="1"/>
        <v>4.0199517066307609E-2</v>
      </c>
    </row>
    <row r="19" spans="1:3">
      <c r="A19" s="2">
        <v>19</v>
      </c>
      <c r="B19">
        <f t="shared" si="0"/>
        <v>-4.0754336000000009E-3</v>
      </c>
      <c r="C19">
        <f t="shared" si="1"/>
        <v>4.1200124129263244E-2</v>
      </c>
    </row>
    <row r="20" spans="1:3">
      <c r="A20" s="2">
        <v>20</v>
      </c>
      <c r="B20">
        <f t="shared" si="0"/>
        <v>-3.0656658000000024E-3</v>
      </c>
      <c r="C20">
        <f t="shared" si="1"/>
        <v>4.2201349216152331E-2</v>
      </c>
    </row>
    <row r="21" spans="1:3">
      <c r="A21" s="2">
        <v>21</v>
      </c>
      <c r="B21">
        <f t="shared" si="0"/>
        <v>-2.0558980000000004E-3</v>
      </c>
      <c r="C21">
        <f t="shared" si="1"/>
        <v>4.3203192676933365E-2</v>
      </c>
    </row>
    <row r="22" spans="1:3">
      <c r="A22" s="2">
        <v>22</v>
      </c>
      <c r="B22">
        <f t="shared" si="0"/>
        <v>-1.046130200000002E-3</v>
      </c>
      <c r="C22">
        <f t="shared" si="1"/>
        <v>4.4205654836468981E-2</v>
      </c>
    </row>
    <row r="23" spans="1:3">
      <c r="A23" s="2">
        <v>23</v>
      </c>
      <c r="B23">
        <f t="shared" si="0"/>
        <v>-3.6362399999999989E-5</v>
      </c>
      <c r="C23">
        <f t="shared" si="1"/>
        <v>4.5208735994459529E-2</v>
      </c>
    </row>
    <row r="24" spans="1:3">
      <c r="A24" s="2">
        <v>24</v>
      </c>
      <c r="B24">
        <f t="shared" si="0"/>
        <v>9.7340539999999851E-4</v>
      </c>
      <c r="C24">
        <f t="shared" si="1"/>
        <v>4.6212436425381781E-2</v>
      </c>
    </row>
    <row r="25" spans="1:3">
      <c r="A25" s="2">
        <v>25</v>
      </c>
      <c r="B25">
        <f t="shared" si="0"/>
        <v>1.983173199999997E-3</v>
      </c>
      <c r="C25">
        <f t="shared" si="1"/>
        <v>4.7216756378432714E-2</v>
      </c>
    </row>
    <row r="26" spans="1:3">
      <c r="A26" s="2">
        <v>26</v>
      </c>
      <c r="B26">
        <f t="shared" si="0"/>
        <v>2.992940999999999E-3</v>
      </c>
      <c r="C26">
        <f t="shared" si="1"/>
        <v>4.8221696077478449E-2</v>
      </c>
    </row>
    <row r="27" spans="1:3">
      <c r="A27" s="2">
        <v>27</v>
      </c>
      <c r="B27">
        <f t="shared" si="0"/>
        <v>4.0027087999999975E-3</v>
      </c>
      <c r="C27">
        <f t="shared" si="1"/>
        <v>4.9227255721008265E-2</v>
      </c>
    </row>
    <row r="28" spans="1:3">
      <c r="A28" s="2">
        <v>28</v>
      </c>
      <c r="B28">
        <f t="shared" si="0"/>
        <v>5.0124765999999994E-3</v>
      </c>
      <c r="C28">
        <f t="shared" si="1"/>
        <v>5.0233435482093913E-2</v>
      </c>
    </row>
    <row r="29" spans="1:3">
      <c r="A29" s="2">
        <v>29</v>
      </c>
      <c r="B29">
        <f t="shared" si="0"/>
        <v>6.0222443999999979E-3</v>
      </c>
      <c r="C29">
        <f t="shared" si="1"/>
        <v>5.1240235508354021E-2</v>
      </c>
    </row>
    <row r="30" spans="1:3">
      <c r="A30" s="2">
        <v>30</v>
      </c>
      <c r="B30">
        <f t="shared" si="0"/>
        <v>7.0320121999999999E-3</v>
      </c>
      <c r="C30">
        <f t="shared" si="1"/>
        <v>5.2247655921923764E-2</v>
      </c>
    </row>
    <row r="31" spans="1:3">
      <c r="A31" s="2">
        <v>31</v>
      </c>
      <c r="B31">
        <f t="shared" si="0"/>
        <v>8.0417799999999984E-3</v>
      </c>
      <c r="C31">
        <f t="shared" si="1"/>
        <v>5.3255696819429703E-2</v>
      </c>
    </row>
    <row r="32" spans="1:3">
      <c r="A32" s="2">
        <v>32</v>
      </c>
      <c r="B32">
        <f t="shared" si="0"/>
        <v>9.0515478000000003E-3</v>
      </c>
      <c r="C32">
        <f t="shared" si="1"/>
        <v>5.4264358271969973E-2</v>
      </c>
    </row>
    <row r="33" spans="1:3">
      <c r="A33" s="2">
        <v>33</v>
      </c>
      <c r="B33">
        <f t="shared" ref="B33:B64" si="2">-0.022251254+(A33-1)*0.0010097678</f>
        <v>1.0061315599999999E-2</v>
      </c>
      <c r="C33">
        <f t="shared" ref="C33:C64" si="3">0+1*B33+0.0450643050965262*(1.00657894736842+(B33-0.0103467566886897)^2/0.0737944000271722)^0.5</f>
        <v>5.5273640325099599E-2</v>
      </c>
    </row>
    <row r="34" spans="1:3">
      <c r="A34" s="2">
        <v>34</v>
      </c>
      <c r="B34">
        <f t="shared" si="2"/>
        <v>1.1071083399999997E-2</v>
      </c>
      <c r="C34">
        <f t="shared" si="3"/>
        <v>5.6283542998821101E-2</v>
      </c>
    </row>
    <row r="35" spans="1:3">
      <c r="A35" s="2">
        <v>35</v>
      </c>
      <c r="B35">
        <f t="shared" si="2"/>
        <v>1.2080851199999996E-2</v>
      </c>
      <c r="C35">
        <f t="shared" si="3"/>
        <v>5.7294066287580478E-2</v>
      </c>
    </row>
    <row r="36" spans="1:3">
      <c r="A36" s="2">
        <v>36</v>
      </c>
      <c r="B36">
        <f t="shared" si="2"/>
        <v>1.3090619000000001E-2</v>
      </c>
      <c r="C36">
        <f t="shared" si="3"/>
        <v>5.8305210160268225E-2</v>
      </c>
    </row>
    <row r="37" spans="1:3">
      <c r="A37" s="2">
        <v>37</v>
      </c>
      <c r="B37">
        <f t="shared" si="2"/>
        <v>1.41003868E-2</v>
      </c>
      <c r="C37">
        <f t="shared" si="3"/>
        <v>5.9316974560225763E-2</v>
      </c>
    </row>
    <row r="38" spans="1:3">
      <c r="A38" s="2">
        <v>38</v>
      </c>
      <c r="B38">
        <f t="shared" si="2"/>
        <v>1.5110154599999998E-2</v>
      </c>
      <c r="C38">
        <f t="shared" si="3"/>
        <v>6.0329359405257216E-2</v>
      </c>
    </row>
    <row r="39" spans="1:3">
      <c r="A39" s="2">
        <v>39</v>
      </c>
      <c r="B39">
        <f t="shared" si="2"/>
        <v>1.6119922399999997E-2</v>
      </c>
      <c r="C39">
        <f t="shared" si="3"/>
        <v>6.1342364587646178E-2</v>
      </c>
    </row>
    <row r="40" spans="1:3">
      <c r="A40" s="2">
        <v>40</v>
      </c>
      <c r="B40">
        <f t="shared" si="2"/>
        <v>1.7129690200000002E-2</v>
      </c>
      <c r="C40">
        <f t="shared" si="3"/>
        <v>6.2355989974177961E-2</v>
      </c>
    </row>
    <row r="41" spans="1:3">
      <c r="A41" s="2">
        <v>41</v>
      </c>
      <c r="B41">
        <f t="shared" si="2"/>
        <v>1.8139458000000001E-2</v>
      </c>
      <c r="C41">
        <f t="shared" si="3"/>
        <v>6.3370235406166944E-2</v>
      </c>
    </row>
    <row r="42" spans="1:3">
      <c r="A42" s="2">
        <v>42</v>
      </c>
      <c r="B42">
        <f t="shared" si="2"/>
        <v>1.9149225799999999E-2</v>
      </c>
      <c r="C42">
        <f t="shared" si="3"/>
        <v>6.4385100699489231E-2</v>
      </c>
    </row>
    <row r="43" spans="1:3">
      <c r="A43" s="2">
        <v>43</v>
      </c>
      <c r="B43">
        <f t="shared" si="2"/>
        <v>2.0158993599999998E-2</v>
      </c>
      <c r="C43">
        <f t="shared" si="3"/>
        <v>6.5400585644620424E-2</v>
      </c>
    </row>
    <row r="44" spans="1:3">
      <c r="A44" s="2">
        <v>44</v>
      </c>
      <c r="B44">
        <f t="shared" si="2"/>
        <v>2.1168761399999996E-2</v>
      </c>
      <c r="C44">
        <f t="shared" si="3"/>
        <v>6.6416690006678658E-2</v>
      </c>
    </row>
    <row r="45" spans="1:3">
      <c r="A45" s="2">
        <v>45</v>
      </c>
      <c r="B45">
        <f t="shared" si="2"/>
        <v>2.2178529200000002E-2</v>
      </c>
      <c r="C45">
        <f t="shared" si="3"/>
        <v>6.7433413525472788E-2</v>
      </c>
    </row>
    <row r="46" spans="1:3">
      <c r="A46" s="2">
        <v>46</v>
      </c>
      <c r="B46">
        <f t="shared" si="2"/>
        <v>2.3188297E-2</v>
      </c>
      <c r="C46">
        <f t="shared" si="3"/>
        <v>6.8450755915555619E-2</v>
      </c>
    </row>
    <row r="47" spans="1:3">
      <c r="A47" s="2">
        <v>47</v>
      </c>
      <c r="B47">
        <f t="shared" si="2"/>
        <v>2.4198064799999999E-2</v>
      </c>
      <c r="C47">
        <f t="shared" si="3"/>
        <v>6.9468716866282421E-2</v>
      </c>
    </row>
    <row r="48" spans="1:3">
      <c r="A48" s="2">
        <v>48</v>
      </c>
      <c r="B48">
        <f t="shared" si="2"/>
        <v>2.5207832599999997E-2</v>
      </c>
      <c r="C48">
        <f t="shared" si="3"/>
        <v>7.0487296041874481E-2</v>
      </c>
    </row>
    <row r="49" spans="1:3">
      <c r="A49" s="2">
        <v>49</v>
      </c>
      <c r="B49">
        <f t="shared" si="2"/>
        <v>2.6217600399999996E-2</v>
      </c>
      <c r="C49">
        <f t="shared" si="3"/>
        <v>7.1506493081487585E-2</v>
      </c>
    </row>
    <row r="50" spans="1:3">
      <c r="A50" s="2">
        <v>50</v>
      </c>
      <c r="B50">
        <f t="shared" si="2"/>
        <v>2.7227368200000001E-2</v>
      </c>
      <c r="C50">
        <f t="shared" si="3"/>
        <v>7.2526307599285675E-2</v>
      </c>
    </row>
    <row r="51" spans="1:3">
      <c r="A51" s="2">
        <v>51</v>
      </c>
      <c r="B51">
        <f t="shared" si="2"/>
        <v>2.8237135999999999E-2</v>
      </c>
      <c r="C51">
        <f t="shared" si="3"/>
        <v>7.3546739184519483E-2</v>
      </c>
    </row>
    <row r="52" spans="1:3">
      <c r="A52" s="2">
        <v>52</v>
      </c>
      <c r="B52">
        <f t="shared" si="2"/>
        <v>2.9246903799999998E-2</v>
      </c>
      <c r="C52">
        <f t="shared" si="3"/>
        <v>7.4567787401610006E-2</v>
      </c>
    </row>
    <row r="53" spans="1:3">
      <c r="A53" s="2">
        <v>53</v>
      </c>
      <c r="B53">
        <f t="shared" si="2"/>
        <v>3.0256671599999996E-2</v>
      </c>
      <c r="C53">
        <f t="shared" si="3"/>
        <v>7.5589451790237114E-2</v>
      </c>
    </row>
    <row r="54" spans="1:3">
      <c r="A54" s="2">
        <v>54</v>
      </c>
      <c r="B54">
        <f t="shared" si="2"/>
        <v>3.1266439399999998E-2</v>
      </c>
      <c r="C54">
        <f t="shared" si="3"/>
        <v>7.6611731865432742E-2</v>
      </c>
    </row>
    <row r="55" spans="1:3">
      <c r="A55" s="2">
        <v>55</v>
      </c>
      <c r="B55">
        <f t="shared" si="2"/>
        <v>3.2276207200000004E-2</v>
      </c>
      <c r="C55">
        <f t="shared" si="3"/>
        <v>7.7634627117679128E-2</v>
      </c>
    </row>
    <row r="56" spans="1:3">
      <c r="A56" s="2">
        <v>56</v>
      </c>
      <c r="B56">
        <f t="shared" si="2"/>
        <v>3.3285974999999995E-2</v>
      </c>
      <c r="C56">
        <f t="shared" si="3"/>
        <v>7.8658137013011858E-2</v>
      </c>
    </row>
    <row r="57" spans="1:3">
      <c r="A57" s="2">
        <v>57</v>
      </c>
      <c r="B57">
        <f t="shared" si="2"/>
        <v>3.4295742800000001E-2</v>
      </c>
      <c r="C57">
        <f t="shared" si="3"/>
        <v>7.9682260993127418E-2</v>
      </c>
    </row>
    <row r="58" spans="1:3">
      <c r="A58" s="2">
        <v>58</v>
      </c>
      <c r="B58">
        <f t="shared" si="2"/>
        <v>3.5305510599999992E-2</v>
      </c>
      <c r="C58">
        <f t="shared" si="3"/>
        <v>8.0706998475495673E-2</v>
      </c>
    </row>
    <row r="59" spans="1:3">
      <c r="A59" s="2">
        <v>59</v>
      </c>
      <c r="B59">
        <f t="shared" si="2"/>
        <v>3.6315278399999998E-2</v>
      </c>
      <c r="C59">
        <f t="shared" si="3"/>
        <v>8.1732348853476855E-2</v>
      </c>
    </row>
    <row r="60" spans="1:3">
      <c r="A60" s="2">
        <v>60</v>
      </c>
      <c r="B60">
        <f t="shared" si="2"/>
        <v>3.7325046200000003E-2</v>
      </c>
      <c r="C60">
        <f t="shared" si="3"/>
        <v>8.2758311496443165E-2</v>
      </c>
    </row>
    <row r="61" spans="1:3">
      <c r="A61" s="2">
        <v>61</v>
      </c>
      <c r="B61">
        <f t="shared" si="2"/>
        <v>3.8334813999999995E-2</v>
      </c>
      <c r="C61">
        <f t="shared" si="3"/>
        <v>8.3784885749904808E-2</v>
      </c>
    </row>
    <row r="62" spans="1:3">
      <c r="A62" s="2">
        <v>62</v>
      </c>
      <c r="B62">
        <f t="shared" si="2"/>
        <v>3.93445818E-2</v>
      </c>
      <c r="C62">
        <f t="shared" si="3"/>
        <v>8.4812070935640763E-2</v>
      </c>
    </row>
    <row r="63" spans="1:3">
      <c r="A63" s="2">
        <v>63</v>
      </c>
      <c r="B63">
        <f t="shared" si="2"/>
        <v>4.0354349600000006E-2</v>
      </c>
      <c r="C63">
        <f t="shared" si="3"/>
        <v>8.5839866351833549E-2</v>
      </c>
    </row>
    <row r="64" spans="1:3">
      <c r="A64" s="2">
        <v>64</v>
      </c>
      <c r="B64">
        <f t="shared" si="2"/>
        <v>4.1364117399999997E-2</v>
      </c>
      <c r="C64">
        <f t="shared" si="3"/>
        <v>8.6868271273208703E-2</v>
      </c>
    </row>
    <row r="65" spans="1:3">
      <c r="A65" s="2">
        <v>65</v>
      </c>
      <c r="B65">
        <f t="shared" ref="B65:B70" si="4">-0.022251254+(A65-1)*0.0010097678</f>
        <v>4.2373885200000003E-2</v>
      </c>
      <c r="C65">
        <f t="shared" ref="C65:C70" si="5">0+1*B65+0.0450643050965262*(1.00657894736842+(B65-0.0103467566886897)^2/0.0737944000271722)^0.5</f>
        <v>8.7897284951178323E-2</v>
      </c>
    </row>
    <row r="66" spans="1:3">
      <c r="A66" s="2">
        <v>66</v>
      </c>
      <c r="B66">
        <f t="shared" si="4"/>
        <v>4.3383653000000008E-2</v>
      </c>
      <c r="C66">
        <f t="shared" si="5"/>
        <v>8.8926906613988943E-2</v>
      </c>
    </row>
    <row r="67" spans="1:3">
      <c r="A67" s="2">
        <v>67</v>
      </c>
      <c r="B67">
        <f t="shared" si="4"/>
        <v>4.43934208E-2</v>
      </c>
      <c r="C67">
        <f t="shared" si="5"/>
        <v>8.9957135466873395E-2</v>
      </c>
    </row>
    <row r="68" spans="1:3">
      <c r="A68" s="2">
        <v>68</v>
      </c>
      <c r="B68">
        <f t="shared" si="4"/>
        <v>4.5403188600000005E-2</v>
      </c>
      <c r="C68">
        <f t="shared" si="5"/>
        <v>9.0987970692207029E-2</v>
      </c>
    </row>
    <row r="69" spans="1:3">
      <c r="A69" s="2">
        <v>69</v>
      </c>
      <c r="B69">
        <f t="shared" si="4"/>
        <v>4.6412956399999997E-2</v>
      </c>
      <c r="C69">
        <f t="shared" si="5"/>
        <v>9.2019411449667549E-2</v>
      </c>
    </row>
    <row r="70" spans="1:3">
      <c r="A70" s="2">
        <v>70</v>
      </c>
      <c r="B70">
        <f t="shared" si="4"/>
        <v>4.7422724200000002E-2</v>
      </c>
      <c r="C70">
        <f t="shared" si="5"/>
        <v>9.3051456876399194E-2</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0.0137394629648174+-0.0000950439480062748*B1-0.0484255886018306*(0.00657894736842105+(B1-35.6961842105263)^2/86774.9397868421)^0.5</f>
        <v>6.3854333612062292E-3</v>
      </c>
    </row>
    <row r="2" spans="1:3">
      <c r="A2" s="2">
        <v>2</v>
      </c>
      <c r="B2">
        <f t="shared" si="0"/>
        <v>-5.045826087</v>
      </c>
      <c r="C2">
        <f t="shared" si="1"/>
        <v>6.4546367065083802E-3</v>
      </c>
    </row>
    <row r="3" spans="1:3">
      <c r="A3" s="2">
        <v>3</v>
      </c>
      <c r="B3">
        <f t="shared" si="0"/>
        <v>-3.5856521740000002</v>
      </c>
      <c r="C3">
        <f t="shared" si="1"/>
        <v>6.5219397207798785E-3</v>
      </c>
    </row>
    <row r="4" spans="1:3">
      <c r="A4" s="2">
        <v>4</v>
      </c>
      <c r="B4">
        <f t="shared" si="0"/>
        <v>-2.1254782610000005</v>
      </c>
      <c r="C4">
        <f t="shared" si="1"/>
        <v>6.5871826477573361E-3</v>
      </c>
    </row>
    <row r="5" spans="1:3">
      <c r="A5" s="2">
        <v>5</v>
      </c>
      <c r="B5">
        <f t="shared" si="0"/>
        <v>-0.66530434800000027</v>
      </c>
      <c r="C5">
        <f t="shared" si="1"/>
        <v>6.6501891947146063E-3</v>
      </c>
    </row>
    <row r="6" spans="1:3">
      <c r="A6" s="2">
        <v>6</v>
      </c>
      <c r="B6">
        <f t="shared" si="0"/>
        <v>0.79486956499999994</v>
      </c>
      <c r="C6">
        <f t="shared" si="1"/>
        <v>6.7107646531146667E-3</v>
      </c>
    </row>
    <row r="7" spans="1:3">
      <c r="A7" s="2">
        <v>7</v>
      </c>
      <c r="B7">
        <f t="shared" si="0"/>
        <v>2.2550434779999993</v>
      </c>
      <c r="C7">
        <f t="shared" si="1"/>
        <v>6.7686938237787762E-3</v>
      </c>
    </row>
    <row r="8" spans="1:3">
      <c r="A8" s="2">
        <v>8</v>
      </c>
      <c r="B8">
        <f t="shared" si="0"/>
        <v>3.7152173909999995</v>
      </c>
      <c r="C8">
        <f t="shared" si="1"/>
        <v>6.823738740447058E-3</v>
      </c>
    </row>
    <row r="9" spans="1:3">
      <c r="A9" s="2">
        <v>9</v>
      </c>
      <c r="B9">
        <f t="shared" si="0"/>
        <v>5.1753913039999997</v>
      </c>
      <c r="C9">
        <f t="shared" si="1"/>
        <v>6.8756361925020925E-3</v>
      </c>
    </row>
    <row r="10" spans="1:3">
      <c r="A10" s="2">
        <v>10</v>
      </c>
      <c r="B10">
        <f t="shared" si="0"/>
        <v>6.6355652169999999</v>
      </c>
      <c r="C10">
        <f t="shared" si="1"/>
        <v>6.9240950581071119E-3</v>
      </c>
    </row>
    <row r="11" spans="1:3">
      <c r="A11" s="2">
        <v>11</v>
      </c>
      <c r="B11">
        <f t="shared" si="0"/>
        <v>8.0957391300000001</v>
      </c>
      <c r="C11">
        <f t="shared" si="1"/>
        <v>6.9687934742877862E-3</v>
      </c>
    </row>
    <row r="12" spans="1:3">
      <c r="A12" s="2">
        <v>12</v>
      </c>
      <c r="B12">
        <f t="shared" si="0"/>
        <v>9.5559130430000003</v>
      </c>
      <c r="C12">
        <f t="shared" si="1"/>
        <v>7.0093758920287885E-3</v>
      </c>
    </row>
    <row r="13" spans="1:3">
      <c r="A13" s="2">
        <v>13</v>
      </c>
      <c r="B13">
        <f t="shared" si="0"/>
        <v>11.016086955999999</v>
      </c>
      <c r="C13">
        <f t="shared" si="1"/>
        <v>7.045450093942379E-3</v>
      </c>
    </row>
    <row r="14" spans="1:3">
      <c r="A14" s="2">
        <v>14</v>
      </c>
      <c r="B14">
        <f t="shared" si="0"/>
        <v>12.476260869000001</v>
      </c>
      <c r="C14">
        <f t="shared" si="1"/>
        <v>7.0765842912597068E-3</v>
      </c>
    </row>
    <row r="15" spans="1:3">
      <c r="A15" s="2">
        <v>15</v>
      </c>
      <c r="B15">
        <f t="shared" si="0"/>
        <v>13.936434781999999</v>
      </c>
      <c r="C15">
        <f t="shared" si="1"/>
        <v>7.1023044673757633E-3</v>
      </c>
    </row>
    <row r="16" spans="1:3">
      <c r="A16" s="2">
        <v>16</v>
      </c>
      <c r="B16">
        <f t="shared" si="0"/>
        <v>15.396608695000001</v>
      </c>
      <c r="C16">
        <f t="shared" si="1"/>
        <v>7.1220921978584354E-3</v>
      </c>
    </row>
    <row r="17" spans="1:3">
      <c r="A17" s="2">
        <v>17</v>
      </c>
      <c r="B17">
        <f t="shared" si="0"/>
        <v>16.856782608</v>
      </c>
      <c r="C17">
        <f t="shared" si="1"/>
        <v>7.1353832511740463E-3</v>
      </c>
    </row>
    <row r="18" spans="1:3">
      <c r="A18" s="2">
        <v>18</v>
      </c>
      <c r="B18">
        <f t="shared" si="0"/>
        <v>18.316956520999998</v>
      </c>
      <c r="C18">
        <f t="shared" si="1"/>
        <v>7.141567357256416E-3</v>
      </c>
    </row>
    <row r="19" spans="1:3">
      <c r="A19" s="2">
        <v>19</v>
      </c>
      <c r="B19">
        <f t="shared" si="0"/>
        <v>19.777130434</v>
      </c>
      <c r="C19">
        <f t="shared" si="1"/>
        <v>7.1399896152222102E-3</v>
      </c>
    </row>
    <row r="20" spans="1:3">
      <c r="A20" s="2">
        <v>20</v>
      </c>
      <c r="B20">
        <f t="shared" si="0"/>
        <v>21.237304346999998</v>
      </c>
      <c r="C20">
        <f t="shared" si="1"/>
        <v>7.129954083977025E-3</v>
      </c>
    </row>
    <row r="21" spans="1:3">
      <c r="A21" s="2">
        <v>21</v>
      </c>
      <c r="B21">
        <f t="shared" si="0"/>
        <v>22.69747826</v>
      </c>
      <c r="C21">
        <f t="shared" si="1"/>
        <v>7.1107301398845441E-3</v>
      </c>
    </row>
    <row r="22" spans="1:3">
      <c r="A22" s="2">
        <v>22</v>
      </c>
      <c r="B22">
        <f t="shared" si="0"/>
        <v>24.157652172999999</v>
      </c>
      <c r="C22">
        <f t="shared" si="1"/>
        <v>7.081562166267286E-3</v>
      </c>
    </row>
    <row r="23" spans="1:3">
      <c r="A23" s="2">
        <v>23</v>
      </c>
      <c r="B23">
        <f t="shared" si="0"/>
        <v>25.617826086000001</v>
      </c>
      <c r="C23">
        <f t="shared" si="1"/>
        <v>7.0416830271093122E-3</v>
      </c>
    </row>
    <row r="24" spans="1:3">
      <c r="A24" s="2">
        <v>24</v>
      </c>
      <c r="B24">
        <f t="shared" si="0"/>
        <v>27.077999998999999</v>
      </c>
      <c r="C24">
        <f t="shared" si="1"/>
        <v>6.9903315396639062E-3</v>
      </c>
    </row>
    <row r="25" spans="1:3">
      <c r="A25" s="2">
        <v>25</v>
      </c>
      <c r="B25">
        <f t="shared" si="0"/>
        <v>28.538173911999998</v>
      </c>
      <c r="C25">
        <f t="shared" si="1"/>
        <v>6.9267737776296532E-3</v>
      </c>
    </row>
    <row r="26" spans="1:3">
      <c r="A26" s="2">
        <v>26</v>
      </c>
      <c r="B26">
        <f t="shared" si="0"/>
        <v>29.998347824999996</v>
      </c>
      <c r="C26">
        <f t="shared" si="1"/>
        <v>6.8503275157225383E-3</v>
      </c>
    </row>
    <row r="27" spans="1:3">
      <c r="A27" s="2">
        <v>27</v>
      </c>
      <c r="B27">
        <f t="shared" si="0"/>
        <v>31.458521738000002</v>
      </c>
      <c r="C27">
        <f t="shared" si="1"/>
        <v>6.7603885186644655E-3</v>
      </c>
    </row>
    <row r="28" spans="1:3">
      <c r="A28" s="2">
        <v>28</v>
      </c>
      <c r="B28">
        <f t="shared" si="0"/>
        <v>32.918695651</v>
      </c>
      <c r="C28">
        <f t="shared" si="1"/>
        <v>6.6564567845507497E-3</v>
      </c>
    </row>
    <row r="29" spans="1:3">
      <c r="A29" s="2">
        <v>29</v>
      </c>
      <c r="B29">
        <f t="shared" si="0"/>
        <v>34.378869563999999</v>
      </c>
      <c r="C29">
        <f t="shared" si="1"/>
        <v>6.5381604168744363E-3</v>
      </c>
    </row>
    <row r="30" spans="1:3">
      <c r="A30" s="2">
        <v>30</v>
      </c>
      <c r="B30">
        <f t="shared" si="0"/>
        <v>35.839043476999997</v>
      </c>
      <c r="C30">
        <f t="shared" si="1"/>
        <v>6.4052746711580977E-3</v>
      </c>
    </row>
    <row r="31" spans="1:3">
      <c r="A31" s="2">
        <v>31</v>
      </c>
      <c r="B31">
        <f t="shared" si="0"/>
        <v>37.299217390000003</v>
      </c>
      <c r="C31">
        <f t="shared" si="1"/>
        <v>6.2577340063735007E-3</v>
      </c>
    </row>
    <row r="32" spans="1:3">
      <c r="A32" s="2">
        <v>32</v>
      </c>
      <c r="B32">
        <f t="shared" si="0"/>
        <v>38.759391303000001</v>
      </c>
      <c r="C32">
        <f t="shared" si="1"/>
        <v>6.0956356768289985E-3</v>
      </c>
    </row>
    <row r="33" spans="1:3">
      <c r="A33" s="2">
        <v>33</v>
      </c>
      <c r="B33">
        <f t="shared" ref="B33:B64" si="2">-6.506+(A33-1)*1.460173913</f>
        <v>40.219565215999999</v>
      </c>
      <c r="C33">
        <f t="shared" ref="C33:C64" si="3">0.0137394629648174+-0.0000950439480062748*B33-0.0484255886018306*(0.00657894736842105+(B33-35.6961842105263)^2/86774.9397868421)^0.5</f>
        <v>5.9192344148541716E-3</v>
      </c>
    </row>
    <row r="34" spans="1:3">
      <c r="A34" s="2">
        <v>34</v>
      </c>
      <c r="B34">
        <f t="shared" si="2"/>
        <v>41.679739128999998</v>
      </c>
      <c r="C34">
        <f t="shared" si="3"/>
        <v>5.7289288678199386E-3</v>
      </c>
    </row>
    <row r="35" spans="1:3">
      <c r="A35" s="2">
        <v>35</v>
      </c>
      <c r="B35">
        <f t="shared" si="2"/>
        <v>43.139913041999996</v>
      </c>
      <c r="C35">
        <f t="shared" si="3"/>
        <v>5.5252414213867763E-3</v>
      </c>
    </row>
    <row r="36" spans="1:3">
      <c r="A36" s="2">
        <v>36</v>
      </c>
      <c r="B36">
        <f t="shared" si="2"/>
        <v>44.600086955000002</v>
      </c>
      <c r="C36">
        <f t="shared" si="3"/>
        <v>5.308793668973983E-3</v>
      </c>
    </row>
    <row r="37" spans="1:3">
      <c r="A37" s="2">
        <v>37</v>
      </c>
      <c r="B37">
        <f t="shared" si="2"/>
        <v>46.060260868</v>
      </c>
      <c r="C37">
        <f t="shared" si="3"/>
        <v>5.0802799866418473E-3</v>
      </c>
    </row>
    <row r="38" spans="1:3">
      <c r="A38" s="2">
        <v>38</v>
      </c>
      <c r="B38">
        <f t="shared" si="2"/>
        <v>47.520434780999999</v>
      </c>
      <c r="C38">
        <f t="shared" si="3"/>
        <v>4.8404414736165869E-3</v>
      </c>
    </row>
    <row r="39" spans="1:3">
      <c r="A39" s="2">
        <v>39</v>
      </c>
      <c r="B39">
        <f t="shared" si="2"/>
        <v>48.980608693999997</v>
      </c>
      <c r="C39">
        <f t="shared" si="3"/>
        <v>4.5900420399782385E-3</v>
      </c>
    </row>
    <row r="40" spans="1:3">
      <c r="A40" s="2">
        <v>40</v>
      </c>
      <c r="B40">
        <f t="shared" si="2"/>
        <v>50.440782607000003</v>
      </c>
      <c r="C40">
        <f t="shared" si="3"/>
        <v>4.3298478168229404E-3</v>
      </c>
    </row>
    <row r="41" spans="1:3">
      <c r="A41" s="2">
        <v>41</v>
      </c>
      <c r="B41">
        <f t="shared" si="2"/>
        <v>51.900956520000001</v>
      </c>
      <c r="C41">
        <f t="shared" si="3"/>
        <v>4.0606104670085439E-3</v>
      </c>
    </row>
    <row r="42" spans="1:3">
      <c r="A42" s="2">
        <v>42</v>
      </c>
      <c r="B42">
        <f t="shared" si="2"/>
        <v>53.361130433</v>
      </c>
      <c r="C42">
        <f t="shared" si="3"/>
        <v>3.7830544782625399E-3</v>
      </c>
    </row>
    <row r="43" spans="1:3">
      <c r="A43" s="2">
        <v>43</v>
      </c>
      <c r="B43">
        <f t="shared" si="2"/>
        <v>54.821304345999998</v>
      </c>
      <c r="C43">
        <f t="shared" si="3"/>
        <v>3.497868166347601E-3</v>
      </c>
    </row>
    <row r="44" spans="1:3">
      <c r="A44" s="2">
        <v>44</v>
      </c>
      <c r="B44">
        <f t="shared" si="2"/>
        <v>56.281478258999996</v>
      </c>
      <c r="C44">
        <f t="shared" si="3"/>
        <v>3.2056979049883598E-3</v>
      </c>
    </row>
    <row r="45" spans="1:3">
      <c r="A45" s="2">
        <v>45</v>
      </c>
      <c r="B45">
        <f t="shared" si="2"/>
        <v>57.741652172000002</v>
      </c>
      <c r="C45">
        <f t="shared" si="3"/>
        <v>2.9071450077563718E-3</v>
      </c>
    </row>
    <row r="46" spans="1:3">
      <c r="A46" s="2">
        <v>46</v>
      </c>
      <c r="B46">
        <f t="shared" si="2"/>
        <v>59.201826084999993</v>
      </c>
      <c r="C46">
        <f t="shared" si="3"/>
        <v>2.6027646819147309E-3</v>
      </c>
    </row>
    <row r="47" spans="1:3">
      <c r="A47" s="2">
        <v>47</v>
      </c>
      <c r="B47">
        <f t="shared" si="2"/>
        <v>60.661999997999999</v>
      </c>
      <c r="C47">
        <f t="shared" si="3"/>
        <v>2.2930665228796049E-3</v>
      </c>
    </row>
    <row r="48" spans="1:3">
      <c r="A48" s="2">
        <v>48</v>
      </c>
      <c r="B48">
        <f t="shared" si="2"/>
        <v>62.122173911000004</v>
      </c>
      <c r="C48">
        <f t="shared" si="3"/>
        <v>1.9785160940478802E-3</v>
      </c>
    </row>
    <row r="49" spans="1:3">
      <c r="A49" s="2">
        <v>49</v>
      </c>
      <c r="B49">
        <f t="shared" si="2"/>
        <v>63.582347823999996</v>
      </c>
      <c r="C49">
        <f t="shared" si="3"/>
        <v>1.65953722148091E-3</v>
      </c>
    </row>
    <row r="50" spans="1:3">
      <c r="A50" s="2">
        <v>50</v>
      </c>
      <c r="B50">
        <f t="shared" si="2"/>
        <v>65.042521737000001</v>
      </c>
      <c r="C50">
        <f t="shared" si="3"/>
        <v>1.3365147145561109E-3</v>
      </c>
    </row>
    <row r="51" spans="1:3">
      <c r="A51" s="2">
        <v>51</v>
      </c>
      <c r="B51">
        <f t="shared" si="2"/>
        <v>66.502695649999993</v>
      </c>
      <c r="C51">
        <f t="shared" si="3"/>
        <v>1.0097972959038923E-3</v>
      </c>
    </row>
    <row r="52" spans="1:3">
      <c r="A52" s="2">
        <v>52</v>
      </c>
      <c r="B52">
        <f t="shared" si="2"/>
        <v>67.962869562999998</v>
      </c>
      <c r="C52">
        <f t="shared" si="3"/>
        <v>6.7970058422254283E-4</v>
      </c>
    </row>
    <row r="53" spans="1:3">
      <c r="A53" s="2">
        <v>53</v>
      </c>
      <c r="B53">
        <f t="shared" si="2"/>
        <v>69.423043476000004</v>
      </c>
      <c r="C53">
        <f t="shared" si="3"/>
        <v>3.4651002173400388E-4</v>
      </c>
    </row>
    <row r="54" spans="1:3">
      <c r="A54" s="2">
        <v>54</v>
      </c>
      <c r="B54">
        <f t="shared" si="2"/>
        <v>70.883217388999995</v>
      </c>
      <c r="C54">
        <f t="shared" si="3"/>
        <v>1.0483675201874813E-5</v>
      </c>
    </row>
    <row r="55" spans="1:3">
      <c r="A55" s="2">
        <v>55</v>
      </c>
      <c r="B55">
        <f t="shared" si="2"/>
        <v>72.343391302000001</v>
      </c>
      <c r="C55">
        <f t="shared" si="3"/>
        <v>-3.2814513277411046E-4</v>
      </c>
    </row>
    <row r="56" spans="1:3">
      <c r="A56" s="2">
        <v>56</v>
      </c>
      <c r="B56">
        <f t="shared" si="2"/>
        <v>73.803565215000006</v>
      </c>
      <c r="C56">
        <f t="shared" si="3"/>
        <v>-6.6916538528313634E-4</v>
      </c>
    </row>
    <row r="57" spans="1:3">
      <c r="A57" s="2">
        <v>57</v>
      </c>
      <c r="B57">
        <f t="shared" si="2"/>
        <v>75.263739127999997</v>
      </c>
      <c r="C57">
        <f t="shared" si="3"/>
        <v>-1.0123861343131193E-3</v>
      </c>
    </row>
    <row r="58" spans="1:3">
      <c r="A58" s="2">
        <v>58</v>
      </c>
      <c r="B58">
        <f t="shared" si="2"/>
        <v>76.723913041000003</v>
      </c>
      <c r="C58">
        <f t="shared" si="3"/>
        <v>-1.3576344648189532E-3</v>
      </c>
    </row>
    <row r="59" spans="1:3">
      <c r="A59" s="2">
        <v>59</v>
      </c>
      <c r="B59">
        <f t="shared" si="2"/>
        <v>78.184086953999994</v>
      </c>
      <c r="C59">
        <f t="shared" si="3"/>
        <v>-1.7047536525059267E-3</v>
      </c>
    </row>
    <row r="60" spans="1:3">
      <c r="A60" s="2">
        <v>60</v>
      </c>
      <c r="B60">
        <f t="shared" si="2"/>
        <v>79.644260867</v>
      </c>
      <c r="C60">
        <f t="shared" si="3"/>
        <v>-2.0536015043205371E-3</v>
      </c>
    </row>
    <row r="61" spans="1:3">
      <c r="A61" s="2">
        <v>61</v>
      </c>
      <c r="B61">
        <f t="shared" si="2"/>
        <v>81.104434780000005</v>
      </c>
      <c r="C61">
        <f t="shared" si="3"/>
        <v>-2.4040488685181964E-3</v>
      </c>
    </row>
    <row r="62" spans="1:3">
      <c r="A62" s="2">
        <v>62</v>
      </c>
      <c r="B62">
        <f t="shared" si="2"/>
        <v>82.564608692999997</v>
      </c>
      <c r="C62">
        <f t="shared" si="3"/>
        <v>-2.7559783002623801E-3</v>
      </c>
    </row>
    <row r="63" spans="1:3">
      <c r="A63" s="2">
        <v>63</v>
      </c>
      <c r="B63">
        <f t="shared" si="2"/>
        <v>84.024782606000002</v>
      </c>
      <c r="C63">
        <f t="shared" si="3"/>
        <v>-3.1092828686067955E-3</v>
      </c>
    </row>
    <row r="64" spans="1:3">
      <c r="A64" s="2">
        <v>64</v>
      </c>
      <c r="B64">
        <f t="shared" si="2"/>
        <v>85.484956518999994</v>
      </c>
      <c r="C64">
        <f t="shared" si="3"/>
        <v>-3.4638650911351845E-3</v>
      </c>
    </row>
    <row r="65" spans="1:3">
      <c r="A65" s="2">
        <v>65</v>
      </c>
      <c r="B65">
        <f t="shared" ref="B65:B70" si="4">-6.506+(A65-1)*1.460173913</f>
        <v>86.945130431999999</v>
      </c>
      <c r="C65">
        <f t="shared" ref="C65:C70" si="5">0.0137394629648174+-0.0000950439480062748*B65-0.0484255886018306*(0.00657894736842105+(B65-35.6961842105263)^2/86774.9397868421)^0.5</f>
        <v>-3.8196359832779799E-3</v>
      </c>
    </row>
    <row r="66" spans="1:3">
      <c r="A66" s="2">
        <v>66</v>
      </c>
      <c r="B66">
        <f t="shared" si="4"/>
        <v>88.405304345000005</v>
      </c>
      <c r="C66">
        <f t="shared" si="5"/>
        <v>-4.1765142102477577E-3</v>
      </c>
    </row>
    <row r="67" spans="1:3">
      <c r="A67" s="2">
        <v>67</v>
      </c>
      <c r="B67">
        <f t="shared" si="4"/>
        <v>89.865478257999996</v>
      </c>
      <c r="C67">
        <f t="shared" si="5"/>
        <v>-4.5344253305391533E-3</v>
      </c>
    </row>
    <row r="68" spans="1:3">
      <c r="A68" s="2">
        <v>68</v>
      </c>
      <c r="B68">
        <f t="shared" si="4"/>
        <v>91.325652171000002</v>
      </c>
      <c r="C68">
        <f t="shared" si="5"/>
        <v>-4.8933011209575192E-3</v>
      </c>
    </row>
    <row r="69" spans="1:3">
      <c r="A69" s="2">
        <v>69</v>
      </c>
      <c r="B69">
        <f t="shared" si="4"/>
        <v>92.785826083999993</v>
      </c>
      <c r="C69">
        <f t="shared" si="5"/>
        <v>-5.2530789741324461E-3</v>
      </c>
    </row>
    <row r="70" spans="1:3">
      <c r="A70" s="2">
        <v>70</v>
      </c>
      <c r="B70">
        <f t="shared" si="4"/>
        <v>94.245999996999998</v>
      </c>
      <c r="C70">
        <f t="shared" si="5"/>
        <v>-5.6137013604118016E-3</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0.0137394629648174+-0.0000950439480062748*B1+0.0484255886018306*(0.00657894736842105+(B1-35.6961842105263)^2/86774.9397868421)^0.5</f>
        <v>2.2330204419886222E-2</v>
      </c>
    </row>
    <row r="2" spans="1:3">
      <c r="A2" s="2">
        <v>2</v>
      </c>
      <c r="B2">
        <f t="shared" si="0"/>
        <v>-5.045826087</v>
      </c>
      <c r="C2">
        <f t="shared" si="1"/>
        <v>2.1983439687649486E-2</v>
      </c>
    </row>
    <row r="3" spans="1:3">
      <c r="A3" s="2">
        <v>3</v>
      </c>
      <c r="B3">
        <f t="shared" si="0"/>
        <v>-3.5856521740000002</v>
      </c>
      <c r="C3">
        <f t="shared" si="1"/>
        <v>2.1638575286443407E-2</v>
      </c>
    </row>
    <row r="4" spans="1:3">
      <c r="A4" s="2">
        <v>4</v>
      </c>
      <c r="B4">
        <f t="shared" si="0"/>
        <v>-2.1254782610000005</v>
      </c>
      <c r="C4">
        <f t="shared" si="1"/>
        <v>2.1295770972531367E-2</v>
      </c>
    </row>
    <row r="5" spans="1:3">
      <c r="A5" s="2">
        <v>5</v>
      </c>
      <c r="B5">
        <f t="shared" si="0"/>
        <v>-0.66530434800000027</v>
      </c>
      <c r="C5">
        <f t="shared" si="1"/>
        <v>2.0955203038639517E-2</v>
      </c>
    </row>
    <row r="6" spans="1:3">
      <c r="A6" s="2">
        <v>6</v>
      </c>
      <c r="B6">
        <f t="shared" si="0"/>
        <v>0.79486956499999994</v>
      </c>
      <c r="C6">
        <f t="shared" si="1"/>
        <v>2.0617066193304872E-2</v>
      </c>
    </row>
    <row r="7" spans="1:3">
      <c r="A7" s="2">
        <v>7</v>
      </c>
      <c r="B7">
        <f t="shared" si="0"/>
        <v>2.2550434779999993</v>
      </c>
      <c r="C7">
        <f t="shared" si="1"/>
        <v>2.0281575635706182E-2</v>
      </c>
    </row>
    <row r="8" spans="1:3">
      <c r="A8" s="2">
        <v>8</v>
      </c>
      <c r="B8">
        <f t="shared" si="0"/>
        <v>3.7152173909999995</v>
      </c>
      <c r="C8">
        <f t="shared" si="1"/>
        <v>1.9948969332103321E-2</v>
      </c>
    </row>
    <row r="9" spans="1:3">
      <c r="A9" s="2">
        <v>9</v>
      </c>
      <c r="B9">
        <f t="shared" si="0"/>
        <v>5.1753913039999997</v>
      </c>
      <c r="C9">
        <f t="shared" si="1"/>
        <v>1.9619510493113702E-2</v>
      </c>
    </row>
    <row r="10" spans="1:3">
      <c r="A10" s="2">
        <v>10</v>
      </c>
      <c r="B10">
        <f t="shared" si="0"/>
        <v>6.6355652169999999</v>
      </c>
      <c r="C10">
        <f t="shared" si="1"/>
        <v>1.9293490240574102E-2</v>
      </c>
    </row>
    <row r="11" spans="1:3">
      <c r="A11" s="2">
        <v>11</v>
      </c>
      <c r="B11">
        <f t="shared" si="0"/>
        <v>8.0957391300000001</v>
      </c>
      <c r="C11">
        <f t="shared" si="1"/>
        <v>1.8971230437458846E-2</v>
      </c>
    </row>
    <row r="12" spans="1:3">
      <c r="A12" s="2">
        <v>12</v>
      </c>
      <c r="B12">
        <f t="shared" si="0"/>
        <v>9.5559130430000003</v>
      </c>
      <c r="C12">
        <f t="shared" si="1"/>
        <v>1.8653086632783263E-2</v>
      </c>
    </row>
    <row r="13" spans="1:3">
      <c r="A13" s="2">
        <v>13</v>
      </c>
      <c r="B13">
        <f t="shared" si="0"/>
        <v>11.016086955999999</v>
      </c>
      <c r="C13">
        <f t="shared" si="1"/>
        <v>1.8339451043935088E-2</v>
      </c>
    </row>
    <row r="14" spans="1:3">
      <c r="A14" s="2">
        <v>14</v>
      </c>
      <c r="B14">
        <f t="shared" si="0"/>
        <v>12.476260869000001</v>
      </c>
      <c r="C14">
        <f t="shared" si="1"/>
        <v>1.8030755459683179E-2</v>
      </c>
    </row>
    <row r="15" spans="1:3">
      <c r="A15" s="2">
        <v>15</v>
      </c>
      <c r="B15">
        <f t="shared" si="0"/>
        <v>13.936434781999999</v>
      </c>
      <c r="C15">
        <f t="shared" si="1"/>
        <v>1.7727473896632543E-2</v>
      </c>
    </row>
    <row r="16" spans="1:3">
      <c r="A16" s="2">
        <v>16</v>
      </c>
      <c r="B16">
        <f t="shared" si="0"/>
        <v>15.396608695000001</v>
      </c>
      <c r="C16">
        <f t="shared" si="1"/>
        <v>1.7430124779215288E-2</v>
      </c>
    </row>
    <row r="17" spans="1:3">
      <c r="A17" s="2">
        <v>17</v>
      </c>
      <c r="B17">
        <f t="shared" si="0"/>
        <v>16.856782608</v>
      </c>
      <c r="C17">
        <f t="shared" si="1"/>
        <v>1.7139272338965096E-2</v>
      </c>
    </row>
    <row r="18" spans="1:3">
      <c r="A18" s="2">
        <v>18</v>
      </c>
      <c r="B18">
        <f t="shared" si="0"/>
        <v>18.316956520999998</v>
      </c>
      <c r="C18">
        <f t="shared" si="1"/>
        <v>1.6855526845948144E-2</v>
      </c>
    </row>
    <row r="19" spans="1:3">
      <c r="A19" s="2">
        <v>19</v>
      </c>
      <c r="B19">
        <f t="shared" si="0"/>
        <v>19.777130434</v>
      </c>
      <c r="C19">
        <f t="shared" si="1"/>
        <v>1.6579543201047771E-2</v>
      </c>
    </row>
    <row r="20" spans="1:3">
      <c r="A20" s="2">
        <v>20</v>
      </c>
      <c r="B20">
        <f t="shared" si="0"/>
        <v>21.237304346999998</v>
      </c>
      <c r="C20">
        <f t="shared" si="1"/>
        <v>1.6312017345358375E-2</v>
      </c>
    </row>
    <row r="21" spans="1:3">
      <c r="A21" s="2">
        <v>21</v>
      </c>
      <c r="B21">
        <f t="shared" si="0"/>
        <v>22.69747826</v>
      </c>
      <c r="C21">
        <f t="shared" si="1"/>
        <v>1.6053679902516271E-2</v>
      </c>
    </row>
    <row r="22" spans="1:3">
      <c r="A22" s="2">
        <v>22</v>
      </c>
      <c r="B22">
        <f t="shared" si="0"/>
        <v>24.157652172999999</v>
      </c>
      <c r="C22">
        <f t="shared" si="1"/>
        <v>1.5805286489198947E-2</v>
      </c>
    </row>
    <row r="23" spans="1:3">
      <c r="A23" s="2">
        <v>23</v>
      </c>
      <c r="B23">
        <f t="shared" si="0"/>
        <v>25.617826086000001</v>
      </c>
      <c r="C23">
        <f t="shared" si="1"/>
        <v>1.5567604241422343E-2</v>
      </c>
    </row>
    <row r="24" spans="1:3">
      <c r="A24" s="2">
        <v>24</v>
      </c>
      <c r="B24">
        <f t="shared" si="0"/>
        <v>27.077999998999999</v>
      </c>
      <c r="C24">
        <f t="shared" si="1"/>
        <v>1.5341394341933164E-2</v>
      </c>
    </row>
    <row r="25" spans="1:3">
      <c r="A25" s="2">
        <v>25</v>
      </c>
      <c r="B25">
        <f t="shared" si="0"/>
        <v>28.538173911999998</v>
      </c>
      <c r="C25">
        <f t="shared" si="1"/>
        <v>1.5127390717032837E-2</v>
      </c>
    </row>
    <row r="26" spans="1:3">
      <c r="A26" s="2">
        <v>26</v>
      </c>
      <c r="B26">
        <f t="shared" si="0"/>
        <v>29.998347824999996</v>
      </c>
      <c r="C26">
        <f t="shared" si="1"/>
        <v>1.4926275592005371E-2</v>
      </c>
    </row>
    <row r="27" spans="1:3">
      <c r="A27" s="2">
        <v>27</v>
      </c>
      <c r="B27">
        <f t="shared" si="0"/>
        <v>31.458521738000002</v>
      </c>
      <c r="C27">
        <f t="shared" si="1"/>
        <v>1.473865320212886E-2</v>
      </c>
    </row>
    <row r="28" spans="1:3">
      <c r="A28" s="2">
        <v>28</v>
      </c>
      <c r="B28">
        <f t="shared" si="0"/>
        <v>32.918695651</v>
      </c>
      <c r="C28">
        <f t="shared" si="1"/>
        <v>1.4565023549307995E-2</v>
      </c>
    </row>
    <row r="29" spans="1:3">
      <c r="A29" s="2">
        <v>29</v>
      </c>
      <c r="B29">
        <f t="shared" si="0"/>
        <v>34.378869563999999</v>
      </c>
      <c r="C29">
        <f t="shared" si="1"/>
        <v>1.4405758530049727E-2</v>
      </c>
    </row>
    <row r="30" spans="1:3">
      <c r="A30" s="2">
        <v>30</v>
      </c>
      <c r="B30">
        <f t="shared" si="0"/>
        <v>35.839043476999997</v>
      </c>
      <c r="C30">
        <f t="shared" si="1"/>
        <v>1.4261082888831485E-2</v>
      </c>
    </row>
    <row r="31" spans="1:3">
      <c r="A31" s="2">
        <v>31</v>
      </c>
      <c r="B31">
        <f t="shared" si="0"/>
        <v>37.299217390000003</v>
      </c>
      <c r="C31">
        <f t="shared" si="1"/>
        <v>1.4131062166681498E-2</v>
      </c>
    </row>
    <row r="32" spans="1:3">
      <c r="A32" s="2">
        <v>32</v>
      </c>
      <c r="B32">
        <f t="shared" si="0"/>
        <v>38.759391303000001</v>
      </c>
      <c r="C32">
        <f t="shared" si="1"/>
        <v>1.401559910929142E-2</v>
      </c>
    </row>
    <row r="33" spans="1:3">
      <c r="A33" s="2">
        <v>33</v>
      </c>
      <c r="B33">
        <f t="shared" ref="B33:B64" si="2">-6.506+(A33-1)*1.460173913</f>
        <v>40.219565215999999</v>
      </c>
      <c r="C33">
        <f t="shared" ref="C33:C64" si="3">0.0137394629648174+-0.0000950439480062748*B33+0.0484255886018306*(0.00657894736842105+(B33-35.6961842105263)^2/86774.9397868421)^0.5</f>
        <v>1.3914438984331666E-2</v>
      </c>
    </row>
    <row r="34" spans="1:3">
      <c r="A34" s="2">
        <v>34</v>
      </c>
      <c r="B34">
        <f t="shared" si="2"/>
        <v>41.679739128999998</v>
      </c>
      <c r="C34">
        <f t="shared" si="3"/>
        <v>1.3827183144431317E-2</v>
      </c>
    </row>
    <row r="35" spans="1:3">
      <c r="A35" s="2">
        <v>35</v>
      </c>
      <c r="B35">
        <f t="shared" si="2"/>
        <v>43.139913041999996</v>
      </c>
      <c r="C35">
        <f t="shared" si="3"/>
        <v>1.3753309203929896E-2</v>
      </c>
    </row>
    <row r="36" spans="1:3">
      <c r="A36" s="2">
        <v>36</v>
      </c>
      <c r="B36">
        <f t="shared" si="2"/>
        <v>44.600086955000002</v>
      </c>
      <c r="C36">
        <f t="shared" si="3"/>
        <v>1.3692195569408105E-2</v>
      </c>
    </row>
    <row r="37" spans="1:3">
      <c r="A37" s="2">
        <v>37</v>
      </c>
      <c r="B37">
        <f t="shared" si="2"/>
        <v>46.060260868</v>
      </c>
      <c r="C37">
        <f t="shared" si="3"/>
        <v>1.3643147864805662E-2</v>
      </c>
    </row>
    <row r="38" spans="1:3">
      <c r="A38" s="2">
        <v>38</v>
      </c>
      <c r="B38">
        <f t="shared" si="2"/>
        <v>47.520434780999999</v>
      </c>
      <c r="C38">
        <f t="shared" si="3"/>
        <v>1.3605424990896339E-2</v>
      </c>
    </row>
    <row r="39" spans="1:3">
      <c r="A39" s="2">
        <v>39</v>
      </c>
      <c r="B39">
        <f t="shared" si="2"/>
        <v>48.980608693999997</v>
      </c>
      <c r="C39">
        <f t="shared" si="3"/>
        <v>1.3578263037600107E-2</v>
      </c>
    </row>
    <row r="40" spans="1:3">
      <c r="A40" s="2">
        <v>40</v>
      </c>
      <c r="B40">
        <f t="shared" si="2"/>
        <v>50.440782607000003</v>
      </c>
      <c r="C40">
        <f t="shared" si="3"/>
        <v>1.3560895873820825E-2</v>
      </c>
    </row>
    <row r="41" spans="1:3">
      <c r="A41" s="2">
        <v>41</v>
      </c>
      <c r="B41">
        <f t="shared" si="2"/>
        <v>51.900956520000001</v>
      </c>
      <c r="C41">
        <f t="shared" si="3"/>
        <v>1.3552571836700637E-2</v>
      </c>
    </row>
    <row r="42" spans="1:3">
      <c r="A42" s="2">
        <v>42</v>
      </c>
      <c r="B42">
        <f t="shared" si="2"/>
        <v>53.361130433</v>
      </c>
      <c r="C42">
        <f t="shared" si="3"/>
        <v>1.355256643851206E-2</v>
      </c>
    </row>
    <row r="43" spans="1:3">
      <c r="A43" s="2">
        <v>43</v>
      </c>
      <c r="B43">
        <f t="shared" si="2"/>
        <v>54.821304345999998</v>
      </c>
      <c r="C43">
        <f t="shared" si="3"/>
        <v>1.3560191363492419E-2</v>
      </c>
    </row>
    <row r="44" spans="1:3">
      <c r="A44" s="2">
        <v>44</v>
      </c>
      <c r="B44">
        <f t="shared" si="2"/>
        <v>56.281478258999996</v>
      </c>
      <c r="C44">
        <f t="shared" si="3"/>
        <v>1.357480023791708E-2</v>
      </c>
    </row>
    <row r="45" spans="1:3">
      <c r="A45" s="2">
        <v>45</v>
      </c>
      <c r="B45">
        <f t="shared" si="2"/>
        <v>57.741652172000002</v>
      </c>
      <c r="C45">
        <f t="shared" si="3"/>
        <v>1.3595791748214483E-2</v>
      </c>
    </row>
    <row r="46" spans="1:3">
      <c r="A46" s="2">
        <v>46</v>
      </c>
      <c r="B46">
        <f t="shared" si="2"/>
        <v>59.201826084999993</v>
      </c>
      <c r="C46">
        <f t="shared" si="3"/>
        <v>1.3622610687121544E-2</v>
      </c>
    </row>
    <row r="47" spans="1:3">
      <c r="A47" s="2">
        <v>47</v>
      </c>
      <c r="B47">
        <f t="shared" si="2"/>
        <v>60.661999997999999</v>
      </c>
      <c r="C47">
        <f t="shared" si="3"/>
        <v>1.3654747459222089E-2</v>
      </c>
    </row>
    <row r="48" spans="1:3">
      <c r="A48" s="2">
        <v>48</v>
      </c>
      <c r="B48">
        <f t="shared" si="2"/>
        <v>62.122173911000004</v>
      </c>
      <c r="C48">
        <f t="shared" si="3"/>
        <v>1.3691736501119229E-2</v>
      </c>
    </row>
    <row r="49" spans="1:3">
      <c r="A49" s="2">
        <v>49</v>
      </c>
      <c r="B49">
        <f t="shared" si="2"/>
        <v>63.582347823999996</v>
      </c>
      <c r="C49">
        <f t="shared" si="3"/>
        <v>1.3733153986751619E-2</v>
      </c>
    </row>
    <row r="50" spans="1:3">
      <c r="A50" s="2">
        <v>50</v>
      </c>
      <c r="B50">
        <f t="shared" si="2"/>
        <v>65.042521737000001</v>
      </c>
      <c r="C50">
        <f t="shared" si="3"/>
        <v>1.3778615106741837E-2</v>
      </c>
    </row>
    <row r="51" spans="1:3">
      <c r="A51" s="2">
        <v>51</v>
      </c>
      <c r="B51">
        <f t="shared" si="2"/>
        <v>66.502695649999993</v>
      </c>
      <c r="C51">
        <f t="shared" si="3"/>
        <v>1.3827771138459476E-2</v>
      </c>
    </row>
    <row r="52" spans="1:3">
      <c r="A52" s="2">
        <v>52</v>
      </c>
      <c r="B52">
        <f t="shared" si="2"/>
        <v>67.962869562999998</v>
      </c>
      <c r="C52">
        <f t="shared" si="3"/>
        <v>1.3880306463206243E-2</v>
      </c>
    </row>
    <row r="53" spans="1:3">
      <c r="A53" s="2">
        <v>53</v>
      </c>
      <c r="B53">
        <f t="shared" si="2"/>
        <v>69.423043476000004</v>
      </c>
      <c r="C53">
        <f t="shared" si="3"/>
        <v>1.3935935638760198E-2</v>
      </c>
    </row>
    <row r="54" spans="1:3">
      <c r="A54" s="2">
        <v>54</v>
      </c>
      <c r="B54">
        <f t="shared" si="2"/>
        <v>70.883217388999995</v>
      </c>
      <c r="C54">
        <f t="shared" si="3"/>
        <v>1.3994400598357746E-2</v>
      </c>
    </row>
    <row r="55" spans="1:3">
      <c r="A55" s="2">
        <v>55</v>
      </c>
      <c r="B55">
        <f t="shared" si="2"/>
        <v>72.343391302000001</v>
      </c>
      <c r="C55">
        <f t="shared" si="3"/>
        <v>1.405546801939915E-2</v>
      </c>
    </row>
    <row r="56" spans="1:3">
      <c r="A56" s="2">
        <v>56</v>
      </c>
      <c r="B56">
        <f t="shared" si="2"/>
        <v>73.803565215000006</v>
      </c>
      <c r="C56">
        <f t="shared" si="3"/>
        <v>1.4118926884973593E-2</v>
      </c>
    </row>
    <row r="57" spans="1:3">
      <c r="A57" s="2">
        <v>57</v>
      </c>
      <c r="B57">
        <f t="shared" si="2"/>
        <v>75.263739127999997</v>
      </c>
      <c r="C57">
        <f t="shared" si="3"/>
        <v>1.4184586247068996E-2</v>
      </c>
    </row>
    <row r="58" spans="1:3">
      <c r="A58" s="2">
        <v>58</v>
      </c>
      <c r="B58">
        <f t="shared" si="2"/>
        <v>76.723913041000003</v>
      </c>
      <c r="C58">
        <f t="shared" si="3"/>
        <v>1.4252273190640246E-2</v>
      </c>
    </row>
    <row r="59" spans="1:3">
      <c r="A59" s="2">
        <v>59</v>
      </c>
      <c r="B59">
        <f t="shared" si="2"/>
        <v>78.184086953999994</v>
      </c>
      <c r="C59">
        <f t="shared" si="3"/>
        <v>1.4321830991392639E-2</v>
      </c>
    </row>
    <row r="60" spans="1:3">
      <c r="A60" s="2">
        <v>60</v>
      </c>
      <c r="B60">
        <f t="shared" si="2"/>
        <v>79.644260867</v>
      </c>
      <c r="C60">
        <f t="shared" si="3"/>
        <v>1.4393117456272668E-2</v>
      </c>
    </row>
    <row r="61" spans="1:3">
      <c r="A61" s="2">
        <v>61</v>
      </c>
      <c r="B61">
        <f t="shared" si="2"/>
        <v>81.104434780000005</v>
      </c>
      <c r="C61">
        <f t="shared" si="3"/>
        <v>1.4466003433535744E-2</v>
      </c>
    </row>
    <row r="62" spans="1:3">
      <c r="A62" s="2">
        <v>62</v>
      </c>
      <c r="B62">
        <f t="shared" si="2"/>
        <v>82.564608692999997</v>
      </c>
      <c r="C62">
        <f t="shared" si="3"/>
        <v>1.4540371478345349E-2</v>
      </c>
    </row>
    <row r="63" spans="1:3">
      <c r="A63" s="2">
        <v>63</v>
      </c>
      <c r="B63">
        <f t="shared" si="2"/>
        <v>84.024782606000002</v>
      </c>
      <c r="C63">
        <f t="shared" si="3"/>
        <v>1.4616114659755181E-2</v>
      </c>
    </row>
    <row r="64" spans="1:3">
      <c r="A64" s="2">
        <v>64</v>
      </c>
      <c r="B64">
        <f t="shared" si="2"/>
        <v>85.484956518999994</v>
      </c>
      <c r="C64">
        <f t="shared" si="3"/>
        <v>1.4693135495348989E-2</v>
      </c>
    </row>
    <row r="65" spans="1:3">
      <c r="A65" s="2">
        <v>65</v>
      </c>
      <c r="B65">
        <f t="shared" ref="B65:B70" si="4">-6.506+(A65-1)*1.460173913</f>
        <v>86.945130431999999</v>
      </c>
      <c r="C65">
        <f t="shared" ref="C65:C70" si="5">0.0137394629648174+-0.0000950439480062748*B65+0.0484255886018306*(0.00657894736842105+(B65-35.6961842105263)^2/86774.9397868421)^0.5</f>
        <v>1.4771345000557204E-2</v>
      </c>
    </row>
    <row r="66" spans="1:3">
      <c r="A66" s="2">
        <v>66</v>
      </c>
      <c r="B66">
        <f t="shared" si="4"/>
        <v>88.405304345000005</v>
      </c>
      <c r="C66">
        <f t="shared" si="5"/>
        <v>1.4850661840592397E-2</v>
      </c>
    </row>
    <row r="67" spans="1:3">
      <c r="A67" s="2">
        <v>67</v>
      </c>
      <c r="B67">
        <f t="shared" si="4"/>
        <v>89.865478257999996</v>
      </c>
      <c r="C67">
        <f t="shared" si="5"/>
        <v>1.4931011573949212E-2</v>
      </c>
    </row>
    <row r="68" spans="1:3">
      <c r="A68" s="2">
        <v>68</v>
      </c>
      <c r="B68">
        <f t="shared" si="4"/>
        <v>91.325652171000002</v>
      </c>
      <c r="C68">
        <f t="shared" si="5"/>
        <v>1.5012325977432997E-2</v>
      </c>
    </row>
    <row r="69" spans="1:3">
      <c r="A69" s="2">
        <v>69</v>
      </c>
      <c r="B69">
        <f t="shared" si="4"/>
        <v>92.785826083999993</v>
      </c>
      <c r="C69">
        <f t="shared" si="5"/>
        <v>1.5094542443673344E-2</v>
      </c>
    </row>
    <row r="70" spans="1:3">
      <c r="A70" s="2">
        <v>70</v>
      </c>
      <c r="B70">
        <f t="shared" si="4"/>
        <v>94.245999996999998</v>
      </c>
      <c r="C70">
        <f t="shared" si="5"/>
        <v>1.5177603443018115E-2</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0.0137394629648174+-0.0000950439480062748*B1-0.0484255886018306*(1.00657894736842+(B1-35.6961842105263)^2/86774.9397868421)^0.5</f>
        <v>-3.4719635836264667E-2</v>
      </c>
    </row>
    <row r="2" spans="1:3">
      <c r="A2" s="2">
        <v>2</v>
      </c>
      <c r="B2">
        <f t="shared" si="0"/>
        <v>-5.4883030303</v>
      </c>
      <c r="C2">
        <f t="shared" si="1"/>
        <v>-3.4792991597013372E-2</v>
      </c>
    </row>
    <row r="3" spans="1:3">
      <c r="A3" s="2">
        <v>3</v>
      </c>
      <c r="B3">
        <f t="shared" si="0"/>
        <v>-4.4706060605999998</v>
      </c>
      <c r="C3">
        <f t="shared" si="1"/>
        <v>-3.4866907068255119E-2</v>
      </c>
    </row>
    <row r="4" spans="1:3">
      <c r="A4" s="2">
        <v>4</v>
      </c>
      <c r="B4">
        <f t="shared" si="0"/>
        <v>-3.4529090909000004</v>
      </c>
      <c r="C4">
        <f t="shared" si="1"/>
        <v>-3.4941383031514797E-2</v>
      </c>
    </row>
    <row r="5" spans="1:3">
      <c r="A5" s="2">
        <v>5</v>
      </c>
      <c r="B5">
        <f t="shared" si="0"/>
        <v>-2.4352121212000002</v>
      </c>
      <c r="C5">
        <f t="shared" si="1"/>
        <v>-3.5016420250516336E-2</v>
      </c>
    </row>
    <row r="6" spans="1:3">
      <c r="A6" s="2">
        <v>6</v>
      </c>
      <c r="B6">
        <f t="shared" si="0"/>
        <v>-1.4175151515</v>
      </c>
      <c r="C6">
        <f t="shared" si="1"/>
        <v>-3.5092019471054753E-2</v>
      </c>
    </row>
    <row r="7" spans="1:3">
      <c r="A7" s="2">
        <v>7</v>
      </c>
      <c r="B7">
        <f t="shared" si="0"/>
        <v>-0.39981818180000062</v>
      </c>
      <c r="C7">
        <f t="shared" si="1"/>
        <v>-3.5168181420870838E-2</v>
      </c>
    </row>
    <row r="8" spans="1:3">
      <c r="A8" s="2">
        <v>8</v>
      </c>
      <c r="B8">
        <f t="shared" si="0"/>
        <v>0.61787878789999962</v>
      </c>
      <c r="C8">
        <f t="shared" si="1"/>
        <v>-3.5244906809528589E-2</v>
      </c>
    </row>
    <row r="9" spans="1:3">
      <c r="A9" s="2">
        <v>9</v>
      </c>
      <c r="B9">
        <f t="shared" si="0"/>
        <v>1.6355757575999998</v>
      </c>
      <c r="C9">
        <f t="shared" si="1"/>
        <v>-3.5322196328295224E-2</v>
      </c>
    </row>
    <row r="10" spans="1:3">
      <c r="A10" s="2">
        <v>10</v>
      </c>
      <c r="B10">
        <f t="shared" si="0"/>
        <v>2.6532727272999992</v>
      </c>
      <c r="C10">
        <f t="shared" si="1"/>
        <v>-3.540005065002412E-2</v>
      </c>
    </row>
    <row r="11" spans="1:3">
      <c r="A11" s="2">
        <v>11</v>
      </c>
      <c r="B11">
        <f t="shared" si="0"/>
        <v>3.6709696970000003</v>
      </c>
      <c r="C11">
        <f t="shared" si="1"/>
        <v>-3.5478470429040385E-2</v>
      </c>
    </row>
    <row r="12" spans="1:3">
      <c r="A12" s="2">
        <v>12</v>
      </c>
      <c r="B12">
        <f t="shared" si="0"/>
        <v>4.6886666666999997</v>
      </c>
      <c r="C12">
        <f t="shared" si="1"/>
        <v>-3.5557456301029453E-2</v>
      </c>
    </row>
    <row r="13" spans="1:3">
      <c r="A13" s="2">
        <v>13</v>
      </c>
      <c r="B13">
        <f t="shared" si="0"/>
        <v>5.706363636399999</v>
      </c>
      <c r="C13">
        <f t="shared" si="1"/>
        <v>-3.5637008882928457E-2</v>
      </c>
    </row>
    <row r="14" spans="1:3">
      <c r="A14" s="2">
        <v>14</v>
      </c>
      <c r="B14">
        <f t="shared" si="0"/>
        <v>6.7240606061000001</v>
      </c>
      <c r="C14">
        <f t="shared" si="1"/>
        <v>-3.5717128772820614E-2</v>
      </c>
    </row>
    <row r="15" spans="1:3">
      <c r="A15" s="2">
        <v>15</v>
      </c>
      <c r="B15">
        <f t="shared" si="0"/>
        <v>7.7417575757999995</v>
      </c>
      <c r="C15">
        <f t="shared" si="1"/>
        <v>-3.579781654983253E-2</v>
      </c>
    </row>
    <row r="16" spans="1:3">
      <c r="A16" s="2">
        <v>16</v>
      </c>
      <c r="B16">
        <f t="shared" si="0"/>
        <v>8.7594545455000006</v>
      </c>
      <c r="C16">
        <f t="shared" si="1"/>
        <v>-3.5879072774034584E-2</v>
      </c>
    </row>
    <row r="17" spans="1:3">
      <c r="A17" s="2">
        <v>17</v>
      </c>
      <c r="B17">
        <f t="shared" si="0"/>
        <v>9.7771515151999999</v>
      </c>
      <c r="C17">
        <f t="shared" si="1"/>
        <v>-3.5960897986344366E-2</v>
      </c>
    </row>
    <row r="18" spans="1:3">
      <c r="A18" s="2">
        <v>18</v>
      </c>
      <c r="B18">
        <f t="shared" si="0"/>
        <v>10.794848484900001</v>
      </c>
      <c r="C18">
        <f t="shared" si="1"/>
        <v>-3.6043292708433129E-2</v>
      </c>
    </row>
    <row r="19" spans="1:3">
      <c r="A19" s="2">
        <v>19</v>
      </c>
      <c r="B19">
        <f t="shared" si="0"/>
        <v>11.812545454599999</v>
      </c>
      <c r="C19">
        <f t="shared" si="1"/>
        <v>-3.6126257442635548E-2</v>
      </c>
    </row>
    <row r="20" spans="1:3">
      <c r="A20" s="2">
        <v>20</v>
      </c>
      <c r="B20">
        <f t="shared" si="0"/>
        <v>12.8302424243</v>
      </c>
      <c r="C20">
        <f t="shared" si="1"/>
        <v>-3.6209792671862466E-2</v>
      </c>
    </row>
    <row r="21" spans="1:3">
      <c r="A21" s="2">
        <v>21</v>
      </c>
      <c r="B21">
        <f t="shared" si="0"/>
        <v>13.847939394000001</v>
      </c>
      <c r="C21">
        <f t="shared" si="1"/>
        <v>-3.6293898859516997E-2</v>
      </c>
    </row>
    <row r="22" spans="1:3">
      <c r="A22" s="2">
        <v>22</v>
      </c>
      <c r="B22">
        <f t="shared" si="0"/>
        <v>14.865636363699998</v>
      </c>
      <c r="C22">
        <f t="shared" si="1"/>
        <v>-3.6378576449413759E-2</v>
      </c>
    </row>
    <row r="23" spans="1:3">
      <c r="A23" s="2">
        <v>23</v>
      </c>
      <c r="B23">
        <f t="shared" si="0"/>
        <v>15.8833333334</v>
      </c>
      <c r="C23">
        <f t="shared" si="1"/>
        <v>-3.6463825865701474E-2</v>
      </c>
    </row>
    <row r="24" spans="1:3">
      <c r="A24" s="2">
        <v>24</v>
      </c>
      <c r="B24">
        <f t="shared" si="0"/>
        <v>16.901030303100001</v>
      </c>
      <c r="C24">
        <f t="shared" si="1"/>
        <v>-3.6549647512788788E-2</v>
      </c>
    </row>
    <row r="25" spans="1:3">
      <c r="A25" s="2">
        <v>25</v>
      </c>
      <c r="B25">
        <f t="shared" si="0"/>
        <v>17.918727272799998</v>
      </c>
      <c r="C25">
        <f t="shared" si="1"/>
        <v>-3.6636041775273527E-2</v>
      </c>
    </row>
    <row r="26" spans="1:3">
      <c r="A26" s="2">
        <v>26</v>
      </c>
      <c r="B26">
        <f t="shared" si="0"/>
        <v>18.936424242499999</v>
      </c>
      <c r="C26">
        <f t="shared" si="1"/>
        <v>-3.6723009017875216E-2</v>
      </c>
    </row>
    <row r="27" spans="1:3">
      <c r="A27" s="2">
        <v>27</v>
      </c>
      <c r="B27">
        <f t="shared" si="0"/>
        <v>19.9541212122</v>
      </c>
      <c r="C27">
        <f t="shared" si="1"/>
        <v>-3.6810549585371041E-2</v>
      </c>
    </row>
    <row r="28" spans="1:3">
      <c r="A28" s="2">
        <v>28</v>
      </c>
      <c r="B28">
        <f t="shared" si="0"/>
        <v>20.971818181900002</v>
      </c>
      <c r="C28">
        <f t="shared" si="1"/>
        <v>-3.6898663802535231E-2</v>
      </c>
    </row>
    <row r="29" spans="1:3">
      <c r="A29" s="2">
        <v>29</v>
      </c>
      <c r="B29">
        <f t="shared" si="0"/>
        <v>21.989515151599999</v>
      </c>
      <c r="C29">
        <f t="shared" si="1"/>
        <v>-3.69873519740819E-2</v>
      </c>
    </row>
    <row r="30" spans="1:3">
      <c r="A30" s="2">
        <v>30</v>
      </c>
      <c r="B30">
        <f t="shared" si="0"/>
        <v>23.0072121213</v>
      </c>
      <c r="C30">
        <f t="shared" si="1"/>
        <v>-3.7076614384611302E-2</v>
      </c>
    </row>
    <row r="31" spans="1:3">
      <c r="A31" s="2">
        <v>31</v>
      </c>
      <c r="B31">
        <f t="shared" si="0"/>
        <v>24.024909091000001</v>
      </c>
      <c r="C31">
        <f t="shared" si="1"/>
        <v>-3.7166451298559562E-2</v>
      </c>
    </row>
    <row r="32" spans="1:3">
      <c r="A32" s="2">
        <v>32</v>
      </c>
      <c r="B32">
        <f t="shared" si="0"/>
        <v>25.042606060699999</v>
      </c>
      <c r="C32">
        <f t="shared" si="1"/>
        <v>-3.7256862960152071E-2</v>
      </c>
    </row>
    <row r="33" spans="1:3">
      <c r="A33" s="2">
        <v>33</v>
      </c>
      <c r="B33">
        <f t="shared" ref="B33:B64" si="2">-6.506+(A33-1)*1.0176969697</f>
        <v>26.0603030304</v>
      </c>
      <c r="C33">
        <f t="shared" ref="C33:C64" si="3">0.0137394629648174+-0.0000950439480062748*B33-0.0484255886018306*(1.00657894736842+(B33-35.6961842105263)^2/86774.9397868421)^0.5</f>
        <v>-3.7347849593360162E-2</v>
      </c>
    </row>
    <row r="34" spans="1:3">
      <c r="A34" s="2">
        <v>34</v>
      </c>
      <c r="B34">
        <f t="shared" si="2"/>
        <v>27.078000000099998</v>
      </c>
      <c r="C34">
        <f t="shared" si="3"/>
        <v>-3.7439411401861591E-2</v>
      </c>
    </row>
    <row r="35" spans="1:3">
      <c r="A35" s="2">
        <v>35</v>
      </c>
      <c r="B35">
        <f t="shared" si="2"/>
        <v>28.095696969800002</v>
      </c>
      <c r="C35">
        <f t="shared" si="3"/>
        <v>-3.7531548569004355E-2</v>
      </c>
    </row>
    <row r="36" spans="1:3">
      <c r="A36" s="2">
        <v>36</v>
      </c>
      <c r="B36">
        <f t="shared" si="2"/>
        <v>29.1133939395</v>
      </c>
      <c r="C36">
        <f t="shared" si="3"/>
        <v>-3.7624261257774239E-2</v>
      </c>
    </row>
    <row r="37" spans="1:3">
      <c r="A37" s="2">
        <v>37</v>
      </c>
      <c r="B37">
        <f t="shared" si="2"/>
        <v>30.131090909199997</v>
      </c>
      <c r="C37">
        <f t="shared" si="3"/>
        <v>-3.7717549610765878E-2</v>
      </c>
    </row>
    <row r="38" spans="1:3">
      <c r="A38" s="2">
        <v>38</v>
      </c>
      <c r="B38">
        <f t="shared" si="2"/>
        <v>31.148787878900002</v>
      </c>
      <c r="C38">
        <f t="shared" si="3"/>
        <v>-3.7811413750157487E-2</v>
      </c>
    </row>
    <row r="39" spans="1:3">
      <c r="A39" s="2">
        <v>39</v>
      </c>
      <c r="B39">
        <f t="shared" si="2"/>
        <v>32.1664848486</v>
      </c>
      <c r="C39">
        <f t="shared" si="3"/>
        <v>-3.7905853777689083E-2</v>
      </c>
    </row>
    <row r="40" spans="1:3">
      <c r="A40" s="2">
        <v>40</v>
      </c>
      <c r="B40">
        <f t="shared" si="2"/>
        <v>33.184181818299997</v>
      </c>
      <c r="C40">
        <f t="shared" si="3"/>
        <v>-3.800086977464448E-2</v>
      </c>
    </row>
    <row r="41" spans="1:3">
      <c r="A41" s="2">
        <v>41</v>
      </c>
      <c r="B41">
        <f t="shared" si="2"/>
        <v>34.201878788000002</v>
      </c>
      <c r="C41">
        <f t="shared" si="3"/>
        <v>-3.8096461801836831E-2</v>
      </c>
    </row>
    <row r="42" spans="1:3">
      <c r="A42" s="2">
        <v>42</v>
      </c>
      <c r="B42">
        <f t="shared" si="2"/>
        <v>35.219575757699999</v>
      </c>
      <c r="C42">
        <f t="shared" si="3"/>
        <v>-3.819262989959777E-2</v>
      </c>
    </row>
    <row r="43" spans="1:3">
      <c r="A43" s="2">
        <v>43</v>
      </c>
      <c r="B43">
        <f t="shared" si="2"/>
        <v>36.237272727399997</v>
      </c>
      <c r="C43">
        <f t="shared" si="3"/>
        <v>-3.8289374087770292E-2</v>
      </c>
    </row>
    <row r="44" spans="1:3">
      <c r="A44" s="2">
        <v>44</v>
      </c>
      <c r="B44">
        <f t="shared" si="2"/>
        <v>37.254969697100002</v>
      </c>
      <c r="C44">
        <f t="shared" si="3"/>
        <v>-3.8386694365705208E-2</v>
      </c>
    </row>
    <row r="45" spans="1:3">
      <c r="A45" s="2">
        <v>45</v>
      </c>
      <c r="B45">
        <f t="shared" si="2"/>
        <v>38.272666666799999</v>
      </c>
      <c r="C45">
        <f t="shared" si="3"/>
        <v>-3.8484590712261235E-2</v>
      </c>
    </row>
    <row r="46" spans="1:3">
      <c r="A46" s="2">
        <v>46</v>
      </c>
      <c r="B46">
        <f t="shared" si="2"/>
        <v>39.290363636499997</v>
      </c>
      <c r="C46">
        <f t="shared" si="3"/>
        <v>-3.8583063085808798E-2</v>
      </c>
    </row>
    <row r="47" spans="1:3">
      <c r="A47" s="2">
        <v>47</v>
      </c>
      <c r="B47">
        <f t="shared" si="2"/>
        <v>40.308060606200002</v>
      </c>
      <c r="C47">
        <f t="shared" si="3"/>
        <v>-3.8682111424237393E-2</v>
      </c>
    </row>
    <row r="48" spans="1:3">
      <c r="A48" s="2">
        <v>48</v>
      </c>
      <c r="B48">
        <f t="shared" si="2"/>
        <v>41.325757575899999</v>
      </c>
      <c r="C48">
        <f t="shared" si="3"/>
        <v>-3.8781735644966675E-2</v>
      </c>
    </row>
    <row r="49" spans="1:3">
      <c r="A49" s="2">
        <v>49</v>
      </c>
      <c r="B49">
        <f t="shared" si="2"/>
        <v>42.343454545599997</v>
      </c>
      <c r="C49">
        <f t="shared" si="3"/>
        <v>-3.8881935644961077E-2</v>
      </c>
    </row>
    <row r="50" spans="1:3">
      <c r="A50" s="2">
        <v>50</v>
      </c>
      <c r="B50">
        <f t="shared" si="2"/>
        <v>43.361151515300001</v>
      </c>
      <c r="C50">
        <f t="shared" si="3"/>
        <v>-3.8982711300748166E-2</v>
      </c>
    </row>
    <row r="51" spans="1:3">
      <c r="A51" s="2">
        <v>51</v>
      </c>
      <c r="B51">
        <f t="shared" si="2"/>
        <v>44.378848484999999</v>
      </c>
      <c r="C51">
        <f t="shared" si="3"/>
        <v>-3.908406246844056E-2</v>
      </c>
    </row>
    <row r="52" spans="1:3">
      <c r="A52" s="2">
        <v>52</v>
      </c>
      <c r="B52">
        <f t="shared" si="2"/>
        <v>45.396545454700004</v>
      </c>
      <c r="C52">
        <f t="shared" si="3"/>
        <v>-3.9185988983761445E-2</v>
      </c>
    </row>
    <row r="53" spans="1:3">
      <c r="A53" s="2">
        <v>53</v>
      </c>
      <c r="B53">
        <f t="shared" si="2"/>
        <v>46.414242424400001</v>
      </c>
      <c r="C53">
        <f t="shared" si="3"/>
        <v>-3.9288490662073752E-2</v>
      </c>
    </row>
    <row r="54" spans="1:3">
      <c r="A54" s="2">
        <v>54</v>
      </c>
      <c r="B54">
        <f t="shared" si="2"/>
        <v>47.431939394099999</v>
      </c>
      <c r="C54">
        <f t="shared" si="3"/>
        <v>-3.9391567298412859E-2</v>
      </c>
    </row>
    <row r="55" spans="1:3">
      <c r="A55" s="2">
        <v>55</v>
      </c>
      <c r="B55">
        <f t="shared" si="2"/>
        <v>48.449636363800003</v>
      </c>
      <c r="C55">
        <f t="shared" si="3"/>
        <v>-3.9495218667522917E-2</v>
      </c>
    </row>
    <row r="56" spans="1:3">
      <c r="A56" s="2">
        <v>56</v>
      </c>
      <c r="B56">
        <f t="shared" si="2"/>
        <v>49.467333333500001</v>
      </c>
      <c r="C56">
        <f t="shared" si="3"/>
        <v>-3.9599444523896722E-2</v>
      </c>
    </row>
    <row r="57" spans="1:3">
      <c r="A57" s="2">
        <v>57</v>
      </c>
      <c r="B57">
        <f t="shared" si="2"/>
        <v>50.485030303199999</v>
      </c>
      <c r="C57">
        <f t="shared" si="3"/>
        <v>-3.9704244601819108E-2</v>
      </c>
    </row>
    <row r="58" spans="1:3">
      <c r="A58" s="2">
        <v>58</v>
      </c>
      <c r="B58">
        <f t="shared" si="2"/>
        <v>51.502727272900003</v>
      </c>
      <c r="C58">
        <f t="shared" si="3"/>
        <v>-3.9809618615413919E-2</v>
      </c>
    </row>
    <row r="59" spans="1:3">
      <c r="A59" s="2">
        <v>59</v>
      </c>
      <c r="B59">
        <f t="shared" si="2"/>
        <v>52.520424242600001</v>
      </c>
      <c r="C59">
        <f t="shared" si="3"/>
        <v>-3.9915566258694454E-2</v>
      </c>
    </row>
    <row r="60" spans="1:3">
      <c r="A60" s="2">
        <v>60</v>
      </c>
      <c r="B60">
        <f t="shared" si="2"/>
        <v>53.538121212299998</v>
      </c>
      <c r="C60">
        <f t="shared" si="3"/>
        <v>-4.0022087205617361E-2</v>
      </c>
    </row>
    <row r="61" spans="1:3">
      <c r="A61" s="2">
        <v>61</v>
      </c>
      <c r="B61">
        <f t="shared" si="2"/>
        <v>54.555818182000003</v>
      </c>
      <c r="C61">
        <f t="shared" si="3"/>
        <v>-4.0129181110140105E-2</v>
      </c>
    </row>
    <row r="62" spans="1:3">
      <c r="A62" s="2">
        <v>62</v>
      </c>
      <c r="B62">
        <f t="shared" si="2"/>
        <v>55.573515151700001</v>
      </c>
      <c r="C62">
        <f t="shared" si="3"/>
        <v>-4.0236847606281753E-2</v>
      </c>
    </row>
    <row r="63" spans="1:3">
      <c r="A63" s="2">
        <v>63</v>
      </c>
      <c r="B63">
        <f t="shared" si="2"/>
        <v>56.591212121399998</v>
      </c>
      <c r="C63">
        <f t="shared" si="3"/>
        <v>-4.0345086308187263E-2</v>
      </c>
    </row>
    <row r="64" spans="1:3">
      <c r="A64" s="2">
        <v>64</v>
      </c>
      <c r="B64">
        <f t="shared" si="2"/>
        <v>57.608909091100003</v>
      </c>
      <c r="C64">
        <f t="shared" si="3"/>
        <v>-4.0453896810195122E-2</v>
      </c>
    </row>
    <row r="65" spans="1:3">
      <c r="A65" s="2">
        <v>65</v>
      </c>
      <c r="B65">
        <f t="shared" ref="B65:B96" si="4">-6.506+(A65-1)*1.0176969697</f>
        <v>58.6266060608</v>
      </c>
      <c r="C65">
        <f t="shared" ref="C65:C96" si="5">0.0137394629648174+-0.0000950439480062748*B65-0.0484255886018306*(1.00657894736842+(B65-35.6961842105263)^2/86774.9397868421)^0.5</f>
        <v>-4.0563278686908399E-2</v>
      </c>
    </row>
    <row r="66" spans="1:3">
      <c r="A66" s="2">
        <v>66</v>
      </c>
      <c r="B66">
        <f t="shared" si="4"/>
        <v>59.644303030499998</v>
      </c>
      <c r="C66">
        <f t="shared" si="5"/>
        <v>-4.0673231493269013E-2</v>
      </c>
    </row>
    <row r="67" spans="1:3">
      <c r="A67" s="2">
        <v>67</v>
      </c>
      <c r="B67">
        <f t="shared" si="4"/>
        <v>60.662000000199995</v>
      </c>
      <c r="C67">
        <f t="shared" si="5"/>
        <v>-4.0783754764635444E-2</v>
      </c>
    </row>
    <row r="68" spans="1:3">
      <c r="A68" s="2">
        <v>68</v>
      </c>
      <c r="B68">
        <f t="shared" si="4"/>
        <v>61.679696969900007</v>
      </c>
      <c r="C68">
        <f t="shared" si="5"/>
        <v>-4.0894848016863654E-2</v>
      </c>
    </row>
    <row r="69" spans="1:3">
      <c r="A69" s="2">
        <v>69</v>
      </c>
      <c r="B69">
        <f t="shared" si="4"/>
        <v>62.697393939600005</v>
      </c>
      <c r="C69">
        <f t="shared" si="5"/>
        <v>-4.1006510746391209E-2</v>
      </c>
    </row>
    <row r="70" spans="1:3">
      <c r="A70" s="2">
        <v>70</v>
      </c>
      <c r="B70">
        <f t="shared" si="4"/>
        <v>63.715090909300002</v>
      </c>
      <c r="C70">
        <f t="shared" si="5"/>
        <v>-4.1118742430324713E-2</v>
      </c>
    </row>
    <row r="71" spans="1:3">
      <c r="A71" s="2">
        <v>71</v>
      </c>
      <c r="B71">
        <f t="shared" si="4"/>
        <v>64.732787879</v>
      </c>
      <c r="C71">
        <f t="shared" si="5"/>
        <v>-4.123154252653026E-2</v>
      </c>
    </row>
    <row r="72" spans="1:3">
      <c r="A72" s="2">
        <v>72</v>
      </c>
      <c r="B72">
        <f t="shared" si="4"/>
        <v>65.750484848699998</v>
      </c>
      <c r="C72">
        <f t="shared" si="5"/>
        <v>-4.1344910473727223E-2</v>
      </c>
    </row>
    <row r="73" spans="1:3">
      <c r="A73" s="2">
        <v>73</v>
      </c>
      <c r="B73">
        <f t="shared" si="4"/>
        <v>66.768181818399995</v>
      </c>
      <c r="C73">
        <f t="shared" si="5"/>
        <v>-4.1458845691584915E-2</v>
      </c>
    </row>
    <row r="74" spans="1:3">
      <c r="A74" s="2">
        <v>74</v>
      </c>
      <c r="B74">
        <f t="shared" si="4"/>
        <v>67.785878788100007</v>
      </c>
      <c r="C74">
        <f t="shared" si="5"/>
        <v>-4.157334758082247E-2</v>
      </c>
    </row>
    <row r="75" spans="1:3">
      <c r="A75" s="2">
        <v>75</v>
      </c>
      <c r="B75">
        <f t="shared" si="4"/>
        <v>68.803575757800004</v>
      </c>
      <c r="C75">
        <f t="shared" si="5"/>
        <v>-4.1688415523311748E-2</v>
      </c>
    </row>
    <row r="76" spans="1:3">
      <c r="A76" s="2">
        <v>76</v>
      </c>
      <c r="B76">
        <f t="shared" si="4"/>
        <v>69.821272727500002</v>
      </c>
      <c r="C76">
        <f t="shared" si="5"/>
        <v>-4.1804048882183059E-2</v>
      </c>
    </row>
    <row r="77" spans="1:3">
      <c r="A77" s="2">
        <v>77</v>
      </c>
      <c r="B77">
        <f t="shared" si="4"/>
        <v>70.8389696972</v>
      </c>
      <c r="C77">
        <f t="shared" si="5"/>
        <v>-4.1920247001934037E-2</v>
      </c>
    </row>
    <row r="78" spans="1:3">
      <c r="A78" s="2">
        <v>78</v>
      </c>
      <c r="B78">
        <f t="shared" si="4"/>
        <v>71.856666666899997</v>
      </c>
      <c r="C78">
        <f t="shared" si="5"/>
        <v>-4.2037009208541191E-2</v>
      </c>
    </row>
    <row r="79" spans="1:3">
      <c r="A79" s="2">
        <v>79</v>
      </c>
      <c r="B79">
        <f t="shared" si="4"/>
        <v>72.874363636599995</v>
      </c>
      <c r="C79">
        <f t="shared" si="5"/>
        <v>-4.2154334809574548E-2</v>
      </c>
    </row>
    <row r="80" spans="1:3">
      <c r="A80" s="2">
        <v>80</v>
      </c>
      <c r="B80">
        <f t="shared" si="4"/>
        <v>73.892060606300006</v>
      </c>
      <c r="C80">
        <f t="shared" si="5"/>
        <v>-4.2272223094314859E-2</v>
      </c>
    </row>
    <row r="81" spans="1:3">
      <c r="A81" s="2">
        <v>81</v>
      </c>
      <c r="B81">
        <f t="shared" si="4"/>
        <v>74.909757576000004</v>
      </c>
      <c r="C81">
        <f t="shared" si="5"/>
        <v>-4.2390673333873759E-2</v>
      </c>
    </row>
    <row r="82" spans="1:3">
      <c r="A82" s="2">
        <v>82</v>
      </c>
      <c r="B82">
        <f t="shared" si="4"/>
        <v>75.927454545700002</v>
      </c>
      <c r="C82">
        <f t="shared" si="5"/>
        <v>-4.2509684781316545E-2</v>
      </c>
    </row>
    <row r="83" spans="1:3">
      <c r="A83" s="2">
        <v>83</v>
      </c>
      <c r="B83">
        <f t="shared" si="4"/>
        <v>76.945151515399999</v>
      </c>
      <c r="C83">
        <f t="shared" si="5"/>
        <v>-4.2629256671787623E-2</v>
      </c>
    </row>
    <row r="84" spans="1:3">
      <c r="A84" s="2">
        <v>84</v>
      </c>
      <c r="B84">
        <f t="shared" si="4"/>
        <v>77.962848485099997</v>
      </c>
      <c r="C84">
        <f t="shared" si="5"/>
        <v>-4.2749388222638601E-2</v>
      </c>
    </row>
    <row r="85" spans="1:3">
      <c r="A85" s="2">
        <v>85</v>
      </c>
      <c r="B85">
        <f t="shared" si="4"/>
        <v>78.980545454799994</v>
      </c>
      <c r="C85">
        <f t="shared" si="5"/>
        <v>-4.2870078633558968E-2</v>
      </c>
    </row>
    <row r="86" spans="1:3">
      <c r="A86" s="2">
        <v>86</v>
      </c>
      <c r="B86">
        <f t="shared" si="4"/>
        <v>79.998242424500006</v>
      </c>
      <c r="C86">
        <f t="shared" si="5"/>
        <v>-4.299132708670924E-2</v>
      </c>
    </row>
    <row r="87" spans="1:3">
      <c r="A87" s="2">
        <v>87</v>
      </c>
      <c r="B87">
        <f t="shared" si="4"/>
        <v>81.015939394200004</v>
      </c>
      <c r="C87">
        <f t="shared" si="5"/>
        <v>-4.3113132746856637E-2</v>
      </c>
    </row>
    <row r="88" spans="1:3">
      <c r="A88" s="2">
        <v>88</v>
      </c>
      <c r="B88">
        <f t="shared" si="4"/>
        <v>82.033636363900001</v>
      </c>
      <c r="C88">
        <f t="shared" si="5"/>
        <v>-4.323549476151313E-2</v>
      </c>
    </row>
    <row r="89" spans="1:3">
      <c r="A89" s="2">
        <v>89</v>
      </c>
      <c r="B89">
        <f t="shared" si="4"/>
        <v>83.051333333599999</v>
      </c>
      <c r="C89">
        <f t="shared" si="5"/>
        <v>-4.3358412261075896E-2</v>
      </c>
    </row>
    <row r="90" spans="1:3">
      <c r="A90" s="2">
        <v>90</v>
      </c>
      <c r="B90">
        <f t="shared" si="4"/>
        <v>84.069030303299996</v>
      </c>
      <c r="C90">
        <f t="shared" si="5"/>
        <v>-4.3481884358970081E-2</v>
      </c>
    </row>
    <row r="91" spans="1:3">
      <c r="A91" s="2">
        <v>91</v>
      </c>
      <c r="B91">
        <f t="shared" si="4"/>
        <v>85.086727272999994</v>
      </c>
      <c r="C91">
        <f t="shared" si="5"/>
        <v>-4.3605910151793791E-2</v>
      </c>
    </row>
    <row r="92" spans="1:3">
      <c r="A92" s="2">
        <v>92</v>
      </c>
      <c r="B92">
        <f t="shared" si="4"/>
        <v>86.104424242700006</v>
      </c>
      <c r="C92">
        <f t="shared" si="5"/>
        <v>-4.3730488719465346E-2</v>
      </c>
    </row>
    <row r="93" spans="1:3">
      <c r="A93" s="2">
        <v>93</v>
      </c>
      <c r="B93">
        <f t="shared" si="4"/>
        <v>87.122121212400003</v>
      </c>
      <c r="C93">
        <f t="shared" si="5"/>
        <v>-4.3855619125372655E-2</v>
      </c>
    </row>
    <row r="94" spans="1:3">
      <c r="A94" s="2">
        <v>94</v>
      </c>
      <c r="B94">
        <f t="shared" si="4"/>
        <v>88.139818182100001</v>
      </c>
      <c r="C94">
        <f t="shared" si="5"/>
        <v>-4.3981300416524691E-2</v>
      </c>
    </row>
    <row r="95" spans="1:3">
      <c r="A95" s="2">
        <v>95</v>
      </c>
      <c r="B95">
        <f t="shared" si="4"/>
        <v>89.157515151799998</v>
      </c>
      <c r="C95">
        <f t="shared" si="5"/>
        <v>-4.4107531623705065E-2</v>
      </c>
    </row>
    <row r="96" spans="1:3">
      <c r="A96" s="2">
        <v>96</v>
      </c>
      <c r="B96">
        <f t="shared" si="4"/>
        <v>90.175212121499996</v>
      </c>
      <c r="C96">
        <f t="shared" si="5"/>
        <v>-4.4234311761627523E-2</v>
      </c>
    </row>
    <row r="97" spans="1:3">
      <c r="A97" s="2">
        <v>97</v>
      </c>
      <c r="B97">
        <f t="shared" ref="B97:B100" si="6">-6.506+(A97-1)*1.0176969697</f>
        <v>91.192909091199994</v>
      </c>
      <c r="C97">
        <f t="shared" ref="C97:C100" si="7">0.0137394629648174+-0.0000950439480062748*B97-0.0484255886018306*(1.00657894736842+(B97-35.6961842105263)^2/86774.9397868421)^0.5</f>
        <v>-4.4361639829093413E-2</v>
      </c>
    </row>
    <row r="98" spans="1:3">
      <c r="A98" s="2">
        <v>98</v>
      </c>
      <c r="B98">
        <f t="shared" si="6"/>
        <v>92.210606060900005</v>
      </c>
      <c r="C98">
        <f t="shared" si="7"/>
        <v>-4.4489514809151032E-2</v>
      </c>
    </row>
    <row r="99" spans="1:3">
      <c r="A99" s="2">
        <v>99</v>
      </c>
      <c r="B99">
        <f t="shared" si="6"/>
        <v>93.228303030600003</v>
      </c>
      <c r="C99">
        <f t="shared" si="7"/>
        <v>-4.4617935669256793E-2</v>
      </c>
    </row>
    <row r="100" spans="1:3">
      <c r="A100" s="2">
        <v>100</v>
      </c>
      <c r="B100">
        <f t="shared" si="6"/>
        <v>94.2460000003</v>
      </c>
      <c r="C100">
        <f t="shared" si="7"/>
        <v>-4.4746901361438184E-2</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0.0137394629648174+-0.0000950439480062748*B1+0.0484255886018306*(1.00657894736842+(B1-35.6961842105263)^2/86774.9397868421)^0.5</f>
        <v>6.3435273617357124E-2</v>
      </c>
    </row>
    <row r="2" spans="1:3">
      <c r="A2" s="2">
        <v>2</v>
      </c>
      <c r="B2">
        <f t="shared" si="0"/>
        <v>-5.4883030303</v>
      </c>
      <c r="C2">
        <f t="shared" si="1"/>
        <v>6.3315177502357198E-2</v>
      </c>
    </row>
    <row r="3" spans="1:3">
      <c r="A3" s="2">
        <v>3</v>
      </c>
      <c r="B3">
        <f t="shared" si="0"/>
        <v>-4.4706060605999998</v>
      </c>
      <c r="C3">
        <f t="shared" si="1"/>
        <v>6.3195641097850336E-2</v>
      </c>
    </row>
    <row r="4" spans="1:3">
      <c r="A4" s="2">
        <v>4</v>
      </c>
      <c r="B4">
        <f t="shared" si="0"/>
        <v>-3.4529090909000004</v>
      </c>
      <c r="C4">
        <f t="shared" si="1"/>
        <v>6.3076665185361383E-2</v>
      </c>
    </row>
    <row r="5" spans="1:3">
      <c r="A5" s="2">
        <v>5</v>
      </c>
      <c r="B5">
        <f t="shared" si="0"/>
        <v>-2.4352121212000002</v>
      </c>
      <c r="C5">
        <f t="shared" si="1"/>
        <v>6.2958250528614298E-2</v>
      </c>
    </row>
    <row r="6" spans="1:3">
      <c r="A6" s="2">
        <v>6</v>
      </c>
      <c r="B6">
        <f t="shared" si="0"/>
        <v>-1.4175151515</v>
      </c>
      <c r="C6">
        <f t="shared" si="1"/>
        <v>6.2840397873404105E-2</v>
      </c>
    </row>
    <row r="7" spans="1:3">
      <c r="A7" s="2">
        <v>7</v>
      </c>
      <c r="B7">
        <f t="shared" si="0"/>
        <v>-0.39981818180000062</v>
      </c>
      <c r="C7">
        <f t="shared" si="1"/>
        <v>6.272310794747156E-2</v>
      </c>
    </row>
    <row r="8" spans="1:3">
      <c r="A8" s="2">
        <v>8</v>
      </c>
      <c r="B8">
        <f t="shared" si="0"/>
        <v>0.61787878789999962</v>
      </c>
      <c r="C8">
        <f t="shared" si="1"/>
        <v>6.2606381460380695E-2</v>
      </c>
    </row>
    <row r="9" spans="1:3">
      <c r="A9" s="2">
        <v>9</v>
      </c>
      <c r="B9">
        <f t="shared" si="0"/>
        <v>1.6355757575999998</v>
      </c>
      <c r="C9">
        <f t="shared" si="1"/>
        <v>6.2490219103398706E-2</v>
      </c>
    </row>
    <row r="10" spans="1:3">
      <c r="A10" s="2">
        <v>10</v>
      </c>
      <c r="B10">
        <f t="shared" si="0"/>
        <v>2.6532727272999992</v>
      </c>
      <c r="C10">
        <f t="shared" si="1"/>
        <v>6.2374621549378992E-2</v>
      </c>
    </row>
    <row r="11" spans="1:3">
      <c r="A11" s="2">
        <v>11</v>
      </c>
      <c r="B11">
        <f t="shared" si="0"/>
        <v>3.6709696970000003</v>
      </c>
      <c r="C11">
        <f t="shared" si="1"/>
        <v>6.2259589452646633E-2</v>
      </c>
    </row>
    <row r="12" spans="1:3">
      <c r="A12" s="2">
        <v>12</v>
      </c>
      <c r="B12">
        <f t="shared" si="0"/>
        <v>4.6886666666999997</v>
      </c>
      <c r="C12">
        <f t="shared" si="1"/>
        <v>6.2145123448887077E-2</v>
      </c>
    </row>
    <row r="13" spans="1:3">
      <c r="A13" s="2">
        <v>13</v>
      </c>
      <c r="B13">
        <f t="shared" si="0"/>
        <v>5.706363636399999</v>
      </c>
      <c r="C13">
        <f t="shared" si="1"/>
        <v>6.2031224155037458E-2</v>
      </c>
    </row>
    <row r="14" spans="1:3">
      <c r="A14" s="2">
        <v>14</v>
      </c>
      <c r="B14">
        <f t="shared" si="0"/>
        <v>6.7240606061000001</v>
      </c>
      <c r="C14">
        <f t="shared" si="1"/>
        <v>6.1917892169181005E-2</v>
      </c>
    </row>
    <row r="15" spans="1:3">
      <c r="A15" s="2">
        <v>15</v>
      </c>
      <c r="B15">
        <f t="shared" si="0"/>
        <v>7.7417575757999995</v>
      </c>
      <c r="C15">
        <f t="shared" si="1"/>
        <v>6.1805128070444297E-2</v>
      </c>
    </row>
    <row r="16" spans="1:3">
      <c r="A16" s="2">
        <v>16</v>
      </c>
      <c r="B16">
        <f t="shared" si="0"/>
        <v>8.7594545455000006</v>
      </c>
      <c r="C16">
        <f t="shared" si="1"/>
        <v>6.1692932418897728E-2</v>
      </c>
    </row>
    <row r="17" spans="1:3">
      <c r="A17" s="2">
        <v>17</v>
      </c>
      <c r="B17">
        <f t="shared" si="0"/>
        <v>9.7771515151999999</v>
      </c>
      <c r="C17">
        <f t="shared" si="1"/>
        <v>6.1581305755458886E-2</v>
      </c>
    </row>
    <row r="18" spans="1:3">
      <c r="A18" s="2">
        <v>18</v>
      </c>
      <c r="B18">
        <f t="shared" si="0"/>
        <v>10.794848484900001</v>
      </c>
      <c r="C18">
        <f t="shared" si="1"/>
        <v>6.1470248601799025E-2</v>
      </c>
    </row>
    <row r="19" spans="1:3">
      <c r="A19" s="2">
        <v>19</v>
      </c>
      <c r="B19">
        <f t="shared" si="0"/>
        <v>11.812545454599999</v>
      </c>
      <c r="C19">
        <f t="shared" si="1"/>
        <v>6.1359761460252821E-2</v>
      </c>
    </row>
    <row r="20" spans="1:3">
      <c r="A20" s="2">
        <v>20</v>
      </c>
      <c r="B20">
        <f t="shared" si="0"/>
        <v>12.8302424243</v>
      </c>
      <c r="C20">
        <f t="shared" si="1"/>
        <v>6.1249844813731129E-2</v>
      </c>
    </row>
    <row r="21" spans="1:3">
      <c r="A21" s="2">
        <v>21</v>
      </c>
      <c r="B21">
        <f t="shared" si="0"/>
        <v>13.847939394000001</v>
      </c>
      <c r="C21">
        <f t="shared" si="1"/>
        <v>6.1140499125637036E-2</v>
      </c>
    </row>
    <row r="22" spans="1:3">
      <c r="A22" s="2">
        <v>22</v>
      </c>
      <c r="B22">
        <f t="shared" si="0"/>
        <v>14.865636363699998</v>
      </c>
      <c r="C22">
        <f t="shared" si="1"/>
        <v>6.1031724839785174E-2</v>
      </c>
    </row>
    <row r="23" spans="1:3">
      <c r="A23" s="2">
        <v>23</v>
      </c>
      <c r="B23">
        <f t="shared" si="0"/>
        <v>15.8833333334</v>
      </c>
      <c r="C23">
        <f t="shared" si="1"/>
        <v>6.0923522380324266E-2</v>
      </c>
    </row>
    <row r="24" spans="1:3">
      <c r="A24" s="2">
        <v>24</v>
      </c>
      <c r="B24">
        <f t="shared" si="0"/>
        <v>16.901030303100001</v>
      </c>
      <c r="C24">
        <f t="shared" si="1"/>
        <v>6.081589215166297E-2</v>
      </c>
    </row>
    <row r="25" spans="1:3">
      <c r="A25" s="2">
        <v>25</v>
      </c>
      <c r="B25">
        <f t="shared" si="0"/>
        <v>17.918727272799998</v>
      </c>
      <c r="C25">
        <f t="shared" si="1"/>
        <v>6.0708834538399085E-2</v>
      </c>
    </row>
    <row r="26" spans="1:3">
      <c r="A26" s="2">
        <v>26</v>
      </c>
      <c r="B26">
        <f t="shared" si="0"/>
        <v>18.936424242499999</v>
      </c>
      <c r="C26">
        <f t="shared" si="1"/>
        <v>6.0602349905252151E-2</v>
      </c>
    </row>
    <row r="27" spans="1:3">
      <c r="A27" s="2">
        <v>27</v>
      </c>
      <c r="B27">
        <f t="shared" si="0"/>
        <v>19.9541212122</v>
      </c>
      <c r="C27">
        <f t="shared" si="1"/>
        <v>6.0496438596999352E-2</v>
      </c>
    </row>
    <row r="28" spans="1:3">
      <c r="A28" s="2">
        <v>28</v>
      </c>
      <c r="B28">
        <f t="shared" si="0"/>
        <v>20.971818181900002</v>
      </c>
      <c r="C28">
        <f t="shared" si="1"/>
        <v>6.0391100938414932E-2</v>
      </c>
    </row>
    <row r="29" spans="1:3">
      <c r="A29" s="2">
        <v>29</v>
      </c>
      <c r="B29">
        <f t="shared" si="0"/>
        <v>21.989515151599999</v>
      </c>
      <c r="C29">
        <f t="shared" si="1"/>
        <v>6.0286337234212978E-2</v>
      </c>
    </row>
    <row r="30" spans="1:3">
      <c r="A30" s="2">
        <v>30</v>
      </c>
      <c r="B30">
        <f t="shared" si="0"/>
        <v>23.0072121213</v>
      </c>
      <c r="C30">
        <f t="shared" si="1"/>
        <v>6.0182147768993756E-2</v>
      </c>
    </row>
    <row r="31" spans="1:3">
      <c r="A31" s="2">
        <v>31</v>
      </c>
      <c r="B31">
        <f t="shared" si="0"/>
        <v>24.024909091000001</v>
      </c>
      <c r="C31">
        <f t="shared" si="1"/>
        <v>6.0078532807193392E-2</v>
      </c>
    </row>
    <row r="32" spans="1:3">
      <c r="A32" s="2">
        <v>32</v>
      </c>
      <c r="B32">
        <f t="shared" si="0"/>
        <v>25.042606060699999</v>
      </c>
      <c r="C32">
        <f t="shared" si="1"/>
        <v>5.9975492593037277E-2</v>
      </c>
    </row>
    <row r="33" spans="1:3">
      <c r="A33" s="2">
        <v>33</v>
      </c>
      <c r="B33">
        <f t="shared" ref="B33:B64" si="2">-6.506+(A33-1)*1.0176969697</f>
        <v>26.0603030304</v>
      </c>
      <c r="C33">
        <f t="shared" ref="C33:C64" si="3">0.0137394629648174+-0.0000950439480062748*B33+0.0484255886018306*(1.00657894736842+(B33-35.6961842105263)^2/86774.9397868421)^0.5</f>
        <v>5.9873027350496759E-2</v>
      </c>
    </row>
    <row r="34" spans="1:3">
      <c r="A34" s="2">
        <v>34</v>
      </c>
      <c r="B34">
        <f t="shared" si="2"/>
        <v>27.078000000099998</v>
      </c>
      <c r="C34">
        <f t="shared" si="3"/>
        <v>5.9771137283249565E-2</v>
      </c>
    </row>
    <row r="35" spans="1:3">
      <c r="A35" s="2">
        <v>35</v>
      </c>
      <c r="B35">
        <f t="shared" si="2"/>
        <v>28.095696969800002</v>
      </c>
      <c r="C35">
        <f t="shared" si="3"/>
        <v>5.9669822574643705E-2</v>
      </c>
    </row>
    <row r="36" spans="1:3">
      <c r="A36" s="2">
        <v>36</v>
      </c>
      <c r="B36">
        <f t="shared" si="2"/>
        <v>29.1133939395</v>
      </c>
      <c r="C36">
        <f t="shared" si="3"/>
        <v>5.9569083387664978E-2</v>
      </c>
    </row>
    <row r="37" spans="1:3">
      <c r="A37" s="2">
        <v>37</v>
      </c>
      <c r="B37">
        <f t="shared" si="2"/>
        <v>30.131090909199997</v>
      </c>
      <c r="C37">
        <f t="shared" si="3"/>
        <v>5.9468919864907994E-2</v>
      </c>
    </row>
    <row r="38" spans="1:3">
      <c r="A38" s="2">
        <v>38</v>
      </c>
      <c r="B38">
        <f t="shared" si="2"/>
        <v>31.148787878900002</v>
      </c>
      <c r="C38">
        <f t="shared" si="3"/>
        <v>5.9369332128550979E-2</v>
      </c>
    </row>
    <row r="39" spans="1:3">
      <c r="A39" s="2">
        <v>39</v>
      </c>
      <c r="B39">
        <f t="shared" si="2"/>
        <v>32.1664848486</v>
      </c>
      <c r="C39">
        <f t="shared" si="3"/>
        <v>5.9270320280333952E-2</v>
      </c>
    </row>
    <row r="40" spans="1:3">
      <c r="A40" s="2">
        <v>40</v>
      </c>
      <c r="B40">
        <f t="shared" si="2"/>
        <v>33.184181818299997</v>
      </c>
      <c r="C40">
        <f t="shared" si="3"/>
        <v>5.9171884401540725E-2</v>
      </c>
    </row>
    <row r="41" spans="1:3">
      <c r="A41" s="2">
        <v>41</v>
      </c>
      <c r="B41">
        <f t="shared" si="2"/>
        <v>34.201878788000002</v>
      </c>
      <c r="C41">
        <f t="shared" si="3"/>
        <v>5.9074024552984453E-2</v>
      </c>
    </row>
    <row r="42" spans="1:3">
      <c r="A42" s="2">
        <v>42</v>
      </c>
      <c r="B42">
        <f t="shared" si="2"/>
        <v>35.219575757699999</v>
      </c>
      <c r="C42">
        <f t="shared" si="3"/>
        <v>5.8976740774996782E-2</v>
      </c>
    </row>
    <row r="43" spans="1:3">
      <c r="A43" s="2">
        <v>43</v>
      </c>
      <c r="B43">
        <f t="shared" si="2"/>
        <v>36.237272727399997</v>
      </c>
      <c r="C43">
        <f t="shared" si="3"/>
        <v>5.888003308742068E-2</v>
      </c>
    </row>
    <row r="44" spans="1:3">
      <c r="A44" s="2">
        <v>44</v>
      </c>
      <c r="B44">
        <f t="shared" si="2"/>
        <v>37.254969697100002</v>
      </c>
      <c r="C44">
        <f t="shared" si="3"/>
        <v>5.8783901489606973E-2</v>
      </c>
    </row>
    <row r="45" spans="1:3">
      <c r="A45" s="2">
        <v>45</v>
      </c>
      <c r="B45">
        <f t="shared" si="2"/>
        <v>38.272666666799999</v>
      </c>
      <c r="C45">
        <f t="shared" si="3"/>
        <v>5.868834596041439E-2</v>
      </c>
    </row>
    <row r="46" spans="1:3">
      <c r="A46" s="2">
        <v>46</v>
      </c>
      <c r="B46">
        <f t="shared" si="2"/>
        <v>39.290363636499997</v>
      </c>
      <c r="C46">
        <f t="shared" si="3"/>
        <v>5.8593366458213329E-2</v>
      </c>
    </row>
    <row r="47" spans="1:3">
      <c r="A47" s="2">
        <v>47</v>
      </c>
      <c r="B47">
        <f t="shared" si="2"/>
        <v>40.308060606200002</v>
      </c>
      <c r="C47">
        <f t="shared" si="3"/>
        <v>5.8498962920893301E-2</v>
      </c>
    </row>
    <row r="48" spans="1:3">
      <c r="A48" s="2">
        <v>48</v>
      </c>
      <c r="B48">
        <f t="shared" si="2"/>
        <v>41.325757575899999</v>
      </c>
      <c r="C48">
        <f t="shared" si="3"/>
        <v>5.8405135265873959E-2</v>
      </c>
    </row>
    <row r="49" spans="1:3">
      <c r="A49" s="2">
        <v>49</v>
      </c>
      <c r="B49">
        <f t="shared" si="2"/>
        <v>42.343454545599997</v>
      </c>
      <c r="C49">
        <f t="shared" si="3"/>
        <v>5.8311883390119751E-2</v>
      </c>
    </row>
    <row r="50" spans="1:3">
      <c r="A50" s="2">
        <v>50</v>
      </c>
      <c r="B50">
        <f t="shared" si="2"/>
        <v>43.361151515300001</v>
      </c>
      <c r="C50">
        <f t="shared" si="3"/>
        <v>5.8219207170158216E-2</v>
      </c>
    </row>
    <row r="51" spans="1:3">
      <c r="A51" s="2">
        <v>51</v>
      </c>
      <c r="B51">
        <f t="shared" si="2"/>
        <v>44.378848484999999</v>
      </c>
      <c r="C51">
        <f t="shared" si="3"/>
        <v>5.8127106462101986E-2</v>
      </c>
    </row>
    <row r="52" spans="1:3">
      <c r="A52" s="2">
        <v>52</v>
      </c>
      <c r="B52">
        <f t="shared" si="2"/>
        <v>45.396545454700004</v>
      </c>
      <c r="C52">
        <f t="shared" si="3"/>
        <v>5.8035581101674248E-2</v>
      </c>
    </row>
    <row r="53" spans="1:3">
      <c r="A53" s="2">
        <v>53</v>
      </c>
      <c r="B53">
        <f t="shared" si="2"/>
        <v>46.414242424400001</v>
      </c>
      <c r="C53">
        <f t="shared" si="3"/>
        <v>5.7944630904237945E-2</v>
      </c>
    </row>
    <row r="54" spans="1:3">
      <c r="A54" s="2">
        <v>54</v>
      </c>
      <c r="B54">
        <f t="shared" si="2"/>
        <v>47.431939394099999</v>
      </c>
      <c r="C54">
        <f t="shared" si="3"/>
        <v>5.7854255664828429E-2</v>
      </c>
    </row>
    <row r="55" spans="1:3">
      <c r="A55" s="2">
        <v>55</v>
      </c>
      <c r="B55">
        <f t="shared" si="2"/>
        <v>48.449636363800003</v>
      </c>
      <c r="C55">
        <f t="shared" si="3"/>
        <v>5.7764455158189863E-2</v>
      </c>
    </row>
    <row r="56" spans="1:3">
      <c r="A56" s="2">
        <v>56</v>
      </c>
      <c r="B56">
        <f t="shared" si="2"/>
        <v>49.467333333500001</v>
      </c>
      <c r="C56">
        <f t="shared" si="3"/>
        <v>5.7675229138815044E-2</v>
      </c>
    </row>
    <row r="57" spans="1:3">
      <c r="A57" s="2">
        <v>57</v>
      </c>
      <c r="B57">
        <f t="shared" si="2"/>
        <v>50.485030303199999</v>
      </c>
      <c r="C57">
        <f t="shared" si="3"/>
        <v>5.7586577340988807E-2</v>
      </c>
    </row>
    <row r="58" spans="1:3">
      <c r="A58" s="2">
        <v>58</v>
      </c>
      <c r="B58">
        <f t="shared" si="2"/>
        <v>51.502727272900003</v>
      </c>
      <c r="C58">
        <f t="shared" si="3"/>
        <v>5.7498499478834994E-2</v>
      </c>
    </row>
    <row r="59" spans="1:3">
      <c r="A59" s="2">
        <v>59</v>
      </c>
      <c r="B59">
        <f t="shared" si="2"/>
        <v>52.520424242600001</v>
      </c>
      <c r="C59">
        <f t="shared" si="3"/>
        <v>5.7410995246366919E-2</v>
      </c>
    </row>
    <row r="60" spans="1:3">
      <c r="A60" s="2">
        <v>60</v>
      </c>
      <c r="B60">
        <f t="shared" si="2"/>
        <v>53.538121212299998</v>
      </c>
      <c r="C60">
        <f t="shared" si="3"/>
        <v>5.7324064317541203E-2</v>
      </c>
    </row>
    <row r="61" spans="1:3">
      <c r="A61" s="2">
        <v>61</v>
      </c>
      <c r="B61">
        <f t="shared" si="2"/>
        <v>54.555818182000003</v>
      </c>
      <c r="C61">
        <f t="shared" si="3"/>
        <v>5.7237706346315323E-2</v>
      </c>
    </row>
    <row r="62" spans="1:3">
      <c r="A62" s="2">
        <v>62</v>
      </c>
      <c r="B62">
        <f t="shared" si="2"/>
        <v>55.573515151700001</v>
      </c>
      <c r="C62">
        <f t="shared" si="3"/>
        <v>5.7151920966708347E-2</v>
      </c>
    </row>
    <row r="63" spans="1:3">
      <c r="A63" s="2">
        <v>63</v>
      </c>
      <c r="B63">
        <f t="shared" si="2"/>
        <v>56.591212121399998</v>
      </c>
      <c r="C63">
        <f t="shared" si="3"/>
        <v>5.7066707792865247E-2</v>
      </c>
    </row>
    <row r="64" spans="1:3">
      <c r="A64" s="2">
        <v>64</v>
      </c>
      <c r="B64">
        <f t="shared" si="2"/>
        <v>57.608909091100003</v>
      </c>
      <c r="C64">
        <f t="shared" si="3"/>
        <v>5.6982066419124483E-2</v>
      </c>
    </row>
    <row r="65" spans="1:3">
      <c r="A65" s="2">
        <v>65</v>
      </c>
      <c r="B65">
        <f t="shared" ref="B65:B96" si="4">-6.506+(A65-1)*1.0176969697</f>
        <v>58.6266060608</v>
      </c>
      <c r="C65">
        <f t="shared" ref="C65:C96" si="5">0.0137394629648174+-0.0000950439480062748*B65+0.0484255886018306*(1.00657894736842+(B65-35.6961842105263)^2/86774.9397868421)^0.5</f>
        <v>5.6897996420089136E-2</v>
      </c>
    </row>
    <row r="66" spans="1:3">
      <c r="A66" s="2">
        <v>66</v>
      </c>
      <c r="B66">
        <f t="shared" si="4"/>
        <v>59.644303030499998</v>
      </c>
      <c r="C66">
        <f t="shared" si="5"/>
        <v>5.6814497350701126E-2</v>
      </c>
    </row>
    <row r="67" spans="1:3">
      <c r="A67" s="2">
        <v>67</v>
      </c>
      <c r="B67">
        <f t="shared" si="4"/>
        <v>60.662000000199995</v>
      </c>
      <c r="C67">
        <f t="shared" si="5"/>
        <v>5.6731568746318947E-2</v>
      </c>
    </row>
    <row r="68" spans="1:3">
      <c r="A68" s="2">
        <v>68</v>
      </c>
      <c r="B68">
        <f t="shared" si="4"/>
        <v>61.679696969900007</v>
      </c>
      <c r="C68">
        <f t="shared" si="5"/>
        <v>5.6649210122798534E-2</v>
      </c>
    </row>
    <row r="69" spans="1:3">
      <c r="A69" s="2">
        <v>69</v>
      </c>
      <c r="B69">
        <f t="shared" si="4"/>
        <v>62.697393939600005</v>
      </c>
      <c r="C69">
        <f t="shared" si="5"/>
        <v>5.6567420976577465E-2</v>
      </c>
    </row>
    <row r="70" spans="1:3">
      <c r="A70" s="2">
        <v>70</v>
      </c>
      <c r="B70">
        <f t="shared" si="4"/>
        <v>63.715090909300002</v>
      </c>
      <c r="C70">
        <f t="shared" si="5"/>
        <v>5.6486200784762346E-2</v>
      </c>
    </row>
    <row r="71" spans="1:3">
      <c r="A71" s="2">
        <v>71</v>
      </c>
      <c r="B71">
        <f t="shared" si="4"/>
        <v>64.732787879</v>
      </c>
      <c r="C71">
        <f t="shared" si="5"/>
        <v>5.6405549005219283E-2</v>
      </c>
    </row>
    <row r="72" spans="1:3">
      <c r="A72" s="2">
        <v>72</v>
      </c>
      <c r="B72">
        <f t="shared" si="4"/>
        <v>65.750484848699998</v>
      </c>
      <c r="C72">
        <f t="shared" si="5"/>
        <v>5.6325465076667622E-2</v>
      </c>
    </row>
    <row r="73" spans="1:3">
      <c r="A73" s="2">
        <v>73</v>
      </c>
      <c r="B73">
        <f t="shared" si="4"/>
        <v>66.768181818399995</v>
      </c>
      <c r="C73">
        <f t="shared" si="5"/>
        <v>5.6245948418776691E-2</v>
      </c>
    </row>
    <row r="74" spans="1:3">
      <c r="A74" s="2">
        <v>74</v>
      </c>
      <c r="B74">
        <f t="shared" si="4"/>
        <v>67.785878788100007</v>
      </c>
      <c r="C74">
        <f t="shared" si="5"/>
        <v>5.6166998432265622E-2</v>
      </c>
    </row>
    <row r="75" spans="1:3">
      <c r="A75" s="2">
        <v>75</v>
      </c>
      <c r="B75">
        <f t="shared" si="4"/>
        <v>68.803575757800004</v>
      </c>
      <c r="C75">
        <f t="shared" si="5"/>
        <v>5.608861449900629E-2</v>
      </c>
    </row>
    <row r="76" spans="1:3">
      <c r="A76" s="2">
        <v>76</v>
      </c>
      <c r="B76">
        <f t="shared" si="4"/>
        <v>69.821272727500002</v>
      </c>
      <c r="C76">
        <f t="shared" si="5"/>
        <v>5.6010795982128977E-2</v>
      </c>
    </row>
    <row r="77" spans="1:3">
      <c r="A77" s="2">
        <v>77</v>
      </c>
      <c r="B77">
        <f t="shared" si="4"/>
        <v>70.8389696972</v>
      </c>
      <c r="C77">
        <f t="shared" si="5"/>
        <v>5.5933542226131332E-2</v>
      </c>
    </row>
    <row r="78" spans="1:3">
      <c r="A78" s="2">
        <v>78</v>
      </c>
      <c r="B78">
        <f t="shared" si="4"/>
        <v>71.856666666899997</v>
      </c>
      <c r="C78">
        <f t="shared" si="5"/>
        <v>5.5856852556989862E-2</v>
      </c>
    </row>
    <row r="79" spans="1:3">
      <c r="A79" s="2">
        <v>79</v>
      </c>
      <c r="B79">
        <f t="shared" si="4"/>
        <v>72.874363636599995</v>
      </c>
      <c r="C79">
        <f t="shared" si="5"/>
        <v>5.5780726282274595E-2</v>
      </c>
    </row>
    <row r="80" spans="1:3">
      <c r="A80" s="2">
        <v>80</v>
      </c>
      <c r="B80">
        <f t="shared" si="4"/>
        <v>73.892060606300006</v>
      </c>
      <c r="C80">
        <f t="shared" si="5"/>
        <v>5.5705162691266297E-2</v>
      </c>
    </row>
    <row r="81" spans="1:3">
      <c r="A81" s="2">
        <v>81</v>
      </c>
      <c r="B81">
        <f t="shared" si="4"/>
        <v>74.909757576000004</v>
      </c>
      <c r="C81">
        <f t="shared" si="5"/>
        <v>5.5630161055076573E-2</v>
      </c>
    </row>
    <row r="82" spans="1:3">
      <c r="A82" s="2">
        <v>82</v>
      </c>
      <c r="B82">
        <f t="shared" si="4"/>
        <v>75.927454545700002</v>
      </c>
      <c r="C82">
        <f t="shared" si="5"/>
        <v>5.5555720626770735E-2</v>
      </c>
    </row>
    <row r="83" spans="1:3">
      <c r="A83" s="2">
        <v>83</v>
      </c>
      <c r="B83">
        <f t="shared" si="4"/>
        <v>76.945151515399999</v>
      </c>
      <c r="C83">
        <f t="shared" si="5"/>
        <v>5.5481840641493189E-2</v>
      </c>
    </row>
    <row r="84" spans="1:3">
      <c r="A84" s="2">
        <v>84</v>
      </c>
      <c r="B84">
        <f t="shared" si="4"/>
        <v>77.962848485099997</v>
      </c>
      <c r="C84">
        <f t="shared" si="5"/>
        <v>5.5408520316595558E-2</v>
      </c>
    </row>
    <row r="85" spans="1:3">
      <c r="A85" s="2">
        <v>85</v>
      </c>
      <c r="B85">
        <f t="shared" si="4"/>
        <v>78.980545454799994</v>
      </c>
      <c r="C85">
        <f t="shared" si="5"/>
        <v>5.5335758851767301E-2</v>
      </c>
    </row>
    <row r="86" spans="1:3">
      <c r="A86" s="2">
        <v>86</v>
      </c>
      <c r="B86">
        <f t="shared" si="4"/>
        <v>79.998242424500006</v>
      </c>
      <c r="C86">
        <f t="shared" si="5"/>
        <v>5.5263555429168949E-2</v>
      </c>
    </row>
    <row r="87" spans="1:3">
      <c r="A87" s="2">
        <v>87</v>
      </c>
      <c r="B87">
        <f t="shared" si="4"/>
        <v>81.015939394200004</v>
      </c>
      <c r="C87">
        <f t="shared" si="5"/>
        <v>5.5191909213567723E-2</v>
      </c>
    </row>
    <row r="88" spans="1:3">
      <c r="A88" s="2">
        <v>88</v>
      </c>
      <c r="B88">
        <f t="shared" si="4"/>
        <v>82.033636363900001</v>
      </c>
      <c r="C88">
        <f t="shared" si="5"/>
        <v>5.5120819352475592E-2</v>
      </c>
    </row>
    <row r="89" spans="1:3">
      <c r="A89" s="2">
        <v>89</v>
      </c>
      <c r="B89">
        <f t="shared" si="4"/>
        <v>83.051333333599999</v>
      </c>
      <c r="C89">
        <f t="shared" si="5"/>
        <v>5.5050284976289748E-2</v>
      </c>
    </row>
    <row r="90" spans="1:3">
      <c r="A90" s="2">
        <v>90</v>
      </c>
      <c r="B90">
        <f t="shared" si="4"/>
        <v>84.069030303299996</v>
      </c>
      <c r="C90">
        <f t="shared" si="5"/>
        <v>5.498030519843531E-2</v>
      </c>
    </row>
    <row r="91" spans="1:3">
      <c r="A91" s="2">
        <v>91</v>
      </c>
      <c r="B91">
        <f t="shared" si="4"/>
        <v>85.086727272999994</v>
      </c>
      <c r="C91">
        <f t="shared" si="5"/>
        <v>5.4910879115510396E-2</v>
      </c>
    </row>
    <row r="92" spans="1:3">
      <c r="A92" s="2">
        <v>92</v>
      </c>
      <c r="B92">
        <f t="shared" si="4"/>
        <v>86.104424242700006</v>
      </c>
      <c r="C92">
        <f t="shared" si="5"/>
        <v>5.4842005807433328E-2</v>
      </c>
    </row>
    <row r="93" spans="1:3">
      <c r="A93" s="2">
        <v>93</v>
      </c>
      <c r="B93">
        <f t="shared" si="4"/>
        <v>87.122121212400003</v>
      </c>
      <c r="C93">
        <f t="shared" si="5"/>
        <v>5.4773684337592027E-2</v>
      </c>
    </row>
    <row r="94" spans="1:3">
      <c r="A94" s="2">
        <v>94</v>
      </c>
      <c r="B94">
        <f t="shared" si="4"/>
        <v>88.139818182100001</v>
      </c>
      <c r="C94">
        <f t="shared" si="5"/>
        <v>5.4705913752995439E-2</v>
      </c>
    </row>
    <row r="95" spans="1:3">
      <c r="A95" s="2">
        <v>95</v>
      </c>
      <c r="B95">
        <f t="shared" si="4"/>
        <v>89.157515151799998</v>
      </c>
      <c r="C95">
        <f t="shared" si="5"/>
        <v>5.463869308442719E-2</v>
      </c>
    </row>
    <row r="96" spans="1:3">
      <c r="A96" s="2">
        <v>96</v>
      </c>
      <c r="B96">
        <f t="shared" si="4"/>
        <v>90.175212121499996</v>
      </c>
      <c r="C96">
        <f t="shared" si="5"/>
        <v>5.4572021346601024E-2</v>
      </c>
    </row>
    <row r="97" spans="1:3">
      <c r="A97" s="2">
        <v>97</v>
      </c>
      <c r="B97">
        <f t="shared" ref="B97:B100" si="6">-6.506+(A97-1)*1.0176969697</f>
        <v>91.192909091199994</v>
      </c>
      <c r="C97">
        <f t="shared" ref="C97:C100" si="7">0.0137394629648174+-0.0000950439480062748*B97+0.0484255886018306*(1.00657894736842+(B97-35.6961842105263)^2/86774.9397868421)^0.5</f>
        <v>5.4505897538318304E-2</v>
      </c>
    </row>
    <row r="98" spans="1:3">
      <c r="A98" s="2">
        <v>98</v>
      </c>
      <c r="B98">
        <f t="shared" si="6"/>
        <v>92.210606060900005</v>
      </c>
      <c r="C98">
        <f t="shared" si="7"/>
        <v>5.4440320642627299E-2</v>
      </c>
    </row>
    <row r="99" spans="1:3">
      <c r="A99" s="2">
        <v>99</v>
      </c>
      <c r="B99">
        <f t="shared" si="6"/>
        <v>93.228303030600003</v>
      </c>
      <c r="C99">
        <f t="shared" si="7"/>
        <v>5.4375289626984437E-2</v>
      </c>
    </row>
    <row r="100" spans="1:3">
      <c r="A100" s="2">
        <v>100</v>
      </c>
      <c r="B100">
        <f t="shared" si="6"/>
        <v>94.2460000003</v>
      </c>
      <c r="C100">
        <f t="shared" si="7"/>
        <v>5.4310803443417204E-2</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enableFormatConditionsCalculation="0"/>
  <dimension ref="A1:C70"/>
  <sheetViews>
    <sheetView workbookViewId="0"/>
  </sheetViews>
  <sheetFormatPr baseColWidth="10" defaultRowHeight="15.75"/>
  <sheetData>
    <row r="1" spans="1:3">
      <c r="A1" s="2">
        <v>1</v>
      </c>
      <c r="B1">
        <f t="shared" ref="B1:B32" si="0">0.0052607444+(A1-1)*0.0001595805</f>
        <v>5.2607443999999996E-3</v>
      </c>
      <c r="C1">
        <f t="shared" ref="C1:C32" si="1">0+1*B1-0.0484255886018306*(1.00657894736842+(B1-0.0103467566886897)^2/0.0900966845022564)^0.5</f>
        <v>-4.3330806210658129E-2</v>
      </c>
    </row>
    <row r="2" spans="1:3">
      <c r="A2" s="2">
        <v>2</v>
      </c>
      <c r="B2">
        <f t="shared" si="0"/>
        <v>5.4203248999999997E-3</v>
      </c>
      <c r="C2">
        <f t="shared" si="1"/>
        <v>-4.3170797781292125E-2</v>
      </c>
    </row>
    <row r="3" spans="1:3">
      <c r="A3" s="2">
        <v>3</v>
      </c>
      <c r="B3">
        <f t="shared" si="0"/>
        <v>5.5799053999999997E-3</v>
      </c>
      <c r="C3">
        <f t="shared" si="1"/>
        <v>-4.3010802989197357E-2</v>
      </c>
    </row>
    <row r="4" spans="1:3">
      <c r="A4" s="2">
        <v>4</v>
      </c>
      <c r="B4">
        <f t="shared" si="0"/>
        <v>5.7394858999999998E-3</v>
      </c>
      <c r="C4">
        <f t="shared" si="1"/>
        <v>-4.2850821834722649E-2</v>
      </c>
    </row>
    <row r="5" spans="1:3">
      <c r="A5" s="2">
        <v>5</v>
      </c>
      <c r="B5">
        <f t="shared" si="0"/>
        <v>5.8990663999999998E-3</v>
      </c>
      <c r="C5">
        <f t="shared" si="1"/>
        <v>-4.2690854318205358E-2</v>
      </c>
    </row>
    <row r="6" spans="1:3">
      <c r="A6" s="2">
        <v>6</v>
      </c>
      <c r="B6">
        <f t="shared" si="0"/>
        <v>6.0586468999999999E-3</v>
      </c>
      <c r="C6">
        <f t="shared" si="1"/>
        <v>-4.2530900439971348E-2</v>
      </c>
    </row>
    <row r="7" spans="1:3">
      <c r="A7" s="2">
        <v>7</v>
      </c>
      <c r="B7">
        <f t="shared" si="0"/>
        <v>6.2182273999999999E-3</v>
      </c>
      <c r="C7">
        <f t="shared" si="1"/>
        <v>-4.2370960200335032E-2</v>
      </c>
    </row>
    <row r="8" spans="1:3">
      <c r="A8" s="2">
        <v>8</v>
      </c>
      <c r="B8">
        <f t="shared" si="0"/>
        <v>6.3778078999999991E-3</v>
      </c>
      <c r="C8">
        <f t="shared" si="1"/>
        <v>-4.2211033599599351E-2</v>
      </c>
    </row>
    <row r="9" spans="1:3">
      <c r="A9" s="2">
        <v>9</v>
      </c>
      <c r="B9">
        <f t="shared" si="0"/>
        <v>6.5373884E-3</v>
      </c>
      <c r="C9">
        <f t="shared" si="1"/>
        <v>-4.2051120638055745E-2</v>
      </c>
    </row>
    <row r="10" spans="1:3">
      <c r="A10" s="2">
        <v>10</v>
      </c>
      <c r="B10">
        <f t="shared" si="0"/>
        <v>6.6969688999999992E-3</v>
      </c>
      <c r="C10">
        <f t="shared" si="1"/>
        <v>-4.189122131598419E-2</v>
      </c>
    </row>
    <row r="11" spans="1:3">
      <c r="A11" s="2">
        <v>11</v>
      </c>
      <c r="B11">
        <f t="shared" si="0"/>
        <v>6.8565494000000001E-3</v>
      </c>
      <c r="C11">
        <f t="shared" si="1"/>
        <v>-4.1731335633653187E-2</v>
      </c>
    </row>
    <row r="12" spans="1:3">
      <c r="A12" s="2">
        <v>12</v>
      </c>
      <c r="B12">
        <f t="shared" si="0"/>
        <v>7.0161298999999993E-3</v>
      </c>
      <c r="C12">
        <f t="shared" si="1"/>
        <v>-4.1571463591319753E-2</v>
      </c>
    </row>
    <row r="13" spans="1:3">
      <c r="A13" s="2">
        <v>13</v>
      </c>
      <c r="B13">
        <f t="shared" si="0"/>
        <v>7.1757103999999993E-3</v>
      </c>
      <c r="C13">
        <f t="shared" si="1"/>
        <v>-4.1411605189229414E-2</v>
      </c>
    </row>
    <row r="14" spans="1:3">
      <c r="A14" s="2">
        <v>14</v>
      </c>
      <c r="B14">
        <f t="shared" si="0"/>
        <v>7.3352908999999994E-3</v>
      </c>
      <c r="C14">
        <f t="shared" si="1"/>
        <v>-4.1251760427616246E-2</v>
      </c>
    </row>
    <row r="15" spans="1:3">
      <c r="A15" s="2">
        <v>15</v>
      </c>
      <c r="B15">
        <f t="shared" si="0"/>
        <v>7.4948713999999994E-3</v>
      </c>
      <c r="C15">
        <f t="shared" si="1"/>
        <v>-4.1091929306702801E-2</v>
      </c>
    </row>
    <row r="16" spans="1:3">
      <c r="A16" s="2">
        <v>16</v>
      </c>
      <c r="B16">
        <f t="shared" si="0"/>
        <v>7.6544518999999995E-3</v>
      </c>
      <c r="C16">
        <f t="shared" si="1"/>
        <v>-4.0932111826700167E-2</v>
      </c>
    </row>
    <row r="17" spans="1:3">
      <c r="A17" s="2">
        <v>17</v>
      </c>
      <c r="B17">
        <f t="shared" si="0"/>
        <v>7.8140324000000004E-3</v>
      </c>
      <c r="C17">
        <f t="shared" si="1"/>
        <v>-4.077230798780794E-2</v>
      </c>
    </row>
    <row r="18" spans="1:3">
      <c r="A18" s="2">
        <v>18</v>
      </c>
      <c r="B18">
        <f t="shared" si="0"/>
        <v>7.9736128999999996E-3</v>
      </c>
      <c r="C18">
        <f t="shared" si="1"/>
        <v>-4.0612517790214256E-2</v>
      </c>
    </row>
    <row r="19" spans="1:3">
      <c r="A19" s="2">
        <v>19</v>
      </c>
      <c r="B19">
        <f t="shared" si="0"/>
        <v>8.1331933999999988E-3</v>
      </c>
      <c r="C19">
        <f t="shared" si="1"/>
        <v>-4.0452741234095715E-2</v>
      </c>
    </row>
    <row r="20" spans="1:3">
      <c r="A20" s="2">
        <v>20</v>
      </c>
      <c r="B20">
        <f t="shared" si="0"/>
        <v>8.2927738999999997E-3</v>
      </c>
      <c r="C20">
        <f t="shared" si="1"/>
        <v>-4.0292978319617478E-2</v>
      </c>
    </row>
    <row r="21" spans="1:3">
      <c r="A21" s="2">
        <v>21</v>
      </c>
      <c r="B21">
        <f t="shared" si="0"/>
        <v>8.4523544000000006E-3</v>
      </c>
      <c r="C21">
        <f t="shared" si="1"/>
        <v>-4.0133229046933186E-2</v>
      </c>
    </row>
    <row r="22" spans="1:3">
      <c r="A22" s="2">
        <v>22</v>
      </c>
      <c r="B22">
        <f t="shared" si="0"/>
        <v>8.6119348999999998E-3</v>
      </c>
      <c r="C22">
        <f t="shared" si="1"/>
        <v>-3.9973493416185016E-2</v>
      </c>
    </row>
    <row r="23" spans="1:3">
      <c r="A23" s="2">
        <v>23</v>
      </c>
      <c r="B23">
        <f t="shared" si="0"/>
        <v>8.771515399999999E-3</v>
      </c>
      <c r="C23">
        <f t="shared" si="1"/>
        <v>-3.9813771427503634E-2</v>
      </c>
    </row>
    <row r="24" spans="1:3">
      <c r="A24" s="2">
        <v>24</v>
      </c>
      <c r="B24">
        <f t="shared" si="0"/>
        <v>8.9310958999999999E-3</v>
      </c>
      <c r="C24">
        <f t="shared" si="1"/>
        <v>-3.9654063081008224E-2</v>
      </c>
    </row>
    <row r="25" spans="1:3">
      <c r="A25" s="2">
        <v>25</v>
      </c>
      <c r="B25">
        <f t="shared" si="0"/>
        <v>9.0906763999999991E-3</v>
      </c>
      <c r="C25">
        <f t="shared" si="1"/>
        <v>-3.9494368376806463E-2</v>
      </c>
    </row>
    <row r="26" spans="1:3">
      <c r="A26" s="2">
        <v>26</v>
      </c>
      <c r="B26">
        <f t="shared" si="0"/>
        <v>9.2502569E-3</v>
      </c>
      <c r="C26">
        <f t="shared" si="1"/>
        <v>-3.9334687314994593E-2</v>
      </c>
    </row>
    <row r="27" spans="1:3">
      <c r="A27" s="2">
        <v>27</v>
      </c>
      <c r="B27">
        <f t="shared" si="0"/>
        <v>9.4098373999999992E-3</v>
      </c>
      <c r="C27">
        <f t="shared" si="1"/>
        <v>-3.917501989565729E-2</v>
      </c>
    </row>
    <row r="28" spans="1:3">
      <c r="A28" s="2">
        <v>28</v>
      </c>
      <c r="B28">
        <f t="shared" si="0"/>
        <v>9.5694178999999983E-3</v>
      </c>
      <c r="C28">
        <f t="shared" si="1"/>
        <v>-3.9015366118867786E-2</v>
      </c>
    </row>
    <row r="29" spans="1:3">
      <c r="A29" s="2">
        <v>29</v>
      </c>
      <c r="B29">
        <f t="shared" si="0"/>
        <v>9.7289983999999993E-3</v>
      </c>
      <c r="C29">
        <f t="shared" si="1"/>
        <v>-3.8855725984687825E-2</v>
      </c>
    </row>
    <row r="30" spans="1:3">
      <c r="A30" s="2">
        <v>30</v>
      </c>
      <c r="B30">
        <f t="shared" si="0"/>
        <v>9.8885789000000002E-3</v>
      </c>
      <c r="C30">
        <f t="shared" si="1"/>
        <v>-3.8696099493167629E-2</v>
      </c>
    </row>
    <row r="31" spans="1:3">
      <c r="A31" s="2">
        <v>31</v>
      </c>
      <c r="B31">
        <f t="shared" si="0"/>
        <v>1.0048159399999999E-2</v>
      </c>
      <c r="C31">
        <f t="shared" si="1"/>
        <v>-3.8536486644345933E-2</v>
      </c>
    </row>
    <row r="32" spans="1:3">
      <c r="A32" s="2">
        <v>32</v>
      </c>
      <c r="B32">
        <f t="shared" si="0"/>
        <v>1.0207739899999999E-2</v>
      </c>
      <c r="C32">
        <f t="shared" si="1"/>
        <v>-3.8376887438249997E-2</v>
      </c>
    </row>
    <row r="33" spans="1:3">
      <c r="A33" s="2">
        <v>33</v>
      </c>
      <c r="B33">
        <f t="shared" ref="B33:B64" si="2">0.0052607444+(A33-1)*0.0001595805</f>
        <v>1.0367320399999999E-2</v>
      </c>
      <c r="C33">
        <f t="shared" ref="C33:C64" si="3">0+1*B33-0.0484255886018306*(1.00657894736842+(B33-0.0103467566886897)^2/0.0900966845022564)^0.5</f>
        <v>-3.8217301874895582E-2</v>
      </c>
    </row>
    <row r="34" spans="1:3">
      <c r="A34" s="2">
        <v>34</v>
      </c>
      <c r="B34">
        <f t="shared" si="2"/>
        <v>1.05269009E-2</v>
      </c>
      <c r="C34">
        <f t="shared" si="3"/>
        <v>-3.8057729954286953E-2</v>
      </c>
    </row>
    <row r="35" spans="1:3">
      <c r="A35" s="2">
        <v>35</v>
      </c>
      <c r="B35">
        <f t="shared" si="2"/>
        <v>1.06864814E-2</v>
      </c>
      <c r="C35">
        <f t="shared" si="3"/>
        <v>-3.7898171676416861E-2</v>
      </c>
    </row>
    <row r="36" spans="1:3">
      <c r="A36" s="2">
        <v>36</v>
      </c>
      <c r="B36">
        <f t="shared" si="2"/>
        <v>1.0846061899999999E-2</v>
      </c>
      <c r="C36">
        <f t="shared" si="3"/>
        <v>-3.7738627041266626E-2</v>
      </c>
    </row>
    <row r="37" spans="1:3">
      <c r="A37" s="2">
        <v>37</v>
      </c>
      <c r="B37">
        <f t="shared" si="2"/>
        <v>1.10056424E-2</v>
      </c>
      <c r="C37">
        <f t="shared" si="3"/>
        <v>-3.7579096048806007E-2</v>
      </c>
    </row>
    <row r="38" spans="1:3">
      <c r="A38" s="2">
        <v>38</v>
      </c>
      <c r="B38">
        <f t="shared" si="2"/>
        <v>1.1165222900000001E-2</v>
      </c>
      <c r="C38">
        <f t="shared" si="3"/>
        <v>-3.7419578698993317E-2</v>
      </c>
    </row>
    <row r="39" spans="1:3">
      <c r="A39" s="2">
        <v>39</v>
      </c>
      <c r="B39">
        <f t="shared" si="2"/>
        <v>1.13248034E-2</v>
      </c>
      <c r="C39">
        <f t="shared" si="3"/>
        <v>-3.7260074991775333E-2</v>
      </c>
    </row>
    <row r="40" spans="1:3">
      <c r="A40" s="2">
        <v>40</v>
      </c>
      <c r="B40">
        <f t="shared" si="2"/>
        <v>1.1484383899999999E-2</v>
      </c>
      <c r="C40">
        <f t="shared" si="3"/>
        <v>-3.7100584927087378E-2</v>
      </c>
    </row>
    <row r="41" spans="1:3">
      <c r="A41" s="2">
        <v>41</v>
      </c>
      <c r="B41">
        <f t="shared" si="2"/>
        <v>1.16439644E-2</v>
      </c>
      <c r="C41">
        <f t="shared" si="3"/>
        <v>-3.6941108504853284E-2</v>
      </c>
    </row>
    <row r="42" spans="1:3">
      <c r="A42" s="2">
        <v>42</v>
      </c>
      <c r="B42">
        <f t="shared" si="2"/>
        <v>1.1803544899999999E-2</v>
      </c>
      <c r="C42">
        <f t="shared" si="3"/>
        <v>-3.6781645724985351E-2</v>
      </c>
    </row>
    <row r="43" spans="1:3">
      <c r="A43" s="2">
        <v>43</v>
      </c>
      <c r="B43">
        <f t="shared" si="2"/>
        <v>1.19631254E-2</v>
      </c>
      <c r="C43">
        <f t="shared" si="3"/>
        <v>-3.6622196587384429E-2</v>
      </c>
    </row>
    <row r="44" spans="1:3">
      <c r="A44" s="2">
        <v>44</v>
      </c>
      <c r="B44">
        <f t="shared" si="2"/>
        <v>1.2122705899999999E-2</v>
      </c>
      <c r="C44">
        <f t="shared" si="3"/>
        <v>-3.6462761091939869E-2</v>
      </c>
    </row>
    <row r="45" spans="1:3">
      <c r="A45" s="2">
        <v>45</v>
      </c>
      <c r="B45">
        <f t="shared" si="2"/>
        <v>1.2282286399999998E-2</v>
      </c>
      <c r="C45">
        <f t="shared" si="3"/>
        <v>-3.6303339238529533E-2</v>
      </c>
    </row>
    <row r="46" spans="1:3">
      <c r="A46" s="2">
        <v>46</v>
      </c>
      <c r="B46">
        <f t="shared" si="2"/>
        <v>1.2441866899999999E-2</v>
      </c>
      <c r="C46">
        <f t="shared" si="3"/>
        <v>-3.6143931027019738E-2</v>
      </c>
    </row>
    <row r="47" spans="1:3">
      <c r="A47" s="2">
        <v>47</v>
      </c>
      <c r="B47">
        <f t="shared" si="2"/>
        <v>1.26014474E-2</v>
      </c>
      <c r="C47">
        <f t="shared" si="3"/>
        <v>-3.5984536457265417E-2</v>
      </c>
    </row>
    <row r="48" spans="1:3">
      <c r="A48" s="2">
        <v>48</v>
      </c>
      <c r="B48">
        <f t="shared" si="2"/>
        <v>1.2761027899999999E-2</v>
      </c>
      <c r="C48">
        <f t="shared" si="3"/>
        <v>-3.5825155529109913E-2</v>
      </c>
    </row>
    <row r="49" spans="1:3">
      <c r="A49" s="2">
        <v>49</v>
      </c>
      <c r="B49">
        <f t="shared" si="2"/>
        <v>1.2920608399999998E-2</v>
      </c>
      <c r="C49">
        <f t="shared" si="3"/>
        <v>-3.5665788242385157E-2</v>
      </c>
    </row>
    <row r="50" spans="1:3">
      <c r="A50" s="2">
        <v>50</v>
      </c>
      <c r="B50">
        <f t="shared" si="2"/>
        <v>1.3080188899999999E-2</v>
      </c>
      <c r="C50">
        <f t="shared" si="3"/>
        <v>-3.5506434596911537E-2</v>
      </c>
    </row>
    <row r="51" spans="1:3">
      <c r="A51" s="2">
        <v>51</v>
      </c>
      <c r="B51">
        <f t="shared" si="2"/>
        <v>1.3239769399999999E-2</v>
      </c>
      <c r="C51">
        <f t="shared" si="3"/>
        <v>-3.5347094592498005E-2</v>
      </c>
    </row>
    <row r="52" spans="1:3">
      <c r="A52" s="2">
        <v>52</v>
      </c>
      <c r="B52">
        <f t="shared" si="2"/>
        <v>1.33993499E-2</v>
      </c>
      <c r="C52">
        <f t="shared" si="3"/>
        <v>-3.5187768228941971E-2</v>
      </c>
    </row>
    <row r="53" spans="1:3">
      <c r="A53" s="2">
        <v>53</v>
      </c>
      <c r="B53">
        <f t="shared" si="2"/>
        <v>1.3558930399999999E-2</v>
      </c>
      <c r="C53">
        <f t="shared" si="3"/>
        <v>-3.5028455506029385E-2</v>
      </c>
    </row>
    <row r="54" spans="1:3">
      <c r="A54" s="2">
        <v>54</v>
      </c>
      <c r="B54">
        <f t="shared" si="2"/>
        <v>1.37185109E-2</v>
      </c>
      <c r="C54">
        <f t="shared" si="3"/>
        <v>-3.4869156423534761E-2</v>
      </c>
    </row>
    <row r="55" spans="1:3">
      <c r="A55" s="2">
        <v>55</v>
      </c>
      <c r="B55">
        <f t="shared" si="2"/>
        <v>1.3878091399999999E-2</v>
      </c>
      <c r="C55">
        <f t="shared" si="3"/>
        <v>-3.4709870981221039E-2</v>
      </c>
    </row>
    <row r="56" spans="1:3">
      <c r="A56" s="2">
        <v>56</v>
      </c>
      <c r="B56">
        <f t="shared" si="2"/>
        <v>1.40376719E-2</v>
      </c>
      <c r="C56">
        <f t="shared" si="3"/>
        <v>-3.4550599178839764E-2</v>
      </c>
    </row>
    <row r="57" spans="1:3">
      <c r="A57" s="2">
        <v>57</v>
      </c>
      <c r="B57">
        <f t="shared" si="2"/>
        <v>1.4197252399999999E-2</v>
      </c>
      <c r="C57">
        <f t="shared" si="3"/>
        <v>-3.4391341016130929E-2</v>
      </c>
    </row>
    <row r="58" spans="1:3">
      <c r="A58" s="2">
        <v>58</v>
      </c>
      <c r="B58">
        <f t="shared" si="2"/>
        <v>1.43568329E-2</v>
      </c>
      <c r="C58">
        <f t="shared" si="3"/>
        <v>-3.4232096492823084E-2</v>
      </c>
    </row>
    <row r="59" spans="1:3">
      <c r="A59" s="2">
        <v>59</v>
      </c>
      <c r="B59">
        <f t="shared" si="2"/>
        <v>1.4516413399999999E-2</v>
      </c>
      <c r="C59">
        <f t="shared" si="3"/>
        <v>-3.4072865608633318E-2</v>
      </c>
    </row>
    <row r="60" spans="1:3">
      <c r="A60" s="2">
        <v>60</v>
      </c>
      <c r="B60">
        <f t="shared" si="2"/>
        <v>1.46759939E-2</v>
      </c>
      <c r="C60">
        <f t="shared" si="3"/>
        <v>-3.3913648363267185E-2</v>
      </c>
    </row>
    <row r="61" spans="1:3">
      <c r="A61" s="2">
        <v>61</v>
      </c>
      <c r="B61">
        <f t="shared" si="2"/>
        <v>1.4835574399999999E-2</v>
      </c>
      <c r="C61">
        <f t="shared" si="3"/>
        <v>-3.3754444756418825E-2</v>
      </c>
    </row>
    <row r="62" spans="1:3">
      <c r="A62" s="2">
        <v>62</v>
      </c>
      <c r="B62">
        <f t="shared" si="2"/>
        <v>1.49951549E-2</v>
      </c>
      <c r="C62">
        <f t="shared" si="3"/>
        <v>-3.3595254787770867E-2</v>
      </c>
    </row>
    <row r="63" spans="1:3">
      <c r="A63" s="2">
        <v>63</v>
      </c>
      <c r="B63">
        <f t="shared" si="2"/>
        <v>1.5154735399999999E-2</v>
      </c>
      <c r="C63">
        <f t="shared" si="3"/>
        <v>-3.3436078456994471E-2</v>
      </c>
    </row>
    <row r="64" spans="1:3">
      <c r="A64" s="2">
        <v>64</v>
      </c>
      <c r="B64">
        <f t="shared" si="2"/>
        <v>1.53143159E-2</v>
      </c>
      <c r="C64">
        <f t="shared" si="3"/>
        <v>-3.3276915763749332E-2</v>
      </c>
    </row>
    <row r="65" spans="1:3">
      <c r="A65" s="2">
        <v>65</v>
      </c>
      <c r="B65">
        <f t="shared" ref="B65:B70" si="4">0.0052607444+(A65-1)*0.0001595805</f>
        <v>1.5473896399999999E-2</v>
      </c>
      <c r="C65">
        <f t="shared" ref="C65:C70" si="5">0+1*B65-0.0484255886018306*(1.00657894736842+(B65-0.0103467566886897)^2/0.0900966845022564)^0.5</f>
        <v>-3.3117766707683662E-2</v>
      </c>
    </row>
    <row r="66" spans="1:3">
      <c r="A66" s="2">
        <v>66</v>
      </c>
      <c r="B66">
        <f t="shared" si="4"/>
        <v>1.5633476899999998E-2</v>
      </c>
      <c r="C66">
        <f t="shared" si="5"/>
        <v>-3.295863128843423E-2</v>
      </c>
    </row>
    <row r="67" spans="1:3">
      <c r="A67" s="2">
        <v>67</v>
      </c>
      <c r="B67">
        <f t="shared" si="4"/>
        <v>1.5793057399999998E-2</v>
      </c>
      <c r="C67">
        <f t="shared" si="5"/>
        <v>-3.2799509505626295E-2</v>
      </c>
    </row>
    <row r="68" spans="1:3">
      <c r="A68" s="2">
        <v>68</v>
      </c>
      <c r="B68">
        <f t="shared" si="4"/>
        <v>1.5952637899999997E-2</v>
      </c>
      <c r="C68">
        <f t="shared" si="5"/>
        <v>-3.2640401358873694E-2</v>
      </c>
    </row>
    <row r="69" spans="1:3">
      <c r="A69" s="2">
        <v>69</v>
      </c>
      <c r="B69">
        <f t="shared" si="4"/>
        <v>1.6112218399999999E-2</v>
      </c>
      <c r="C69">
        <f t="shared" si="5"/>
        <v>-3.2481306847778765E-2</v>
      </c>
    </row>
    <row r="70" spans="1:3">
      <c r="A70" s="2">
        <v>70</v>
      </c>
      <c r="B70">
        <f t="shared" si="4"/>
        <v>1.6271798899999999E-2</v>
      </c>
      <c r="C70">
        <f t="shared" si="5"/>
        <v>-3.232222597193242E-2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enableFormatConditionsCalculation="0"/>
  <dimension ref="A1:C70"/>
  <sheetViews>
    <sheetView workbookViewId="0"/>
  </sheetViews>
  <sheetFormatPr baseColWidth="10" defaultRowHeight="15.75"/>
  <sheetData>
    <row r="1" spans="1:3">
      <c r="A1" s="2">
        <v>1</v>
      </c>
      <c r="B1">
        <f t="shared" ref="B1:B32" si="0">24.3675591786+(A1-1)*0.4205041102</f>
        <v>24.367559178600001</v>
      </c>
      <c r="C1">
        <f t="shared" ref="C1:C32" si="1">0+1*B1+78.837779537689*(1.00625+(B1-36.06875)^2/251739.382713266)^0.5</f>
        <v>103.47269288810358</v>
      </c>
    </row>
    <row r="2" spans="1:3">
      <c r="A2" s="2">
        <v>2</v>
      </c>
      <c r="B2">
        <f t="shared" si="0"/>
        <v>24.7880632888</v>
      </c>
      <c r="C2">
        <f t="shared" si="1"/>
        <v>103.89168885423165</v>
      </c>
    </row>
    <row r="3" spans="1:3">
      <c r="A3" s="2">
        <v>3</v>
      </c>
      <c r="B3">
        <f t="shared" si="0"/>
        <v>25.208567399</v>
      </c>
      <c r="C3">
        <f t="shared" si="1"/>
        <v>104.31073998280553</v>
      </c>
    </row>
    <row r="4" spans="1:3">
      <c r="A4" s="2">
        <v>4</v>
      </c>
      <c r="B4">
        <f t="shared" si="0"/>
        <v>25.629071509199999</v>
      </c>
      <c r="C4">
        <f t="shared" si="1"/>
        <v>104.72984627686498</v>
      </c>
    </row>
    <row r="5" spans="1:3">
      <c r="A5" s="2">
        <v>5</v>
      </c>
      <c r="B5">
        <f t="shared" si="0"/>
        <v>26.049575619400002</v>
      </c>
      <c r="C5">
        <f t="shared" si="1"/>
        <v>105.14900773933462</v>
      </c>
    </row>
    <row r="6" spans="1:3">
      <c r="A6" s="2">
        <v>6</v>
      </c>
      <c r="B6">
        <f t="shared" si="0"/>
        <v>26.470079729600002</v>
      </c>
      <c r="C6">
        <f t="shared" si="1"/>
        <v>105.5682243730238</v>
      </c>
    </row>
    <row r="7" spans="1:3">
      <c r="A7" s="2">
        <v>7</v>
      </c>
      <c r="B7">
        <f t="shared" si="0"/>
        <v>26.890583839800001</v>
      </c>
      <c r="C7">
        <f t="shared" si="1"/>
        <v>105.98749618062662</v>
      </c>
    </row>
    <row r="8" spans="1:3">
      <c r="A8" s="2">
        <v>8</v>
      </c>
      <c r="B8">
        <f t="shared" si="0"/>
        <v>27.311087950000001</v>
      </c>
      <c r="C8">
        <f t="shared" si="1"/>
        <v>106.4068231647219</v>
      </c>
    </row>
    <row r="9" spans="1:3">
      <c r="A9" s="2">
        <v>9</v>
      </c>
      <c r="B9">
        <f t="shared" si="0"/>
        <v>27.731592060200001</v>
      </c>
      <c r="C9">
        <f t="shared" si="1"/>
        <v>106.82620532777312</v>
      </c>
    </row>
    <row r="10" spans="1:3">
      <c r="A10" s="2">
        <v>10</v>
      </c>
      <c r="B10">
        <f t="shared" si="0"/>
        <v>28.1520961704</v>
      </c>
      <c r="C10">
        <f t="shared" si="1"/>
        <v>107.24564267212844</v>
      </c>
    </row>
    <row r="11" spans="1:3">
      <c r="A11" s="2">
        <v>11</v>
      </c>
      <c r="B11">
        <f t="shared" si="0"/>
        <v>28.5726002806</v>
      </c>
      <c r="C11">
        <f t="shared" si="1"/>
        <v>107.66513520002063</v>
      </c>
    </row>
    <row r="12" spans="1:3">
      <c r="A12" s="2">
        <v>12</v>
      </c>
      <c r="B12">
        <f t="shared" si="0"/>
        <v>28.993104390799999</v>
      </c>
      <c r="C12">
        <f t="shared" si="1"/>
        <v>108.08468291356711</v>
      </c>
    </row>
    <row r="13" spans="1:3">
      <c r="A13" s="2">
        <v>13</v>
      </c>
      <c r="B13">
        <f t="shared" si="0"/>
        <v>29.413608500999999</v>
      </c>
      <c r="C13">
        <f t="shared" si="1"/>
        <v>108.50428581476983</v>
      </c>
    </row>
    <row r="14" spans="1:3">
      <c r="A14" s="2">
        <v>14</v>
      </c>
      <c r="B14">
        <f t="shared" si="0"/>
        <v>29.834112611199998</v>
      </c>
      <c r="C14">
        <f t="shared" si="1"/>
        <v>108.92394390551537</v>
      </c>
    </row>
    <row r="15" spans="1:3">
      <c r="A15" s="2">
        <v>15</v>
      </c>
      <c r="B15">
        <f t="shared" si="0"/>
        <v>30.254616721400001</v>
      </c>
      <c r="C15">
        <f t="shared" si="1"/>
        <v>109.34365718757482</v>
      </c>
    </row>
    <row r="16" spans="1:3">
      <c r="A16" s="2">
        <v>16</v>
      </c>
      <c r="B16">
        <f t="shared" si="0"/>
        <v>30.675120831600001</v>
      </c>
      <c r="C16">
        <f t="shared" si="1"/>
        <v>109.76342566260378</v>
      </c>
    </row>
    <row r="17" spans="1:3">
      <c r="A17" s="2">
        <v>17</v>
      </c>
      <c r="B17">
        <f t="shared" si="0"/>
        <v>31.095624941800001</v>
      </c>
      <c r="C17">
        <f t="shared" si="1"/>
        <v>110.18324933214241</v>
      </c>
    </row>
    <row r="18" spans="1:3">
      <c r="A18" s="2">
        <v>18</v>
      </c>
      <c r="B18">
        <f t="shared" si="0"/>
        <v>31.516129052</v>
      </c>
      <c r="C18">
        <f t="shared" si="1"/>
        <v>110.60312819761533</v>
      </c>
    </row>
    <row r="19" spans="1:3">
      <c r="A19" s="2">
        <v>19</v>
      </c>
      <c r="B19">
        <f t="shared" si="0"/>
        <v>31.9366331622</v>
      </c>
      <c r="C19">
        <f t="shared" si="1"/>
        <v>111.02306226033166</v>
      </c>
    </row>
    <row r="20" spans="1:3">
      <c r="A20" s="2">
        <v>20</v>
      </c>
      <c r="B20">
        <f t="shared" si="0"/>
        <v>32.357137272400003</v>
      </c>
      <c r="C20">
        <f t="shared" si="1"/>
        <v>111.44305152148496</v>
      </c>
    </row>
    <row r="21" spans="1:3">
      <c r="A21" s="2">
        <v>21</v>
      </c>
      <c r="B21">
        <f t="shared" si="0"/>
        <v>32.777641382600002</v>
      </c>
      <c r="C21">
        <f t="shared" si="1"/>
        <v>111.86309598215328</v>
      </c>
    </row>
    <row r="22" spans="1:3">
      <c r="A22" s="2">
        <v>22</v>
      </c>
      <c r="B22">
        <f t="shared" si="0"/>
        <v>33.198145492800002</v>
      </c>
      <c r="C22">
        <f t="shared" si="1"/>
        <v>112.28319564329911</v>
      </c>
    </row>
    <row r="23" spans="1:3">
      <c r="A23" s="2">
        <v>23</v>
      </c>
      <c r="B23">
        <f t="shared" si="0"/>
        <v>33.618649603000001</v>
      </c>
      <c r="C23">
        <f t="shared" si="1"/>
        <v>112.70335050576929</v>
      </c>
    </row>
    <row r="24" spans="1:3">
      <c r="A24" s="2">
        <v>24</v>
      </c>
      <c r="B24">
        <f t="shared" si="0"/>
        <v>34.039153713200001</v>
      </c>
      <c r="C24">
        <f t="shared" si="1"/>
        <v>113.12356057029521</v>
      </c>
    </row>
    <row r="25" spans="1:3">
      <c r="A25" s="2">
        <v>25</v>
      </c>
      <c r="B25">
        <f t="shared" si="0"/>
        <v>34.459657823400001</v>
      </c>
      <c r="C25">
        <f t="shared" si="1"/>
        <v>113.54382583749259</v>
      </c>
    </row>
    <row r="26" spans="1:3">
      <c r="A26" s="2">
        <v>26</v>
      </c>
      <c r="B26">
        <f t="shared" si="0"/>
        <v>34.8801619336</v>
      </c>
      <c r="C26">
        <f t="shared" si="1"/>
        <v>113.9641463078616</v>
      </c>
    </row>
    <row r="27" spans="1:3">
      <c r="A27" s="2">
        <v>27</v>
      </c>
      <c r="B27">
        <f t="shared" si="0"/>
        <v>35.3006660438</v>
      </c>
      <c r="C27">
        <f t="shared" si="1"/>
        <v>114.3845219817868</v>
      </c>
    </row>
    <row r="28" spans="1:3">
      <c r="A28" s="2">
        <v>28</v>
      </c>
      <c r="B28">
        <f t="shared" si="0"/>
        <v>35.721170153999999</v>
      </c>
      <c r="C28">
        <f t="shared" si="1"/>
        <v>114.80495285953714</v>
      </c>
    </row>
    <row r="29" spans="1:3">
      <c r="A29" s="2">
        <v>29</v>
      </c>
      <c r="B29">
        <f t="shared" si="0"/>
        <v>36.141674264199999</v>
      </c>
      <c r="C29">
        <f t="shared" si="1"/>
        <v>115.22543894126599</v>
      </c>
    </row>
    <row r="30" spans="1:3">
      <c r="A30" s="2">
        <v>30</v>
      </c>
      <c r="B30">
        <f t="shared" si="0"/>
        <v>36.562178374399998</v>
      </c>
      <c r="C30">
        <f t="shared" si="1"/>
        <v>115.64598022701111</v>
      </c>
    </row>
    <row r="31" spans="1:3">
      <c r="A31" s="2">
        <v>31</v>
      </c>
      <c r="B31">
        <f t="shared" si="0"/>
        <v>36.982682484600005</v>
      </c>
      <c r="C31">
        <f t="shared" si="1"/>
        <v>116.06657671669464</v>
      </c>
    </row>
    <row r="32" spans="1:3">
      <c r="A32" s="2">
        <v>32</v>
      </c>
      <c r="B32">
        <f t="shared" si="0"/>
        <v>37.403186594800005</v>
      </c>
      <c r="C32">
        <f t="shared" si="1"/>
        <v>116.48722841012311</v>
      </c>
    </row>
    <row r="33" spans="1:3">
      <c r="A33" s="2">
        <v>33</v>
      </c>
      <c r="B33">
        <f t="shared" ref="B33:B64" si="2">24.3675591786+(A33-1)*0.4205041102</f>
        <v>37.823690705000004</v>
      </c>
      <c r="C33">
        <f t="shared" ref="C33:C64" si="3">0+1*B33+78.837779537689*(1.00625+(B33-36.06875)^2/251739.382713266)^0.5</f>
        <v>116.90793530698747</v>
      </c>
    </row>
    <row r="34" spans="1:3">
      <c r="A34" s="2">
        <v>34</v>
      </c>
      <c r="B34">
        <f t="shared" si="2"/>
        <v>38.244194815200004</v>
      </c>
      <c r="C34">
        <f t="shared" si="3"/>
        <v>117.32869740686307</v>
      </c>
    </row>
    <row r="35" spans="1:3">
      <c r="A35" s="2">
        <v>35</v>
      </c>
      <c r="B35">
        <f t="shared" si="2"/>
        <v>38.664698925400003</v>
      </c>
      <c r="C35">
        <f t="shared" si="3"/>
        <v>117.74951470920966</v>
      </c>
    </row>
    <row r="36" spans="1:3">
      <c r="A36" s="2">
        <v>36</v>
      </c>
      <c r="B36">
        <f t="shared" si="2"/>
        <v>39.085203035600003</v>
      </c>
      <c r="C36">
        <f t="shared" si="3"/>
        <v>118.17038721337143</v>
      </c>
    </row>
    <row r="37" spans="1:3">
      <c r="A37" s="2">
        <v>37</v>
      </c>
      <c r="B37">
        <f t="shared" si="2"/>
        <v>39.505707145800002</v>
      </c>
      <c r="C37">
        <f t="shared" si="3"/>
        <v>118.59131491857694</v>
      </c>
    </row>
    <row r="38" spans="1:3">
      <c r="A38" s="2">
        <v>38</v>
      </c>
      <c r="B38">
        <f t="shared" si="2"/>
        <v>39.926211256000002</v>
      </c>
      <c r="C38">
        <f t="shared" si="3"/>
        <v>119.01229782393919</v>
      </c>
    </row>
    <row r="39" spans="1:3">
      <c r="A39" s="2">
        <v>39</v>
      </c>
      <c r="B39">
        <f t="shared" si="2"/>
        <v>40.346715366200002</v>
      </c>
      <c r="C39">
        <f t="shared" si="3"/>
        <v>119.43333592845563</v>
      </c>
    </row>
    <row r="40" spans="1:3">
      <c r="A40" s="2">
        <v>40</v>
      </c>
      <c r="B40">
        <f t="shared" si="2"/>
        <v>40.767219476400001</v>
      </c>
      <c r="C40">
        <f t="shared" si="3"/>
        <v>119.85442923100815</v>
      </c>
    </row>
    <row r="41" spans="1:3">
      <c r="A41" s="2">
        <v>41</v>
      </c>
      <c r="B41">
        <f t="shared" si="2"/>
        <v>41.187723586600001</v>
      </c>
      <c r="C41">
        <f t="shared" si="3"/>
        <v>120.27557773036314</v>
      </c>
    </row>
    <row r="42" spans="1:3">
      <c r="A42" s="2">
        <v>42</v>
      </c>
      <c r="B42">
        <f t="shared" si="2"/>
        <v>41.6082276968</v>
      </c>
      <c r="C42">
        <f t="shared" si="3"/>
        <v>120.69678142517137</v>
      </c>
    </row>
    <row r="43" spans="1:3">
      <c r="A43" s="2">
        <v>43</v>
      </c>
      <c r="B43">
        <f t="shared" si="2"/>
        <v>42.028731807</v>
      </c>
      <c r="C43">
        <f t="shared" si="3"/>
        <v>121.11804031396815</v>
      </c>
    </row>
    <row r="44" spans="1:3">
      <c r="A44" s="2">
        <v>44</v>
      </c>
      <c r="B44">
        <f t="shared" si="2"/>
        <v>42.449235917199999</v>
      </c>
      <c r="C44">
        <f t="shared" si="3"/>
        <v>121.53935439517329</v>
      </c>
    </row>
    <row r="45" spans="1:3">
      <c r="A45" s="2">
        <v>45</v>
      </c>
      <c r="B45">
        <f t="shared" si="2"/>
        <v>42.869740027399999</v>
      </c>
      <c r="C45">
        <f t="shared" si="3"/>
        <v>121.96072366709114</v>
      </c>
    </row>
    <row r="46" spans="1:3">
      <c r="A46" s="2">
        <v>46</v>
      </c>
      <c r="B46">
        <f t="shared" si="2"/>
        <v>43.290244137599998</v>
      </c>
      <c r="C46">
        <f t="shared" si="3"/>
        <v>122.38214812791054</v>
      </c>
    </row>
    <row r="47" spans="1:3">
      <c r="A47" s="2">
        <v>47</v>
      </c>
      <c r="B47">
        <f t="shared" si="2"/>
        <v>43.710748247799998</v>
      </c>
      <c r="C47">
        <f t="shared" si="3"/>
        <v>122.80362777570488</v>
      </c>
    </row>
    <row r="48" spans="1:3">
      <c r="A48" s="2">
        <v>48</v>
      </c>
      <c r="B48">
        <f t="shared" si="2"/>
        <v>44.131252357999998</v>
      </c>
      <c r="C48">
        <f t="shared" si="3"/>
        <v>123.22516260843217</v>
      </c>
    </row>
    <row r="49" spans="1:3">
      <c r="A49" s="2">
        <v>49</v>
      </c>
      <c r="B49">
        <f t="shared" si="2"/>
        <v>44.551756468199997</v>
      </c>
      <c r="C49">
        <f t="shared" si="3"/>
        <v>123.646752623935</v>
      </c>
    </row>
    <row r="50" spans="1:3">
      <c r="A50" s="2">
        <v>50</v>
      </c>
      <c r="B50">
        <f t="shared" si="2"/>
        <v>44.972260578399997</v>
      </c>
      <c r="C50">
        <f t="shared" si="3"/>
        <v>124.06839781994056</v>
      </c>
    </row>
    <row r="51" spans="1:3">
      <c r="A51" s="2">
        <v>51</v>
      </c>
      <c r="B51">
        <f t="shared" si="2"/>
        <v>45.392764688599996</v>
      </c>
      <c r="C51">
        <f t="shared" si="3"/>
        <v>124.49009819406066</v>
      </c>
    </row>
    <row r="52" spans="1:3">
      <c r="A52" s="2">
        <v>52</v>
      </c>
      <c r="B52">
        <f t="shared" si="2"/>
        <v>45.813268798799996</v>
      </c>
      <c r="C52">
        <f t="shared" si="3"/>
        <v>124.91185374379184</v>
      </c>
    </row>
    <row r="53" spans="1:3">
      <c r="A53" s="2">
        <v>53</v>
      </c>
      <c r="B53">
        <f t="shared" si="2"/>
        <v>46.233772908999995</v>
      </c>
      <c r="C53">
        <f t="shared" si="3"/>
        <v>125.33366446651529</v>
      </c>
    </row>
    <row r="54" spans="1:3">
      <c r="A54" s="2">
        <v>54</v>
      </c>
      <c r="B54">
        <f t="shared" si="2"/>
        <v>46.654277019200002</v>
      </c>
      <c r="C54">
        <f t="shared" si="3"/>
        <v>125.75553035949696</v>
      </c>
    </row>
    <row r="55" spans="1:3">
      <c r="A55" s="2">
        <v>55</v>
      </c>
      <c r="B55">
        <f t="shared" si="2"/>
        <v>47.074781129400002</v>
      </c>
      <c r="C55">
        <f t="shared" si="3"/>
        <v>126.17745141988746</v>
      </c>
    </row>
    <row r="56" spans="1:3">
      <c r="A56" s="2">
        <v>56</v>
      </c>
      <c r="B56">
        <f t="shared" si="2"/>
        <v>47.495285239600001</v>
      </c>
      <c r="C56">
        <f t="shared" si="3"/>
        <v>126.59942764472228</v>
      </c>
    </row>
    <row r="57" spans="1:3">
      <c r="A57" s="2">
        <v>57</v>
      </c>
      <c r="B57">
        <f t="shared" si="2"/>
        <v>47.915789349800001</v>
      </c>
      <c r="C57">
        <f t="shared" si="3"/>
        <v>127.02145903092165</v>
      </c>
    </row>
    <row r="58" spans="1:3">
      <c r="A58" s="2">
        <v>58</v>
      </c>
      <c r="B58">
        <f t="shared" si="2"/>
        <v>48.33629346</v>
      </c>
      <c r="C58">
        <f t="shared" si="3"/>
        <v>127.4435455752907</v>
      </c>
    </row>
    <row r="59" spans="1:3">
      <c r="A59" s="2">
        <v>59</v>
      </c>
      <c r="B59">
        <f t="shared" si="2"/>
        <v>48.7567975702</v>
      </c>
      <c r="C59">
        <f t="shared" si="3"/>
        <v>127.86568727451939</v>
      </c>
    </row>
    <row r="60" spans="1:3">
      <c r="A60" s="2">
        <v>60</v>
      </c>
      <c r="B60">
        <f t="shared" si="2"/>
        <v>49.177301680399999</v>
      </c>
      <c r="C60">
        <f t="shared" si="3"/>
        <v>128.28788412518259</v>
      </c>
    </row>
    <row r="61" spans="1:3">
      <c r="A61" s="2">
        <v>61</v>
      </c>
      <c r="B61">
        <f t="shared" si="2"/>
        <v>49.597805790600006</v>
      </c>
      <c r="C61">
        <f t="shared" si="3"/>
        <v>128.71013612374014</v>
      </c>
    </row>
    <row r="62" spans="1:3">
      <c r="A62" s="2">
        <v>62</v>
      </c>
      <c r="B62">
        <f t="shared" si="2"/>
        <v>50.018309900800006</v>
      </c>
      <c r="C62">
        <f t="shared" si="3"/>
        <v>129.13244326653682</v>
      </c>
    </row>
    <row r="63" spans="1:3">
      <c r="A63" s="2">
        <v>63</v>
      </c>
      <c r="B63">
        <f t="shared" si="2"/>
        <v>50.438814011000005</v>
      </c>
      <c r="C63">
        <f t="shared" si="3"/>
        <v>129.55480554980255</v>
      </c>
    </row>
    <row r="64" spans="1:3">
      <c r="A64" s="2">
        <v>64</v>
      </c>
      <c r="B64">
        <f t="shared" si="2"/>
        <v>50.859318121200005</v>
      </c>
      <c r="C64">
        <f t="shared" si="3"/>
        <v>129.9772229696521</v>
      </c>
    </row>
    <row r="65" spans="1:3">
      <c r="A65" s="2">
        <v>65</v>
      </c>
      <c r="B65">
        <f t="shared" ref="B65:B70" si="4">24.3675591786+(A65-1)*0.4205041102</f>
        <v>51.279822231400004</v>
      </c>
      <c r="C65">
        <f t="shared" ref="C65:C70" si="5">0+1*B65+78.837779537689*(1.00625+(B65-36.06875)^2/251739.382713266)^0.5</f>
        <v>130.39969552208555</v>
      </c>
    </row>
    <row r="66" spans="1:3">
      <c r="A66" s="2">
        <v>66</v>
      </c>
      <c r="B66">
        <f t="shared" si="4"/>
        <v>51.700326341600004</v>
      </c>
      <c r="C66">
        <f t="shared" si="5"/>
        <v>130.82222320298803</v>
      </c>
    </row>
    <row r="67" spans="1:3">
      <c r="A67" s="2">
        <v>67</v>
      </c>
      <c r="B67">
        <f t="shared" si="4"/>
        <v>52.120830451800003</v>
      </c>
      <c r="C67">
        <f t="shared" si="5"/>
        <v>131.24480600812984</v>
      </c>
    </row>
    <row r="68" spans="1:3">
      <c r="A68" s="2">
        <v>68</v>
      </c>
      <c r="B68">
        <f t="shared" si="4"/>
        <v>52.541334562000003</v>
      </c>
      <c r="C68">
        <f t="shared" si="5"/>
        <v>131.66744393316651</v>
      </c>
    </row>
    <row r="69" spans="1:3">
      <c r="A69" s="2">
        <v>69</v>
      </c>
      <c r="B69">
        <f t="shared" si="4"/>
        <v>52.961838672200003</v>
      </c>
      <c r="C69">
        <f t="shared" si="5"/>
        <v>132.09013697363889</v>
      </c>
    </row>
    <row r="70" spans="1:3">
      <c r="A70" s="2">
        <v>70</v>
      </c>
      <c r="B70">
        <f t="shared" si="4"/>
        <v>53.382342782400002</v>
      </c>
      <c r="C70">
        <f t="shared" si="5"/>
        <v>132.51288512497314</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enableFormatConditionsCalculation="0"/>
  <dimension ref="A1:C70"/>
  <sheetViews>
    <sheetView workbookViewId="0"/>
  </sheetViews>
  <sheetFormatPr baseColWidth="10" defaultRowHeight="15.75"/>
  <sheetData>
    <row r="1" spans="1:3">
      <c r="A1" s="2">
        <v>1</v>
      </c>
      <c r="B1">
        <f t="shared" ref="B1:B32" si="0">0.004463952+(A1-1)*0.0001711282</f>
        <v>4.4639520000000002E-3</v>
      </c>
      <c r="C1">
        <f t="shared" ref="C1:C32" si="1">0+1*B1+0.0484255886018306*(1.00657894736842+(B1-0.0103467566886897)^2/0.0900966845022564)^0.5</f>
        <v>5.3057843305327403E-2</v>
      </c>
    </row>
    <row r="2" spans="1:3">
      <c r="A2" s="2">
        <v>2</v>
      </c>
      <c r="B2">
        <f t="shared" si="0"/>
        <v>4.6350801999999998E-3</v>
      </c>
      <c r="C2">
        <f t="shared" si="1"/>
        <v>5.3228440126054877E-2</v>
      </c>
    </row>
    <row r="3" spans="1:3">
      <c r="A3" s="2">
        <v>3</v>
      </c>
      <c r="B3">
        <f t="shared" si="0"/>
        <v>4.8062084000000003E-3</v>
      </c>
      <c r="C3">
        <f t="shared" si="1"/>
        <v>5.3399052626961083E-2</v>
      </c>
    </row>
    <row r="4" spans="1:3">
      <c r="A4" s="2">
        <v>4</v>
      </c>
      <c r="B4">
        <f t="shared" si="0"/>
        <v>4.9773365999999999E-3</v>
      </c>
      <c r="C4">
        <f t="shared" si="1"/>
        <v>5.3569680808545274E-2</v>
      </c>
    </row>
    <row r="5" spans="1:3">
      <c r="A5" s="2">
        <v>5</v>
      </c>
      <c r="B5">
        <f t="shared" si="0"/>
        <v>5.1484648000000004E-3</v>
      </c>
      <c r="C5">
        <f t="shared" si="1"/>
        <v>5.3740324671291514E-2</v>
      </c>
    </row>
    <row r="6" spans="1:3">
      <c r="A6" s="2">
        <v>6</v>
      </c>
      <c r="B6">
        <f t="shared" si="0"/>
        <v>5.3195930000000001E-3</v>
      </c>
      <c r="C6">
        <f t="shared" si="1"/>
        <v>5.39109842156687E-2</v>
      </c>
    </row>
    <row r="7" spans="1:3">
      <c r="A7" s="2">
        <v>7</v>
      </c>
      <c r="B7">
        <f t="shared" si="0"/>
        <v>5.4907211999999997E-3</v>
      </c>
      <c r="C7">
        <f t="shared" si="1"/>
        <v>5.4081659442130593E-2</v>
      </c>
    </row>
    <row r="8" spans="1:3">
      <c r="A8" s="2">
        <v>8</v>
      </c>
      <c r="B8">
        <f t="shared" si="0"/>
        <v>5.6618494000000002E-3</v>
      </c>
      <c r="C8">
        <f t="shared" si="1"/>
        <v>5.4252350351115752E-2</v>
      </c>
    </row>
    <row r="9" spans="1:3">
      <c r="A9" s="2">
        <v>9</v>
      </c>
      <c r="B9">
        <f t="shared" si="0"/>
        <v>5.8329776000000007E-3</v>
      </c>
      <c r="C9">
        <f t="shared" si="1"/>
        <v>5.4423056943047596E-2</v>
      </c>
    </row>
    <row r="10" spans="1:3">
      <c r="A10" s="2">
        <v>10</v>
      </c>
      <c r="B10">
        <f t="shared" si="0"/>
        <v>6.0041058000000003E-3</v>
      </c>
      <c r="C10">
        <f t="shared" si="1"/>
        <v>5.4593779218334373E-2</v>
      </c>
    </row>
    <row r="11" spans="1:3">
      <c r="A11" s="2">
        <v>11</v>
      </c>
      <c r="B11">
        <f t="shared" si="0"/>
        <v>6.1752339999999999E-3</v>
      </c>
      <c r="C11">
        <f t="shared" si="1"/>
        <v>5.4764517177369139E-2</v>
      </c>
    </row>
    <row r="12" spans="1:3">
      <c r="A12" s="2">
        <v>12</v>
      </c>
      <c r="B12">
        <f t="shared" si="0"/>
        <v>6.3463622000000004E-3</v>
      </c>
      <c r="C12">
        <f t="shared" si="1"/>
        <v>5.4935270820529777E-2</v>
      </c>
    </row>
    <row r="13" spans="1:3">
      <c r="A13" s="2">
        <v>13</v>
      </c>
      <c r="B13">
        <f t="shared" si="0"/>
        <v>6.5174904000000001E-3</v>
      </c>
      <c r="C13">
        <f t="shared" si="1"/>
        <v>5.5106040148179006E-2</v>
      </c>
    </row>
    <row r="14" spans="1:3">
      <c r="A14" s="2">
        <v>14</v>
      </c>
      <c r="B14">
        <f t="shared" si="0"/>
        <v>6.6886185999999997E-3</v>
      </c>
      <c r="C14">
        <f t="shared" si="1"/>
        <v>5.5276825160664386E-2</v>
      </c>
    </row>
    <row r="15" spans="1:3">
      <c r="A15" s="2">
        <v>15</v>
      </c>
      <c r="B15">
        <f t="shared" si="0"/>
        <v>6.8597468000000002E-3</v>
      </c>
      <c r="C15">
        <f t="shared" si="1"/>
        <v>5.5447625858318236E-2</v>
      </c>
    </row>
    <row r="16" spans="1:3">
      <c r="A16" s="2">
        <v>16</v>
      </c>
      <c r="B16">
        <f t="shared" si="0"/>
        <v>7.0308750000000007E-3</v>
      </c>
      <c r="C16">
        <f t="shared" si="1"/>
        <v>5.5618442241457768E-2</v>
      </c>
    </row>
    <row r="17" spans="1:3">
      <c r="A17" s="2">
        <v>17</v>
      </c>
      <c r="B17">
        <f t="shared" si="0"/>
        <v>7.2020032000000003E-3</v>
      </c>
      <c r="C17">
        <f t="shared" si="1"/>
        <v>5.578927431038494E-2</v>
      </c>
    </row>
    <row r="18" spans="1:3">
      <c r="A18" s="2">
        <v>18</v>
      </c>
      <c r="B18">
        <f t="shared" si="0"/>
        <v>7.3731313999999999E-3</v>
      </c>
      <c r="C18">
        <f t="shared" si="1"/>
        <v>5.5960122065386586E-2</v>
      </c>
    </row>
    <row r="19" spans="1:3">
      <c r="A19" s="2">
        <v>19</v>
      </c>
      <c r="B19">
        <f t="shared" si="0"/>
        <v>7.5442596000000004E-3</v>
      </c>
      <c r="C19">
        <f t="shared" si="1"/>
        <v>5.6130985506734316E-2</v>
      </c>
    </row>
    <row r="20" spans="1:3">
      <c r="A20" s="2">
        <v>20</v>
      </c>
      <c r="B20">
        <f t="shared" si="0"/>
        <v>7.7153878000000009E-3</v>
      </c>
      <c r="C20">
        <f t="shared" si="1"/>
        <v>5.6301864634684576E-2</v>
      </c>
    </row>
    <row r="21" spans="1:3">
      <c r="A21" s="2">
        <v>21</v>
      </c>
      <c r="B21">
        <f t="shared" si="0"/>
        <v>7.8865159999999997E-3</v>
      </c>
      <c r="C21">
        <f t="shared" si="1"/>
        <v>5.6472759449478604E-2</v>
      </c>
    </row>
    <row r="22" spans="1:3">
      <c r="A22" s="2">
        <v>22</v>
      </c>
      <c r="B22">
        <f t="shared" si="0"/>
        <v>8.0576442000000002E-3</v>
      </c>
      <c r="C22">
        <f t="shared" si="1"/>
        <v>5.6643669951342436E-2</v>
      </c>
    </row>
    <row r="23" spans="1:3">
      <c r="A23" s="2">
        <v>23</v>
      </c>
      <c r="B23">
        <f t="shared" si="0"/>
        <v>8.2287724000000007E-3</v>
      </c>
      <c r="C23">
        <f t="shared" si="1"/>
        <v>5.6814596140486999E-2</v>
      </c>
    </row>
    <row r="24" spans="1:3">
      <c r="A24" s="2">
        <v>24</v>
      </c>
      <c r="B24">
        <f t="shared" si="0"/>
        <v>8.3999005999999994E-3</v>
      </c>
      <c r="C24">
        <f t="shared" si="1"/>
        <v>5.6985538017107901E-2</v>
      </c>
    </row>
    <row r="25" spans="1:3">
      <c r="A25" s="2">
        <v>25</v>
      </c>
      <c r="B25">
        <f t="shared" si="0"/>
        <v>8.5710287999999999E-3</v>
      </c>
      <c r="C25">
        <f t="shared" si="1"/>
        <v>5.715649558138567E-2</v>
      </c>
    </row>
    <row r="26" spans="1:3">
      <c r="A26" s="2">
        <v>26</v>
      </c>
      <c r="B26">
        <f t="shared" si="0"/>
        <v>8.7421570000000004E-3</v>
      </c>
      <c r="C26">
        <f t="shared" si="1"/>
        <v>5.7327468833485586E-2</v>
      </c>
    </row>
    <row r="27" spans="1:3">
      <c r="A27" s="2">
        <v>27</v>
      </c>
      <c r="B27">
        <f t="shared" si="0"/>
        <v>8.9132851999999992E-3</v>
      </c>
      <c r="C27">
        <f t="shared" si="1"/>
        <v>5.7498457773557721E-2</v>
      </c>
    </row>
    <row r="28" spans="1:3">
      <c r="A28" s="2">
        <v>28</v>
      </c>
      <c r="B28">
        <f t="shared" si="0"/>
        <v>9.0844134000000014E-3</v>
      </c>
      <c r="C28">
        <f t="shared" si="1"/>
        <v>5.7669462401737009E-2</v>
      </c>
    </row>
    <row r="29" spans="1:3">
      <c r="A29" s="2">
        <v>29</v>
      </c>
      <c r="B29">
        <f t="shared" si="0"/>
        <v>9.2555416000000001E-3</v>
      </c>
      <c r="C29">
        <f t="shared" si="1"/>
        <v>5.7840482718143127E-2</v>
      </c>
    </row>
    <row r="30" spans="1:3">
      <c r="A30" s="2">
        <v>30</v>
      </c>
      <c r="B30">
        <f t="shared" si="0"/>
        <v>9.4266698000000006E-3</v>
      </c>
      <c r="C30">
        <f t="shared" si="1"/>
        <v>5.8011518722880594E-2</v>
      </c>
    </row>
    <row r="31" spans="1:3">
      <c r="A31" s="2">
        <v>31</v>
      </c>
      <c r="B31">
        <f t="shared" si="0"/>
        <v>9.5977980000000011E-3</v>
      </c>
      <c r="C31">
        <f t="shared" si="1"/>
        <v>5.818257041603872E-2</v>
      </c>
    </row>
    <row r="32" spans="1:3">
      <c r="A32" s="2">
        <v>32</v>
      </c>
      <c r="B32">
        <f t="shared" si="0"/>
        <v>9.7689261999999999E-3</v>
      </c>
      <c r="C32">
        <f t="shared" si="1"/>
        <v>5.8353637797691621E-2</v>
      </c>
    </row>
    <row r="33" spans="1:3">
      <c r="A33" s="2">
        <v>33</v>
      </c>
      <c r="B33">
        <f t="shared" ref="B33:B64" si="2">0.004463952+(A33-1)*0.0001711282</f>
        <v>9.9400544000000004E-3</v>
      </c>
      <c r="C33">
        <f t="shared" ref="C33:C64" si="3">0+1*B33+0.0484255886018306*(1.00657894736842+(B33-0.0103467566886897)^2/0.0900966845022564)^0.5</f>
        <v>5.8524720867898214E-2</v>
      </c>
    </row>
    <row r="34" spans="1:3">
      <c r="A34" s="2">
        <v>34</v>
      </c>
      <c r="B34">
        <f t="shared" si="2"/>
        <v>1.0111182600000001E-2</v>
      </c>
      <c r="C34">
        <f t="shared" si="3"/>
        <v>5.8695819626702214E-2</v>
      </c>
    </row>
    <row r="35" spans="1:3">
      <c r="A35" s="2">
        <v>35</v>
      </c>
      <c r="B35">
        <f t="shared" si="2"/>
        <v>1.02823108E-2</v>
      </c>
      <c r="C35">
        <f t="shared" si="3"/>
        <v>5.8866934074132148E-2</v>
      </c>
    </row>
    <row r="36" spans="1:3">
      <c r="A36" s="2">
        <v>36</v>
      </c>
      <c r="B36">
        <f t="shared" si="2"/>
        <v>1.0453439E-2</v>
      </c>
      <c r="C36">
        <f t="shared" si="3"/>
        <v>5.903806421020133E-2</v>
      </c>
    </row>
    <row r="37" spans="1:3">
      <c r="A37" s="2">
        <v>37</v>
      </c>
      <c r="B37">
        <f t="shared" si="2"/>
        <v>1.0624567200000001E-2</v>
      </c>
      <c r="C37">
        <f t="shared" si="3"/>
        <v>5.920921003490788E-2</v>
      </c>
    </row>
    <row r="38" spans="1:3">
      <c r="A38" s="2">
        <v>38</v>
      </c>
      <c r="B38">
        <f t="shared" si="2"/>
        <v>1.0795695399999999E-2</v>
      </c>
      <c r="C38">
        <f t="shared" si="3"/>
        <v>5.9380371548234744E-2</v>
      </c>
    </row>
    <row r="39" spans="1:3">
      <c r="A39" s="2">
        <v>39</v>
      </c>
      <c r="B39">
        <f t="shared" si="2"/>
        <v>1.0966823600000002E-2</v>
      </c>
      <c r="C39">
        <f t="shared" si="3"/>
        <v>5.955154875014964E-2</v>
      </c>
    </row>
    <row r="40" spans="1:3">
      <c r="A40" s="2">
        <v>40</v>
      </c>
      <c r="B40">
        <f t="shared" si="2"/>
        <v>1.11379518E-2</v>
      </c>
      <c r="C40">
        <f t="shared" si="3"/>
        <v>5.9722741640605093E-2</v>
      </c>
    </row>
    <row r="41" spans="1:3">
      <c r="A41" s="2">
        <v>41</v>
      </c>
      <c r="B41">
        <f t="shared" si="2"/>
        <v>1.1309080000000001E-2</v>
      </c>
      <c r="C41">
        <f t="shared" si="3"/>
        <v>5.9893950219538444E-2</v>
      </c>
    </row>
    <row r="42" spans="1:3">
      <c r="A42" s="2">
        <v>42</v>
      </c>
      <c r="B42">
        <f t="shared" si="2"/>
        <v>1.1480208200000001E-2</v>
      </c>
      <c r="C42">
        <f t="shared" si="3"/>
        <v>6.006517448687182E-2</v>
      </c>
    </row>
    <row r="43" spans="1:3">
      <c r="A43" s="2">
        <v>43</v>
      </c>
      <c r="B43">
        <f t="shared" si="2"/>
        <v>1.16513364E-2</v>
      </c>
      <c r="C43">
        <f t="shared" si="3"/>
        <v>6.0236414442512168E-2</v>
      </c>
    </row>
    <row r="44" spans="1:3">
      <c r="A44" s="2">
        <v>44</v>
      </c>
      <c r="B44">
        <f t="shared" si="2"/>
        <v>1.1822464600000001E-2</v>
      </c>
      <c r="C44">
        <f t="shared" si="3"/>
        <v>6.0407670086351214E-2</v>
      </c>
    </row>
    <row r="45" spans="1:3">
      <c r="A45" s="2">
        <v>45</v>
      </c>
      <c r="B45">
        <f t="shared" si="2"/>
        <v>1.1993592800000001E-2</v>
      </c>
      <c r="C45">
        <f t="shared" si="3"/>
        <v>6.0578941418265524E-2</v>
      </c>
    </row>
    <row r="46" spans="1:3">
      <c r="A46" s="2">
        <v>46</v>
      </c>
      <c r="B46">
        <f t="shared" si="2"/>
        <v>1.2164721E-2</v>
      </c>
      <c r="C46">
        <f t="shared" si="3"/>
        <v>6.0750228438116421E-2</v>
      </c>
    </row>
    <row r="47" spans="1:3">
      <c r="A47" s="2">
        <v>47</v>
      </c>
      <c r="B47">
        <f t="shared" si="2"/>
        <v>1.23358492E-2</v>
      </c>
      <c r="C47">
        <f t="shared" si="3"/>
        <v>6.0921531145750094E-2</v>
      </c>
    </row>
    <row r="48" spans="1:3">
      <c r="A48" s="2">
        <v>48</v>
      </c>
      <c r="B48">
        <f t="shared" si="2"/>
        <v>1.2506977400000001E-2</v>
      </c>
      <c r="C48">
        <f t="shared" si="3"/>
        <v>6.1092849540997488E-2</v>
      </c>
    </row>
    <row r="49" spans="1:3">
      <c r="A49" s="2">
        <v>49</v>
      </c>
      <c r="B49">
        <f t="shared" si="2"/>
        <v>1.26781056E-2</v>
      </c>
      <c r="C49">
        <f t="shared" si="3"/>
        <v>6.1264183623674348E-2</v>
      </c>
    </row>
    <row r="50" spans="1:3">
      <c r="A50" s="2">
        <v>50</v>
      </c>
      <c r="B50">
        <f t="shared" si="2"/>
        <v>1.28492338E-2</v>
      </c>
      <c r="C50">
        <f t="shared" si="3"/>
        <v>6.1435533393581286E-2</v>
      </c>
    </row>
    <row r="51" spans="1:3">
      <c r="A51" s="2">
        <v>51</v>
      </c>
      <c r="B51">
        <f t="shared" si="2"/>
        <v>1.3020362000000001E-2</v>
      </c>
      <c r="C51">
        <f t="shared" si="3"/>
        <v>6.1606898850503668E-2</v>
      </c>
    </row>
    <row r="52" spans="1:3">
      <c r="A52" s="2">
        <v>52</v>
      </c>
      <c r="B52">
        <f t="shared" si="2"/>
        <v>1.3191490200000001E-2</v>
      </c>
      <c r="C52">
        <f t="shared" si="3"/>
        <v>6.1778279994211691E-2</v>
      </c>
    </row>
    <row r="53" spans="1:3">
      <c r="A53" s="2">
        <v>53</v>
      </c>
      <c r="B53">
        <f t="shared" si="2"/>
        <v>1.33626184E-2</v>
      </c>
      <c r="C53">
        <f t="shared" si="3"/>
        <v>6.1949676824460342E-2</v>
      </c>
    </row>
    <row r="54" spans="1:3">
      <c r="A54" s="2">
        <v>54</v>
      </c>
      <c r="B54">
        <f t="shared" si="2"/>
        <v>1.35337466E-2</v>
      </c>
      <c r="C54">
        <f t="shared" si="3"/>
        <v>6.2121089340989477E-2</v>
      </c>
    </row>
    <row r="55" spans="1:3">
      <c r="A55" s="2">
        <v>55</v>
      </c>
      <c r="B55">
        <f t="shared" si="2"/>
        <v>1.3704874800000001E-2</v>
      </c>
      <c r="C55">
        <f t="shared" si="3"/>
        <v>6.229251754352369E-2</v>
      </c>
    </row>
    <row r="56" spans="1:3">
      <c r="A56" s="2">
        <v>56</v>
      </c>
      <c r="B56">
        <f t="shared" si="2"/>
        <v>1.3876003000000001E-2</v>
      </c>
      <c r="C56">
        <f t="shared" si="3"/>
        <v>6.2463961431772422E-2</v>
      </c>
    </row>
    <row r="57" spans="1:3">
      <c r="A57" s="2">
        <v>57</v>
      </c>
      <c r="B57">
        <f t="shared" si="2"/>
        <v>1.40471312E-2</v>
      </c>
      <c r="C57">
        <f t="shared" si="3"/>
        <v>6.2635421005429959E-2</v>
      </c>
    </row>
    <row r="58" spans="1:3">
      <c r="A58" s="2">
        <v>58</v>
      </c>
      <c r="B58">
        <f t="shared" si="2"/>
        <v>1.4218259400000001E-2</v>
      </c>
      <c r="C58">
        <f t="shared" si="3"/>
        <v>6.2806896264175363E-2</v>
      </c>
    </row>
    <row r="59" spans="1:3">
      <c r="A59" s="2">
        <v>59</v>
      </c>
      <c r="B59">
        <f t="shared" si="2"/>
        <v>1.4389387600000001E-2</v>
      </c>
      <c r="C59">
        <f t="shared" si="3"/>
        <v>6.2978387207672543E-2</v>
      </c>
    </row>
    <row r="60" spans="1:3">
      <c r="A60" s="2">
        <v>60</v>
      </c>
      <c r="B60">
        <f t="shared" si="2"/>
        <v>1.45605158E-2</v>
      </c>
      <c r="C60">
        <f t="shared" si="3"/>
        <v>6.3149893835570209E-2</v>
      </c>
    </row>
    <row r="61" spans="1:3">
      <c r="A61" s="2">
        <v>61</v>
      </c>
      <c r="B61">
        <f t="shared" si="2"/>
        <v>1.4731644E-2</v>
      </c>
      <c r="C61">
        <f t="shared" si="3"/>
        <v>6.3321416147501891E-2</v>
      </c>
    </row>
    <row r="62" spans="1:3">
      <c r="A62" s="2">
        <v>62</v>
      </c>
      <c r="B62">
        <f t="shared" si="2"/>
        <v>1.4902772200000001E-2</v>
      </c>
      <c r="C62">
        <f t="shared" si="3"/>
        <v>6.349295414308595E-2</v>
      </c>
    </row>
    <row r="63" spans="1:3">
      <c r="A63" s="2">
        <v>63</v>
      </c>
      <c r="B63">
        <f t="shared" si="2"/>
        <v>1.5073900400000001E-2</v>
      </c>
      <c r="C63">
        <f t="shared" si="3"/>
        <v>6.3664507821925592E-2</v>
      </c>
    </row>
    <row r="64" spans="1:3">
      <c r="A64" s="2">
        <v>64</v>
      </c>
      <c r="B64">
        <f t="shared" si="2"/>
        <v>1.52450286E-2</v>
      </c>
      <c r="C64">
        <f t="shared" si="3"/>
        <v>6.3836077183608828E-2</v>
      </c>
    </row>
    <row r="65" spans="1:3">
      <c r="A65" s="2">
        <v>65</v>
      </c>
      <c r="B65">
        <f t="shared" ref="B65:B70" si="4">0.004463952+(A65-1)*0.0001711282</f>
        <v>1.5416156800000001E-2</v>
      </c>
      <c r="C65">
        <f t="shared" ref="C65:C70" si="5">0+1*B65+0.0484255886018306*(1.00657894736842+(B65-0.0103467566886897)^2/0.0900966845022564)^0.5</f>
        <v>6.4007662227708498E-2</v>
      </c>
    </row>
    <row r="66" spans="1:3">
      <c r="A66" s="2">
        <v>66</v>
      </c>
      <c r="B66">
        <f t="shared" si="4"/>
        <v>1.5587285000000001E-2</v>
      </c>
      <c r="C66">
        <f t="shared" si="5"/>
        <v>6.4179262953782304E-2</v>
      </c>
    </row>
    <row r="67" spans="1:3">
      <c r="A67" s="2">
        <v>67</v>
      </c>
      <c r="B67">
        <f t="shared" si="4"/>
        <v>1.5758413200000002E-2</v>
      </c>
      <c r="C67">
        <f t="shared" si="5"/>
        <v>6.4350879361372723E-2</v>
      </c>
    </row>
    <row r="68" spans="1:3">
      <c r="A68" s="2">
        <v>68</v>
      </c>
      <c r="B68">
        <f t="shared" si="4"/>
        <v>1.59295414E-2</v>
      </c>
      <c r="C68">
        <f t="shared" si="5"/>
        <v>6.452251145000712E-2</v>
      </c>
    </row>
    <row r="69" spans="1:3">
      <c r="A69" s="2">
        <v>69</v>
      </c>
      <c r="B69">
        <f t="shared" si="4"/>
        <v>1.6100669599999999E-2</v>
      </c>
      <c r="C69">
        <f t="shared" si="5"/>
        <v>6.4694159219197689E-2</v>
      </c>
    </row>
    <row r="70" spans="1:3">
      <c r="A70" s="2">
        <v>70</v>
      </c>
      <c r="B70">
        <f t="shared" si="4"/>
        <v>1.6271797800000001E-2</v>
      </c>
      <c r="C70">
        <f t="shared" si="5"/>
        <v>6.4865822668441472E-2</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1.00676417221889+0.000415518861505182*B1-0.053991847617027*(0.00219298245614035+(B1-35.6961842105263)^2/260324.819360526)^0.5</f>
        <v>0.99892887388096119</v>
      </c>
    </row>
    <row r="2" spans="1:3">
      <c r="A2" s="2">
        <v>2</v>
      </c>
      <c r="B2">
        <f t="shared" si="0"/>
        <v>-5.045826087</v>
      </c>
      <c r="C2">
        <f t="shared" si="1"/>
        <v>0.99966948582771475</v>
      </c>
    </row>
    <row r="3" spans="1:3">
      <c r="A3" s="2">
        <v>3</v>
      </c>
      <c r="B3">
        <f t="shared" si="0"/>
        <v>-3.5856521740000002</v>
      </c>
      <c r="C3">
        <f t="shared" si="1"/>
        <v>1.0004088745056268</v>
      </c>
    </row>
    <row r="4" spans="1:3">
      <c r="A4" s="2">
        <v>4</v>
      </c>
      <c r="B4">
        <f t="shared" si="0"/>
        <v>-2.1254782610000005</v>
      </c>
      <c r="C4">
        <f t="shared" si="1"/>
        <v>1.0011469370774242</v>
      </c>
    </row>
    <row r="5" spans="1:3">
      <c r="A5" s="2">
        <v>5</v>
      </c>
      <c r="B5">
        <f t="shared" si="0"/>
        <v>-0.66530434800000027</v>
      </c>
      <c r="C5">
        <f t="shared" si="1"/>
        <v>1.0018835600610905</v>
      </c>
    </row>
    <row r="6" spans="1:3">
      <c r="A6" s="2">
        <v>6</v>
      </c>
      <c r="B6">
        <f t="shared" si="0"/>
        <v>0.79486956499999994</v>
      </c>
      <c r="C6">
        <f t="shared" si="1"/>
        <v>1.0026186181201007</v>
      </c>
    </row>
    <row r="7" spans="1:3">
      <c r="A7" s="2">
        <v>7</v>
      </c>
      <c r="B7">
        <f t="shared" si="0"/>
        <v>2.2550434779999993</v>
      </c>
      <c r="C7">
        <f t="shared" si="1"/>
        <v>1.0033519727278271</v>
      </c>
    </row>
    <row r="8" spans="1:3">
      <c r="A8" s="2">
        <v>8</v>
      </c>
      <c r="B8">
        <f t="shared" si="0"/>
        <v>3.7152173909999995</v>
      </c>
      <c r="C8">
        <f t="shared" si="1"/>
        <v>1.004083470702162</v>
      </c>
    </row>
    <row r="9" spans="1:3">
      <c r="A9" s="2">
        <v>9</v>
      </c>
      <c r="B9">
        <f t="shared" si="0"/>
        <v>5.1753913039999997</v>
      </c>
      <c r="C9">
        <f t="shared" si="1"/>
        <v>1.0048129426108643</v>
      </c>
    </row>
    <row r="10" spans="1:3">
      <c r="A10" s="2">
        <v>10</v>
      </c>
      <c r="B10">
        <f t="shared" si="0"/>
        <v>6.6355652169999999</v>
      </c>
      <c r="C10">
        <f t="shared" si="1"/>
        <v>1.0055402010548609</v>
      </c>
    </row>
    <row r="11" spans="1:3">
      <c r="A11" s="2">
        <v>11</v>
      </c>
      <c r="B11">
        <f t="shared" si="0"/>
        <v>8.0957391300000001</v>
      </c>
      <c r="C11">
        <f t="shared" si="1"/>
        <v>1.0062650388465932</v>
      </c>
    </row>
    <row r="12" spans="1:3">
      <c r="A12" s="2">
        <v>12</v>
      </c>
      <c r="B12">
        <f t="shared" si="0"/>
        <v>9.5559130430000003</v>
      </c>
      <c r="C12">
        <f t="shared" si="1"/>
        <v>1.0069872271143405</v>
      </c>
    </row>
    <row r="13" spans="1:3">
      <c r="A13" s="2">
        <v>13</v>
      </c>
      <c r="B13">
        <f t="shared" si="0"/>
        <v>11.016086955999999</v>
      </c>
      <c r="C13">
        <f t="shared" si="1"/>
        <v>1.0077065133824543</v>
      </c>
    </row>
    <row r="14" spans="1:3">
      <c r="A14" s="2">
        <v>14</v>
      </c>
      <c r="B14">
        <f t="shared" si="0"/>
        <v>12.476260869000001</v>
      </c>
      <c r="C14">
        <f t="shared" si="1"/>
        <v>1.0084226197026511</v>
      </c>
    </row>
    <row r="15" spans="1:3">
      <c r="A15" s="2">
        <v>15</v>
      </c>
      <c r="B15">
        <f t="shared" si="0"/>
        <v>13.936434781999999</v>
      </c>
      <c r="C15">
        <f t="shared" si="1"/>
        <v>1.009135240944018</v>
      </c>
    </row>
    <row r="16" spans="1:3">
      <c r="A16" s="2">
        <v>16</v>
      </c>
      <c r="B16">
        <f t="shared" si="0"/>
        <v>15.396608695000001</v>
      </c>
      <c r="C16">
        <f t="shared" si="1"/>
        <v>1.0098440433897204</v>
      </c>
    </row>
    <row r="17" spans="1:3">
      <c r="A17" s="2">
        <v>17</v>
      </c>
      <c r="B17">
        <f t="shared" si="0"/>
        <v>16.856782608</v>
      </c>
      <c r="C17">
        <f t="shared" si="1"/>
        <v>1.0105486638362733</v>
      </c>
    </row>
    <row r="18" spans="1:3">
      <c r="A18" s="2">
        <v>18</v>
      </c>
      <c r="B18">
        <f t="shared" si="0"/>
        <v>18.316956520999998</v>
      </c>
      <c r="C18">
        <f t="shared" si="1"/>
        <v>1.0112487094445624</v>
      </c>
    </row>
    <row r="19" spans="1:3">
      <c r="A19" s="2">
        <v>19</v>
      </c>
      <c r="B19">
        <f t="shared" si="0"/>
        <v>19.777130434</v>
      </c>
      <c r="C19">
        <f t="shared" si="1"/>
        <v>1.0119437586460129</v>
      </c>
    </row>
    <row r="20" spans="1:3">
      <c r="A20" s="2">
        <v>20</v>
      </c>
      <c r="B20">
        <f t="shared" si="0"/>
        <v>21.237304346999998</v>
      </c>
      <c r="C20">
        <f t="shared" si="1"/>
        <v>1.0126333634539091</v>
      </c>
    </row>
    <row r="21" spans="1:3">
      <c r="A21" s="2">
        <v>21</v>
      </c>
      <c r="B21">
        <f t="shared" si="0"/>
        <v>22.69747826</v>
      </c>
      <c r="C21">
        <f t="shared" si="1"/>
        <v>1.0133170535559137</v>
      </c>
    </row>
    <row r="22" spans="1:3">
      <c r="A22" s="2">
        <v>22</v>
      </c>
      <c r="B22">
        <f t="shared" si="0"/>
        <v>24.157652172999999</v>
      </c>
      <c r="C22">
        <f t="shared" si="1"/>
        <v>1.0139943425513291</v>
      </c>
    </row>
    <row r="23" spans="1:3">
      <c r="A23" s="2">
        <v>23</v>
      </c>
      <c r="B23">
        <f t="shared" si="0"/>
        <v>25.617826086000001</v>
      </c>
      <c r="C23">
        <f t="shared" si="1"/>
        <v>1.0146647366243042</v>
      </c>
    </row>
    <row r="24" spans="1:3">
      <c r="A24" s="2">
        <v>24</v>
      </c>
      <c r="B24">
        <f t="shared" si="0"/>
        <v>27.077999998999999</v>
      </c>
      <c r="C24">
        <f t="shared" si="1"/>
        <v>1.0153277457911873</v>
      </c>
    </row>
    <row r="25" spans="1:3">
      <c r="A25" s="2">
        <v>25</v>
      </c>
      <c r="B25">
        <f t="shared" si="0"/>
        <v>28.538173911999998</v>
      </c>
      <c r="C25">
        <f t="shared" si="1"/>
        <v>1.0159828976136711</v>
      </c>
    </row>
    <row r="26" spans="1:3">
      <c r="A26" s="2">
        <v>26</v>
      </c>
      <c r="B26">
        <f t="shared" si="0"/>
        <v>29.998347824999996</v>
      </c>
      <c r="C26">
        <f t="shared" si="1"/>
        <v>1.0166297529340922</v>
      </c>
    </row>
    <row r="27" spans="1:3">
      <c r="A27" s="2">
        <v>27</v>
      </c>
      <c r="B27">
        <f t="shared" si="0"/>
        <v>31.458521738000002</v>
      </c>
      <c r="C27">
        <f t="shared" si="1"/>
        <v>1.017267922798013</v>
      </c>
    </row>
    <row r="28" spans="1:3">
      <c r="A28" s="2">
        <v>28</v>
      </c>
      <c r="B28">
        <f t="shared" si="0"/>
        <v>32.918695651</v>
      </c>
      <c r="C28">
        <f t="shared" si="1"/>
        <v>1.0178970853474298</v>
      </c>
    </row>
    <row r="29" spans="1:3">
      <c r="A29" s="2">
        <v>29</v>
      </c>
      <c r="B29">
        <f t="shared" si="0"/>
        <v>34.378869563999999</v>
      </c>
      <c r="C29">
        <f t="shared" si="1"/>
        <v>1.0185170011875206</v>
      </c>
    </row>
    <row r="30" spans="1:3">
      <c r="A30" s="2">
        <v>30</v>
      </c>
      <c r="B30">
        <f t="shared" si="0"/>
        <v>35.839043476999997</v>
      </c>
      <c r="C30">
        <f t="shared" si="1"/>
        <v>1.0191275256472188</v>
      </c>
    </row>
    <row r="31" spans="1:3">
      <c r="A31" s="2">
        <v>31</v>
      </c>
      <c r="B31">
        <f t="shared" si="0"/>
        <v>37.299217390000003</v>
      </c>
      <c r="C31">
        <f t="shared" si="1"/>
        <v>1.0197286165368764</v>
      </c>
    </row>
    <row r="32" spans="1:3">
      <c r="A32" s="2">
        <v>32</v>
      </c>
      <c r="B32">
        <f t="shared" si="0"/>
        <v>38.759391303000001</v>
      </c>
      <c r="C32">
        <f t="shared" si="1"/>
        <v>1.0203203364604096</v>
      </c>
    </row>
    <row r="33" spans="1:3">
      <c r="A33" s="2">
        <v>33</v>
      </c>
      <c r="B33">
        <f t="shared" ref="B33:B64" si="2">-6.506+(A33-1)*1.460173913</f>
        <v>40.219565215999999</v>
      </c>
      <c r="C33">
        <f t="shared" ref="C33:C64" si="3">1.00676417221889+0.000415518861505182*B33-0.053991847617027*(0.00219298245614035+(B33-35.6961842105263)^2/260324.819360526)^0.5</f>
        <v>1.0209028493924719</v>
      </c>
    </row>
    <row r="34" spans="1:3">
      <c r="A34" s="2">
        <v>34</v>
      </c>
      <c r="B34">
        <f t="shared" si="2"/>
        <v>41.679739128999998</v>
      </c>
      <c r="C34">
        <f t="shared" si="3"/>
        <v>1.0214764119477793</v>
      </c>
    </row>
    <row r="35" spans="1:3">
      <c r="A35" s="2">
        <v>35</v>
      </c>
      <c r="B35">
        <f t="shared" si="2"/>
        <v>43.139913041999996</v>
      </c>
      <c r="C35">
        <f t="shared" si="3"/>
        <v>1.0220413603930618</v>
      </c>
    </row>
    <row r="36" spans="1:3">
      <c r="A36" s="2">
        <v>36</v>
      </c>
      <c r="B36">
        <f t="shared" si="2"/>
        <v>44.600086955000002</v>
      </c>
      <c r="C36">
        <f t="shared" si="3"/>
        <v>1.0225980948564288</v>
      </c>
    </row>
    <row r="37" spans="1:3">
      <c r="A37" s="2">
        <v>37</v>
      </c>
      <c r="B37">
        <f t="shared" si="2"/>
        <v>46.060260868</v>
      </c>
      <c r="C37">
        <f t="shared" si="3"/>
        <v>1.0231470623171621</v>
      </c>
    </row>
    <row r="38" spans="1:3">
      <c r="A38" s="2">
        <v>38</v>
      </c>
      <c r="B38">
        <f t="shared" si="2"/>
        <v>47.520434780999999</v>
      </c>
      <c r="C38">
        <f t="shared" si="3"/>
        <v>1.0236887398308785</v>
      </c>
    </row>
    <row r="39" spans="1:3">
      <c r="A39" s="2">
        <v>39</v>
      </c>
      <c r="B39">
        <f t="shared" si="2"/>
        <v>48.980608693999997</v>
      </c>
      <c r="C39">
        <f t="shared" si="3"/>
        <v>1.0242236191368512</v>
      </c>
    </row>
    <row r="40" spans="1:3">
      <c r="A40" s="2">
        <v>40</v>
      </c>
      <c r="B40">
        <f t="shared" si="2"/>
        <v>50.440782607000003</v>
      </c>
      <c r="C40">
        <f t="shared" si="3"/>
        <v>1.0247521934040504</v>
      </c>
    </row>
    <row r="41" spans="1:3">
      <c r="A41" s="2">
        <v>41</v>
      </c>
      <c r="B41">
        <f t="shared" si="2"/>
        <v>51.900956520000001</v>
      </c>
      <c r="C41">
        <f t="shared" si="3"/>
        <v>1.0252749464880464</v>
      </c>
    </row>
    <row r="42" spans="1:3">
      <c r="A42" s="2">
        <v>42</v>
      </c>
      <c r="B42">
        <f t="shared" si="2"/>
        <v>53.361130433</v>
      </c>
      <c r="C42">
        <f t="shared" si="3"/>
        <v>1.0257923447514092</v>
      </c>
    </row>
    <row r="43" spans="1:3">
      <c r="A43" s="2">
        <v>43</v>
      </c>
      <c r="B43">
        <f t="shared" si="2"/>
        <v>54.821304345999998</v>
      </c>
      <c r="C43">
        <f t="shared" si="3"/>
        <v>1.0263048312723249</v>
      </c>
    </row>
    <row r="44" spans="1:3">
      <c r="A44" s="2">
        <v>44</v>
      </c>
      <c r="B44">
        <f t="shared" si="2"/>
        <v>56.281478258999996</v>
      </c>
      <c r="C44">
        <f t="shared" si="3"/>
        <v>1.0268128221303208</v>
      </c>
    </row>
    <row r="45" spans="1:3">
      <c r="A45" s="2">
        <v>45</v>
      </c>
      <c r="B45">
        <f t="shared" si="2"/>
        <v>57.741652172000002</v>
      </c>
      <c r="C45">
        <f t="shared" si="3"/>
        <v>1.0273167043990938</v>
      </c>
    </row>
    <row r="46" spans="1:3">
      <c r="A46" s="2">
        <v>46</v>
      </c>
      <c r="B46">
        <f t="shared" si="2"/>
        <v>59.201826084999993</v>
      </c>
      <c r="C46">
        <f t="shared" si="3"/>
        <v>1.0278168354730841</v>
      </c>
    </row>
    <row r="47" spans="1:3">
      <c r="A47" s="2">
        <v>47</v>
      </c>
      <c r="B47">
        <f t="shared" si="2"/>
        <v>60.661999997999999</v>
      </c>
      <c r="C47">
        <f t="shared" si="3"/>
        <v>1.0283135433857689</v>
      </c>
    </row>
    <row r="48" spans="1:3">
      <c r="A48" s="2">
        <v>48</v>
      </c>
      <c r="B48">
        <f t="shared" si="2"/>
        <v>62.122173911000004</v>
      </c>
      <c r="C48">
        <f t="shared" si="3"/>
        <v>1.0288071278266164</v>
      </c>
    </row>
    <row r="49" spans="1:3">
      <c r="A49" s="2">
        <v>49</v>
      </c>
      <c r="B49">
        <f t="shared" si="2"/>
        <v>63.582347823999996</v>
      </c>
      <c r="C49">
        <f t="shared" si="3"/>
        <v>1.0292978616182074</v>
      </c>
    </row>
    <row r="50" spans="1:3">
      <c r="A50" s="2">
        <v>50</v>
      </c>
      <c r="B50">
        <f t="shared" si="2"/>
        <v>65.042521737000001</v>
      </c>
      <c r="C50">
        <f t="shared" si="3"/>
        <v>1.0297859924675536</v>
      </c>
    </row>
    <row r="51" spans="1:3">
      <c r="A51" s="2">
        <v>51</v>
      </c>
      <c r="B51">
        <f t="shared" si="2"/>
        <v>66.502695649999993</v>
      </c>
      <c r="C51">
        <f t="shared" si="3"/>
        <v>1.0302717448521392</v>
      </c>
    </row>
    <row r="52" spans="1:3">
      <c r="A52" s="2">
        <v>52</v>
      </c>
      <c r="B52">
        <f t="shared" si="2"/>
        <v>67.962869562999998</v>
      </c>
      <c r="C52">
        <f t="shared" si="3"/>
        <v>1.0307553219399983</v>
      </c>
    </row>
    <row r="53" spans="1:3">
      <c r="A53" s="2">
        <v>53</v>
      </c>
      <c r="B53">
        <f t="shared" si="2"/>
        <v>69.423043476000004</v>
      </c>
      <c r="C53">
        <f t="shared" si="3"/>
        <v>1.0312369074741576</v>
      </c>
    </row>
    <row r="54" spans="1:3">
      <c r="A54" s="2">
        <v>54</v>
      </c>
      <c r="B54">
        <f t="shared" si="2"/>
        <v>70.883217388999995</v>
      </c>
      <c r="C54">
        <f t="shared" si="3"/>
        <v>1.0317166675756917</v>
      </c>
    </row>
    <row r="55" spans="1:3">
      <c r="A55" s="2">
        <v>55</v>
      </c>
      <c r="B55">
        <f t="shared" si="2"/>
        <v>72.343391302000001</v>
      </c>
      <c r="C55">
        <f t="shared" si="3"/>
        <v>1.0321947524375195</v>
      </c>
    </row>
    <row r="56" spans="1:3">
      <c r="A56" s="2">
        <v>56</v>
      </c>
      <c r="B56">
        <f t="shared" si="2"/>
        <v>73.803565215000006</v>
      </c>
      <c r="C56">
        <f t="shared" si="3"/>
        <v>1.0326712978940873</v>
      </c>
    </row>
    <row r="57" spans="1:3">
      <c r="A57" s="2">
        <v>57</v>
      </c>
      <c r="B57">
        <f t="shared" si="2"/>
        <v>75.263739127999997</v>
      </c>
      <c r="C57">
        <f t="shared" si="3"/>
        <v>1.0331464268612183</v>
      </c>
    </row>
    <row r="58" spans="1:3">
      <c r="A58" s="2">
        <v>58</v>
      </c>
      <c r="B58">
        <f t="shared" si="2"/>
        <v>76.723913041000003</v>
      </c>
      <c r="C58">
        <f t="shared" si="3"/>
        <v>1.0336202506466712</v>
      </c>
    </row>
    <row r="59" spans="1:3">
      <c r="A59" s="2">
        <v>59</v>
      </c>
      <c r="B59">
        <f t="shared" si="2"/>
        <v>78.184086953999994</v>
      </c>
      <c r="C59">
        <f t="shared" si="3"/>
        <v>1.0340928701359984</v>
      </c>
    </row>
    <row r="60" spans="1:3">
      <c r="A60" s="2">
        <v>60</v>
      </c>
      <c r="B60">
        <f t="shared" si="2"/>
        <v>79.644260867</v>
      </c>
      <c r="C60">
        <f t="shared" si="3"/>
        <v>1.0345643768607959</v>
      </c>
    </row>
    <row r="61" spans="1:3">
      <c r="A61" s="2">
        <v>61</v>
      </c>
      <c r="B61">
        <f t="shared" si="2"/>
        <v>81.104434780000005</v>
      </c>
      <c r="C61">
        <f t="shared" si="3"/>
        <v>1.0350348539577923</v>
      </c>
    </row>
    <row r="62" spans="1:3">
      <c r="A62" s="2">
        <v>62</v>
      </c>
      <c r="B62">
        <f t="shared" si="2"/>
        <v>82.564608692999997</v>
      </c>
      <c r="C62">
        <f t="shared" si="3"/>
        <v>1.0355043770278205</v>
      </c>
    </row>
    <row r="63" spans="1:3">
      <c r="A63" s="2">
        <v>63</v>
      </c>
      <c r="B63">
        <f t="shared" si="2"/>
        <v>84.024782606000002</v>
      </c>
      <c r="C63">
        <f t="shared" si="3"/>
        <v>1.0359730149037802</v>
      </c>
    </row>
    <row r="64" spans="1:3">
      <c r="A64" s="2">
        <v>64</v>
      </c>
      <c r="B64">
        <f t="shared" si="2"/>
        <v>85.484956518999994</v>
      </c>
      <c r="C64">
        <f t="shared" si="3"/>
        <v>1.0364408303364243</v>
      </c>
    </row>
    <row r="65" spans="1:3">
      <c r="A65" s="2">
        <v>65</v>
      </c>
      <c r="B65">
        <f t="shared" ref="B65:B70" si="4">-6.506+(A65-1)*1.460173913</f>
        <v>86.945130431999999</v>
      </c>
      <c r="C65">
        <f t="shared" ref="C65:C70" si="5">1.00676417221889+0.000415518861505182*B65-0.053991847617027*(0.00219298245614035+(B65-35.6961842105263)^2/260324.819360526)^0.5</f>
        <v>1.0369078806063259</v>
      </c>
    </row>
    <row r="66" spans="1:3">
      <c r="A66" s="2">
        <v>66</v>
      </c>
      <c r="B66">
        <f t="shared" si="4"/>
        <v>88.405304345000005</v>
      </c>
      <c r="C66">
        <f t="shared" si="5"/>
        <v>1.0373742180697902</v>
      </c>
    </row>
    <row r="67" spans="1:3">
      <c r="A67" s="2">
        <v>67</v>
      </c>
      <c r="B67">
        <f t="shared" si="4"/>
        <v>89.865478257999996</v>
      </c>
      <c r="C67">
        <f t="shared" si="5"/>
        <v>1.0378398906458233</v>
      </c>
    </row>
    <row r="68" spans="1:3">
      <c r="A68" s="2">
        <v>68</v>
      </c>
      <c r="B68">
        <f t="shared" si="4"/>
        <v>91.325652171000002</v>
      </c>
      <c r="C68">
        <f t="shared" si="5"/>
        <v>1.0383049422506205</v>
      </c>
    </row>
    <row r="69" spans="1:3">
      <c r="A69" s="2">
        <v>69</v>
      </c>
      <c r="B69">
        <f t="shared" si="4"/>
        <v>92.785826083999993</v>
      </c>
      <c r="C69">
        <f t="shared" si="5"/>
        <v>1.0387694131853942</v>
      </c>
    </row>
    <row r="70" spans="1:3">
      <c r="A70" s="2">
        <v>70</v>
      </c>
      <c r="B70">
        <f t="shared" si="4"/>
        <v>94.245999996999998</v>
      </c>
      <c r="C70">
        <f t="shared" si="5"/>
        <v>1.0392333404827618</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1.00676417221889+0.000415518861505182*B1+0.053991847617027*(0.00219298245614035+(B1-35.6961842105263)^2/260324.819360526)^0.5</f>
        <v>1.0091927391309135</v>
      </c>
    </row>
    <row r="2" spans="1:3">
      <c r="A2" s="2">
        <v>2</v>
      </c>
      <c r="B2">
        <f t="shared" si="0"/>
        <v>-5.045826087</v>
      </c>
      <c r="C2">
        <f t="shared" si="1"/>
        <v>1.0096655867880182</v>
      </c>
    </row>
    <row r="3" spans="1:3">
      <c r="A3" s="2">
        <v>3</v>
      </c>
      <c r="B3">
        <f t="shared" si="0"/>
        <v>-3.5856521740000002</v>
      </c>
      <c r="C3">
        <f t="shared" si="1"/>
        <v>1.0101396577139652</v>
      </c>
    </row>
    <row r="4" spans="1:3">
      <c r="A4" s="2">
        <v>4</v>
      </c>
      <c r="B4">
        <f t="shared" si="0"/>
        <v>-2.1254782610000005</v>
      </c>
      <c r="C4">
        <f t="shared" si="1"/>
        <v>1.0106150547460262</v>
      </c>
    </row>
    <row r="5" spans="1:3">
      <c r="A5" s="2">
        <v>5</v>
      </c>
      <c r="B5">
        <f t="shared" si="0"/>
        <v>-0.66530434800000027</v>
      </c>
      <c r="C5">
        <f t="shared" si="1"/>
        <v>1.0110918913662188</v>
      </c>
    </row>
    <row r="6" spans="1:3">
      <c r="A6" s="2">
        <v>6</v>
      </c>
      <c r="B6">
        <f t="shared" si="0"/>
        <v>0.79486956499999994</v>
      </c>
      <c r="C6">
        <f t="shared" si="1"/>
        <v>1.011570292911067</v>
      </c>
    </row>
    <row r="7" spans="1:3">
      <c r="A7" s="2">
        <v>7</v>
      </c>
      <c r="B7">
        <f t="shared" si="0"/>
        <v>2.2550434779999993</v>
      </c>
      <c r="C7">
        <f t="shared" si="1"/>
        <v>1.0120503979071995</v>
      </c>
    </row>
    <row r="8" spans="1:3">
      <c r="A8" s="2">
        <v>8</v>
      </c>
      <c r="B8">
        <f t="shared" si="0"/>
        <v>3.7152173909999995</v>
      </c>
      <c r="C8">
        <f t="shared" si="1"/>
        <v>1.012532359536723</v>
      </c>
    </row>
    <row r="9" spans="1:3">
      <c r="A9" s="2">
        <v>9</v>
      </c>
      <c r="B9">
        <f t="shared" si="0"/>
        <v>5.1753913039999997</v>
      </c>
      <c r="C9">
        <f t="shared" si="1"/>
        <v>1.0130163472318796</v>
      </c>
    </row>
    <row r="10" spans="1:3">
      <c r="A10" s="2">
        <v>10</v>
      </c>
      <c r="B10">
        <f t="shared" si="0"/>
        <v>6.6355652169999999</v>
      </c>
      <c r="C10">
        <f t="shared" si="1"/>
        <v>1.0135025483917415</v>
      </c>
    </row>
    <row r="11" spans="1:3">
      <c r="A11" s="2">
        <v>11</v>
      </c>
      <c r="B11">
        <f t="shared" si="0"/>
        <v>8.0957391300000001</v>
      </c>
      <c r="C11">
        <f t="shared" si="1"/>
        <v>1.013991170203868</v>
      </c>
    </row>
    <row r="12" spans="1:3">
      <c r="A12" s="2">
        <v>12</v>
      </c>
      <c r="B12">
        <f t="shared" si="0"/>
        <v>9.5559130430000003</v>
      </c>
      <c r="C12">
        <f t="shared" si="1"/>
        <v>1.0144824415399791</v>
      </c>
    </row>
    <row r="13" spans="1:3">
      <c r="A13" s="2">
        <v>13</v>
      </c>
      <c r="B13">
        <f t="shared" si="0"/>
        <v>11.016086955999999</v>
      </c>
      <c r="C13">
        <f t="shared" si="1"/>
        <v>1.0149766148757242</v>
      </c>
    </row>
    <row r="14" spans="1:3">
      <c r="A14" s="2">
        <v>14</v>
      </c>
      <c r="B14">
        <f t="shared" si="0"/>
        <v>12.476260869000001</v>
      </c>
      <c r="C14">
        <f t="shared" si="1"/>
        <v>1.0154739681593858</v>
      </c>
    </row>
    <row r="15" spans="1:3">
      <c r="A15" s="2">
        <v>15</v>
      </c>
      <c r="B15">
        <f t="shared" si="0"/>
        <v>13.936434781999999</v>
      </c>
      <c r="C15">
        <f t="shared" si="1"/>
        <v>1.0159748065218779</v>
      </c>
    </row>
    <row r="16" spans="1:3">
      <c r="A16" s="2">
        <v>16</v>
      </c>
      <c r="B16">
        <f t="shared" si="0"/>
        <v>15.396608695000001</v>
      </c>
      <c r="C16">
        <f t="shared" si="1"/>
        <v>1.0164794636800338</v>
      </c>
    </row>
    <row r="17" spans="1:3">
      <c r="A17" s="2">
        <v>17</v>
      </c>
      <c r="B17">
        <f t="shared" si="0"/>
        <v>16.856782608</v>
      </c>
      <c r="C17">
        <f t="shared" si="1"/>
        <v>1.0169883028373399</v>
      </c>
    </row>
    <row r="18" spans="1:3">
      <c r="A18" s="2">
        <v>18</v>
      </c>
      <c r="B18">
        <f t="shared" si="0"/>
        <v>18.316956520999998</v>
      </c>
      <c r="C18">
        <f t="shared" si="1"/>
        <v>1.0175017168329092</v>
      </c>
    </row>
    <row r="19" spans="1:3">
      <c r="A19" s="2">
        <v>19</v>
      </c>
      <c r="B19">
        <f t="shared" si="0"/>
        <v>19.777130434</v>
      </c>
      <c r="C19">
        <f t="shared" si="1"/>
        <v>1.0180201272353175</v>
      </c>
    </row>
    <row r="20" spans="1:3">
      <c r="A20" s="2">
        <v>20</v>
      </c>
      <c r="B20">
        <f t="shared" si="0"/>
        <v>21.237304346999998</v>
      </c>
      <c r="C20">
        <f t="shared" si="1"/>
        <v>1.0185439820312798</v>
      </c>
    </row>
    <row r="21" spans="1:3">
      <c r="A21" s="2">
        <v>21</v>
      </c>
      <c r="B21">
        <f t="shared" si="0"/>
        <v>22.69747826</v>
      </c>
      <c r="C21">
        <f t="shared" si="1"/>
        <v>1.0190737515331341</v>
      </c>
    </row>
    <row r="22" spans="1:3">
      <c r="A22" s="2">
        <v>22</v>
      </c>
      <c r="B22">
        <f t="shared" si="0"/>
        <v>24.157652172999999</v>
      </c>
      <c r="C22">
        <f t="shared" si="1"/>
        <v>1.0196099221415771</v>
      </c>
    </row>
    <row r="23" spans="1:3">
      <c r="A23" s="2">
        <v>23</v>
      </c>
      <c r="B23">
        <f t="shared" si="0"/>
        <v>25.617826086000001</v>
      </c>
      <c r="C23">
        <f t="shared" si="1"/>
        <v>1.0201529876724609</v>
      </c>
    </row>
    <row r="24" spans="1:3">
      <c r="A24" s="2">
        <v>24</v>
      </c>
      <c r="B24">
        <f t="shared" si="0"/>
        <v>27.077999998999999</v>
      </c>
      <c r="C24">
        <f t="shared" si="1"/>
        <v>1.0207034381094362</v>
      </c>
    </row>
    <row r="25" spans="1:3">
      <c r="A25" s="2">
        <v>25</v>
      </c>
      <c r="B25">
        <f t="shared" si="0"/>
        <v>28.538173911999998</v>
      </c>
      <c r="C25">
        <f t="shared" si="1"/>
        <v>1.0212617458908113</v>
      </c>
    </row>
    <row r="26" spans="1:3">
      <c r="A26" s="2">
        <v>26</v>
      </c>
      <c r="B26">
        <f t="shared" si="0"/>
        <v>29.998347824999996</v>
      </c>
      <c r="C26">
        <f t="shared" si="1"/>
        <v>1.0218283501742487</v>
      </c>
    </row>
    <row r="27" spans="1:3">
      <c r="A27" s="2">
        <v>27</v>
      </c>
      <c r="B27">
        <f t="shared" si="0"/>
        <v>31.458521738000002</v>
      </c>
      <c r="C27">
        <f t="shared" si="1"/>
        <v>1.0224036399141867</v>
      </c>
    </row>
    <row r="28" spans="1:3">
      <c r="A28" s="2">
        <v>28</v>
      </c>
      <c r="B28">
        <f t="shared" si="0"/>
        <v>32.918695651</v>
      </c>
      <c r="C28">
        <f t="shared" si="1"/>
        <v>1.0229879369686283</v>
      </c>
    </row>
    <row r="29" spans="1:3">
      <c r="A29" s="2">
        <v>29</v>
      </c>
      <c r="B29">
        <f t="shared" si="0"/>
        <v>34.378869563999999</v>
      </c>
      <c r="C29">
        <f t="shared" si="1"/>
        <v>1.0235814807323964</v>
      </c>
    </row>
    <row r="30" spans="1:3">
      <c r="A30" s="2">
        <v>30</v>
      </c>
      <c r="B30">
        <f t="shared" si="0"/>
        <v>35.839043476999997</v>
      </c>
      <c r="C30">
        <f t="shared" si="1"/>
        <v>1.0241844158765567</v>
      </c>
    </row>
    <row r="31" spans="1:3">
      <c r="A31" s="2">
        <v>31</v>
      </c>
      <c r="B31">
        <f t="shared" si="0"/>
        <v>37.299217390000003</v>
      </c>
      <c r="C31">
        <f t="shared" si="1"/>
        <v>1.024796784590758</v>
      </c>
    </row>
    <row r="32" spans="1:3">
      <c r="A32" s="2">
        <v>32</v>
      </c>
      <c r="B32">
        <f t="shared" si="0"/>
        <v>38.759391303000001</v>
      </c>
      <c r="C32">
        <f t="shared" si="1"/>
        <v>1.0254185242710832</v>
      </c>
    </row>
    <row r="33" spans="1:3">
      <c r="A33" s="2">
        <v>33</v>
      </c>
      <c r="B33">
        <f t="shared" ref="B33:B64" si="2">-6.506+(A33-1)*1.460173913</f>
        <v>40.219565215999999</v>
      </c>
      <c r="C33">
        <f t="shared" ref="C33:C64" si="3">1.00676417221889+0.000415518861505182*B33+0.053991847617027*(0.00219298245614035+(B33-35.6961842105263)^2/260324.819360526)^0.5</f>
        <v>1.0260494709428798</v>
      </c>
    </row>
    <row r="34" spans="1:3">
      <c r="A34" s="2">
        <v>34</v>
      </c>
      <c r="B34">
        <f t="shared" si="2"/>
        <v>41.679739128999998</v>
      </c>
      <c r="C34">
        <f t="shared" si="3"/>
        <v>1.0266893679914308</v>
      </c>
    </row>
    <row r="35" spans="1:3">
      <c r="A35" s="2">
        <v>35</v>
      </c>
      <c r="B35">
        <f t="shared" si="2"/>
        <v>43.139913041999996</v>
      </c>
      <c r="C35">
        <f t="shared" si="3"/>
        <v>1.0273378791500072</v>
      </c>
    </row>
    <row r="36" spans="1:3">
      <c r="A36" s="2">
        <v>36</v>
      </c>
      <c r="B36">
        <f t="shared" si="2"/>
        <v>44.600086955000002</v>
      </c>
      <c r="C36">
        <f t="shared" si="3"/>
        <v>1.0279946042904986</v>
      </c>
    </row>
    <row r="37" spans="1:3">
      <c r="A37" s="2">
        <v>37</v>
      </c>
      <c r="B37">
        <f t="shared" si="2"/>
        <v>46.060260868</v>
      </c>
      <c r="C37">
        <f t="shared" si="3"/>
        <v>1.0286590964336242</v>
      </c>
    </row>
    <row r="38" spans="1:3">
      <c r="A38" s="2">
        <v>38</v>
      </c>
      <c r="B38">
        <f t="shared" si="2"/>
        <v>47.520434780999999</v>
      </c>
      <c r="C38">
        <f t="shared" si="3"/>
        <v>1.0293308785237663</v>
      </c>
    </row>
    <row r="39" spans="1:3">
      <c r="A39" s="2">
        <v>39</v>
      </c>
      <c r="B39">
        <f t="shared" si="2"/>
        <v>48.980608693999997</v>
      </c>
      <c r="C39">
        <f t="shared" si="3"/>
        <v>1.0300094588216524</v>
      </c>
    </row>
    <row r="40" spans="1:3">
      <c r="A40" s="2">
        <v>40</v>
      </c>
      <c r="B40">
        <f t="shared" si="2"/>
        <v>50.440782607000003</v>
      </c>
      <c r="C40">
        <f t="shared" si="3"/>
        <v>1.0306943441583116</v>
      </c>
    </row>
    <row r="41" spans="1:3">
      <c r="A41" s="2">
        <v>41</v>
      </c>
      <c r="B41">
        <f t="shared" si="2"/>
        <v>51.900956520000001</v>
      </c>
      <c r="C41">
        <f t="shared" si="3"/>
        <v>1.0313850506781745</v>
      </c>
    </row>
    <row r="42" spans="1:3">
      <c r="A42" s="2">
        <v>42</v>
      </c>
      <c r="B42">
        <f t="shared" si="2"/>
        <v>53.361130433</v>
      </c>
      <c r="C42">
        <f t="shared" si="3"/>
        <v>1.0320811120186701</v>
      </c>
    </row>
    <row r="43" spans="1:3">
      <c r="A43" s="2">
        <v>43</v>
      </c>
      <c r="B43">
        <f t="shared" si="2"/>
        <v>54.821304345999998</v>
      </c>
      <c r="C43">
        <f t="shared" si="3"/>
        <v>1.0327820851016134</v>
      </c>
    </row>
    <row r="44" spans="1:3">
      <c r="A44" s="2">
        <v>44</v>
      </c>
      <c r="B44">
        <f t="shared" si="2"/>
        <v>56.281478258999996</v>
      </c>
      <c r="C44">
        <f t="shared" si="3"/>
        <v>1.0334875538474759</v>
      </c>
    </row>
    <row r="45" spans="1:3">
      <c r="A45" s="2">
        <v>45</v>
      </c>
      <c r="B45">
        <f t="shared" si="2"/>
        <v>57.741652172000002</v>
      </c>
      <c r="C45">
        <f t="shared" si="3"/>
        <v>1.0341971311825617</v>
      </c>
    </row>
    <row r="46" spans="1:3">
      <c r="A46" s="2">
        <v>46</v>
      </c>
      <c r="B46">
        <f t="shared" si="2"/>
        <v>59.201826084999993</v>
      </c>
      <c r="C46">
        <f t="shared" si="3"/>
        <v>1.0349104597124299</v>
      </c>
    </row>
    <row r="47" spans="1:3">
      <c r="A47" s="2">
        <v>47</v>
      </c>
      <c r="B47">
        <f t="shared" si="2"/>
        <v>60.661999997999999</v>
      </c>
      <c r="C47">
        <f t="shared" si="3"/>
        <v>1.035627211403604</v>
      </c>
    </row>
    <row r="48" spans="1:3">
      <c r="A48" s="2">
        <v>48</v>
      </c>
      <c r="B48">
        <f t="shared" si="2"/>
        <v>62.122173911000004</v>
      </c>
      <c r="C48">
        <f t="shared" si="3"/>
        <v>1.0363470865666149</v>
      </c>
    </row>
    <row r="49" spans="1:3">
      <c r="A49" s="2">
        <v>49</v>
      </c>
      <c r="B49">
        <f t="shared" si="2"/>
        <v>63.582347823999996</v>
      </c>
      <c r="C49">
        <f t="shared" si="3"/>
        <v>1.0370698123788828</v>
      </c>
    </row>
    <row r="50" spans="1:3">
      <c r="A50" s="2">
        <v>50</v>
      </c>
      <c r="B50">
        <f t="shared" si="2"/>
        <v>65.042521737000001</v>
      </c>
      <c r="C50">
        <f t="shared" si="3"/>
        <v>1.037795141133395</v>
      </c>
    </row>
    <row r="51" spans="1:3">
      <c r="A51" s="2">
        <v>51</v>
      </c>
      <c r="B51">
        <f t="shared" si="2"/>
        <v>66.502695649999993</v>
      </c>
      <c r="C51">
        <f t="shared" si="3"/>
        <v>1.0385228483526678</v>
      </c>
    </row>
    <row r="52" spans="1:3">
      <c r="A52" s="2">
        <v>52</v>
      </c>
      <c r="B52">
        <f t="shared" si="2"/>
        <v>67.962869562999998</v>
      </c>
      <c r="C52">
        <f t="shared" si="3"/>
        <v>1.0392527308686677</v>
      </c>
    </row>
    <row r="53" spans="1:3">
      <c r="A53" s="2">
        <v>53</v>
      </c>
      <c r="B53">
        <f t="shared" si="2"/>
        <v>69.423043476000004</v>
      </c>
      <c r="C53">
        <f t="shared" si="3"/>
        <v>1.0399846049383668</v>
      </c>
    </row>
    <row r="54" spans="1:3">
      <c r="A54" s="2">
        <v>54</v>
      </c>
      <c r="B54">
        <f t="shared" si="2"/>
        <v>70.883217388999995</v>
      </c>
      <c r="C54">
        <f t="shared" si="3"/>
        <v>1.0407183044406916</v>
      </c>
    </row>
    <row r="55" spans="1:3">
      <c r="A55" s="2">
        <v>55</v>
      </c>
      <c r="B55">
        <f t="shared" si="2"/>
        <v>72.343391302000001</v>
      </c>
      <c r="C55">
        <f t="shared" si="3"/>
        <v>1.0414536791827222</v>
      </c>
    </row>
    <row r="56" spans="1:3">
      <c r="A56" s="2">
        <v>56</v>
      </c>
      <c r="B56">
        <f t="shared" si="2"/>
        <v>73.803565215000006</v>
      </c>
      <c r="C56">
        <f t="shared" si="3"/>
        <v>1.0421905933300133</v>
      </c>
    </row>
    <row r="57" spans="1:3">
      <c r="A57" s="2">
        <v>57</v>
      </c>
      <c r="B57">
        <f t="shared" si="2"/>
        <v>75.263739127999997</v>
      </c>
      <c r="C57">
        <f t="shared" si="3"/>
        <v>1.0429289239667408</v>
      </c>
    </row>
    <row r="58" spans="1:3">
      <c r="A58" s="2">
        <v>58</v>
      </c>
      <c r="B58">
        <f t="shared" si="2"/>
        <v>76.723913041000003</v>
      </c>
      <c r="C58">
        <f t="shared" si="3"/>
        <v>1.0436685597851467</v>
      </c>
    </row>
    <row r="59" spans="1:3">
      <c r="A59" s="2">
        <v>59</v>
      </c>
      <c r="B59">
        <f t="shared" si="2"/>
        <v>78.184086953999994</v>
      </c>
      <c r="C59">
        <f t="shared" si="3"/>
        <v>1.044409399899678</v>
      </c>
    </row>
    <row r="60" spans="1:3">
      <c r="A60" s="2">
        <v>60</v>
      </c>
      <c r="B60">
        <f t="shared" si="2"/>
        <v>79.644260867</v>
      </c>
      <c r="C60">
        <f t="shared" si="3"/>
        <v>1.0451513527787393</v>
      </c>
    </row>
    <row r="61" spans="1:3">
      <c r="A61" s="2">
        <v>61</v>
      </c>
      <c r="B61">
        <f t="shared" si="2"/>
        <v>81.104434780000005</v>
      </c>
      <c r="C61">
        <f t="shared" si="3"/>
        <v>1.0458943352856014</v>
      </c>
    </row>
    <row r="62" spans="1:3">
      <c r="A62" s="2">
        <v>62</v>
      </c>
      <c r="B62">
        <f t="shared" si="2"/>
        <v>82.564608692999997</v>
      </c>
      <c r="C62">
        <f t="shared" si="3"/>
        <v>1.046638271819432</v>
      </c>
    </row>
    <row r="63" spans="1:3">
      <c r="A63" s="2">
        <v>63</v>
      </c>
      <c r="B63">
        <f t="shared" si="2"/>
        <v>84.024782606000002</v>
      </c>
      <c r="C63">
        <f t="shared" si="3"/>
        <v>1.0473830935473307</v>
      </c>
    </row>
    <row r="64" spans="1:3">
      <c r="A64" s="2">
        <v>64</v>
      </c>
      <c r="B64">
        <f t="shared" si="2"/>
        <v>85.484956518999994</v>
      </c>
      <c r="C64">
        <f t="shared" si="3"/>
        <v>1.0481287377185455</v>
      </c>
    </row>
    <row r="65" spans="1:3">
      <c r="A65" s="2">
        <v>65</v>
      </c>
      <c r="B65">
        <f t="shared" ref="B65:B70" si="4">-6.506+(A65-1)*1.460173913</f>
        <v>86.945130431999999</v>
      </c>
      <c r="C65">
        <f t="shared" ref="C65:C70" si="5">1.00676417221889+0.000415518861505182*B65+0.053991847617027*(0.00219298245614035+(B65-35.6961842105263)^2/260324.819360526)^0.5</f>
        <v>1.0488751470525024</v>
      </c>
    </row>
    <row r="66" spans="1:3">
      <c r="A66" s="2">
        <v>66</v>
      </c>
      <c r="B66">
        <f t="shared" si="4"/>
        <v>88.405304345000005</v>
      </c>
      <c r="C66">
        <f t="shared" si="5"/>
        <v>1.0496222691928969</v>
      </c>
    </row>
    <row r="67" spans="1:3">
      <c r="A67" s="2">
        <v>67</v>
      </c>
      <c r="B67">
        <f t="shared" si="4"/>
        <v>89.865478257999996</v>
      </c>
      <c r="C67">
        <f t="shared" si="5"/>
        <v>1.0503700562207223</v>
      </c>
    </row>
    <row r="68" spans="1:3">
      <c r="A68" s="2">
        <v>68</v>
      </c>
      <c r="B68">
        <f t="shared" si="4"/>
        <v>91.325652171000002</v>
      </c>
      <c r="C68">
        <f t="shared" si="5"/>
        <v>1.0511184642197839</v>
      </c>
    </row>
    <row r="69" spans="1:3">
      <c r="A69" s="2">
        <v>69</v>
      </c>
      <c r="B69">
        <f t="shared" si="4"/>
        <v>92.785826083999993</v>
      </c>
      <c r="C69">
        <f t="shared" si="5"/>
        <v>1.0518674528888687</v>
      </c>
    </row>
    <row r="70" spans="1:3">
      <c r="A70" s="2">
        <v>70</v>
      </c>
      <c r="B70">
        <f t="shared" si="4"/>
        <v>94.245999996999998</v>
      </c>
      <c r="C70">
        <f t="shared" si="5"/>
        <v>1.05261698519536</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1.00676417221889+0.000415518861505182*B1-0.053991847617027*(1.00219298245614+(B1-35.6961842105263)^2/260324.819360526)^0.5</f>
        <v>0.94982561182971659</v>
      </c>
    </row>
    <row r="2" spans="1:3">
      <c r="A2" s="2">
        <v>2</v>
      </c>
      <c r="B2">
        <f t="shared" si="0"/>
        <v>-5.4883030303</v>
      </c>
      <c r="C2">
        <f t="shared" si="1"/>
        <v>0.95025724564294567</v>
      </c>
    </row>
    <row r="3" spans="1:3">
      <c r="A3" s="2">
        <v>3</v>
      </c>
      <c r="B3">
        <f t="shared" si="0"/>
        <v>-4.4706060605999998</v>
      </c>
      <c r="C3">
        <f t="shared" si="1"/>
        <v>0.95068866695958187</v>
      </c>
    </row>
    <row r="4" spans="1:3">
      <c r="A4" s="2">
        <v>4</v>
      </c>
      <c r="B4">
        <f t="shared" si="0"/>
        <v>-3.4529090909000004</v>
      </c>
      <c r="C4">
        <f t="shared" si="1"/>
        <v>0.95111987567909084</v>
      </c>
    </row>
    <row r="5" spans="1:3">
      <c r="A5" s="2">
        <v>5</v>
      </c>
      <c r="B5">
        <f t="shared" si="0"/>
        <v>-2.4352121212000002</v>
      </c>
      <c r="C5">
        <f t="shared" si="1"/>
        <v>0.95155087170337704</v>
      </c>
    </row>
    <row r="6" spans="1:3">
      <c r="A6" s="2">
        <v>6</v>
      </c>
      <c r="B6">
        <f t="shared" si="0"/>
        <v>-1.4175151515</v>
      </c>
      <c r="C6">
        <f t="shared" si="1"/>
        <v>0.9519816549367901</v>
      </c>
    </row>
    <row r="7" spans="1:3">
      <c r="A7" s="2">
        <v>7</v>
      </c>
      <c r="B7">
        <f t="shared" si="0"/>
        <v>-0.39981818180000062</v>
      </c>
      <c r="C7">
        <f t="shared" si="1"/>
        <v>0.95241222528612979</v>
      </c>
    </row>
    <row r="8" spans="1:3">
      <c r="A8" s="2">
        <v>8</v>
      </c>
      <c r="B8">
        <f t="shared" si="0"/>
        <v>0.61787878789999962</v>
      </c>
      <c r="C8">
        <f t="shared" si="1"/>
        <v>0.95284258266065158</v>
      </c>
    </row>
    <row r="9" spans="1:3">
      <c r="A9" s="2">
        <v>9</v>
      </c>
      <c r="B9">
        <f t="shared" si="0"/>
        <v>1.6355757575999998</v>
      </c>
      <c r="C9">
        <f t="shared" si="1"/>
        <v>0.95327272697207199</v>
      </c>
    </row>
    <row r="10" spans="1:3">
      <c r="A10" s="2">
        <v>10</v>
      </c>
      <c r="B10">
        <f t="shared" si="0"/>
        <v>2.6532727272999992</v>
      </c>
      <c r="C10">
        <f t="shared" si="1"/>
        <v>0.95370265813457378</v>
      </c>
    </row>
    <row r="11" spans="1:3">
      <c r="A11" s="2">
        <v>11</v>
      </c>
      <c r="B11">
        <f t="shared" si="0"/>
        <v>3.6709696970000003</v>
      </c>
      <c r="C11">
        <f t="shared" si="1"/>
        <v>0.95413237606481116</v>
      </c>
    </row>
    <row r="12" spans="1:3">
      <c r="A12" s="2">
        <v>12</v>
      </c>
      <c r="B12">
        <f t="shared" si="0"/>
        <v>4.6886666666999997</v>
      </c>
      <c r="C12">
        <f t="shared" si="1"/>
        <v>0.95456188068191472</v>
      </c>
    </row>
    <row r="13" spans="1:3">
      <c r="A13" s="2">
        <v>13</v>
      </c>
      <c r="B13">
        <f t="shared" si="0"/>
        <v>5.706363636399999</v>
      </c>
      <c r="C13">
        <f t="shared" si="1"/>
        <v>0.95499117190749527</v>
      </c>
    </row>
    <row r="14" spans="1:3">
      <c r="A14" s="2">
        <v>14</v>
      </c>
      <c r="B14">
        <f t="shared" si="0"/>
        <v>6.7240606061000001</v>
      </c>
      <c r="C14">
        <f t="shared" si="1"/>
        <v>0.95542024966564953</v>
      </c>
    </row>
    <row r="15" spans="1:3">
      <c r="A15" s="2">
        <v>15</v>
      </c>
      <c r="B15">
        <f t="shared" si="0"/>
        <v>7.7417575757999995</v>
      </c>
      <c r="C15">
        <f t="shared" si="1"/>
        <v>0.95584911388296456</v>
      </c>
    </row>
    <row r="16" spans="1:3">
      <c r="A16" s="2">
        <v>16</v>
      </c>
      <c r="B16">
        <f t="shared" si="0"/>
        <v>8.7594545455000006</v>
      </c>
      <c r="C16">
        <f t="shared" si="1"/>
        <v>0.95627776448852153</v>
      </c>
    </row>
    <row r="17" spans="1:3">
      <c r="A17" s="2">
        <v>17</v>
      </c>
      <c r="B17">
        <f t="shared" si="0"/>
        <v>9.7771515151999999</v>
      </c>
      <c r="C17">
        <f t="shared" si="1"/>
        <v>0.95670620141389962</v>
      </c>
    </row>
    <row r="18" spans="1:3">
      <c r="A18" s="2">
        <v>18</v>
      </c>
      <c r="B18">
        <f t="shared" si="0"/>
        <v>10.794848484900001</v>
      </c>
      <c r="C18">
        <f t="shared" si="1"/>
        <v>0.95713442459318121</v>
      </c>
    </row>
    <row r="19" spans="1:3">
      <c r="A19" s="2">
        <v>19</v>
      </c>
      <c r="B19">
        <f t="shared" si="0"/>
        <v>11.812545454599999</v>
      </c>
      <c r="C19">
        <f t="shared" si="1"/>
        <v>0.95756243396295482</v>
      </c>
    </row>
    <row r="20" spans="1:3">
      <c r="A20" s="2">
        <v>20</v>
      </c>
      <c r="B20">
        <f t="shared" si="0"/>
        <v>12.8302424243</v>
      </c>
      <c r="C20">
        <f t="shared" si="1"/>
        <v>0.95799022946231915</v>
      </c>
    </row>
    <row r="21" spans="1:3">
      <c r="A21" s="2">
        <v>21</v>
      </c>
      <c r="B21">
        <f t="shared" si="0"/>
        <v>13.847939394000001</v>
      </c>
      <c r="C21">
        <f t="shared" si="1"/>
        <v>0.95841781103288703</v>
      </c>
    </row>
    <row r="22" spans="1:3">
      <c r="A22" s="2">
        <v>22</v>
      </c>
      <c r="B22">
        <f t="shared" si="0"/>
        <v>14.865636363699998</v>
      </c>
      <c r="C22">
        <f t="shared" si="1"/>
        <v>0.95884517861878771</v>
      </c>
    </row>
    <row r="23" spans="1:3">
      <c r="A23" s="2">
        <v>23</v>
      </c>
      <c r="B23">
        <f t="shared" si="0"/>
        <v>15.8833333334</v>
      </c>
      <c r="C23">
        <f t="shared" si="1"/>
        <v>0.95927233216667163</v>
      </c>
    </row>
    <row r="24" spans="1:3">
      <c r="A24" s="2">
        <v>24</v>
      </c>
      <c r="B24">
        <f t="shared" si="0"/>
        <v>16.901030303100001</v>
      </c>
      <c r="C24">
        <f t="shared" si="1"/>
        <v>0.95969927162571289</v>
      </c>
    </row>
    <row r="25" spans="1:3">
      <c r="A25" s="2">
        <v>25</v>
      </c>
      <c r="B25">
        <f t="shared" si="0"/>
        <v>17.918727272799998</v>
      </c>
      <c r="C25">
        <f t="shared" si="1"/>
        <v>0.96012599694761214</v>
      </c>
    </row>
    <row r="26" spans="1:3">
      <c r="A26" s="2">
        <v>26</v>
      </c>
      <c r="B26">
        <f t="shared" si="0"/>
        <v>18.936424242499999</v>
      </c>
      <c r="C26">
        <f t="shared" si="1"/>
        <v>0.96055250808659942</v>
      </c>
    </row>
    <row r="27" spans="1:3">
      <c r="A27" s="2">
        <v>27</v>
      </c>
      <c r="B27">
        <f t="shared" si="0"/>
        <v>19.9541212122</v>
      </c>
      <c r="C27">
        <f t="shared" si="1"/>
        <v>0.96097880499943744</v>
      </c>
    </row>
    <row r="28" spans="1:3">
      <c r="A28" s="2">
        <v>28</v>
      </c>
      <c r="B28">
        <f t="shared" si="0"/>
        <v>20.971818181900002</v>
      </c>
      <c r="C28">
        <f t="shared" si="1"/>
        <v>0.96140488764542331</v>
      </c>
    </row>
    <row r="29" spans="1:3">
      <c r="A29" s="2">
        <v>29</v>
      </c>
      <c r="B29">
        <f t="shared" si="0"/>
        <v>21.989515151599999</v>
      </c>
      <c r="C29">
        <f t="shared" si="1"/>
        <v>0.96183075598639201</v>
      </c>
    </row>
    <row r="30" spans="1:3">
      <c r="A30" s="2">
        <v>30</v>
      </c>
      <c r="B30">
        <f t="shared" si="0"/>
        <v>23.0072121213</v>
      </c>
      <c r="C30">
        <f t="shared" si="1"/>
        <v>0.96225640998671724</v>
      </c>
    </row>
    <row r="31" spans="1:3">
      <c r="A31" s="2">
        <v>31</v>
      </c>
      <c r="B31">
        <f t="shared" si="0"/>
        <v>24.024909091000001</v>
      </c>
      <c r="C31">
        <f t="shared" si="1"/>
        <v>0.96268184961331504</v>
      </c>
    </row>
    <row r="32" spans="1:3">
      <c r="A32" s="2">
        <v>32</v>
      </c>
      <c r="B32">
        <f t="shared" si="0"/>
        <v>25.042606060699999</v>
      </c>
      <c r="C32">
        <f t="shared" si="1"/>
        <v>0.96310707483564462</v>
      </c>
    </row>
    <row r="33" spans="1:3">
      <c r="A33" s="2">
        <v>33</v>
      </c>
      <c r="B33">
        <f t="shared" ref="B33:B64" si="2">-6.506+(A33-1)*1.0176969697</f>
        <v>26.0603030304</v>
      </c>
      <c r="C33">
        <f t="shared" ref="C33:C64" si="3">1.00676417221889+0.000415518861505182*B33-0.053991847617027*(1.00219298245614+(B33-35.6961842105263)^2/260324.819360526)^0.5</f>
        <v>0.96353208562571091</v>
      </c>
    </row>
    <row r="34" spans="1:3">
      <c r="A34" s="2">
        <v>34</v>
      </c>
      <c r="B34">
        <f t="shared" si="2"/>
        <v>27.078000000099998</v>
      </c>
      <c r="C34">
        <f t="shared" si="3"/>
        <v>0.96395688195806595</v>
      </c>
    </row>
    <row r="35" spans="1:3">
      <c r="A35" s="2">
        <v>35</v>
      </c>
      <c r="B35">
        <f t="shared" si="2"/>
        <v>28.095696969800002</v>
      </c>
      <c r="C35">
        <f t="shared" si="3"/>
        <v>0.96438146380980971</v>
      </c>
    </row>
    <row r="36" spans="1:3">
      <c r="A36" s="2">
        <v>36</v>
      </c>
      <c r="B36">
        <f t="shared" si="2"/>
        <v>29.1133939395</v>
      </c>
      <c r="C36">
        <f t="shared" si="3"/>
        <v>0.96480583116059304</v>
      </c>
    </row>
    <row r="37" spans="1:3">
      <c r="A37" s="2">
        <v>37</v>
      </c>
      <c r="B37">
        <f t="shared" si="2"/>
        <v>30.131090909199997</v>
      </c>
      <c r="C37">
        <f t="shared" si="3"/>
        <v>0.96522998399261739</v>
      </c>
    </row>
    <row r="38" spans="1:3">
      <c r="A38" s="2">
        <v>38</v>
      </c>
      <c r="B38">
        <f t="shared" si="2"/>
        <v>31.148787878900002</v>
      </c>
      <c r="C38">
        <f t="shared" si="3"/>
        <v>0.96565392229063685</v>
      </c>
    </row>
    <row r="39" spans="1:3">
      <c r="A39" s="2">
        <v>39</v>
      </c>
      <c r="B39">
        <f t="shared" si="2"/>
        <v>32.1664848486</v>
      </c>
      <c r="C39">
        <f t="shared" si="3"/>
        <v>0.96607764604195789</v>
      </c>
    </row>
    <row r="40" spans="1:3">
      <c r="A40" s="2">
        <v>40</v>
      </c>
      <c r="B40">
        <f t="shared" si="2"/>
        <v>33.184181818299997</v>
      </c>
      <c r="C40">
        <f t="shared" si="3"/>
        <v>0.96650115523644176</v>
      </c>
    </row>
    <row r="41" spans="1:3">
      <c r="A41" s="2">
        <v>41</v>
      </c>
      <c r="B41">
        <f t="shared" si="2"/>
        <v>34.201878788000002</v>
      </c>
      <c r="C41">
        <f t="shared" si="3"/>
        <v>0.96692444986650361</v>
      </c>
    </row>
    <row r="42" spans="1:3">
      <c r="A42" s="2">
        <v>42</v>
      </c>
      <c r="B42">
        <f t="shared" si="2"/>
        <v>35.219575757699999</v>
      </c>
      <c r="C42">
        <f t="shared" si="3"/>
        <v>0.96734752992711415</v>
      </c>
    </row>
    <row r="43" spans="1:3">
      <c r="A43" s="2">
        <v>43</v>
      </c>
      <c r="B43">
        <f t="shared" si="2"/>
        <v>36.237272727399997</v>
      </c>
      <c r="C43">
        <f t="shared" si="3"/>
        <v>0.96777039541579846</v>
      </c>
    </row>
    <row r="44" spans="1:3">
      <c r="A44" s="2">
        <v>44</v>
      </c>
      <c r="B44">
        <f t="shared" si="2"/>
        <v>37.254969697100002</v>
      </c>
      <c r="C44">
        <f t="shared" si="3"/>
        <v>0.9681930463326377</v>
      </c>
    </row>
    <row r="45" spans="1:3">
      <c r="A45" s="2">
        <v>45</v>
      </c>
      <c r="B45">
        <f t="shared" si="2"/>
        <v>38.272666666799999</v>
      </c>
      <c r="C45">
        <f t="shared" si="3"/>
        <v>0.9686154826802682</v>
      </c>
    </row>
    <row r="46" spans="1:3">
      <c r="A46" s="2">
        <v>46</v>
      </c>
      <c r="B46">
        <f t="shared" si="2"/>
        <v>39.290363636499997</v>
      </c>
      <c r="C46">
        <f t="shared" si="3"/>
        <v>0.96903770446388171</v>
      </c>
    </row>
    <row r="47" spans="1:3">
      <c r="A47" s="2">
        <v>47</v>
      </c>
      <c r="B47">
        <f t="shared" si="2"/>
        <v>40.308060606200002</v>
      </c>
      <c r="C47">
        <f t="shared" si="3"/>
        <v>0.96945971169122447</v>
      </c>
    </row>
    <row r="48" spans="1:3">
      <c r="A48" s="2">
        <v>48</v>
      </c>
      <c r="B48">
        <f t="shared" si="2"/>
        <v>41.325757575899999</v>
      </c>
      <c r="C48">
        <f t="shared" si="3"/>
        <v>0.96988150437259746</v>
      </c>
    </row>
    <row r="49" spans="1:3">
      <c r="A49" s="2">
        <v>49</v>
      </c>
      <c r="B49">
        <f t="shared" si="2"/>
        <v>42.343454545599997</v>
      </c>
      <c r="C49">
        <f t="shared" si="3"/>
        <v>0.97030308252085551</v>
      </c>
    </row>
    <row r="50" spans="1:3">
      <c r="A50" s="2">
        <v>50</v>
      </c>
      <c r="B50">
        <f t="shared" si="2"/>
        <v>43.361151515300001</v>
      </c>
      <c r="C50">
        <f t="shared" si="3"/>
        <v>0.97072444615140663</v>
      </c>
    </row>
    <row r="51" spans="1:3">
      <c r="A51" s="2">
        <v>51</v>
      </c>
      <c r="B51">
        <f t="shared" si="2"/>
        <v>44.378848484999999</v>
      </c>
      <c r="C51">
        <f t="shared" si="3"/>
        <v>0.97114559528221112</v>
      </c>
    </row>
    <row r="52" spans="1:3">
      <c r="A52" s="2">
        <v>52</v>
      </c>
      <c r="B52">
        <f t="shared" si="2"/>
        <v>45.396545454700004</v>
      </c>
      <c r="C52">
        <f t="shared" si="3"/>
        <v>0.97156652993377957</v>
      </c>
    </row>
    <row r="53" spans="1:3">
      <c r="A53" s="2">
        <v>53</v>
      </c>
      <c r="B53">
        <f t="shared" si="2"/>
        <v>46.414242424400001</v>
      </c>
      <c r="C53">
        <f t="shared" si="3"/>
        <v>0.97198725012917331</v>
      </c>
    </row>
    <row r="54" spans="1:3">
      <c r="A54" s="2">
        <v>54</v>
      </c>
      <c r="B54">
        <f t="shared" si="2"/>
        <v>47.431939394099999</v>
      </c>
      <c r="C54">
        <f t="shared" si="3"/>
        <v>0.97240775589400197</v>
      </c>
    </row>
    <row r="55" spans="1:3">
      <c r="A55" s="2">
        <v>55</v>
      </c>
      <c r="B55">
        <f t="shared" si="2"/>
        <v>48.449636363800003</v>
      </c>
      <c r="C55">
        <f t="shared" si="3"/>
        <v>0.97282804725642213</v>
      </c>
    </row>
    <row r="56" spans="1:3">
      <c r="A56" s="2">
        <v>56</v>
      </c>
      <c r="B56">
        <f t="shared" si="2"/>
        <v>49.467333333500001</v>
      </c>
      <c r="C56">
        <f t="shared" si="3"/>
        <v>0.97324812424713536</v>
      </c>
    </row>
    <row r="57" spans="1:3">
      <c r="A57" s="2">
        <v>57</v>
      </c>
      <c r="B57">
        <f t="shared" si="2"/>
        <v>50.485030303199999</v>
      </c>
      <c r="C57">
        <f t="shared" si="3"/>
        <v>0.97366798689938705</v>
      </c>
    </row>
    <row r="58" spans="1:3">
      <c r="A58" s="2">
        <v>58</v>
      </c>
      <c r="B58">
        <f t="shared" si="2"/>
        <v>51.502727272900003</v>
      </c>
      <c r="C58">
        <f t="shared" si="3"/>
        <v>0.97408763524896425</v>
      </c>
    </row>
    <row r="59" spans="1:3">
      <c r="A59" s="2">
        <v>59</v>
      </c>
      <c r="B59">
        <f t="shared" si="2"/>
        <v>52.520424242600001</v>
      </c>
      <c r="C59">
        <f t="shared" si="3"/>
        <v>0.97450706933419318</v>
      </c>
    </row>
    <row r="60" spans="1:3">
      <c r="A60" s="2">
        <v>60</v>
      </c>
      <c r="B60">
        <f t="shared" si="2"/>
        <v>53.538121212299998</v>
      </c>
      <c r="C60">
        <f t="shared" si="3"/>
        <v>0.97492628919593682</v>
      </c>
    </row>
    <row r="61" spans="1:3">
      <c r="A61" s="2">
        <v>61</v>
      </c>
      <c r="B61">
        <f t="shared" si="2"/>
        <v>54.555818182000003</v>
      </c>
      <c r="C61">
        <f t="shared" si="3"/>
        <v>0.97534529487759347</v>
      </c>
    </row>
    <row r="62" spans="1:3">
      <c r="A62" s="2">
        <v>62</v>
      </c>
      <c r="B62">
        <f t="shared" si="2"/>
        <v>55.573515151700001</v>
      </c>
      <c r="C62">
        <f t="shared" si="3"/>
        <v>0.97576408642509316</v>
      </c>
    </row>
    <row r="63" spans="1:3">
      <c r="A63" s="2">
        <v>63</v>
      </c>
      <c r="B63">
        <f t="shared" si="2"/>
        <v>56.591212121399998</v>
      </c>
      <c r="C63">
        <f t="shared" si="3"/>
        <v>0.97618266388689567</v>
      </c>
    </row>
    <row r="64" spans="1:3">
      <c r="A64" s="2">
        <v>64</v>
      </c>
      <c r="B64">
        <f t="shared" si="2"/>
        <v>57.608909091100003</v>
      </c>
      <c r="C64">
        <f t="shared" si="3"/>
        <v>0.97660102731398657</v>
      </c>
    </row>
    <row r="65" spans="1:3">
      <c r="A65" s="2">
        <v>65</v>
      </c>
      <c r="B65">
        <f t="shared" ref="B65:B96" si="4">-6.506+(A65-1)*1.0176969697</f>
        <v>58.6266060608</v>
      </c>
      <c r="C65">
        <f t="shared" ref="C65:C96" si="5">1.00676417221889+0.000415518861505182*B65-0.053991847617027*(1.00219298245614+(B65-35.6961842105263)^2/260324.819360526)^0.5</f>
        <v>0.9770191767598756</v>
      </c>
    </row>
    <row r="66" spans="1:3">
      <c r="A66" s="2">
        <v>66</v>
      </c>
      <c r="B66">
        <f t="shared" si="4"/>
        <v>59.644303030499998</v>
      </c>
      <c r="C66">
        <f t="shared" si="5"/>
        <v>0.97743711228059271</v>
      </c>
    </row>
    <row r="67" spans="1:3">
      <c r="A67" s="2">
        <v>67</v>
      </c>
      <c r="B67">
        <f t="shared" si="4"/>
        <v>60.662000000199995</v>
      </c>
      <c r="C67">
        <f t="shared" si="5"/>
        <v>0.97785483393468453</v>
      </c>
    </row>
    <row r="68" spans="1:3">
      <c r="A68" s="2">
        <v>68</v>
      </c>
      <c r="B68">
        <f t="shared" si="4"/>
        <v>61.679696969900007</v>
      </c>
      <c r="C68">
        <f t="shared" si="5"/>
        <v>0.97827234178321187</v>
      </c>
    </row>
    <row r="69" spans="1:3">
      <c r="A69" s="2">
        <v>69</v>
      </c>
      <c r="B69">
        <f t="shared" si="4"/>
        <v>62.697393939600005</v>
      </c>
      <c r="C69">
        <f t="shared" si="5"/>
        <v>0.97868963588974467</v>
      </c>
    </row>
    <row r="70" spans="1:3">
      <c r="A70" s="2">
        <v>70</v>
      </c>
      <c r="B70">
        <f t="shared" si="4"/>
        <v>63.715090909300002</v>
      </c>
      <c r="C70">
        <f t="shared" si="5"/>
        <v>0.97910671632035962</v>
      </c>
    </row>
    <row r="71" spans="1:3">
      <c r="A71" s="2">
        <v>71</v>
      </c>
      <c r="B71">
        <f t="shared" si="4"/>
        <v>64.732787879</v>
      </c>
      <c r="C71">
        <f t="shared" si="5"/>
        <v>0.97952358314363552</v>
      </c>
    </row>
    <row r="72" spans="1:3">
      <c r="A72" s="2">
        <v>72</v>
      </c>
      <c r="B72">
        <f t="shared" si="4"/>
        <v>65.750484848699998</v>
      </c>
      <c r="C72">
        <f t="shared" si="5"/>
        <v>0.97994023643064965</v>
      </c>
    </row>
    <row r="73" spans="1:3">
      <c r="A73" s="2">
        <v>73</v>
      </c>
      <c r="B73">
        <f t="shared" si="4"/>
        <v>66.768181818399995</v>
      </c>
      <c r="C73">
        <f t="shared" si="5"/>
        <v>0.9803566762549728</v>
      </c>
    </row>
    <row r="74" spans="1:3">
      <c r="A74" s="2">
        <v>74</v>
      </c>
      <c r="B74">
        <f t="shared" si="4"/>
        <v>67.785878788100007</v>
      </c>
      <c r="C74">
        <f t="shared" si="5"/>
        <v>0.98077290269266604</v>
      </c>
    </row>
    <row r="75" spans="1:3">
      <c r="A75" s="2">
        <v>75</v>
      </c>
      <c r="B75">
        <f t="shared" si="4"/>
        <v>68.803575757800004</v>
      </c>
      <c r="C75">
        <f t="shared" si="5"/>
        <v>0.98118891582227541</v>
      </c>
    </row>
    <row r="76" spans="1:3">
      <c r="A76" s="2">
        <v>76</v>
      </c>
      <c r="B76">
        <f t="shared" si="4"/>
        <v>69.821272727500002</v>
      </c>
      <c r="C76">
        <f t="shared" si="5"/>
        <v>0.98160471572482788</v>
      </c>
    </row>
    <row r="77" spans="1:3">
      <c r="A77" s="2">
        <v>77</v>
      </c>
      <c r="B77">
        <f t="shared" si="4"/>
        <v>70.8389696972</v>
      </c>
      <c r="C77">
        <f t="shared" si="5"/>
        <v>0.98202030248382555</v>
      </c>
    </row>
    <row r="78" spans="1:3">
      <c r="A78" s="2">
        <v>78</v>
      </c>
      <c r="B78">
        <f t="shared" si="4"/>
        <v>71.856666666899997</v>
      </c>
      <c r="C78">
        <f t="shared" si="5"/>
        <v>0.9824356761852423</v>
      </c>
    </row>
    <row r="79" spans="1:3">
      <c r="A79" s="2">
        <v>79</v>
      </c>
      <c r="B79">
        <f t="shared" si="4"/>
        <v>72.874363636599995</v>
      </c>
      <c r="C79">
        <f t="shared" si="5"/>
        <v>0.98285083691751773</v>
      </c>
    </row>
    <row r="80" spans="1:3">
      <c r="A80" s="2">
        <v>80</v>
      </c>
      <c r="B80">
        <f t="shared" si="4"/>
        <v>73.892060606300006</v>
      </c>
      <c r="C80">
        <f t="shared" si="5"/>
        <v>0.98326578477155202</v>
      </c>
    </row>
    <row r="81" spans="1:3">
      <c r="A81" s="2">
        <v>81</v>
      </c>
      <c r="B81">
        <f t="shared" si="4"/>
        <v>74.909757576000004</v>
      </c>
      <c r="C81">
        <f t="shared" si="5"/>
        <v>0.98368051984070071</v>
      </c>
    </row>
    <row r="82" spans="1:3">
      <c r="A82" s="2">
        <v>82</v>
      </c>
      <c r="B82">
        <f t="shared" si="4"/>
        <v>75.927454545700002</v>
      </c>
      <c r="C82">
        <f t="shared" si="5"/>
        <v>0.98409504222076949</v>
      </c>
    </row>
    <row r="83" spans="1:3">
      <c r="A83" s="2">
        <v>83</v>
      </c>
      <c r="B83">
        <f t="shared" si="4"/>
        <v>76.945151515399999</v>
      </c>
      <c r="C83">
        <f t="shared" si="5"/>
        <v>0.98450935201000833</v>
      </c>
    </row>
    <row r="84" spans="1:3">
      <c r="A84" s="2">
        <v>84</v>
      </c>
      <c r="B84">
        <f t="shared" si="4"/>
        <v>77.962848485099997</v>
      </c>
      <c r="C84">
        <f t="shared" si="5"/>
        <v>0.98492344930910602</v>
      </c>
    </row>
    <row r="85" spans="1:3">
      <c r="A85" s="2">
        <v>85</v>
      </c>
      <c r="B85">
        <f t="shared" si="4"/>
        <v>78.980545454799994</v>
      </c>
      <c r="C85">
        <f t="shared" si="5"/>
        <v>0.98533733422118408</v>
      </c>
    </row>
    <row r="86" spans="1:3">
      <c r="A86" s="2">
        <v>86</v>
      </c>
      <c r="B86">
        <f t="shared" si="4"/>
        <v>79.998242424500006</v>
      </c>
      <c r="C86">
        <f t="shared" si="5"/>
        <v>0.98575100685179029</v>
      </c>
    </row>
    <row r="87" spans="1:3">
      <c r="A87" s="2">
        <v>87</v>
      </c>
      <c r="B87">
        <f t="shared" si="4"/>
        <v>81.015939394200004</v>
      </c>
      <c r="C87">
        <f t="shared" si="5"/>
        <v>0.98616446730889362</v>
      </c>
    </row>
    <row r="88" spans="1:3">
      <c r="A88" s="2">
        <v>88</v>
      </c>
      <c r="B88">
        <f t="shared" si="4"/>
        <v>82.033636363900001</v>
      </c>
      <c r="C88">
        <f t="shared" si="5"/>
        <v>0.98657771570287733</v>
      </c>
    </row>
    <row r="89" spans="1:3">
      <c r="A89" s="2">
        <v>89</v>
      </c>
      <c r="B89">
        <f t="shared" si="4"/>
        <v>83.051333333599999</v>
      </c>
      <c r="C89">
        <f t="shared" si="5"/>
        <v>0.98699075214653265</v>
      </c>
    </row>
    <row r="90" spans="1:3">
      <c r="A90" s="2">
        <v>90</v>
      </c>
      <c r="B90">
        <f t="shared" si="4"/>
        <v>84.069030303299996</v>
      </c>
      <c r="C90">
        <f t="shared" si="5"/>
        <v>0.98740357675505164</v>
      </c>
    </row>
    <row r="91" spans="1:3">
      <c r="A91" s="2">
        <v>91</v>
      </c>
      <c r="B91">
        <f t="shared" si="4"/>
        <v>85.086727272999994</v>
      </c>
      <c r="C91">
        <f t="shared" si="5"/>
        <v>0.9878161896460218</v>
      </c>
    </row>
    <row r="92" spans="1:3">
      <c r="A92" s="2">
        <v>92</v>
      </c>
      <c r="B92">
        <f t="shared" si="4"/>
        <v>86.104424242700006</v>
      </c>
      <c r="C92">
        <f t="shared" si="5"/>
        <v>0.98822859093941817</v>
      </c>
    </row>
    <row r="93" spans="1:3">
      <c r="A93" s="2">
        <v>93</v>
      </c>
      <c r="B93">
        <f t="shared" si="4"/>
        <v>87.122121212400003</v>
      </c>
      <c r="C93">
        <f t="shared" si="5"/>
        <v>0.9886407807575972</v>
      </c>
    </row>
    <row r="94" spans="1:3">
      <c r="A94" s="2">
        <v>94</v>
      </c>
      <c r="B94">
        <f t="shared" si="4"/>
        <v>88.139818182100001</v>
      </c>
      <c r="C94">
        <f t="shared" si="5"/>
        <v>0.98905275922528857</v>
      </c>
    </row>
    <row r="95" spans="1:3">
      <c r="A95" s="2">
        <v>95</v>
      </c>
      <c r="B95">
        <f t="shared" si="4"/>
        <v>89.157515151799998</v>
      </c>
      <c r="C95">
        <f t="shared" si="5"/>
        <v>0.98946452646958938</v>
      </c>
    </row>
    <row r="96" spans="1:3">
      <c r="A96" s="2">
        <v>96</v>
      </c>
      <c r="B96">
        <f t="shared" si="4"/>
        <v>90.175212121499996</v>
      </c>
      <c r="C96">
        <f t="shared" si="5"/>
        <v>0.98987608261995597</v>
      </c>
    </row>
    <row r="97" spans="1:3">
      <c r="A97" s="2">
        <v>97</v>
      </c>
      <c r="B97">
        <f t="shared" ref="B97:B100" si="6">-6.506+(A97-1)*1.0176969697</f>
        <v>91.192909091199994</v>
      </c>
      <c r="C97">
        <f t="shared" ref="C97:C100" si="7">1.00676417221889+0.000415518861505182*B97-0.053991847617027*(1.00219298245614+(B97-35.6961842105263)^2/260324.819360526)^0.5</f>
        <v>0.99028742780819679</v>
      </c>
    </row>
    <row r="98" spans="1:3">
      <c r="A98" s="2">
        <v>98</v>
      </c>
      <c r="B98">
        <f t="shared" si="6"/>
        <v>92.210606060900005</v>
      </c>
      <c r="C98">
        <f t="shared" si="7"/>
        <v>0.9906985621684643</v>
      </c>
    </row>
    <row r="99" spans="1:3">
      <c r="A99" s="2">
        <v>99</v>
      </c>
      <c r="B99">
        <f t="shared" si="6"/>
        <v>93.228303030600003</v>
      </c>
      <c r="C99">
        <f t="shared" si="7"/>
        <v>0.99110948583724812</v>
      </c>
    </row>
    <row r="100" spans="1:3">
      <c r="A100" s="2">
        <v>100</v>
      </c>
      <c r="B100">
        <f t="shared" si="6"/>
        <v>94.2460000003</v>
      </c>
      <c r="C100">
        <f t="shared" si="7"/>
        <v>0.99152019895336696</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1.00676417221889+0.000415518861505182*B1+0.053991847617027*(1.00219298245614+(B1-35.6961842105263)^2/260324.819360526)^0.5</f>
        <v>1.0582960011821581</v>
      </c>
    </row>
    <row r="2" spans="1:3">
      <c r="A2" s="2">
        <v>2</v>
      </c>
      <c r="B2">
        <f t="shared" si="0"/>
        <v>-5.4883030303</v>
      </c>
      <c r="C2">
        <f t="shared" si="1"/>
        <v>1.0587101119413429</v>
      </c>
    </row>
    <row r="3" spans="1:3">
      <c r="A3" s="2">
        <v>3</v>
      </c>
      <c r="B3">
        <f t="shared" si="0"/>
        <v>-4.4706060605999998</v>
      </c>
      <c r="C3">
        <f t="shared" si="1"/>
        <v>1.0591244351971207</v>
      </c>
    </row>
    <row r="4" spans="1:3">
      <c r="A4" s="2">
        <v>4</v>
      </c>
      <c r="B4">
        <f t="shared" si="0"/>
        <v>-3.4529090909000004</v>
      </c>
      <c r="C4">
        <f t="shared" si="1"/>
        <v>1.059538971050026</v>
      </c>
    </row>
    <row r="5" spans="1:3">
      <c r="A5" s="2">
        <v>5</v>
      </c>
      <c r="B5">
        <f t="shared" si="0"/>
        <v>-2.4352121212000002</v>
      </c>
      <c r="C5">
        <f t="shared" si="1"/>
        <v>1.0599537195981537</v>
      </c>
    </row>
    <row r="6" spans="1:3">
      <c r="A6" s="2">
        <v>6</v>
      </c>
      <c r="B6">
        <f t="shared" si="0"/>
        <v>-1.4175151515</v>
      </c>
      <c r="C6">
        <f t="shared" si="1"/>
        <v>1.0603686809371546</v>
      </c>
    </row>
    <row r="7" spans="1:3">
      <c r="A7" s="2">
        <v>7</v>
      </c>
      <c r="B7">
        <f t="shared" si="0"/>
        <v>-0.39981818180000062</v>
      </c>
      <c r="C7">
        <f t="shared" si="1"/>
        <v>1.0607838551602289</v>
      </c>
    </row>
    <row r="8" spans="1:3">
      <c r="A8" s="2">
        <v>8</v>
      </c>
      <c r="B8">
        <f t="shared" si="0"/>
        <v>0.61787878789999962</v>
      </c>
      <c r="C8">
        <f t="shared" si="1"/>
        <v>1.0611992423581214</v>
      </c>
    </row>
    <row r="9" spans="1:3">
      <c r="A9" s="2">
        <v>9</v>
      </c>
      <c r="B9">
        <f t="shared" si="0"/>
        <v>1.6355757575999998</v>
      </c>
      <c r="C9">
        <f t="shared" si="1"/>
        <v>1.061614842619115</v>
      </c>
    </row>
    <row r="10" spans="1:3">
      <c r="A10" s="2">
        <v>10</v>
      </c>
      <c r="B10">
        <f t="shared" si="0"/>
        <v>2.6532727272999992</v>
      </c>
      <c r="C10">
        <f t="shared" si="1"/>
        <v>1.0620306560290271</v>
      </c>
    </row>
    <row r="11" spans="1:3">
      <c r="A11" s="2">
        <v>11</v>
      </c>
      <c r="B11">
        <f t="shared" si="0"/>
        <v>3.6709696970000003</v>
      </c>
      <c r="C11">
        <f t="shared" si="1"/>
        <v>1.0624466826712036</v>
      </c>
    </row>
    <row r="12" spans="1:3">
      <c r="A12" s="2">
        <v>12</v>
      </c>
      <c r="B12">
        <f t="shared" si="0"/>
        <v>4.6886666666999997</v>
      </c>
      <c r="C12">
        <f t="shared" si="1"/>
        <v>1.0628629226265145</v>
      </c>
    </row>
    <row r="13" spans="1:3">
      <c r="A13" s="2">
        <v>13</v>
      </c>
      <c r="B13">
        <f t="shared" si="0"/>
        <v>5.706363636399999</v>
      </c>
      <c r="C13">
        <f t="shared" si="1"/>
        <v>1.0632793759733479</v>
      </c>
    </row>
    <row r="14" spans="1:3">
      <c r="A14" s="2">
        <v>14</v>
      </c>
      <c r="B14">
        <f t="shared" si="0"/>
        <v>6.7240606061000001</v>
      </c>
      <c r="C14">
        <f t="shared" si="1"/>
        <v>1.0636960427876074</v>
      </c>
    </row>
    <row r="15" spans="1:3">
      <c r="A15" s="2">
        <v>15</v>
      </c>
      <c r="B15">
        <f t="shared" si="0"/>
        <v>7.7417575757999995</v>
      </c>
      <c r="C15">
        <f t="shared" si="1"/>
        <v>1.0641129231427064</v>
      </c>
    </row>
    <row r="16" spans="1:3">
      <c r="A16" s="2">
        <v>16</v>
      </c>
      <c r="B16">
        <f t="shared" si="0"/>
        <v>8.7594545455000006</v>
      </c>
      <c r="C16">
        <f t="shared" si="1"/>
        <v>1.0645300171095637</v>
      </c>
    </row>
    <row r="17" spans="1:3">
      <c r="A17" s="2">
        <v>17</v>
      </c>
      <c r="B17">
        <f t="shared" si="0"/>
        <v>9.7771515151999999</v>
      </c>
      <c r="C17">
        <f t="shared" si="1"/>
        <v>1.0649473247565997</v>
      </c>
    </row>
    <row r="18" spans="1:3">
      <c r="A18" s="2">
        <v>18</v>
      </c>
      <c r="B18">
        <f t="shared" si="0"/>
        <v>10.794848484900001</v>
      </c>
      <c r="C18">
        <f t="shared" si="1"/>
        <v>1.065364846149732</v>
      </c>
    </row>
    <row r="19" spans="1:3">
      <c r="A19" s="2">
        <v>19</v>
      </c>
      <c r="B19">
        <f t="shared" si="0"/>
        <v>11.812545454599999</v>
      </c>
      <c r="C19">
        <f t="shared" si="1"/>
        <v>1.0657825813523725</v>
      </c>
    </row>
    <row r="20" spans="1:3">
      <c r="A20" s="2">
        <v>20</v>
      </c>
      <c r="B20">
        <f t="shared" si="0"/>
        <v>12.8302424243</v>
      </c>
      <c r="C20">
        <f t="shared" si="1"/>
        <v>1.0662005304254218</v>
      </c>
    </row>
    <row r="21" spans="1:3">
      <c r="A21" s="2">
        <v>21</v>
      </c>
      <c r="B21">
        <f t="shared" si="0"/>
        <v>13.847939394000001</v>
      </c>
      <c r="C21">
        <f t="shared" si="1"/>
        <v>1.0666186934272686</v>
      </c>
    </row>
    <row r="22" spans="1:3">
      <c r="A22" s="2">
        <v>22</v>
      </c>
      <c r="B22">
        <f t="shared" si="0"/>
        <v>14.865636363699998</v>
      </c>
      <c r="C22">
        <f t="shared" si="1"/>
        <v>1.0670370704137817</v>
      </c>
    </row>
    <row r="23" spans="1:3">
      <c r="A23" s="2">
        <v>23</v>
      </c>
      <c r="B23">
        <f t="shared" si="0"/>
        <v>15.8833333334</v>
      </c>
      <c r="C23">
        <f t="shared" si="1"/>
        <v>1.0674556614383117</v>
      </c>
    </row>
    <row r="24" spans="1:3">
      <c r="A24" s="2">
        <v>24</v>
      </c>
      <c r="B24">
        <f t="shared" si="0"/>
        <v>16.901030303100001</v>
      </c>
      <c r="C24">
        <f t="shared" si="1"/>
        <v>1.0678744665516844</v>
      </c>
    </row>
    <row r="25" spans="1:3">
      <c r="A25" s="2">
        <v>25</v>
      </c>
      <c r="B25">
        <f t="shared" si="0"/>
        <v>17.918727272799998</v>
      </c>
      <c r="C25">
        <f t="shared" si="1"/>
        <v>1.0682934858021995</v>
      </c>
    </row>
    <row r="26" spans="1:3">
      <c r="A26" s="2">
        <v>26</v>
      </c>
      <c r="B26">
        <f t="shared" si="0"/>
        <v>18.936424242499999</v>
      </c>
      <c r="C26">
        <f t="shared" si="1"/>
        <v>1.0687127192356261</v>
      </c>
    </row>
    <row r="27" spans="1:3">
      <c r="A27" s="2">
        <v>27</v>
      </c>
      <c r="B27">
        <f t="shared" si="0"/>
        <v>19.9541212122</v>
      </c>
      <c r="C27">
        <f t="shared" si="1"/>
        <v>1.0691321668952021</v>
      </c>
    </row>
    <row r="28" spans="1:3">
      <c r="A28" s="2">
        <v>28</v>
      </c>
      <c r="B28">
        <f t="shared" si="0"/>
        <v>20.971818181900002</v>
      </c>
      <c r="C28">
        <f t="shared" si="1"/>
        <v>1.0695518288216301</v>
      </c>
    </row>
    <row r="29" spans="1:3">
      <c r="A29" s="2">
        <v>29</v>
      </c>
      <c r="B29">
        <f t="shared" si="0"/>
        <v>21.989515151599999</v>
      </c>
      <c r="C29">
        <f t="shared" si="1"/>
        <v>1.0699717050530757</v>
      </c>
    </row>
    <row r="30" spans="1:3">
      <c r="A30" s="2">
        <v>30</v>
      </c>
      <c r="B30">
        <f t="shared" si="0"/>
        <v>23.0072121213</v>
      </c>
      <c r="C30">
        <f t="shared" si="1"/>
        <v>1.0703917956251645</v>
      </c>
    </row>
    <row r="31" spans="1:3">
      <c r="A31" s="2">
        <v>31</v>
      </c>
      <c r="B31">
        <f t="shared" si="0"/>
        <v>24.024909091000001</v>
      </c>
      <c r="C31">
        <f t="shared" si="1"/>
        <v>1.0708121005709808</v>
      </c>
    </row>
    <row r="32" spans="1:3">
      <c r="A32" s="2">
        <v>32</v>
      </c>
      <c r="B32">
        <f t="shared" si="0"/>
        <v>25.042606060699999</v>
      </c>
      <c r="C32">
        <f t="shared" si="1"/>
        <v>1.0712326199210649</v>
      </c>
    </row>
    <row r="33" spans="1:3">
      <c r="A33" s="2">
        <v>33</v>
      </c>
      <c r="B33">
        <f t="shared" ref="B33:B64" si="2">-6.506+(A33-1)*1.0176969697</f>
        <v>26.0603030304</v>
      </c>
      <c r="C33">
        <f t="shared" ref="C33:C64" si="3">1.00676417221889+0.000415518861505182*B33+0.053991847617027*(1.00219298245614+(B33-35.6961842105263)^2/260324.819360526)^0.5</f>
        <v>1.0716533537034127</v>
      </c>
    </row>
    <row r="34" spans="1:3">
      <c r="A34" s="2">
        <v>34</v>
      </c>
      <c r="B34">
        <f t="shared" si="2"/>
        <v>27.078000000099998</v>
      </c>
      <c r="C34">
        <f t="shared" si="3"/>
        <v>1.072074301943472</v>
      </c>
    </row>
    <row r="35" spans="1:3">
      <c r="A35" s="2">
        <v>35</v>
      </c>
      <c r="B35">
        <f t="shared" si="2"/>
        <v>28.095696969800002</v>
      </c>
      <c r="C35">
        <f t="shared" si="3"/>
        <v>1.072495464664142</v>
      </c>
    </row>
    <row r="36" spans="1:3">
      <c r="A36" s="2">
        <v>36</v>
      </c>
      <c r="B36">
        <f t="shared" si="2"/>
        <v>29.1133939395</v>
      </c>
      <c r="C36">
        <f t="shared" si="3"/>
        <v>1.0729168418857729</v>
      </c>
    </row>
    <row r="37" spans="1:3">
      <c r="A37" s="2">
        <v>37</v>
      </c>
      <c r="B37">
        <f t="shared" si="2"/>
        <v>30.131090909199997</v>
      </c>
      <c r="C37">
        <f t="shared" si="3"/>
        <v>1.0733384336261624</v>
      </c>
    </row>
    <row r="38" spans="1:3">
      <c r="A38" s="2">
        <v>38</v>
      </c>
      <c r="B38">
        <f t="shared" si="2"/>
        <v>31.148787878900002</v>
      </c>
      <c r="C38">
        <f t="shared" si="3"/>
        <v>1.0737602399005572</v>
      </c>
    </row>
    <row r="39" spans="1:3">
      <c r="A39" s="2">
        <v>39</v>
      </c>
      <c r="B39">
        <f t="shared" si="2"/>
        <v>32.1664848486</v>
      </c>
      <c r="C39">
        <f t="shared" si="3"/>
        <v>1.07418226072165</v>
      </c>
    </row>
    <row r="40" spans="1:3">
      <c r="A40" s="2">
        <v>40</v>
      </c>
      <c r="B40">
        <f t="shared" si="2"/>
        <v>33.184181818299997</v>
      </c>
      <c r="C40">
        <f t="shared" si="3"/>
        <v>1.0746044960995802</v>
      </c>
    </row>
    <row r="41" spans="1:3">
      <c r="A41" s="2">
        <v>41</v>
      </c>
      <c r="B41">
        <f t="shared" si="2"/>
        <v>34.201878788000002</v>
      </c>
      <c r="C41">
        <f t="shared" si="3"/>
        <v>1.0750269460419322</v>
      </c>
    </row>
    <row r="42" spans="1:3">
      <c r="A42" s="2">
        <v>42</v>
      </c>
      <c r="B42">
        <f t="shared" si="2"/>
        <v>35.219575757699999</v>
      </c>
      <c r="C42">
        <f t="shared" si="3"/>
        <v>1.0754496105537361</v>
      </c>
    </row>
    <row r="43" spans="1:3">
      <c r="A43" s="2">
        <v>43</v>
      </c>
      <c r="B43">
        <f t="shared" si="2"/>
        <v>36.237272727399997</v>
      </c>
      <c r="C43">
        <f t="shared" si="3"/>
        <v>1.0758724896374656</v>
      </c>
    </row>
    <row r="44" spans="1:3">
      <c r="A44" s="2">
        <v>44</v>
      </c>
      <c r="B44">
        <f t="shared" si="2"/>
        <v>37.254969697100002</v>
      </c>
      <c r="C44">
        <f t="shared" si="3"/>
        <v>1.0762955832930403</v>
      </c>
    </row>
    <row r="45" spans="1:3">
      <c r="A45" s="2">
        <v>45</v>
      </c>
      <c r="B45">
        <f t="shared" si="2"/>
        <v>38.272666666799999</v>
      </c>
      <c r="C45">
        <f t="shared" si="3"/>
        <v>1.0767188915178239</v>
      </c>
    </row>
    <row r="46" spans="1:3">
      <c r="A46" s="2">
        <v>46</v>
      </c>
      <c r="B46">
        <f t="shared" si="2"/>
        <v>39.290363636499997</v>
      </c>
      <c r="C46">
        <f t="shared" si="3"/>
        <v>1.0771424143066246</v>
      </c>
    </row>
    <row r="47" spans="1:3">
      <c r="A47" s="2">
        <v>47</v>
      </c>
      <c r="B47">
        <f t="shared" si="2"/>
        <v>40.308060606200002</v>
      </c>
      <c r="C47">
        <f t="shared" si="3"/>
        <v>1.0775661516516959</v>
      </c>
    </row>
    <row r="48" spans="1:3">
      <c r="A48" s="2">
        <v>48</v>
      </c>
      <c r="B48">
        <f t="shared" si="2"/>
        <v>41.325757575899999</v>
      </c>
      <c r="C48">
        <f t="shared" si="3"/>
        <v>1.0779901035427368</v>
      </c>
    </row>
    <row r="49" spans="1:3">
      <c r="A49" s="2">
        <v>49</v>
      </c>
      <c r="B49">
        <f t="shared" si="2"/>
        <v>42.343454545599997</v>
      </c>
      <c r="C49">
        <f t="shared" si="3"/>
        <v>1.0784142699668926</v>
      </c>
    </row>
    <row r="50" spans="1:3">
      <c r="A50" s="2">
        <v>50</v>
      </c>
      <c r="B50">
        <f t="shared" si="2"/>
        <v>43.361151515300001</v>
      </c>
      <c r="C50">
        <f t="shared" si="3"/>
        <v>1.0788386509087555</v>
      </c>
    </row>
    <row r="51" spans="1:3">
      <c r="A51" s="2">
        <v>51</v>
      </c>
      <c r="B51">
        <f t="shared" si="2"/>
        <v>44.378848484999999</v>
      </c>
      <c r="C51">
        <f t="shared" si="3"/>
        <v>1.0792632463503655</v>
      </c>
    </row>
    <row r="52" spans="1:3">
      <c r="A52" s="2">
        <v>52</v>
      </c>
      <c r="B52">
        <f t="shared" si="2"/>
        <v>45.396545454700004</v>
      </c>
      <c r="C52">
        <f t="shared" si="3"/>
        <v>1.079688056271211</v>
      </c>
    </row>
    <row r="53" spans="1:3">
      <c r="A53" s="2">
        <v>53</v>
      </c>
      <c r="B53">
        <f t="shared" si="2"/>
        <v>46.414242424400001</v>
      </c>
      <c r="C53">
        <f t="shared" si="3"/>
        <v>1.0801130806482311</v>
      </c>
    </row>
    <row r="54" spans="1:3">
      <c r="A54" s="2">
        <v>54</v>
      </c>
      <c r="B54">
        <f t="shared" si="2"/>
        <v>47.431939394099999</v>
      </c>
      <c r="C54">
        <f t="shared" si="3"/>
        <v>1.0805383194558165</v>
      </c>
    </row>
    <row r="55" spans="1:3">
      <c r="A55" s="2">
        <v>55</v>
      </c>
      <c r="B55">
        <f t="shared" si="2"/>
        <v>48.449636363800003</v>
      </c>
      <c r="C55">
        <f t="shared" si="3"/>
        <v>1.0809637726658106</v>
      </c>
    </row>
    <row r="56" spans="1:3">
      <c r="A56" s="2">
        <v>56</v>
      </c>
      <c r="B56">
        <f t="shared" si="2"/>
        <v>49.467333333500001</v>
      </c>
      <c r="C56">
        <f t="shared" si="3"/>
        <v>1.0813894402475113</v>
      </c>
    </row>
    <row r="57" spans="1:3">
      <c r="A57" s="2">
        <v>57</v>
      </c>
      <c r="B57">
        <f t="shared" si="2"/>
        <v>50.485030303199999</v>
      </c>
      <c r="C57">
        <f t="shared" si="3"/>
        <v>1.0818153221676734</v>
      </c>
    </row>
    <row r="58" spans="1:3">
      <c r="A58" s="2">
        <v>58</v>
      </c>
      <c r="B58">
        <f t="shared" si="2"/>
        <v>51.502727272900003</v>
      </c>
      <c r="C58">
        <f t="shared" si="3"/>
        <v>1.0822414183905102</v>
      </c>
    </row>
    <row r="59" spans="1:3">
      <c r="A59" s="2">
        <v>59</v>
      </c>
      <c r="B59">
        <f t="shared" si="2"/>
        <v>52.520424242600001</v>
      </c>
      <c r="C59">
        <f t="shared" si="3"/>
        <v>1.0826677288776958</v>
      </c>
    </row>
    <row r="60" spans="1:3">
      <c r="A60" s="2">
        <v>60</v>
      </c>
      <c r="B60">
        <f t="shared" si="2"/>
        <v>53.538121212299998</v>
      </c>
      <c r="C60">
        <f t="shared" si="3"/>
        <v>1.0830942535883659</v>
      </c>
    </row>
    <row r="61" spans="1:3">
      <c r="A61" s="2">
        <v>61</v>
      </c>
      <c r="B61">
        <f t="shared" si="2"/>
        <v>54.555818182000003</v>
      </c>
      <c r="C61">
        <f t="shared" si="3"/>
        <v>1.0835209924791234</v>
      </c>
    </row>
    <row r="62" spans="1:3">
      <c r="A62" s="2">
        <v>62</v>
      </c>
      <c r="B62">
        <f t="shared" si="2"/>
        <v>55.573515151700001</v>
      </c>
      <c r="C62">
        <f t="shared" si="3"/>
        <v>1.0839479455040375</v>
      </c>
    </row>
    <row r="63" spans="1:3">
      <c r="A63" s="2">
        <v>63</v>
      </c>
      <c r="B63">
        <f t="shared" si="2"/>
        <v>56.591212121399998</v>
      </c>
      <c r="C63">
        <f t="shared" si="3"/>
        <v>1.0843751126146493</v>
      </c>
    </row>
    <row r="64" spans="1:3">
      <c r="A64" s="2">
        <v>64</v>
      </c>
      <c r="B64">
        <f t="shared" si="2"/>
        <v>57.608909091100003</v>
      </c>
      <c r="C64">
        <f t="shared" si="3"/>
        <v>1.0848024937599723</v>
      </c>
    </row>
    <row r="65" spans="1:3">
      <c r="A65" s="2">
        <v>65</v>
      </c>
      <c r="B65">
        <f t="shared" ref="B65:B96" si="4">-6.506+(A65-1)*1.0176969697</f>
        <v>58.6266060608</v>
      </c>
      <c r="C65">
        <f t="shared" ref="C65:C96" si="5">1.00676417221889+0.000415518861505182*B65+0.053991847617027*(1.00219298245614+(B65-35.6961842105263)^2/260324.819360526)^0.5</f>
        <v>1.0852300888864972</v>
      </c>
    </row>
    <row r="66" spans="1:3">
      <c r="A66" s="2">
        <v>66</v>
      </c>
      <c r="B66">
        <f t="shared" si="4"/>
        <v>59.644303030499998</v>
      </c>
      <c r="C66">
        <f t="shared" si="5"/>
        <v>1.0856578979381941</v>
      </c>
    </row>
    <row r="67" spans="1:3">
      <c r="A67" s="2">
        <v>67</v>
      </c>
      <c r="B67">
        <f t="shared" si="4"/>
        <v>60.662000000199995</v>
      </c>
      <c r="C67">
        <f t="shared" si="5"/>
        <v>1.0860859208565161</v>
      </c>
    </row>
    <row r="68" spans="1:3">
      <c r="A68" s="2">
        <v>68</v>
      </c>
      <c r="B68">
        <f t="shared" si="4"/>
        <v>61.679696969900007</v>
      </c>
      <c r="C68">
        <f t="shared" si="5"/>
        <v>1.0865141575804032</v>
      </c>
    </row>
    <row r="69" spans="1:3">
      <c r="A69" s="2">
        <v>69</v>
      </c>
      <c r="B69">
        <f t="shared" si="4"/>
        <v>62.697393939600005</v>
      </c>
      <c r="C69">
        <f t="shared" si="5"/>
        <v>1.0869426080462845</v>
      </c>
    </row>
    <row r="70" spans="1:3">
      <c r="A70" s="2">
        <v>70</v>
      </c>
      <c r="B70">
        <f t="shared" si="4"/>
        <v>63.715090909300002</v>
      </c>
      <c r="C70">
        <f t="shared" si="5"/>
        <v>1.0873712721880835</v>
      </c>
    </row>
    <row r="71" spans="1:3">
      <c r="A71" s="2">
        <v>71</v>
      </c>
      <c r="B71">
        <f t="shared" si="4"/>
        <v>64.732787879</v>
      </c>
      <c r="C71">
        <f t="shared" si="5"/>
        <v>1.0878001499372214</v>
      </c>
    </row>
    <row r="72" spans="1:3">
      <c r="A72" s="2">
        <v>72</v>
      </c>
      <c r="B72">
        <f t="shared" si="4"/>
        <v>65.750484848699998</v>
      </c>
      <c r="C72">
        <f t="shared" si="5"/>
        <v>1.0882292412226215</v>
      </c>
    </row>
    <row r="73" spans="1:3">
      <c r="A73" s="2">
        <v>73</v>
      </c>
      <c r="B73">
        <f t="shared" si="4"/>
        <v>66.768181818399995</v>
      </c>
      <c r="C73">
        <f t="shared" si="5"/>
        <v>1.0886585459707123</v>
      </c>
    </row>
    <row r="74" spans="1:3">
      <c r="A74" s="2">
        <v>74</v>
      </c>
      <c r="B74">
        <f t="shared" si="4"/>
        <v>67.785878788100007</v>
      </c>
      <c r="C74">
        <f t="shared" si="5"/>
        <v>1.0890880641054332</v>
      </c>
    </row>
    <row r="75" spans="1:3">
      <c r="A75" s="2">
        <v>75</v>
      </c>
      <c r="B75">
        <f t="shared" si="4"/>
        <v>68.803575757800004</v>
      </c>
      <c r="C75">
        <f t="shared" si="5"/>
        <v>1.0895177955482378</v>
      </c>
    </row>
    <row r="76" spans="1:3">
      <c r="A76" s="2">
        <v>76</v>
      </c>
      <c r="B76">
        <f t="shared" si="4"/>
        <v>69.821272727500002</v>
      </c>
      <c r="C76">
        <f t="shared" si="5"/>
        <v>1.0899477402180997</v>
      </c>
    </row>
    <row r="77" spans="1:3">
      <c r="A77" s="2">
        <v>77</v>
      </c>
      <c r="B77">
        <f t="shared" si="4"/>
        <v>70.8389696972</v>
      </c>
      <c r="C77">
        <f t="shared" si="5"/>
        <v>1.0903778980315157</v>
      </c>
    </row>
    <row r="78" spans="1:3">
      <c r="A78" s="2">
        <v>78</v>
      </c>
      <c r="B78">
        <f t="shared" si="4"/>
        <v>71.856666666899997</v>
      </c>
      <c r="C78">
        <f t="shared" si="5"/>
        <v>1.0908082689025129</v>
      </c>
    </row>
    <row r="79" spans="1:3">
      <c r="A79" s="2">
        <v>79</v>
      </c>
      <c r="B79">
        <f t="shared" si="4"/>
        <v>72.874363636599995</v>
      </c>
      <c r="C79">
        <f t="shared" si="5"/>
        <v>1.0912388527426515</v>
      </c>
    </row>
    <row r="80" spans="1:3">
      <c r="A80" s="2">
        <v>80</v>
      </c>
      <c r="B80">
        <f t="shared" si="4"/>
        <v>73.892060606300006</v>
      </c>
      <c r="C80">
        <f t="shared" si="5"/>
        <v>1.0916696494610316</v>
      </c>
    </row>
    <row r="81" spans="1:3">
      <c r="A81" s="2">
        <v>81</v>
      </c>
      <c r="B81">
        <f t="shared" si="4"/>
        <v>74.909757576000004</v>
      </c>
      <c r="C81">
        <f t="shared" si="5"/>
        <v>1.092100658964297</v>
      </c>
    </row>
    <row r="82" spans="1:3">
      <c r="A82" s="2">
        <v>82</v>
      </c>
      <c r="B82">
        <f t="shared" si="4"/>
        <v>75.927454545700002</v>
      </c>
      <c r="C82">
        <f t="shared" si="5"/>
        <v>1.092531881156642</v>
      </c>
    </row>
    <row r="83" spans="1:3">
      <c r="A83" s="2">
        <v>83</v>
      </c>
      <c r="B83">
        <f t="shared" si="4"/>
        <v>76.945151515399999</v>
      </c>
      <c r="C83">
        <f t="shared" si="5"/>
        <v>1.0929633159398171</v>
      </c>
    </row>
    <row r="84" spans="1:3">
      <c r="A84" s="2">
        <v>84</v>
      </c>
      <c r="B84">
        <f t="shared" si="4"/>
        <v>77.962848485099997</v>
      </c>
      <c r="C84">
        <f t="shared" si="5"/>
        <v>1.0933949632131335</v>
      </c>
    </row>
    <row r="85" spans="1:3">
      <c r="A85" s="2">
        <v>85</v>
      </c>
      <c r="B85">
        <f t="shared" si="4"/>
        <v>78.980545454799994</v>
      </c>
      <c r="C85">
        <f t="shared" si="5"/>
        <v>1.0938268228734698</v>
      </c>
    </row>
    <row r="86" spans="1:3">
      <c r="A86" s="2">
        <v>86</v>
      </c>
      <c r="B86">
        <f t="shared" si="4"/>
        <v>79.998242424500006</v>
      </c>
      <c r="C86">
        <f t="shared" si="5"/>
        <v>1.0942588948152774</v>
      </c>
    </row>
    <row r="87" spans="1:3">
      <c r="A87" s="2">
        <v>87</v>
      </c>
      <c r="B87">
        <f t="shared" si="4"/>
        <v>81.015939394200004</v>
      </c>
      <c r="C87">
        <f t="shared" si="5"/>
        <v>1.094691178930588</v>
      </c>
    </row>
    <row r="88" spans="1:3">
      <c r="A88" s="2">
        <v>88</v>
      </c>
      <c r="B88">
        <f t="shared" si="4"/>
        <v>82.033636363900001</v>
      </c>
      <c r="C88">
        <f t="shared" si="5"/>
        <v>1.0951236751090181</v>
      </c>
    </row>
    <row r="89" spans="1:3">
      <c r="A89" s="2">
        <v>89</v>
      </c>
      <c r="B89">
        <f t="shared" si="4"/>
        <v>83.051333333599999</v>
      </c>
      <c r="C89">
        <f t="shared" si="5"/>
        <v>1.0955563832377773</v>
      </c>
    </row>
    <row r="90" spans="1:3">
      <c r="A90" s="2">
        <v>90</v>
      </c>
      <c r="B90">
        <f t="shared" si="4"/>
        <v>84.069030303299996</v>
      </c>
      <c r="C90">
        <f t="shared" si="5"/>
        <v>1.0959893032016721</v>
      </c>
    </row>
    <row r="91" spans="1:3">
      <c r="A91" s="2">
        <v>91</v>
      </c>
      <c r="B91">
        <f t="shared" si="4"/>
        <v>85.086727272999994</v>
      </c>
      <c r="C91">
        <f t="shared" si="5"/>
        <v>1.096422434883116</v>
      </c>
    </row>
    <row r="92" spans="1:3">
      <c r="A92" s="2">
        <v>92</v>
      </c>
      <c r="B92">
        <f t="shared" si="4"/>
        <v>86.104424242700006</v>
      </c>
      <c r="C92">
        <f t="shared" si="5"/>
        <v>1.0968557781621335</v>
      </c>
    </row>
    <row r="93" spans="1:3">
      <c r="A93" s="2">
        <v>93</v>
      </c>
      <c r="B93">
        <f t="shared" si="4"/>
        <v>87.122121212400003</v>
      </c>
      <c r="C93">
        <f t="shared" si="5"/>
        <v>1.0972893329163689</v>
      </c>
    </row>
    <row r="94" spans="1:3">
      <c r="A94" s="2">
        <v>94</v>
      </c>
      <c r="B94">
        <f t="shared" si="4"/>
        <v>88.139818182100001</v>
      </c>
      <c r="C94">
        <f t="shared" si="5"/>
        <v>1.0977230990210913</v>
      </c>
    </row>
    <row r="95" spans="1:3">
      <c r="A95" s="2">
        <v>95</v>
      </c>
      <c r="B95">
        <f t="shared" si="4"/>
        <v>89.157515151799998</v>
      </c>
      <c r="C95">
        <f t="shared" si="5"/>
        <v>1.0981570763492046</v>
      </c>
    </row>
    <row r="96" spans="1:3">
      <c r="A96" s="2">
        <v>96</v>
      </c>
      <c r="B96">
        <f t="shared" si="4"/>
        <v>90.175212121499996</v>
      </c>
      <c r="C96">
        <f t="shared" si="5"/>
        <v>1.0985912647712519</v>
      </c>
    </row>
    <row r="97" spans="1:3">
      <c r="A97" s="2">
        <v>97</v>
      </c>
      <c r="B97">
        <f t="shared" ref="B97:B100" si="6">-6.506+(A97-1)*1.0176969697</f>
        <v>91.192909091199994</v>
      </c>
      <c r="C97">
        <f t="shared" ref="C97:C100" si="7">1.00676417221889+0.000415518861505182*B97+0.053991847617027*(1.00219298245614+(B97-35.6961842105263)^2/260324.819360526)^0.5</f>
        <v>1.0990256641554255</v>
      </c>
    </row>
    <row r="98" spans="1:3">
      <c r="A98" s="2">
        <v>98</v>
      </c>
      <c r="B98">
        <f t="shared" si="6"/>
        <v>92.210606060900005</v>
      </c>
      <c r="C98">
        <f t="shared" si="7"/>
        <v>1.0994602743675719</v>
      </c>
    </row>
    <row r="99" spans="1:3">
      <c r="A99" s="2">
        <v>99</v>
      </c>
      <c r="B99">
        <f t="shared" si="6"/>
        <v>93.228303030600003</v>
      </c>
      <c r="C99">
        <f t="shared" si="7"/>
        <v>1.0998950952712019</v>
      </c>
    </row>
    <row r="100" spans="1:3">
      <c r="A100" s="2">
        <v>100</v>
      </c>
      <c r="B100">
        <f t="shared" si="6"/>
        <v>94.2460000003</v>
      </c>
      <c r="C100">
        <f t="shared" si="7"/>
        <v>1.1003301267274972</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enableFormatConditionsCalculation="0"/>
  <dimension ref="A1:C70"/>
  <sheetViews>
    <sheetView workbookViewId="0"/>
  </sheetViews>
  <sheetFormatPr baseColWidth="10" defaultRowHeight="15.75"/>
  <sheetData>
    <row r="1" spans="1:3">
      <c r="A1" s="2">
        <v>1</v>
      </c>
      <c r="B1">
        <f t="shared" ref="B1:B32" si="0">1.0061540243+(A1-1)*0.0035473875</f>
        <v>1.0061540243</v>
      </c>
      <c r="C1">
        <f t="shared" ref="C1:C32" si="1">0+1*B1-0.053991847617027*(1.00219298245614+(B1-1.02159661004213)^2/0.34268682428963)^0.5</f>
        <v>0.95208424505710954</v>
      </c>
    </row>
    <row r="2" spans="1:3">
      <c r="A2" s="2">
        <v>2</v>
      </c>
      <c r="B2">
        <f t="shared" si="0"/>
        <v>1.0097014118000001</v>
      </c>
      <c r="C2">
        <f t="shared" si="1"/>
        <v>0.95563926172125269</v>
      </c>
    </row>
    <row r="3" spans="1:3">
      <c r="A3" s="2">
        <v>3</v>
      </c>
      <c r="B3">
        <f t="shared" si="0"/>
        <v>1.0132487993000001</v>
      </c>
      <c r="C3">
        <f t="shared" si="1"/>
        <v>0.95919229913809634</v>
      </c>
    </row>
    <row r="4" spans="1:3">
      <c r="A4" s="2">
        <v>4</v>
      </c>
      <c r="B4">
        <f t="shared" si="0"/>
        <v>1.0167961867999999</v>
      </c>
      <c r="C4">
        <f t="shared" si="1"/>
        <v>0.96274335668699285</v>
      </c>
    </row>
    <row r="5" spans="1:3">
      <c r="A5" s="2">
        <v>5</v>
      </c>
      <c r="B5">
        <f t="shared" si="0"/>
        <v>1.0203435743</v>
      </c>
      <c r="C5">
        <f t="shared" si="1"/>
        <v>0.96629243396464615</v>
      </c>
    </row>
    <row r="6" spans="1:3">
      <c r="A6" s="2">
        <v>6</v>
      </c>
      <c r="B6">
        <f t="shared" si="0"/>
        <v>1.0238909618000001</v>
      </c>
      <c r="C6">
        <f t="shared" si="1"/>
        <v>0.96983953078533192</v>
      </c>
    </row>
    <row r="7" spans="1:3">
      <c r="A7" s="2">
        <v>7</v>
      </c>
      <c r="B7">
        <f t="shared" si="0"/>
        <v>1.0274383493000001</v>
      </c>
      <c r="C7">
        <f t="shared" si="1"/>
        <v>0.97338464718100048</v>
      </c>
    </row>
    <row r="8" spans="1:3">
      <c r="A8" s="2">
        <v>8</v>
      </c>
      <c r="B8">
        <f t="shared" si="0"/>
        <v>1.0309857367999999</v>
      </c>
      <c r="C8">
        <f t="shared" si="1"/>
        <v>0.97692778340125885</v>
      </c>
    </row>
    <row r="9" spans="1:3">
      <c r="A9" s="2">
        <v>9</v>
      </c>
      <c r="B9">
        <f t="shared" si="0"/>
        <v>1.0345331243</v>
      </c>
      <c r="C9">
        <f t="shared" si="1"/>
        <v>0.98046893991323436</v>
      </c>
    </row>
    <row r="10" spans="1:3">
      <c r="A10" s="2">
        <v>10</v>
      </c>
      <c r="B10">
        <f t="shared" si="0"/>
        <v>1.0380805118</v>
      </c>
      <c r="C10">
        <f t="shared" si="1"/>
        <v>0.984008117401317</v>
      </c>
    </row>
    <row r="11" spans="1:3">
      <c r="A11" s="2">
        <v>11</v>
      </c>
      <c r="B11">
        <f t="shared" si="0"/>
        <v>1.0416278993000001</v>
      </c>
      <c r="C11">
        <f t="shared" si="1"/>
        <v>0.98754531676678459</v>
      </c>
    </row>
    <row r="12" spans="1:3">
      <c r="A12" s="2">
        <v>12</v>
      </c>
      <c r="B12">
        <f t="shared" si="0"/>
        <v>1.0451752867999999</v>
      </c>
      <c r="C12">
        <f t="shared" si="1"/>
        <v>0.99108053912730798</v>
      </c>
    </row>
    <row r="13" spans="1:3">
      <c r="A13" s="2">
        <v>13</v>
      </c>
      <c r="B13">
        <f t="shared" si="0"/>
        <v>1.0487226743</v>
      </c>
      <c r="C13">
        <f t="shared" si="1"/>
        <v>0.99461378581633997</v>
      </c>
    </row>
    <row r="14" spans="1:3">
      <c r="A14" s="2">
        <v>14</v>
      </c>
      <c r="B14">
        <f t="shared" si="0"/>
        <v>1.0522700618</v>
      </c>
      <c r="C14">
        <f t="shared" si="1"/>
        <v>0.99814505838238432</v>
      </c>
    </row>
    <row r="15" spans="1:3">
      <c r="A15" s="2">
        <v>15</v>
      </c>
      <c r="B15">
        <f t="shared" si="0"/>
        <v>1.0558174493000001</v>
      </c>
      <c r="C15">
        <f t="shared" si="1"/>
        <v>1.0016743585881513</v>
      </c>
    </row>
    <row r="16" spans="1:3">
      <c r="A16" s="2">
        <v>16</v>
      </c>
      <c r="B16">
        <f t="shared" si="0"/>
        <v>1.0593648367999999</v>
      </c>
      <c r="C16">
        <f t="shared" si="1"/>
        <v>1.0052016884095967</v>
      </c>
    </row>
    <row r="17" spans="1:3">
      <c r="A17" s="2">
        <v>17</v>
      </c>
      <c r="B17">
        <f t="shared" si="0"/>
        <v>1.0629122243</v>
      </c>
      <c r="C17">
        <f t="shared" si="1"/>
        <v>1.0087270500348469</v>
      </c>
    </row>
    <row r="18" spans="1:3">
      <c r="A18" s="2">
        <v>18</v>
      </c>
      <c r="B18">
        <f t="shared" si="0"/>
        <v>1.0664596118</v>
      </c>
      <c r="C18">
        <f t="shared" si="1"/>
        <v>1.0122504458630113</v>
      </c>
    </row>
    <row r="19" spans="1:3">
      <c r="A19" s="2">
        <v>19</v>
      </c>
      <c r="B19">
        <f t="shared" si="0"/>
        <v>1.0700069993000001</v>
      </c>
      <c r="C19">
        <f t="shared" si="1"/>
        <v>1.015771878502884</v>
      </c>
    </row>
    <row r="20" spans="1:3">
      <c r="A20" s="2">
        <v>20</v>
      </c>
      <c r="B20">
        <f t="shared" si="0"/>
        <v>1.0735543867999999</v>
      </c>
      <c r="C20">
        <f t="shared" si="1"/>
        <v>1.0192913507715362</v>
      </c>
    </row>
    <row r="21" spans="1:3">
      <c r="A21" s="2">
        <v>21</v>
      </c>
      <c r="B21">
        <f t="shared" si="0"/>
        <v>1.0771017743</v>
      </c>
      <c r="C21">
        <f t="shared" si="1"/>
        <v>1.0228088656928003</v>
      </c>
    </row>
    <row r="22" spans="1:3">
      <c r="A22" s="2">
        <v>22</v>
      </c>
      <c r="B22">
        <f t="shared" si="0"/>
        <v>1.0806491618</v>
      </c>
      <c r="C22">
        <f t="shared" si="1"/>
        <v>1.0263244264956477</v>
      </c>
    </row>
    <row r="23" spans="1:3">
      <c r="A23" s="2">
        <v>23</v>
      </c>
      <c r="B23">
        <f t="shared" si="0"/>
        <v>1.0841965493000001</v>
      </c>
      <c r="C23">
        <f t="shared" si="1"/>
        <v>1.0298380366124646</v>
      </c>
    </row>
    <row r="24" spans="1:3">
      <c r="A24" s="2">
        <v>24</v>
      </c>
      <c r="B24">
        <f t="shared" si="0"/>
        <v>1.0877439367999999</v>
      </c>
      <c r="C24">
        <f t="shared" si="1"/>
        <v>1.0333496996772242</v>
      </c>
    </row>
    <row r="25" spans="1:3">
      <c r="A25" s="2">
        <v>25</v>
      </c>
      <c r="B25">
        <f t="shared" si="0"/>
        <v>1.0912913243</v>
      </c>
      <c r="C25">
        <f t="shared" si="1"/>
        <v>1.0368594195235605</v>
      </c>
    </row>
    <row r="26" spans="1:3">
      <c r="A26" s="2">
        <v>26</v>
      </c>
      <c r="B26">
        <f t="shared" si="0"/>
        <v>1.0948387118</v>
      </c>
      <c r="C26">
        <f t="shared" si="1"/>
        <v>1.0403672001827446</v>
      </c>
    </row>
    <row r="27" spans="1:3">
      <c r="A27" s="2">
        <v>27</v>
      </c>
      <c r="B27">
        <f t="shared" si="0"/>
        <v>1.0983860993000001</v>
      </c>
      <c r="C27">
        <f t="shared" si="1"/>
        <v>1.0438730458815664</v>
      </c>
    </row>
    <row r="28" spans="1:3">
      <c r="A28" s="2">
        <v>28</v>
      </c>
      <c r="B28">
        <f t="shared" si="0"/>
        <v>1.1019334867999999</v>
      </c>
      <c r="C28">
        <f t="shared" si="1"/>
        <v>1.0473769610401238</v>
      </c>
    </row>
    <row r="29" spans="1:3">
      <c r="A29" s="2">
        <v>29</v>
      </c>
      <c r="B29">
        <f t="shared" si="0"/>
        <v>1.1054808743</v>
      </c>
      <c r="C29">
        <f t="shared" si="1"/>
        <v>1.0508789502695239</v>
      </c>
    </row>
    <row r="30" spans="1:3">
      <c r="A30" s="2">
        <v>30</v>
      </c>
      <c r="B30">
        <f t="shared" si="0"/>
        <v>1.1090282618</v>
      </c>
      <c r="C30">
        <f t="shared" si="1"/>
        <v>1.0543790183694959</v>
      </c>
    </row>
    <row r="31" spans="1:3">
      <c r="A31" s="2">
        <v>31</v>
      </c>
      <c r="B31">
        <f t="shared" si="0"/>
        <v>1.1125756493000001</v>
      </c>
      <c r="C31">
        <f t="shared" si="1"/>
        <v>1.0578771703259193</v>
      </c>
    </row>
    <row r="32" spans="1:3">
      <c r="A32" s="2">
        <v>32</v>
      </c>
      <c r="B32">
        <f t="shared" si="0"/>
        <v>1.1161230367999999</v>
      </c>
      <c r="C32">
        <f t="shared" si="1"/>
        <v>1.0613734113082745</v>
      </c>
    </row>
    <row r="33" spans="1:3">
      <c r="A33" s="2">
        <v>33</v>
      </c>
      <c r="B33">
        <f t="shared" ref="B33:B64" si="2">1.0061540243+(A33-1)*0.0035473875</f>
        <v>1.1196704243</v>
      </c>
      <c r="C33">
        <f t="shared" ref="C33:C64" si="3">0+1*B33-0.053991847617027*(1.00219298245614+(B33-1.02159661004213)^2/0.34268682428963)^0.5</f>
        <v>1.0648677466670116</v>
      </c>
    </row>
    <row r="34" spans="1:3">
      <c r="A34" s="2">
        <v>34</v>
      </c>
      <c r="B34">
        <f t="shared" si="2"/>
        <v>1.1232178118</v>
      </c>
      <c r="C34">
        <f t="shared" si="3"/>
        <v>1.0683601819308459</v>
      </c>
    </row>
    <row r="35" spans="1:3">
      <c r="A35" s="2">
        <v>35</v>
      </c>
      <c r="B35">
        <f t="shared" si="2"/>
        <v>1.1267651993000001</v>
      </c>
      <c r="C35">
        <f t="shared" si="3"/>
        <v>1.0718507228039815</v>
      </c>
    </row>
    <row r="36" spans="1:3">
      <c r="A36" s="2">
        <v>36</v>
      </c>
      <c r="B36">
        <f t="shared" si="2"/>
        <v>1.1303125867999999</v>
      </c>
      <c r="C36">
        <f t="shared" si="3"/>
        <v>1.0753393751632649</v>
      </c>
    </row>
    <row r="37" spans="1:3">
      <c r="A37" s="2">
        <v>37</v>
      </c>
      <c r="B37">
        <f t="shared" si="2"/>
        <v>1.1338599743</v>
      </c>
      <c r="C37">
        <f t="shared" si="3"/>
        <v>1.0788261450552752</v>
      </c>
    </row>
    <row r="38" spans="1:3">
      <c r="A38" s="2">
        <v>38</v>
      </c>
      <c r="B38">
        <f t="shared" si="2"/>
        <v>1.1374073618</v>
      </c>
      <c r="C38">
        <f t="shared" si="3"/>
        <v>1.0823110386933479</v>
      </c>
    </row>
    <row r="39" spans="1:3">
      <c r="A39" s="2">
        <v>39</v>
      </c>
      <c r="B39">
        <f t="shared" si="2"/>
        <v>1.1409547493000001</v>
      </c>
      <c r="C39">
        <f t="shared" si="3"/>
        <v>1.0857940624545439</v>
      </c>
    </row>
    <row r="40" spans="1:3">
      <c r="A40" s="2">
        <v>40</v>
      </c>
      <c r="B40">
        <f t="shared" si="2"/>
        <v>1.1445021367999999</v>
      </c>
      <c r="C40">
        <f t="shared" si="3"/>
        <v>1.0892752228765588</v>
      </c>
    </row>
    <row r="41" spans="1:3">
      <c r="A41" s="2">
        <v>41</v>
      </c>
      <c r="B41">
        <f t="shared" si="2"/>
        <v>1.1480495243</v>
      </c>
      <c r="C41">
        <f t="shared" si="3"/>
        <v>1.0927545266545828</v>
      </c>
    </row>
    <row r="42" spans="1:3">
      <c r="A42" s="2">
        <v>42</v>
      </c>
      <c r="B42">
        <f t="shared" si="2"/>
        <v>1.1515969118</v>
      </c>
      <c r="C42">
        <f t="shared" si="3"/>
        <v>1.0962319806381084</v>
      </c>
    </row>
    <row r="43" spans="1:3">
      <c r="A43" s="2">
        <v>43</v>
      </c>
      <c r="B43">
        <f t="shared" si="2"/>
        <v>1.1551442993000001</v>
      </c>
      <c r="C43">
        <f t="shared" si="3"/>
        <v>1.0997075918276935</v>
      </c>
    </row>
    <row r="44" spans="1:3">
      <c r="A44" s="2">
        <v>44</v>
      </c>
      <c r="B44">
        <f t="shared" si="2"/>
        <v>1.1586916868000001</v>
      </c>
      <c r="C44">
        <f t="shared" si="3"/>
        <v>1.1031813673716813</v>
      </c>
    </row>
    <row r="45" spans="1:3">
      <c r="A45" s="2">
        <v>45</v>
      </c>
      <c r="B45">
        <f t="shared" si="2"/>
        <v>1.1622390743</v>
      </c>
      <c r="C45">
        <f t="shared" si="3"/>
        <v>1.106653314562881</v>
      </c>
    </row>
    <row r="46" spans="1:3">
      <c r="A46" s="2">
        <v>46</v>
      </c>
      <c r="B46">
        <f t="shared" si="2"/>
        <v>1.1657864618</v>
      </c>
      <c r="C46">
        <f t="shared" si="3"/>
        <v>1.1101234408352136</v>
      </c>
    </row>
    <row r="47" spans="1:3">
      <c r="A47" s="2">
        <v>47</v>
      </c>
      <c r="B47">
        <f t="shared" si="2"/>
        <v>1.1693338493000001</v>
      </c>
      <c r="C47">
        <f t="shared" si="3"/>
        <v>1.1135917537603222</v>
      </c>
    </row>
    <row r="48" spans="1:3">
      <c r="A48" s="2">
        <v>48</v>
      </c>
      <c r="B48">
        <f t="shared" si="2"/>
        <v>1.1728812367999999</v>
      </c>
      <c r="C48">
        <f t="shared" si="3"/>
        <v>1.1170582610441544</v>
      </c>
    </row>
    <row r="49" spans="1:3">
      <c r="A49" s="2">
        <v>49</v>
      </c>
      <c r="B49">
        <f t="shared" si="2"/>
        <v>1.1764286242999999</v>
      </c>
      <c r="C49">
        <f t="shared" si="3"/>
        <v>1.12052297052352</v>
      </c>
    </row>
    <row r="50" spans="1:3">
      <c r="A50" s="2">
        <v>50</v>
      </c>
      <c r="B50">
        <f t="shared" si="2"/>
        <v>1.1799760118</v>
      </c>
      <c r="C50">
        <f t="shared" si="3"/>
        <v>1.1239858901626218</v>
      </c>
    </row>
    <row r="51" spans="1:3">
      <c r="A51" s="2">
        <v>51</v>
      </c>
      <c r="B51">
        <f t="shared" si="2"/>
        <v>1.1835233993000001</v>
      </c>
      <c r="C51">
        <f t="shared" si="3"/>
        <v>1.127447028049571</v>
      </c>
    </row>
    <row r="52" spans="1:3">
      <c r="A52" s="2">
        <v>52</v>
      </c>
      <c r="B52">
        <f t="shared" si="2"/>
        <v>1.1870707868000001</v>
      </c>
      <c r="C52">
        <f t="shared" si="3"/>
        <v>1.1309063923928822</v>
      </c>
    </row>
    <row r="53" spans="1:3">
      <c r="A53" s="2">
        <v>53</v>
      </c>
      <c r="B53">
        <f t="shared" si="2"/>
        <v>1.1906181742999999</v>
      </c>
      <c r="C53">
        <f t="shared" si="3"/>
        <v>1.1343639915179573</v>
      </c>
    </row>
    <row r="54" spans="1:3">
      <c r="A54" s="2">
        <v>54</v>
      </c>
      <c r="B54">
        <f t="shared" si="2"/>
        <v>1.1941655618</v>
      </c>
      <c r="C54">
        <f t="shared" si="3"/>
        <v>1.137819833863559</v>
      </c>
    </row>
    <row r="55" spans="1:3">
      <c r="A55" s="2">
        <v>55</v>
      </c>
      <c r="B55">
        <f t="shared" si="2"/>
        <v>1.1977129493000001</v>
      </c>
      <c r="C55">
        <f t="shared" si="3"/>
        <v>1.1412739279782744</v>
      </c>
    </row>
    <row r="56" spans="1:3">
      <c r="A56" s="2">
        <v>56</v>
      </c>
      <c r="B56">
        <f t="shared" si="2"/>
        <v>1.2012603368000001</v>
      </c>
      <c r="C56">
        <f t="shared" si="3"/>
        <v>1.1447262825169773</v>
      </c>
    </row>
    <row r="57" spans="1:3">
      <c r="A57" s="2">
        <v>57</v>
      </c>
      <c r="B57">
        <f t="shared" si="2"/>
        <v>1.2048077242999999</v>
      </c>
      <c r="C57">
        <f t="shared" si="3"/>
        <v>1.1481769062372864</v>
      </c>
    </row>
    <row r="58" spans="1:3">
      <c r="A58" s="2">
        <v>58</v>
      </c>
      <c r="B58">
        <f t="shared" si="2"/>
        <v>1.2083551118</v>
      </c>
      <c r="C58">
        <f t="shared" si="3"/>
        <v>1.1516258079960282</v>
      </c>
    </row>
    <row r="59" spans="1:3">
      <c r="A59" s="2">
        <v>59</v>
      </c>
      <c r="B59">
        <f t="shared" si="2"/>
        <v>1.2119024993</v>
      </c>
      <c r="C59">
        <f t="shared" si="3"/>
        <v>1.1550729967456987</v>
      </c>
    </row>
    <row r="60" spans="1:3">
      <c r="A60" s="2">
        <v>60</v>
      </c>
      <c r="B60">
        <f t="shared" si="2"/>
        <v>1.2154498868000001</v>
      </c>
      <c r="C60">
        <f t="shared" si="3"/>
        <v>1.1585184815309386</v>
      </c>
    </row>
    <row r="61" spans="1:3">
      <c r="A61" s="2">
        <v>61</v>
      </c>
      <c r="B61">
        <f t="shared" si="2"/>
        <v>1.2189972742999999</v>
      </c>
      <c r="C61">
        <f t="shared" si="3"/>
        <v>1.1619622714850115</v>
      </c>
    </row>
    <row r="62" spans="1:3">
      <c r="A62" s="2">
        <v>62</v>
      </c>
      <c r="B62">
        <f t="shared" si="2"/>
        <v>1.2225446618</v>
      </c>
      <c r="C62">
        <f t="shared" si="3"/>
        <v>1.1654043758263006</v>
      </c>
    </row>
    <row r="63" spans="1:3">
      <c r="A63" s="2">
        <v>63</v>
      </c>
      <c r="B63">
        <f t="shared" si="2"/>
        <v>1.2260920493</v>
      </c>
      <c r="C63">
        <f t="shared" si="3"/>
        <v>1.1688448038548143</v>
      </c>
    </row>
    <row r="64" spans="1:3">
      <c r="A64" s="2">
        <v>64</v>
      </c>
      <c r="B64">
        <f t="shared" si="2"/>
        <v>1.2296394368000001</v>
      </c>
      <c r="C64">
        <f t="shared" si="3"/>
        <v>1.1722835649487122</v>
      </c>
    </row>
    <row r="65" spans="1:3">
      <c r="A65" s="2">
        <v>65</v>
      </c>
      <c r="B65">
        <f t="shared" ref="B65:B70" si="4">1.0061540243+(A65-1)*0.0035473875</f>
        <v>1.2331868242999999</v>
      </c>
      <c r="C65">
        <f t="shared" ref="C65:C70" si="5">0+1*B65-0.053991847617027*(1.00219298245614+(B65-1.02159661004213)^2/0.34268682428963)^0.5</f>
        <v>1.1757206685608503</v>
      </c>
    </row>
    <row r="66" spans="1:3">
      <c r="A66" s="2">
        <v>66</v>
      </c>
      <c r="B66">
        <f t="shared" si="4"/>
        <v>1.2367342118</v>
      </c>
      <c r="C66">
        <f t="shared" si="5"/>
        <v>1.1791561242153483</v>
      </c>
    </row>
    <row r="67" spans="1:3">
      <c r="A67" s="2">
        <v>67</v>
      </c>
      <c r="B67">
        <f t="shared" si="4"/>
        <v>1.2402815993</v>
      </c>
      <c r="C67">
        <f t="shared" si="5"/>
        <v>1.1825899415041778</v>
      </c>
    </row>
    <row r="68" spans="1:3">
      <c r="A68" s="2">
        <v>68</v>
      </c>
      <c r="B68">
        <f t="shared" si="4"/>
        <v>1.2438289868000001</v>
      </c>
      <c r="C68">
        <f t="shared" si="5"/>
        <v>1.186022130083781</v>
      </c>
    </row>
    <row r="69" spans="1:3">
      <c r="A69" s="2">
        <v>69</v>
      </c>
      <c r="B69">
        <f t="shared" si="4"/>
        <v>1.2473763742999999</v>
      </c>
      <c r="C69">
        <f t="shared" si="5"/>
        <v>1.1894526996717141</v>
      </c>
    </row>
    <row r="70" spans="1:3">
      <c r="A70" s="2">
        <v>70</v>
      </c>
      <c r="B70">
        <f t="shared" si="4"/>
        <v>1.2509237618</v>
      </c>
      <c r="C70">
        <f t="shared" si="5"/>
        <v>1.1928816600433236</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enableFormatConditionsCalculation="0"/>
  <dimension ref="A1:C70"/>
  <sheetViews>
    <sheetView workbookViewId="0"/>
  </sheetViews>
  <sheetFormatPr baseColWidth="10" defaultRowHeight="15.75"/>
  <sheetData>
    <row r="1" spans="1:3">
      <c r="A1" s="2">
        <v>1</v>
      </c>
      <c r="B1">
        <f t="shared" ref="B1:B32" si="0">0.8060396023+(A1-1)*0.0064475965</f>
        <v>0.80603960230000005</v>
      </c>
      <c r="C1">
        <f t="shared" ref="C1:C32" si="1">0+1*B1+0.053991847617027*(1.00219298245614+(B1-1.02159661004213)^2/0.34268682428963)^0.5</f>
        <v>0.8636310320243743</v>
      </c>
    </row>
    <row r="2" spans="1:3">
      <c r="A2" s="2">
        <v>2</v>
      </c>
      <c r="B2">
        <f t="shared" si="0"/>
        <v>0.81248719880000009</v>
      </c>
      <c r="C2">
        <f t="shared" si="1"/>
        <v>0.86987605561936787</v>
      </c>
    </row>
    <row r="3" spans="1:3">
      <c r="A3" s="2">
        <v>3</v>
      </c>
      <c r="B3">
        <f t="shared" si="0"/>
        <v>0.81893479530000002</v>
      </c>
      <c r="C3">
        <f t="shared" si="1"/>
        <v>0.87612654527712086</v>
      </c>
    </row>
    <row r="4" spans="1:3">
      <c r="A4" s="2">
        <v>4</v>
      </c>
      <c r="B4">
        <f t="shared" si="0"/>
        <v>0.82538239180000006</v>
      </c>
      <c r="C4">
        <f t="shared" si="1"/>
        <v>0.88238255770267404</v>
      </c>
    </row>
    <row r="5" spans="1:3">
      <c r="A5" s="2">
        <v>5</v>
      </c>
      <c r="B5">
        <f t="shared" si="0"/>
        <v>0.83182998829999999</v>
      </c>
      <c r="C5">
        <f t="shared" si="1"/>
        <v>0.88864414876633491</v>
      </c>
    </row>
    <row r="6" spans="1:3">
      <c r="A6" s="2">
        <v>6</v>
      </c>
      <c r="B6">
        <f t="shared" si="0"/>
        <v>0.83827758480000003</v>
      </c>
      <c r="C6">
        <f t="shared" si="1"/>
        <v>0.89491137343480531</v>
      </c>
    </row>
    <row r="7" spans="1:3">
      <c r="A7" s="2">
        <v>7</v>
      </c>
      <c r="B7">
        <f t="shared" si="0"/>
        <v>0.84472518130000007</v>
      </c>
      <c r="C7">
        <f t="shared" si="1"/>
        <v>0.90118428570172071</v>
      </c>
    </row>
    <row r="8" spans="1:3">
      <c r="A8" s="2">
        <v>8</v>
      </c>
      <c r="B8">
        <f t="shared" si="0"/>
        <v>0.8511727778</v>
      </c>
      <c r="C8">
        <f t="shared" si="1"/>
        <v>0.9074629385177686</v>
      </c>
    </row>
    <row r="9" spans="1:3">
      <c r="A9" s="2">
        <v>9</v>
      </c>
      <c r="B9">
        <f t="shared" si="0"/>
        <v>0.85762037430000004</v>
      </c>
      <c r="C9">
        <f t="shared" si="1"/>
        <v>0.91374738372055697</v>
      </c>
    </row>
    <row r="10" spans="1:3">
      <c r="A10" s="2">
        <v>10</v>
      </c>
      <c r="B10">
        <f t="shared" si="0"/>
        <v>0.86406797080000008</v>
      </c>
      <c r="C10">
        <f t="shared" si="1"/>
        <v>0.92003767196441233</v>
      </c>
    </row>
    <row r="11" spans="1:3">
      <c r="A11" s="2">
        <v>11</v>
      </c>
      <c r="B11">
        <f t="shared" si="0"/>
        <v>0.87051556730000001</v>
      </c>
      <c r="C11">
        <f t="shared" si="1"/>
        <v>0.926333852650297</v>
      </c>
    </row>
    <row r="12" spans="1:3">
      <c r="A12" s="2">
        <v>12</v>
      </c>
      <c r="B12">
        <f t="shared" si="0"/>
        <v>0.87696316380000006</v>
      </c>
      <c r="C12">
        <f t="shared" si="1"/>
        <v>0.9326359738560408</v>
      </c>
    </row>
    <row r="13" spans="1:3">
      <c r="A13" s="2">
        <v>13</v>
      </c>
      <c r="B13">
        <f t="shared" si="0"/>
        <v>0.8834107603000001</v>
      </c>
      <c r="C13">
        <f t="shared" si="1"/>
        <v>0.93894408226708614</v>
      </c>
    </row>
    <row r="14" spans="1:3">
      <c r="A14" s="2">
        <v>14</v>
      </c>
      <c r="B14">
        <f t="shared" si="0"/>
        <v>0.88985835680000003</v>
      </c>
      <c r="C14">
        <f t="shared" si="1"/>
        <v>0.9452582231079556</v>
      </c>
    </row>
    <row r="15" spans="1:3">
      <c r="A15" s="2">
        <v>15</v>
      </c>
      <c r="B15">
        <f t="shared" si="0"/>
        <v>0.89630595330000007</v>
      </c>
      <c r="C15">
        <f t="shared" si="1"/>
        <v>0.95157844007465031</v>
      </c>
    </row>
    <row r="16" spans="1:3">
      <c r="A16" s="2">
        <v>16</v>
      </c>
      <c r="B16">
        <f t="shared" si="0"/>
        <v>0.9027535498</v>
      </c>
      <c r="C16">
        <f t="shared" si="1"/>
        <v>0.95790477526819495</v>
      </c>
    </row>
    <row r="17" spans="1:3">
      <c r="A17" s="2">
        <v>17</v>
      </c>
      <c r="B17">
        <f t="shared" si="0"/>
        <v>0.90920114630000004</v>
      </c>
      <c r="C17">
        <f t="shared" si="1"/>
        <v>0.96423726912954455</v>
      </c>
    </row>
    <row r="18" spans="1:3">
      <c r="A18" s="2">
        <v>18</v>
      </c>
      <c r="B18">
        <f t="shared" si="0"/>
        <v>0.91564874280000008</v>
      </c>
      <c r="C18">
        <f t="shared" si="1"/>
        <v>0.97057596037607063</v>
      </c>
    </row>
    <row r="19" spans="1:3">
      <c r="A19" s="2">
        <v>19</v>
      </c>
      <c r="B19">
        <f t="shared" si="0"/>
        <v>0.92209633930000001</v>
      </c>
      <c r="C19">
        <f t="shared" si="1"/>
        <v>0.97692088593984483</v>
      </c>
    </row>
    <row r="20" spans="1:3">
      <c r="A20" s="2">
        <v>20</v>
      </c>
      <c r="B20">
        <f t="shared" si="0"/>
        <v>0.92854393580000005</v>
      </c>
      <c r="C20">
        <f t="shared" si="1"/>
        <v>0.98327208090793594</v>
      </c>
    </row>
    <row r="21" spans="1:3">
      <c r="A21" s="2">
        <v>21</v>
      </c>
      <c r="B21">
        <f t="shared" si="0"/>
        <v>0.93499153229999998</v>
      </c>
      <c r="C21">
        <f t="shared" si="1"/>
        <v>0.98962957846493249</v>
      </c>
    </row>
    <row r="22" spans="1:3">
      <c r="A22" s="2">
        <v>22</v>
      </c>
      <c r="B22">
        <f t="shared" si="0"/>
        <v>0.94143912880000002</v>
      </c>
      <c r="C22">
        <f t="shared" si="1"/>
        <v>0.99599340983790352</v>
      </c>
    </row>
    <row r="23" spans="1:3">
      <c r="A23" s="2">
        <v>23</v>
      </c>
      <c r="B23">
        <f t="shared" si="0"/>
        <v>0.94788672530000007</v>
      </c>
      <c r="C23">
        <f t="shared" si="1"/>
        <v>1.0023636042439985</v>
      </c>
    </row>
    <row r="24" spans="1:3">
      <c r="A24" s="2">
        <v>24</v>
      </c>
      <c r="B24">
        <f t="shared" si="0"/>
        <v>0.9543343218</v>
      </c>
      <c r="C24">
        <f t="shared" si="1"/>
        <v>1.0087401888408882</v>
      </c>
    </row>
    <row r="25" spans="1:3">
      <c r="A25" s="2">
        <v>25</v>
      </c>
      <c r="B25">
        <f t="shared" si="0"/>
        <v>0.96078191830000004</v>
      </c>
      <c r="C25">
        <f t="shared" si="1"/>
        <v>1.015123188680235</v>
      </c>
    </row>
    <row r="26" spans="1:3">
      <c r="A26" s="2">
        <v>26</v>
      </c>
      <c r="B26">
        <f t="shared" si="0"/>
        <v>0.96722951480000008</v>
      </c>
      <c r="C26">
        <f t="shared" si="1"/>
        <v>1.021512626664373</v>
      </c>
    </row>
    <row r="27" spans="1:3">
      <c r="A27" s="2">
        <v>27</v>
      </c>
      <c r="B27">
        <f t="shared" si="0"/>
        <v>0.97367711130000001</v>
      </c>
      <c r="C27">
        <f t="shared" si="1"/>
        <v>1.0279085235063727</v>
      </c>
    </row>
    <row r="28" spans="1:3">
      <c r="A28" s="2">
        <v>28</v>
      </c>
      <c r="B28">
        <f t="shared" si="0"/>
        <v>0.98012470780000005</v>
      </c>
      <c r="C28">
        <f t="shared" si="1"/>
        <v>1.0343108976936459</v>
      </c>
    </row>
    <row r="29" spans="1:3">
      <c r="A29" s="2">
        <v>29</v>
      </c>
      <c r="B29">
        <f t="shared" si="0"/>
        <v>0.98657230430000009</v>
      </c>
      <c r="C29">
        <f t="shared" si="1"/>
        <v>1.04071976545524</v>
      </c>
    </row>
    <row r="30" spans="1:3">
      <c r="A30" s="2">
        <v>30</v>
      </c>
      <c r="B30">
        <f t="shared" si="0"/>
        <v>0.99301990080000002</v>
      </c>
      <c r="C30">
        <f t="shared" si="1"/>
        <v>1.0471351407329563</v>
      </c>
    </row>
    <row r="31" spans="1:3">
      <c r="A31" s="2">
        <v>31</v>
      </c>
      <c r="B31">
        <f t="shared" si="0"/>
        <v>0.99946749730000006</v>
      </c>
      <c r="C31">
        <f t="shared" si="1"/>
        <v>1.053557035156409</v>
      </c>
    </row>
    <row r="32" spans="1:3">
      <c r="A32" s="2">
        <v>32</v>
      </c>
      <c r="B32">
        <f t="shared" si="0"/>
        <v>1.0059150938000001</v>
      </c>
      <c r="C32">
        <f t="shared" si="1"/>
        <v>1.0599854580221282</v>
      </c>
    </row>
    <row r="33" spans="1:3">
      <c r="A33" s="2">
        <v>33</v>
      </c>
      <c r="B33">
        <f t="shared" ref="B33:B64" si="2">0.8060396023+(A33-1)*0.0064475965</f>
        <v>1.0123626903</v>
      </c>
      <c r="C33">
        <f t="shared" ref="C33:C64" si="3">0+1*B33+0.053991847617027*(1.00219298245614+(B33-1.02159661004213)^2/0.34268682428963)^0.5</f>
        <v>1.0664204162767976</v>
      </c>
    </row>
    <row r="34" spans="1:3">
      <c r="A34" s="2">
        <v>34</v>
      </c>
      <c r="B34">
        <f t="shared" si="2"/>
        <v>1.0188102868</v>
      </c>
      <c r="C34">
        <f t="shared" si="3"/>
        <v>1.0728619145046929</v>
      </c>
    </row>
    <row r="35" spans="1:3">
      <c r="A35" s="2">
        <v>35</v>
      </c>
      <c r="B35">
        <f t="shared" si="2"/>
        <v>1.0252578833000001</v>
      </c>
      <c r="C35">
        <f t="shared" si="3"/>
        <v>1.0793099549193763</v>
      </c>
    </row>
    <row r="36" spans="1:3">
      <c r="A36" s="2">
        <v>36</v>
      </c>
      <c r="B36">
        <f t="shared" si="2"/>
        <v>1.0317054798</v>
      </c>
      <c r="C36">
        <f t="shared" si="3"/>
        <v>1.0857645373596807</v>
      </c>
    </row>
    <row r="37" spans="1:3">
      <c r="A37" s="2">
        <v>37</v>
      </c>
      <c r="B37">
        <f t="shared" si="2"/>
        <v>1.0381530763</v>
      </c>
      <c r="C37">
        <f t="shared" si="3"/>
        <v>1.0922256592900033</v>
      </c>
    </row>
    <row r="38" spans="1:3">
      <c r="A38" s="2">
        <v>38</v>
      </c>
      <c r="B38">
        <f t="shared" si="2"/>
        <v>1.0446006728000001</v>
      </c>
      <c r="C38">
        <f t="shared" si="3"/>
        <v>1.0986933158049039</v>
      </c>
    </row>
    <row r="39" spans="1:3">
      <c r="A39" s="2">
        <v>39</v>
      </c>
      <c r="B39">
        <f t="shared" si="2"/>
        <v>1.0510482693000001</v>
      </c>
      <c r="C39">
        <f t="shared" si="3"/>
        <v>1.1051674996379899</v>
      </c>
    </row>
    <row r="40" spans="1:3">
      <c r="A40" s="2">
        <v>40</v>
      </c>
      <c r="B40">
        <f t="shared" si="2"/>
        <v>1.0574958658</v>
      </c>
      <c r="C40">
        <f t="shared" si="3"/>
        <v>1.1116482011750515</v>
      </c>
    </row>
    <row r="41" spans="1:3">
      <c r="A41" s="2">
        <v>41</v>
      </c>
      <c r="B41">
        <f t="shared" si="2"/>
        <v>1.0639434623000001</v>
      </c>
      <c r="C41">
        <f t="shared" si="3"/>
        <v>1.1181354084713913</v>
      </c>
    </row>
    <row r="42" spans="1:3">
      <c r="A42" s="2">
        <v>42</v>
      </c>
      <c r="B42">
        <f t="shared" si="2"/>
        <v>1.0703910588000001</v>
      </c>
      <c r="C42">
        <f t="shared" si="3"/>
        <v>1.124629107273273</v>
      </c>
    </row>
    <row r="43" spans="1:3">
      <c r="A43" s="2">
        <v>43</v>
      </c>
      <c r="B43">
        <f t="shared" si="2"/>
        <v>1.0768386553</v>
      </c>
      <c r="C43">
        <f t="shared" si="3"/>
        <v>1.1311292810434053</v>
      </c>
    </row>
    <row r="44" spans="1:3">
      <c r="A44" s="2">
        <v>44</v>
      </c>
      <c r="B44">
        <f t="shared" si="2"/>
        <v>1.0832862518000002</v>
      </c>
      <c r="C44">
        <f t="shared" si="3"/>
        <v>1.1376359109903498</v>
      </c>
    </row>
    <row r="45" spans="1:3">
      <c r="A45" s="2">
        <v>45</v>
      </c>
      <c r="B45">
        <f t="shared" si="2"/>
        <v>1.0897338483000001</v>
      </c>
      <c r="C45">
        <f t="shared" si="3"/>
        <v>1.144148976101734</v>
      </c>
    </row>
    <row r="46" spans="1:3">
      <c r="A46" s="2">
        <v>46</v>
      </c>
      <c r="B46">
        <f t="shared" si="2"/>
        <v>1.0961814448</v>
      </c>
      <c r="C46">
        <f t="shared" si="3"/>
        <v>1.1506684531811378</v>
      </c>
    </row>
    <row r="47" spans="1:3">
      <c r="A47" s="2">
        <v>47</v>
      </c>
      <c r="B47">
        <f t="shared" si="2"/>
        <v>1.1026290413000002</v>
      </c>
      <c r="C47">
        <f t="shared" si="3"/>
        <v>1.1571943168884964</v>
      </c>
    </row>
    <row r="48" spans="1:3">
      <c r="A48" s="2">
        <v>48</v>
      </c>
      <c r="B48">
        <f t="shared" si="2"/>
        <v>1.1090766378000001</v>
      </c>
      <c r="C48">
        <f t="shared" si="3"/>
        <v>1.1637265397838661</v>
      </c>
    </row>
    <row r="49" spans="1:3">
      <c r="A49" s="2">
        <v>49</v>
      </c>
      <c r="B49">
        <f t="shared" si="2"/>
        <v>1.1155242343</v>
      </c>
      <c r="C49">
        <f t="shared" si="3"/>
        <v>1.1702650923743767</v>
      </c>
    </row>
    <row r="50" spans="1:3">
      <c r="A50" s="2">
        <v>50</v>
      </c>
      <c r="B50">
        <f t="shared" si="2"/>
        <v>1.1219718308</v>
      </c>
      <c r="C50">
        <f t="shared" si="3"/>
        <v>1.1768099431641865</v>
      </c>
    </row>
    <row r="51" spans="1:3">
      <c r="A51" s="2">
        <v>51</v>
      </c>
      <c r="B51">
        <f t="shared" si="2"/>
        <v>1.1284194272999999</v>
      </c>
      <c r="C51">
        <f t="shared" si="3"/>
        <v>1.1833610587072534</v>
      </c>
    </row>
    <row r="52" spans="1:3">
      <c r="A52" s="2">
        <v>52</v>
      </c>
      <c r="B52">
        <f t="shared" si="2"/>
        <v>1.1348670238</v>
      </c>
      <c r="C52">
        <f t="shared" si="3"/>
        <v>1.1899184036627166</v>
      </c>
    </row>
    <row r="53" spans="1:3">
      <c r="A53" s="2">
        <v>53</v>
      </c>
      <c r="B53">
        <f t="shared" si="2"/>
        <v>1.1413146203</v>
      </c>
      <c r="C53">
        <f t="shared" si="3"/>
        <v>1.1964819408526872</v>
      </c>
    </row>
    <row r="54" spans="1:3">
      <c r="A54" s="2">
        <v>54</v>
      </c>
      <c r="B54">
        <f t="shared" si="2"/>
        <v>1.1477622167999999</v>
      </c>
      <c r="C54">
        <f t="shared" si="3"/>
        <v>1.2030516313222395</v>
      </c>
    </row>
    <row r="55" spans="1:3">
      <c r="A55" s="2">
        <v>55</v>
      </c>
      <c r="B55">
        <f t="shared" si="2"/>
        <v>1.1542098133000001</v>
      </c>
      <c r="C55">
        <f t="shared" si="3"/>
        <v>1.2096274344013824</v>
      </c>
    </row>
    <row r="56" spans="1:3">
      <c r="A56" s="2">
        <v>56</v>
      </c>
      <c r="B56">
        <f t="shared" si="2"/>
        <v>1.1606574098</v>
      </c>
      <c r="C56">
        <f t="shared" si="3"/>
        <v>1.2162093077687999</v>
      </c>
    </row>
    <row r="57" spans="1:3">
      <c r="A57" s="2">
        <v>57</v>
      </c>
      <c r="B57">
        <f t="shared" si="2"/>
        <v>1.1671050062999999</v>
      </c>
      <c r="C57">
        <f t="shared" si="3"/>
        <v>1.2227972075171432</v>
      </c>
    </row>
    <row r="58" spans="1:3">
      <c r="A58" s="2">
        <v>58</v>
      </c>
      <c r="B58">
        <f t="shared" si="2"/>
        <v>1.1735526028000001</v>
      </c>
      <c r="C58">
        <f t="shared" si="3"/>
        <v>1.2293910882196535</v>
      </c>
    </row>
    <row r="59" spans="1:3">
      <c r="A59" s="2">
        <v>59</v>
      </c>
      <c r="B59">
        <f t="shared" si="2"/>
        <v>1.1800001993</v>
      </c>
      <c r="C59">
        <f t="shared" si="3"/>
        <v>1.235990902997901</v>
      </c>
    </row>
    <row r="60" spans="1:3">
      <c r="A60" s="2">
        <v>60</v>
      </c>
      <c r="B60">
        <f t="shared" si="2"/>
        <v>1.1864477957999999</v>
      </c>
      <c r="C60">
        <f t="shared" si="3"/>
        <v>1.2425966035904306</v>
      </c>
    </row>
    <row r="61" spans="1:3">
      <c r="A61" s="2">
        <v>61</v>
      </c>
      <c r="B61">
        <f t="shared" si="2"/>
        <v>1.1928953923000001</v>
      </c>
      <c r="C61">
        <f t="shared" si="3"/>
        <v>1.2492081404220952</v>
      </c>
    </row>
    <row r="62" spans="1:3">
      <c r="A62" s="2">
        <v>62</v>
      </c>
      <c r="B62">
        <f t="shared" si="2"/>
        <v>1.1993429888</v>
      </c>
      <c r="C62">
        <f t="shared" si="3"/>
        <v>1.2558254626738803</v>
      </c>
    </row>
    <row r="63" spans="1:3">
      <c r="A63" s="2">
        <v>63</v>
      </c>
      <c r="B63">
        <f t="shared" si="2"/>
        <v>1.2057905852999999</v>
      </c>
      <c r="C63">
        <f t="shared" si="3"/>
        <v>1.2624485183530143</v>
      </c>
    </row>
    <row r="64" spans="1:3">
      <c r="A64" s="2">
        <v>64</v>
      </c>
      <c r="B64">
        <f t="shared" si="2"/>
        <v>1.2122381818000001</v>
      </c>
      <c r="C64">
        <f t="shared" si="3"/>
        <v>1.269077254363171</v>
      </c>
    </row>
    <row r="65" spans="1:3">
      <c r="A65" s="2">
        <v>65</v>
      </c>
      <c r="B65">
        <f t="shared" ref="B65:B70" si="4">0.8060396023+(A65-1)*0.0064475965</f>
        <v>1.2186857783</v>
      </c>
      <c r="C65">
        <f t="shared" ref="C65:C70" si="5">0+1*B65+0.053991847617027*(1.00219298245614+(B65-1.02159661004213)^2/0.34268682428963)^0.5</f>
        <v>1.2757116165745768</v>
      </c>
    </row>
    <row r="66" spans="1:3">
      <c r="A66" s="2">
        <v>66</v>
      </c>
      <c r="B66">
        <f t="shared" si="4"/>
        <v>1.2251333748</v>
      </c>
      <c r="C66">
        <f t="shared" si="5"/>
        <v>1.2823515498938476</v>
      </c>
    </row>
    <row r="67" spans="1:3">
      <c r="A67" s="2">
        <v>67</v>
      </c>
      <c r="B67">
        <f t="shared" si="4"/>
        <v>1.2315809713000001</v>
      </c>
      <c r="C67">
        <f t="shared" si="5"/>
        <v>1.2889969983333771</v>
      </c>
    </row>
    <row r="68" spans="1:3">
      <c r="A68" s="2">
        <v>68</v>
      </c>
      <c r="B68">
        <f t="shared" si="4"/>
        <v>1.2380285678</v>
      </c>
      <c r="C68">
        <f t="shared" si="5"/>
        <v>1.2956479050801182</v>
      </c>
    </row>
    <row r="69" spans="1:3">
      <c r="A69" s="2">
        <v>69</v>
      </c>
      <c r="B69">
        <f t="shared" si="4"/>
        <v>1.2444761643</v>
      </c>
      <c r="C69">
        <f t="shared" si="5"/>
        <v>1.3023042125636044</v>
      </c>
    </row>
    <row r="70" spans="1:3">
      <c r="A70" s="2">
        <v>70</v>
      </c>
      <c r="B70">
        <f t="shared" si="4"/>
        <v>1.2509237608000001</v>
      </c>
      <c r="C70">
        <f t="shared" si="5"/>
        <v>1.3089658625230665</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EN690"/>
  <sheetViews>
    <sheetView showGridLines="0" topLeftCell="A440" zoomScale="96" zoomScaleNormal="96" zoomScalePageLayoutView="96" workbookViewId="0">
      <pane xSplit="1" topLeftCell="B1" activePane="topRight" state="frozen"/>
      <selection pane="topRight" activeCell="B460" sqref="B460"/>
    </sheetView>
  </sheetViews>
  <sheetFormatPr baseColWidth="10" defaultColWidth="13.625" defaultRowHeight="20.100000000000001" customHeight="1"/>
  <cols>
    <col min="1" max="1" width="18.125" style="33" hidden="1" customWidth="1"/>
    <col min="2" max="2" width="28.375" style="32" customWidth="1"/>
    <col min="3" max="3" width="16.875" style="100" customWidth="1"/>
    <col min="4" max="4" width="15.5" style="94" customWidth="1"/>
    <col min="5" max="5" width="12.125" style="94" customWidth="1"/>
    <col min="6" max="6" width="13.625" style="95" customWidth="1"/>
    <col min="7" max="7" width="9.125" style="94" customWidth="1"/>
    <col min="8" max="8" width="6.875" style="94" customWidth="1"/>
    <col min="9" max="9" width="7" style="94" customWidth="1"/>
    <col min="10" max="10" width="6.375" style="96" customWidth="1"/>
    <col min="11" max="11" width="6.375" style="97" customWidth="1"/>
    <col min="12" max="12" width="9.875" style="97" customWidth="1"/>
    <col min="13" max="13" width="13.625" style="97" hidden="1" customWidth="1"/>
    <col min="14" max="14" width="7.875" style="97" customWidth="1"/>
    <col min="15" max="15" width="7.625" style="93" customWidth="1"/>
    <col min="16" max="16" width="11.625" style="98" customWidth="1"/>
    <col min="17" max="258" width="13.625" style="33" customWidth="1"/>
    <col min="259" max="16384" width="13.625" style="33"/>
  </cols>
  <sheetData>
    <row r="1" spans="1:144" ht="48.95" customHeight="1">
      <c r="A1" s="111" t="s">
        <v>848</v>
      </c>
      <c r="B1" s="111" t="s">
        <v>1708</v>
      </c>
      <c r="C1" s="112" t="s">
        <v>4458</v>
      </c>
      <c r="D1" s="111" t="s">
        <v>4457</v>
      </c>
      <c r="E1" s="111" t="s">
        <v>1679</v>
      </c>
      <c r="F1" s="113" t="s">
        <v>839</v>
      </c>
      <c r="G1" s="111" t="s">
        <v>151</v>
      </c>
      <c r="H1" s="111" t="s">
        <v>1709</v>
      </c>
      <c r="I1" s="111" t="s">
        <v>1710</v>
      </c>
      <c r="J1" s="111" t="s">
        <v>1711</v>
      </c>
      <c r="K1" s="114" t="s">
        <v>1712</v>
      </c>
      <c r="L1" s="115" t="s">
        <v>1719</v>
      </c>
      <c r="M1" s="115" t="s">
        <v>874</v>
      </c>
      <c r="N1" s="115" t="s">
        <v>1714</v>
      </c>
      <c r="O1" s="116" t="s">
        <v>1715</v>
      </c>
      <c r="P1" s="117" t="s">
        <v>1721</v>
      </c>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c r="AP1" s="352"/>
      <c r="AQ1" s="352"/>
      <c r="AR1" s="352"/>
      <c r="AS1" s="352"/>
      <c r="AT1" s="352"/>
      <c r="AU1" s="352"/>
      <c r="AV1" s="352"/>
      <c r="AW1" s="352"/>
      <c r="AX1" s="352"/>
      <c r="AY1" s="352"/>
      <c r="AZ1" s="352"/>
      <c r="BA1" s="352"/>
      <c r="BB1" s="352"/>
      <c r="BC1" s="352"/>
      <c r="BD1" s="352"/>
      <c r="BE1" s="352"/>
      <c r="BF1" s="352"/>
      <c r="BG1" s="352"/>
      <c r="BH1" s="352"/>
      <c r="BI1" s="352"/>
      <c r="BJ1" s="352"/>
      <c r="BK1" s="352"/>
      <c r="BL1" s="352"/>
      <c r="BM1" s="352"/>
      <c r="BN1" s="352"/>
      <c r="BO1" s="352"/>
      <c r="BP1" s="352"/>
      <c r="BQ1" s="352"/>
      <c r="BR1" s="352"/>
      <c r="BS1" s="352"/>
      <c r="BT1" s="352"/>
      <c r="BU1" s="352"/>
      <c r="BV1" s="352"/>
      <c r="BW1" s="352"/>
      <c r="BX1" s="352"/>
      <c r="BY1" s="352"/>
      <c r="BZ1" s="352"/>
      <c r="CA1" s="352"/>
      <c r="CB1" s="352"/>
      <c r="CC1" s="352"/>
      <c r="CD1" s="352"/>
      <c r="CE1" s="352"/>
      <c r="CF1" s="352"/>
      <c r="CG1" s="352"/>
      <c r="CH1" s="352"/>
      <c r="CI1" s="352"/>
      <c r="CJ1" s="352"/>
      <c r="CK1" s="352"/>
      <c r="CL1" s="352"/>
      <c r="CM1" s="352"/>
      <c r="CN1" s="352"/>
      <c r="CO1" s="352"/>
      <c r="CP1" s="352"/>
      <c r="CQ1" s="352"/>
      <c r="CR1" s="352"/>
      <c r="CS1" s="352"/>
      <c r="CT1" s="352"/>
      <c r="CU1" s="352"/>
      <c r="CV1" s="352"/>
      <c r="CW1" s="352"/>
      <c r="CX1" s="352"/>
      <c r="CY1" s="352"/>
      <c r="CZ1" s="352"/>
      <c r="DA1" s="352"/>
      <c r="DB1" s="352"/>
      <c r="DC1" s="352"/>
      <c r="DD1" s="352"/>
      <c r="DE1" s="352"/>
      <c r="DF1" s="352"/>
      <c r="DG1" s="352"/>
      <c r="DH1" s="352"/>
      <c r="DI1" s="352"/>
      <c r="DJ1" s="352"/>
      <c r="DK1" s="352"/>
      <c r="DL1" s="352"/>
      <c r="DM1" s="352"/>
      <c r="DN1" s="352"/>
      <c r="DO1" s="352"/>
      <c r="DP1" s="352"/>
      <c r="DQ1" s="352"/>
      <c r="DR1" s="352"/>
      <c r="DS1" s="352"/>
      <c r="DT1" s="352"/>
      <c r="DU1" s="352"/>
      <c r="DV1" s="352"/>
      <c r="DW1" s="352"/>
      <c r="DX1" s="352"/>
      <c r="DY1" s="352"/>
      <c r="DZ1" s="352"/>
      <c r="EA1" s="352"/>
      <c r="EB1" s="352"/>
      <c r="EC1" s="352"/>
      <c r="ED1" s="352"/>
      <c r="EE1" s="352"/>
      <c r="EF1" s="352"/>
      <c r="EG1" s="352"/>
      <c r="EH1" s="352"/>
      <c r="EI1" s="352"/>
      <c r="EJ1" s="352"/>
      <c r="EK1" s="352"/>
      <c r="EL1" s="352"/>
      <c r="EM1" s="352"/>
      <c r="EN1" s="352"/>
    </row>
    <row r="2" spans="1:144" s="169" customFormat="1" ht="20.25" customHeight="1">
      <c r="A2" s="160" t="s">
        <v>876</v>
      </c>
      <c r="B2" s="160" t="s">
        <v>208</v>
      </c>
      <c r="C2" s="161">
        <f>'Thomson Reuters IMA  ($)'!I3</f>
        <v>1.6</v>
      </c>
      <c r="D2" s="162">
        <f>'Sectors % GDP'!C4</f>
        <v>44086.987000000001</v>
      </c>
      <c r="E2" s="162">
        <f t="shared" ref="E2:E65" si="0">C2/D2</f>
        <v>3.6291888125627635E-5</v>
      </c>
      <c r="F2" s="163">
        <v>1</v>
      </c>
      <c r="G2" s="162">
        <v>3</v>
      </c>
      <c r="H2" s="164">
        <v>30.03</v>
      </c>
      <c r="I2" s="164">
        <v>51.53</v>
      </c>
      <c r="J2" s="165">
        <v>53.3</v>
      </c>
      <c r="K2" s="165">
        <v>8.26</v>
      </c>
      <c r="L2" s="165">
        <f>M2*100</f>
        <v>2.4</v>
      </c>
      <c r="M2" s="166">
        <v>2.4E-2</v>
      </c>
      <c r="N2" s="166">
        <v>5.8</v>
      </c>
      <c r="O2" s="167">
        <f>'Trade Data'!B5</f>
        <v>0.64345331184822074</v>
      </c>
      <c r="P2" s="168">
        <v>0</v>
      </c>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2"/>
      <c r="BZ2" s="352"/>
      <c r="CA2" s="352"/>
      <c r="CB2" s="352"/>
      <c r="CC2" s="352"/>
      <c r="CD2" s="352"/>
      <c r="CE2" s="352"/>
      <c r="CF2" s="352"/>
      <c r="CG2" s="352"/>
      <c r="CH2" s="352"/>
      <c r="CI2" s="352"/>
      <c r="CJ2" s="352"/>
      <c r="CK2" s="352"/>
      <c r="CL2" s="352"/>
      <c r="CM2" s="352"/>
      <c r="CN2" s="352"/>
      <c r="CO2" s="352"/>
      <c r="CP2" s="352"/>
      <c r="CQ2" s="352"/>
      <c r="CR2" s="352"/>
      <c r="CS2" s="352"/>
      <c r="CT2" s="352"/>
      <c r="CU2" s="352"/>
      <c r="CV2" s="352"/>
      <c r="CW2" s="352"/>
      <c r="CX2" s="352"/>
      <c r="CY2" s="352"/>
      <c r="CZ2" s="352"/>
      <c r="DA2" s="352"/>
      <c r="DB2" s="352"/>
      <c r="DC2" s="352"/>
      <c r="DD2" s="352"/>
      <c r="DE2" s="352"/>
      <c r="DF2" s="352"/>
      <c r="DG2" s="352"/>
      <c r="DH2" s="352"/>
      <c r="DI2" s="352"/>
      <c r="DJ2" s="352"/>
      <c r="DK2" s="352"/>
      <c r="DL2" s="352"/>
      <c r="DM2" s="352"/>
      <c r="DN2" s="352"/>
      <c r="DO2" s="352"/>
      <c r="DP2" s="352"/>
      <c r="DQ2" s="352"/>
      <c r="DR2" s="352"/>
      <c r="DS2" s="352"/>
      <c r="DT2" s="352"/>
      <c r="DU2" s="352"/>
      <c r="DV2" s="352"/>
      <c r="DW2" s="352"/>
      <c r="DX2" s="352"/>
      <c r="DY2" s="352"/>
      <c r="DZ2" s="352"/>
      <c r="EA2" s="352"/>
      <c r="EB2" s="352"/>
      <c r="EC2" s="352"/>
      <c r="ED2" s="352"/>
      <c r="EE2" s="352"/>
      <c r="EF2" s="352"/>
      <c r="EG2" s="352"/>
      <c r="EH2" s="352"/>
      <c r="EI2" s="352"/>
      <c r="EJ2" s="352"/>
      <c r="EK2" s="352"/>
      <c r="EL2" s="352"/>
      <c r="EM2" s="352"/>
      <c r="EN2" s="352"/>
    </row>
    <row r="3" spans="1:144" s="188" customFormat="1" ht="20.100000000000001" customHeight="1">
      <c r="A3" s="179" t="s">
        <v>876</v>
      </c>
      <c r="B3" s="179" t="s">
        <v>209</v>
      </c>
      <c r="C3" s="180">
        <f>'Thomson Reuters IMA  ($)'!I2+'Thomson Reuters IMA  ($)'!I5+'Thomson Reuters IMA  ($)'!I6</f>
        <v>196.02600000000001</v>
      </c>
      <c r="D3" s="181">
        <f>'Sectors % GDP'!C5</f>
        <v>174819.27299999999</v>
      </c>
      <c r="E3" s="181">
        <f t="shared" si="0"/>
        <v>1.1213065735606854E-3</v>
      </c>
      <c r="F3" s="182">
        <v>1</v>
      </c>
      <c r="G3" s="181">
        <v>4</v>
      </c>
      <c r="H3" s="183">
        <v>30.03</v>
      </c>
      <c r="I3" s="183">
        <v>51.53</v>
      </c>
      <c r="J3" s="184">
        <v>53.3</v>
      </c>
      <c r="K3" s="184">
        <v>8.26</v>
      </c>
      <c r="L3" s="184">
        <f t="shared" ref="L3:L66" si="1">M3*100</f>
        <v>2.4</v>
      </c>
      <c r="M3" s="185">
        <v>2.4E-2</v>
      </c>
      <c r="N3" s="185">
        <v>5.8</v>
      </c>
      <c r="O3" s="186">
        <f>'Trade Data'!B5</f>
        <v>0.64345331184822074</v>
      </c>
      <c r="P3" s="187">
        <v>1</v>
      </c>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2"/>
      <c r="EI3" s="352"/>
      <c r="EJ3" s="352"/>
      <c r="EK3" s="352"/>
      <c r="EL3" s="352"/>
      <c r="EM3" s="352"/>
      <c r="EN3" s="352"/>
    </row>
    <row r="4" spans="1:144" ht="20.100000000000001" customHeight="1">
      <c r="A4" s="118" t="s">
        <v>876</v>
      </c>
      <c r="B4" s="118" t="s">
        <v>210</v>
      </c>
      <c r="C4" s="119">
        <f>'Thomson Reuters IMA  ($)'!I4</f>
        <v>4.1040000000000001</v>
      </c>
      <c r="D4" s="120">
        <f>'Sectors % GDP'!C6</f>
        <v>392624.88699999999</v>
      </c>
      <c r="E4" s="120">
        <f t="shared" si="0"/>
        <v>1.0452725071398747E-5</v>
      </c>
      <c r="F4" s="121">
        <v>1</v>
      </c>
      <c r="G4" s="120">
        <v>1</v>
      </c>
      <c r="H4" s="122">
        <v>30.03</v>
      </c>
      <c r="I4" s="122">
        <v>51.53</v>
      </c>
      <c r="J4" s="123">
        <v>53.3</v>
      </c>
      <c r="K4" s="123">
        <v>8.26</v>
      </c>
      <c r="L4" s="123">
        <f t="shared" si="1"/>
        <v>2.4</v>
      </c>
      <c r="M4" s="124">
        <v>2.4E-2</v>
      </c>
      <c r="N4" s="124">
        <v>5.8</v>
      </c>
      <c r="O4" s="125">
        <f>'Trade Data'!B5</f>
        <v>0.64345331184822074</v>
      </c>
      <c r="P4" s="126">
        <v>1</v>
      </c>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2"/>
      <c r="CC4" s="352"/>
      <c r="CD4" s="352"/>
      <c r="CE4" s="352"/>
      <c r="CF4" s="352"/>
      <c r="CG4" s="352"/>
      <c r="CH4" s="352"/>
      <c r="CI4" s="352"/>
      <c r="CJ4" s="352"/>
      <c r="CK4" s="352"/>
      <c r="CL4" s="352"/>
      <c r="CM4" s="352"/>
      <c r="CN4" s="352"/>
      <c r="CO4" s="352"/>
      <c r="CP4" s="352"/>
      <c r="CQ4" s="352"/>
      <c r="CR4" s="352"/>
      <c r="CS4" s="352"/>
      <c r="CT4" s="352"/>
      <c r="CU4" s="352"/>
      <c r="CV4" s="352"/>
      <c r="CW4" s="352"/>
      <c r="CX4" s="352"/>
      <c r="CY4" s="352"/>
      <c r="CZ4" s="352"/>
      <c r="DA4" s="352"/>
      <c r="DB4" s="352"/>
      <c r="DC4" s="352"/>
      <c r="DD4" s="352"/>
      <c r="DE4" s="352"/>
      <c r="DF4" s="352"/>
      <c r="DG4" s="352"/>
      <c r="DH4" s="352"/>
      <c r="DI4" s="352"/>
      <c r="DJ4" s="352"/>
      <c r="DK4" s="352"/>
      <c r="DL4" s="352"/>
      <c r="DM4" s="352"/>
      <c r="DN4" s="352"/>
      <c r="DO4" s="352"/>
      <c r="DP4" s="352"/>
      <c r="DQ4" s="352"/>
      <c r="DR4" s="352"/>
      <c r="DS4" s="352"/>
      <c r="DT4" s="352"/>
      <c r="DU4" s="352"/>
      <c r="DV4" s="352"/>
      <c r="DW4" s="352"/>
      <c r="DX4" s="352"/>
      <c r="DY4" s="352"/>
      <c r="DZ4" s="352"/>
      <c r="EA4" s="352"/>
      <c r="EB4" s="352"/>
      <c r="EC4" s="352"/>
      <c r="ED4" s="352"/>
      <c r="EE4" s="352"/>
      <c r="EF4" s="352"/>
      <c r="EG4" s="352"/>
      <c r="EH4" s="352"/>
      <c r="EI4" s="352"/>
      <c r="EJ4" s="352"/>
      <c r="EK4" s="352"/>
      <c r="EL4" s="352"/>
      <c r="EM4" s="352"/>
      <c r="EN4" s="352"/>
    </row>
    <row r="5" spans="1:144" s="169" customFormat="1" ht="20.100000000000001" customHeight="1">
      <c r="A5" s="160" t="s">
        <v>19</v>
      </c>
      <c r="B5" s="160" t="s">
        <v>211</v>
      </c>
      <c r="C5" s="161">
        <v>0</v>
      </c>
      <c r="D5" s="162">
        <f>'Sectors % GDP'!C4</f>
        <v>44086.987000000001</v>
      </c>
      <c r="E5" s="162">
        <f t="shared" si="0"/>
        <v>0</v>
      </c>
      <c r="F5" s="163">
        <v>0</v>
      </c>
      <c r="G5" s="162">
        <v>0</v>
      </c>
      <c r="H5" s="164">
        <v>16.59</v>
      </c>
      <c r="I5" s="164">
        <v>18.739999999999998</v>
      </c>
      <c r="J5" s="164">
        <v>46.66</v>
      </c>
      <c r="K5" s="165">
        <v>8.26</v>
      </c>
      <c r="L5" s="165">
        <f t="shared" si="1"/>
        <v>2.4</v>
      </c>
      <c r="M5" s="166">
        <v>2.4E-2</v>
      </c>
      <c r="N5" s="166">
        <v>5.8</v>
      </c>
      <c r="O5" s="167">
        <f>'Trade Data'!B5</f>
        <v>0.64345331184822074</v>
      </c>
      <c r="P5" s="170">
        <v>0</v>
      </c>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c r="BB5" s="352"/>
      <c r="BC5" s="352"/>
      <c r="BD5" s="352"/>
      <c r="BE5" s="352"/>
      <c r="BF5" s="352"/>
      <c r="BG5" s="352"/>
      <c r="BH5" s="352"/>
      <c r="BI5" s="352"/>
      <c r="BJ5" s="352"/>
      <c r="BK5" s="352"/>
      <c r="BL5" s="352"/>
      <c r="BM5" s="352"/>
      <c r="BN5" s="352"/>
      <c r="BO5" s="352"/>
      <c r="BP5" s="352"/>
      <c r="BQ5" s="352"/>
      <c r="BR5" s="352"/>
      <c r="BS5" s="352"/>
      <c r="BT5" s="352"/>
      <c r="BU5" s="352"/>
      <c r="BV5" s="352"/>
      <c r="BW5" s="352"/>
      <c r="BX5" s="352"/>
      <c r="BY5" s="352"/>
      <c r="BZ5" s="352"/>
      <c r="CA5" s="352"/>
      <c r="CB5" s="352"/>
      <c r="CC5" s="352"/>
      <c r="CD5" s="352"/>
      <c r="CE5" s="352"/>
      <c r="CF5" s="352"/>
      <c r="CG5" s="352"/>
      <c r="CH5" s="352"/>
      <c r="CI5" s="352"/>
      <c r="CJ5" s="352"/>
      <c r="CK5" s="352"/>
      <c r="CL5" s="352"/>
      <c r="CM5" s="352"/>
      <c r="CN5" s="352"/>
      <c r="CO5" s="352"/>
      <c r="CP5" s="352"/>
      <c r="CQ5" s="352"/>
      <c r="CR5" s="352"/>
      <c r="CS5" s="352"/>
      <c r="CT5" s="352"/>
      <c r="CU5" s="352"/>
      <c r="CV5" s="352"/>
      <c r="CW5" s="352"/>
      <c r="CX5" s="352"/>
      <c r="CY5" s="352"/>
      <c r="CZ5" s="352"/>
      <c r="DA5" s="352"/>
      <c r="DB5" s="352"/>
      <c r="DC5" s="352"/>
      <c r="DD5" s="352"/>
      <c r="DE5" s="352"/>
      <c r="DF5" s="352"/>
      <c r="DG5" s="352"/>
      <c r="DH5" s="352"/>
      <c r="DI5" s="352"/>
      <c r="DJ5" s="352"/>
      <c r="DK5" s="352"/>
      <c r="DL5" s="352"/>
      <c r="DM5" s="352"/>
      <c r="DN5" s="352"/>
      <c r="DO5" s="352"/>
      <c r="DP5" s="352"/>
      <c r="DQ5" s="352"/>
      <c r="DR5" s="352"/>
      <c r="DS5" s="352"/>
      <c r="DT5" s="352"/>
      <c r="DU5" s="352"/>
      <c r="DV5" s="352"/>
      <c r="DW5" s="352"/>
      <c r="DX5" s="352"/>
      <c r="DY5" s="352"/>
      <c r="DZ5" s="352"/>
      <c r="EA5" s="352"/>
      <c r="EB5" s="352"/>
      <c r="EC5" s="352"/>
      <c r="ED5" s="352"/>
      <c r="EE5" s="352"/>
      <c r="EF5" s="352"/>
      <c r="EG5" s="352"/>
      <c r="EH5" s="352"/>
      <c r="EI5" s="352"/>
      <c r="EJ5" s="352"/>
      <c r="EK5" s="352"/>
      <c r="EL5" s="352"/>
      <c r="EM5" s="352"/>
      <c r="EN5" s="352"/>
    </row>
    <row r="6" spans="1:144" s="188" customFormat="1" ht="20.100000000000001" customHeight="1">
      <c r="A6" s="179" t="s">
        <v>19</v>
      </c>
      <c r="B6" s="179" t="s">
        <v>212</v>
      </c>
      <c r="C6" s="180">
        <f>'Thomson Reuters IMA  ($)'!I7</f>
        <v>1.954</v>
      </c>
      <c r="D6" s="181">
        <f>'Sectors % GDP'!C5</f>
        <v>174819.27299999999</v>
      </c>
      <c r="E6" s="181">
        <f t="shared" si="0"/>
        <v>1.1177257326770831E-5</v>
      </c>
      <c r="F6" s="182">
        <v>1</v>
      </c>
      <c r="G6" s="181">
        <v>4</v>
      </c>
      <c r="H6" s="183">
        <v>16.59</v>
      </c>
      <c r="I6" s="183">
        <v>18.739999999999998</v>
      </c>
      <c r="J6" s="183">
        <v>46.66</v>
      </c>
      <c r="K6" s="184">
        <v>8.26</v>
      </c>
      <c r="L6" s="184">
        <f t="shared" si="1"/>
        <v>2.4</v>
      </c>
      <c r="M6" s="185">
        <v>2.4E-2</v>
      </c>
      <c r="N6" s="185">
        <v>5.8</v>
      </c>
      <c r="O6" s="186">
        <f>'Trade Data'!B5</f>
        <v>0.64345331184822074</v>
      </c>
      <c r="P6" s="189">
        <v>1</v>
      </c>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352"/>
      <c r="CJ6" s="352"/>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c r="DL6" s="352"/>
      <c r="DM6" s="352"/>
      <c r="DN6" s="352"/>
      <c r="DO6" s="352"/>
      <c r="DP6" s="352"/>
      <c r="DQ6" s="352"/>
      <c r="DR6" s="352"/>
      <c r="DS6" s="352"/>
      <c r="DT6" s="352"/>
      <c r="DU6" s="352"/>
      <c r="DV6" s="352"/>
      <c r="DW6" s="352"/>
      <c r="DX6" s="352"/>
      <c r="DY6" s="352"/>
      <c r="DZ6" s="352"/>
      <c r="EA6" s="352"/>
      <c r="EB6" s="352"/>
      <c r="EC6" s="352"/>
      <c r="ED6" s="352"/>
      <c r="EE6" s="352"/>
      <c r="EF6" s="352"/>
      <c r="EG6" s="352"/>
      <c r="EH6" s="352"/>
      <c r="EI6" s="352"/>
      <c r="EJ6" s="352"/>
      <c r="EK6" s="352"/>
      <c r="EL6" s="352"/>
      <c r="EM6" s="352"/>
      <c r="EN6" s="352"/>
    </row>
    <row r="7" spans="1:144" ht="20.100000000000001" customHeight="1">
      <c r="A7" s="118" t="s">
        <v>19</v>
      </c>
      <c r="B7" s="118" t="s">
        <v>213</v>
      </c>
      <c r="C7" s="119">
        <v>0</v>
      </c>
      <c r="D7" s="120">
        <f>'Sectors % GDP'!C6</f>
        <v>392624.88699999999</v>
      </c>
      <c r="E7" s="120">
        <f t="shared" si="0"/>
        <v>0</v>
      </c>
      <c r="F7" s="121">
        <v>1</v>
      </c>
      <c r="G7" s="120">
        <v>6</v>
      </c>
      <c r="H7" s="122">
        <v>16.59</v>
      </c>
      <c r="I7" s="122">
        <v>18.739999999999998</v>
      </c>
      <c r="J7" s="122">
        <v>46.66</v>
      </c>
      <c r="K7" s="123">
        <v>8.26</v>
      </c>
      <c r="L7" s="123">
        <f t="shared" si="1"/>
        <v>2.4</v>
      </c>
      <c r="M7" s="124">
        <v>2.4E-2</v>
      </c>
      <c r="N7" s="124">
        <v>5.8</v>
      </c>
      <c r="O7" s="125">
        <f>'Trade Data'!B5</f>
        <v>0.64345331184822074</v>
      </c>
      <c r="P7" s="127">
        <v>1</v>
      </c>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352"/>
      <c r="BG7" s="352"/>
      <c r="BH7" s="352"/>
      <c r="BI7" s="352"/>
      <c r="BJ7" s="352"/>
      <c r="BK7" s="352"/>
      <c r="BL7" s="352"/>
      <c r="BM7" s="352"/>
      <c r="BN7" s="352"/>
      <c r="BO7" s="352"/>
      <c r="BP7" s="352"/>
      <c r="BQ7" s="352"/>
      <c r="BR7" s="352"/>
      <c r="BS7" s="352"/>
      <c r="BT7" s="352"/>
      <c r="BU7" s="352"/>
      <c r="BV7" s="352"/>
      <c r="BW7" s="352"/>
      <c r="BX7" s="352"/>
      <c r="BY7" s="352"/>
      <c r="BZ7" s="352"/>
      <c r="CA7" s="352"/>
      <c r="CB7" s="352"/>
      <c r="CC7" s="352"/>
      <c r="CD7" s="352"/>
      <c r="CE7" s="352"/>
      <c r="CF7" s="352"/>
      <c r="CG7" s="352"/>
      <c r="CH7" s="352"/>
      <c r="CI7" s="352"/>
      <c r="CJ7" s="352"/>
      <c r="CK7" s="352"/>
      <c r="CL7" s="352"/>
      <c r="CM7" s="352"/>
      <c r="CN7" s="352"/>
      <c r="CO7" s="352"/>
      <c r="CP7" s="352"/>
      <c r="CQ7" s="352"/>
      <c r="CR7" s="352"/>
      <c r="CS7" s="352"/>
      <c r="CT7" s="352"/>
      <c r="CU7" s="352"/>
      <c r="CV7" s="352"/>
      <c r="CW7" s="352"/>
      <c r="CX7" s="352"/>
      <c r="CY7" s="352"/>
      <c r="CZ7" s="352"/>
      <c r="DA7" s="352"/>
      <c r="DB7" s="352"/>
      <c r="DC7" s="352"/>
      <c r="DD7" s="352"/>
      <c r="DE7" s="352"/>
      <c r="DF7" s="352"/>
      <c r="DG7" s="352"/>
      <c r="DH7" s="352"/>
      <c r="DI7" s="352"/>
      <c r="DJ7" s="352"/>
      <c r="DK7" s="352"/>
      <c r="DL7" s="352"/>
      <c r="DM7" s="352"/>
      <c r="DN7" s="352"/>
      <c r="DO7" s="352"/>
      <c r="DP7" s="352"/>
      <c r="DQ7" s="352"/>
      <c r="DR7" s="352"/>
      <c r="DS7" s="352"/>
      <c r="DT7" s="352"/>
      <c r="DU7" s="352"/>
      <c r="DV7" s="352"/>
      <c r="DW7" s="352"/>
      <c r="DX7" s="352"/>
      <c r="DY7" s="352"/>
      <c r="DZ7" s="352"/>
      <c r="EA7" s="352"/>
      <c r="EB7" s="352"/>
      <c r="EC7" s="352"/>
      <c r="ED7" s="352"/>
      <c r="EE7" s="352"/>
      <c r="EF7" s="352"/>
      <c r="EG7" s="352"/>
      <c r="EH7" s="352"/>
      <c r="EI7" s="352"/>
      <c r="EJ7" s="352"/>
      <c r="EK7" s="352"/>
      <c r="EL7" s="352"/>
      <c r="EM7" s="352"/>
      <c r="EN7" s="352"/>
    </row>
    <row r="8" spans="1:144" s="169" customFormat="1" ht="20.100000000000001" customHeight="1">
      <c r="A8" s="160" t="s">
        <v>20</v>
      </c>
      <c r="B8" s="160" t="s">
        <v>214</v>
      </c>
      <c r="C8" s="161">
        <v>0</v>
      </c>
      <c r="D8" s="162">
        <f>'Sectors % GDP'!C4</f>
        <v>44086.987000000001</v>
      </c>
      <c r="E8" s="162">
        <f t="shared" si="0"/>
        <v>0</v>
      </c>
      <c r="F8" s="163">
        <v>0</v>
      </c>
      <c r="G8" s="162">
        <v>0</v>
      </c>
      <c r="H8" s="164">
        <v>26.49</v>
      </c>
      <c r="I8" s="164">
        <v>49.55</v>
      </c>
      <c r="J8" s="164">
        <v>42.16</v>
      </c>
      <c r="K8" s="165">
        <v>8.26</v>
      </c>
      <c r="L8" s="165">
        <f t="shared" si="1"/>
        <v>2.4</v>
      </c>
      <c r="M8" s="166">
        <v>2.4E-2</v>
      </c>
      <c r="N8" s="166">
        <v>5.8</v>
      </c>
      <c r="O8" s="167">
        <f>'Trade Data'!B5</f>
        <v>0.64345331184822074</v>
      </c>
      <c r="P8" s="168">
        <v>0</v>
      </c>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52"/>
      <c r="DA8" s="352"/>
      <c r="DB8" s="352"/>
      <c r="DC8" s="352"/>
      <c r="DD8" s="352"/>
      <c r="DE8" s="352"/>
      <c r="DF8" s="352"/>
      <c r="DG8" s="352"/>
      <c r="DH8" s="352"/>
      <c r="DI8" s="352"/>
      <c r="DJ8" s="352"/>
      <c r="DK8" s="352"/>
      <c r="DL8" s="352"/>
      <c r="DM8" s="352"/>
      <c r="DN8" s="352"/>
      <c r="DO8" s="352"/>
      <c r="DP8" s="352"/>
      <c r="DQ8" s="352"/>
      <c r="DR8" s="352"/>
      <c r="DS8" s="352"/>
      <c r="DT8" s="352"/>
      <c r="DU8" s="352"/>
      <c r="DV8" s="352"/>
      <c r="DW8" s="352"/>
      <c r="DX8" s="352"/>
      <c r="DY8" s="352"/>
      <c r="DZ8" s="352"/>
      <c r="EA8" s="352"/>
      <c r="EB8" s="352"/>
      <c r="EC8" s="352"/>
      <c r="ED8" s="352"/>
      <c r="EE8" s="352"/>
      <c r="EF8" s="352"/>
      <c r="EG8" s="352"/>
      <c r="EH8" s="352"/>
      <c r="EI8" s="352"/>
      <c r="EJ8" s="352"/>
      <c r="EK8" s="352"/>
      <c r="EL8" s="352"/>
      <c r="EM8" s="352"/>
      <c r="EN8" s="352"/>
    </row>
    <row r="9" spans="1:144" s="188" customFormat="1" ht="20.100000000000001" customHeight="1">
      <c r="A9" s="179" t="s">
        <v>20</v>
      </c>
      <c r="B9" s="179" t="s">
        <v>215</v>
      </c>
      <c r="C9" s="180">
        <f>'Thomson Reuters IMA  ($)'!I8+'Thomson Reuters IMA  ($)'!I9+'Thomson Reuters IMA  ($)'!I10</f>
        <v>123.35799999999999</v>
      </c>
      <c r="D9" s="181">
        <f>'Sectors % GDP'!C5</f>
        <v>174819.27299999999</v>
      </c>
      <c r="E9" s="181">
        <f t="shared" si="0"/>
        <v>7.0563158102139004E-4</v>
      </c>
      <c r="F9" s="182">
        <v>1</v>
      </c>
      <c r="G9" s="181">
        <v>4</v>
      </c>
      <c r="H9" s="183">
        <v>26.49</v>
      </c>
      <c r="I9" s="183">
        <v>49.55</v>
      </c>
      <c r="J9" s="183">
        <v>42.16</v>
      </c>
      <c r="K9" s="184">
        <v>8.26</v>
      </c>
      <c r="L9" s="184">
        <f t="shared" si="1"/>
        <v>2.4</v>
      </c>
      <c r="M9" s="185">
        <v>2.4E-2</v>
      </c>
      <c r="N9" s="185">
        <v>5.8</v>
      </c>
      <c r="O9" s="186">
        <f>'Trade Data'!B5</f>
        <v>0.64345331184822074</v>
      </c>
      <c r="P9" s="187">
        <v>1</v>
      </c>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c r="DP9" s="352"/>
      <c r="DQ9" s="352"/>
      <c r="DR9" s="352"/>
      <c r="DS9" s="352"/>
      <c r="DT9" s="352"/>
      <c r="DU9" s="352"/>
      <c r="DV9" s="352"/>
      <c r="DW9" s="352"/>
      <c r="DX9" s="352"/>
      <c r="DY9" s="352"/>
      <c r="DZ9" s="352"/>
      <c r="EA9" s="352"/>
      <c r="EB9" s="352"/>
      <c r="EC9" s="352"/>
      <c r="ED9" s="352"/>
      <c r="EE9" s="352"/>
      <c r="EF9" s="352"/>
      <c r="EG9" s="352"/>
      <c r="EH9" s="352"/>
      <c r="EI9" s="352"/>
      <c r="EJ9" s="352"/>
      <c r="EK9" s="352"/>
      <c r="EL9" s="352"/>
      <c r="EM9" s="352"/>
      <c r="EN9" s="352"/>
    </row>
    <row r="10" spans="1:144" ht="20.100000000000001" customHeight="1">
      <c r="A10" s="118" t="s">
        <v>20</v>
      </c>
      <c r="B10" s="118" t="s">
        <v>216</v>
      </c>
      <c r="C10" s="119">
        <f>'Thomson Reuters IMA  ($)'!I11</f>
        <v>550.6</v>
      </c>
      <c r="D10" s="120">
        <f>'Sectors % GDP'!C6</f>
        <v>392624.88699999999</v>
      </c>
      <c r="E10" s="120">
        <f t="shared" si="0"/>
        <v>1.4023563412066643E-3</v>
      </c>
      <c r="F10" s="121">
        <v>1</v>
      </c>
      <c r="G10" s="120">
        <v>2</v>
      </c>
      <c r="H10" s="122">
        <v>26.49</v>
      </c>
      <c r="I10" s="122">
        <v>49.55</v>
      </c>
      <c r="J10" s="122">
        <v>42.16</v>
      </c>
      <c r="K10" s="123">
        <v>8.26</v>
      </c>
      <c r="L10" s="123">
        <f t="shared" si="1"/>
        <v>2.4</v>
      </c>
      <c r="M10" s="124">
        <v>2.4E-2</v>
      </c>
      <c r="N10" s="124">
        <v>5.8</v>
      </c>
      <c r="O10" s="125">
        <f>'Trade Data'!B5</f>
        <v>0.64345331184822074</v>
      </c>
      <c r="P10" s="126">
        <v>1</v>
      </c>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2"/>
      <c r="EG10" s="352"/>
      <c r="EH10" s="352"/>
      <c r="EI10" s="352"/>
      <c r="EJ10" s="352"/>
      <c r="EK10" s="352"/>
      <c r="EL10" s="352"/>
      <c r="EM10" s="352"/>
      <c r="EN10" s="352"/>
    </row>
    <row r="11" spans="1:144" s="169" customFormat="1" ht="20.100000000000001" customHeight="1">
      <c r="A11" s="160" t="s">
        <v>21</v>
      </c>
      <c r="B11" s="160" t="s">
        <v>217</v>
      </c>
      <c r="C11" s="161">
        <v>0</v>
      </c>
      <c r="D11" s="162">
        <f>'Sectors % GDP'!E4</f>
        <v>45088.800000000003</v>
      </c>
      <c r="E11" s="162">
        <f t="shared" si="0"/>
        <v>0</v>
      </c>
      <c r="F11" s="163">
        <v>1</v>
      </c>
      <c r="G11" s="162">
        <v>1</v>
      </c>
      <c r="H11" s="164">
        <v>19.149999999999999</v>
      </c>
      <c r="I11" s="164">
        <v>37.130000000000003</v>
      </c>
      <c r="J11" s="164">
        <v>33.32</v>
      </c>
      <c r="K11" s="165">
        <v>8.26</v>
      </c>
      <c r="L11" s="165">
        <f t="shared" si="1"/>
        <v>2.4</v>
      </c>
      <c r="M11" s="166">
        <v>2.4E-2</v>
      </c>
      <c r="N11" s="166">
        <v>5.8</v>
      </c>
      <c r="O11" s="167">
        <f>'Trade Data'!B5</f>
        <v>0.64345331184822074</v>
      </c>
      <c r="P11" s="170">
        <v>0</v>
      </c>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J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row>
    <row r="12" spans="1:144" s="188" customFormat="1" ht="20.100000000000001" customHeight="1">
      <c r="A12" s="179" t="s">
        <v>21</v>
      </c>
      <c r="B12" s="179" t="s">
        <v>218</v>
      </c>
      <c r="C12" s="180">
        <f>'Thomson Reuters IMA  ($)'!I12</f>
        <v>0.45</v>
      </c>
      <c r="D12" s="181">
        <f>'Sectors % GDP'!E5</f>
        <v>163052.37299999999</v>
      </c>
      <c r="E12" s="181">
        <f t="shared" si="0"/>
        <v>2.7598494380698161E-6</v>
      </c>
      <c r="F12" s="182">
        <v>1</v>
      </c>
      <c r="G12" s="181">
        <v>5</v>
      </c>
      <c r="H12" s="183">
        <v>19.149999999999999</v>
      </c>
      <c r="I12" s="183">
        <v>37.130000000000003</v>
      </c>
      <c r="J12" s="183">
        <v>33.32</v>
      </c>
      <c r="K12" s="184">
        <v>8.26</v>
      </c>
      <c r="L12" s="184">
        <f t="shared" si="1"/>
        <v>2.4</v>
      </c>
      <c r="M12" s="185">
        <v>2.4E-2</v>
      </c>
      <c r="N12" s="185">
        <v>5.8</v>
      </c>
      <c r="O12" s="186">
        <f>'Trade Data'!B5</f>
        <v>0.64345331184822074</v>
      </c>
      <c r="P12" s="189">
        <v>1</v>
      </c>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row>
    <row r="13" spans="1:144" ht="20.100000000000001" customHeight="1">
      <c r="A13" s="118" t="s">
        <v>21</v>
      </c>
      <c r="B13" s="118" t="s">
        <v>219</v>
      </c>
      <c r="C13" s="119">
        <v>0</v>
      </c>
      <c r="D13" s="120">
        <f>'Sectors % GDP'!E6</f>
        <v>355525.18800000002</v>
      </c>
      <c r="E13" s="120">
        <f t="shared" si="0"/>
        <v>0</v>
      </c>
      <c r="F13" s="121">
        <v>1</v>
      </c>
      <c r="G13" s="120">
        <v>4</v>
      </c>
      <c r="H13" s="122">
        <v>19.149999999999999</v>
      </c>
      <c r="I13" s="122">
        <v>37.130000000000003</v>
      </c>
      <c r="J13" s="122">
        <v>33.32</v>
      </c>
      <c r="K13" s="123">
        <v>8.26</v>
      </c>
      <c r="L13" s="123">
        <f t="shared" si="1"/>
        <v>2.4</v>
      </c>
      <c r="M13" s="124">
        <v>2.4E-2</v>
      </c>
      <c r="N13" s="124">
        <v>5.8</v>
      </c>
      <c r="O13" s="125">
        <f>'Trade Data'!B5</f>
        <v>0.64345331184822074</v>
      </c>
      <c r="P13" s="127">
        <v>1</v>
      </c>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row>
    <row r="14" spans="1:144" s="169" customFormat="1" ht="20.100000000000001" customHeight="1">
      <c r="A14" s="160" t="s">
        <v>22</v>
      </c>
      <c r="B14" s="160" t="s">
        <v>220</v>
      </c>
      <c r="C14" s="161">
        <v>0</v>
      </c>
      <c r="D14" s="162">
        <f>'Sectors % GDP'!E4</f>
        <v>45088.800000000003</v>
      </c>
      <c r="E14" s="162">
        <f t="shared" si="0"/>
        <v>0</v>
      </c>
      <c r="F14" s="163">
        <v>0</v>
      </c>
      <c r="G14" s="162">
        <v>0</v>
      </c>
      <c r="H14" s="164">
        <v>17.45</v>
      </c>
      <c r="I14" s="171">
        <v>21.31</v>
      </c>
      <c r="J14" s="164">
        <v>43.87</v>
      </c>
      <c r="K14" s="165">
        <v>8.26</v>
      </c>
      <c r="L14" s="165">
        <f t="shared" si="1"/>
        <v>-2.5</v>
      </c>
      <c r="M14" s="166">
        <v>-2.5000000000000001E-2</v>
      </c>
      <c r="N14" s="166">
        <v>5</v>
      </c>
      <c r="O14" s="167">
        <f>'Trade Data'!D5</f>
        <v>0.59136484071720108</v>
      </c>
      <c r="P14" s="168">
        <v>0</v>
      </c>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2"/>
      <c r="DL14" s="352"/>
      <c r="DM14" s="352"/>
      <c r="DN14" s="352"/>
      <c r="DO14" s="352"/>
      <c r="DP14" s="352"/>
      <c r="DQ14" s="352"/>
      <c r="DR14" s="352"/>
      <c r="DS14" s="352"/>
      <c r="DT14" s="352"/>
      <c r="DU14" s="352"/>
      <c r="DV14" s="352"/>
      <c r="DW14" s="352"/>
      <c r="DX14" s="352"/>
      <c r="DY14" s="352"/>
      <c r="DZ14" s="352"/>
      <c r="EA14" s="352"/>
      <c r="EB14" s="352"/>
      <c r="EC14" s="352"/>
      <c r="ED14" s="352"/>
      <c r="EE14" s="352"/>
      <c r="EF14" s="352"/>
      <c r="EG14" s="352"/>
      <c r="EH14" s="352"/>
      <c r="EI14" s="352"/>
      <c r="EJ14" s="352"/>
      <c r="EK14" s="352"/>
      <c r="EL14" s="352"/>
      <c r="EM14" s="352"/>
      <c r="EN14" s="352"/>
    </row>
    <row r="15" spans="1:144" s="188" customFormat="1" ht="20.100000000000001" customHeight="1">
      <c r="A15" s="190" t="s">
        <v>22</v>
      </c>
      <c r="B15" s="179" t="s">
        <v>226</v>
      </c>
      <c r="C15" s="180">
        <f>'Thomson Reuters IMA  ($)'!I13+'Thomson Reuters IMA  ($)'!I14+'Thomson Reuters IMA  ($)'!I16+'Thomson Reuters IMA  ($)'!I17</f>
        <v>1327.241</v>
      </c>
      <c r="D15" s="181">
        <f>'Sectors % GDP'!E5</f>
        <v>163052.37299999999</v>
      </c>
      <c r="E15" s="181">
        <f t="shared" si="0"/>
        <v>8.1399673956293796E-3</v>
      </c>
      <c r="F15" s="182">
        <v>1</v>
      </c>
      <c r="G15" s="181">
        <v>8</v>
      </c>
      <c r="H15" s="183">
        <v>17.45</v>
      </c>
      <c r="I15" s="183">
        <v>21.31</v>
      </c>
      <c r="J15" s="183">
        <v>43.87</v>
      </c>
      <c r="K15" s="184">
        <v>8.26</v>
      </c>
      <c r="L15" s="184">
        <f t="shared" si="1"/>
        <v>-2.5</v>
      </c>
      <c r="M15" s="185">
        <v>-2.5000000000000001E-2</v>
      </c>
      <c r="N15" s="185">
        <v>5</v>
      </c>
      <c r="O15" s="186">
        <f>'Trade Data'!D5</f>
        <v>0.59136484071720108</v>
      </c>
      <c r="P15" s="187">
        <v>1</v>
      </c>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2"/>
      <c r="DL15" s="352"/>
      <c r="DM15" s="352"/>
      <c r="DN15" s="352"/>
      <c r="DO15" s="352"/>
      <c r="DP15" s="352"/>
      <c r="DQ15" s="352"/>
      <c r="DR15" s="352"/>
      <c r="DS15" s="352"/>
      <c r="DT15" s="352"/>
      <c r="DU15" s="352"/>
      <c r="DV15" s="352"/>
      <c r="DW15" s="352"/>
      <c r="DX15" s="352"/>
      <c r="DY15" s="352"/>
      <c r="DZ15" s="352"/>
      <c r="EA15" s="352"/>
      <c r="EB15" s="352"/>
      <c r="EC15" s="352"/>
      <c r="ED15" s="352"/>
      <c r="EE15" s="352"/>
      <c r="EF15" s="352"/>
      <c r="EG15" s="352"/>
      <c r="EH15" s="352"/>
      <c r="EI15" s="352"/>
      <c r="EJ15" s="352"/>
      <c r="EK15" s="352"/>
      <c r="EL15" s="352"/>
      <c r="EM15" s="352"/>
      <c r="EN15" s="352"/>
    </row>
    <row r="16" spans="1:144" ht="20.100000000000001" customHeight="1">
      <c r="A16" s="129" t="s">
        <v>22</v>
      </c>
      <c r="B16" s="118" t="s">
        <v>227</v>
      </c>
      <c r="C16" s="119">
        <f>'Thomson Reuters IMA  ($)'!I15</f>
        <v>31.5</v>
      </c>
      <c r="D16" s="120">
        <f>'Sectors % GDP'!E6</f>
        <v>355525.18800000002</v>
      </c>
      <c r="E16" s="120">
        <f t="shared" si="0"/>
        <v>8.8601317327761318E-5</v>
      </c>
      <c r="F16" s="121">
        <v>1</v>
      </c>
      <c r="G16" s="120">
        <v>1</v>
      </c>
      <c r="H16" s="122">
        <v>17.45</v>
      </c>
      <c r="I16" s="122">
        <v>21.31</v>
      </c>
      <c r="J16" s="122">
        <v>43.87</v>
      </c>
      <c r="K16" s="123">
        <v>8.26</v>
      </c>
      <c r="L16" s="123">
        <f t="shared" si="1"/>
        <v>-2.5</v>
      </c>
      <c r="M16" s="124">
        <v>-2.5000000000000001E-2</v>
      </c>
      <c r="N16" s="124">
        <v>5</v>
      </c>
      <c r="O16" s="125">
        <f>'Trade Data'!D5</f>
        <v>0.59136484071720108</v>
      </c>
      <c r="P16" s="126">
        <v>1</v>
      </c>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row>
    <row r="17" spans="1:144" s="169" customFormat="1" ht="20.100000000000001" customHeight="1">
      <c r="A17" s="160" t="s">
        <v>24</v>
      </c>
      <c r="B17" s="160" t="s">
        <v>228</v>
      </c>
      <c r="C17" s="161">
        <v>0</v>
      </c>
      <c r="D17" s="162">
        <f>'Sectors % GDP'!E4</f>
        <v>45088.800000000003</v>
      </c>
      <c r="E17" s="162">
        <f t="shared" si="0"/>
        <v>0</v>
      </c>
      <c r="F17" s="163">
        <v>0</v>
      </c>
      <c r="G17" s="162">
        <v>0</v>
      </c>
      <c r="H17" s="164">
        <v>25.83</v>
      </c>
      <c r="I17" s="164">
        <v>60.54</v>
      </c>
      <c r="J17" s="164">
        <v>32.75</v>
      </c>
      <c r="K17" s="165">
        <v>8.26</v>
      </c>
      <c r="L17" s="165">
        <f t="shared" si="1"/>
        <v>-2.5</v>
      </c>
      <c r="M17" s="166">
        <v>-2.5000000000000001E-2</v>
      </c>
      <c r="N17" s="166">
        <v>5</v>
      </c>
      <c r="O17" s="167">
        <f>'Trade Data'!D5</f>
        <v>0.59136484071720108</v>
      </c>
      <c r="P17" s="170">
        <v>0</v>
      </c>
      <c r="Q17" s="352"/>
      <c r="R17" s="352"/>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c r="BB17" s="352"/>
      <c r="BC17" s="352"/>
      <c r="BD17" s="352"/>
      <c r="BE17" s="352"/>
      <c r="BF17" s="352"/>
      <c r="BG17" s="352"/>
      <c r="BH17" s="352"/>
      <c r="BI17" s="352"/>
      <c r="BJ17" s="352"/>
      <c r="BK17" s="352"/>
      <c r="BL17" s="352"/>
      <c r="BM17" s="352"/>
      <c r="BN17" s="352"/>
      <c r="BO17" s="352"/>
      <c r="BP17" s="352"/>
      <c r="BQ17" s="352"/>
      <c r="BR17" s="352"/>
      <c r="BS17" s="352"/>
      <c r="BT17" s="352"/>
      <c r="BU17" s="352"/>
      <c r="BV17" s="352"/>
      <c r="BW17" s="352"/>
      <c r="BX17" s="352"/>
      <c r="BY17" s="352"/>
      <c r="BZ17" s="352"/>
      <c r="CA17" s="352"/>
      <c r="CB17" s="352"/>
      <c r="CC17" s="352"/>
      <c r="CD17" s="352"/>
      <c r="CE17" s="352"/>
      <c r="CF17" s="352"/>
      <c r="CG17" s="352"/>
      <c r="CH17" s="352"/>
      <c r="CI17" s="352"/>
      <c r="CJ17" s="352"/>
      <c r="CK17" s="352"/>
      <c r="CL17" s="352"/>
      <c r="CM17" s="352"/>
      <c r="CN17" s="352"/>
      <c r="CO17" s="352"/>
      <c r="CP17" s="352"/>
      <c r="CQ17" s="352"/>
      <c r="CR17" s="352"/>
      <c r="CS17" s="352"/>
      <c r="CT17" s="352"/>
      <c r="CU17" s="352"/>
      <c r="CV17" s="352"/>
      <c r="CW17" s="352"/>
      <c r="CX17" s="352"/>
      <c r="CY17" s="352"/>
      <c r="CZ17" s="352"/>
      <c r="DA17" s="352"/>
      <c r="DB17" s="352"/>
      <c r="DC17" s="352"/>
      <c r="DD17" s="352"/>
      <c r="DE17" s="352"/>
      <c r="DF17" s="352"/>
      <c r="DG17" s="352"/>
      <c r="DH17" s="352"/>
      <c r="DI17" s="352"/>
      <c r="DJ17" s="352"/>
      <c r="DK17" s="352"/>
      <c r="DL17" s="352"/>
      <c r="DM17" s="352"/>
      <c r="DN17" s="352"/>
      <c r="DO17" s="352"/>
      <c r="DP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row>
    <row r="18" spans="1:144" s="188" customFormat="1" ht="20.100000000000001" customHeight="1">
      <c r="A18" s="179" t="s">
        <v>24</v>
      </c>
      <c r="B18" s="179" t="s">
        <v>221</v>
      </c>
      <c r="C18" s="180">
        <f>'Thomson Reuters IMA  ($)'!I18+'Thomson Reuters IMA  ($)'!I19+'Thomson Reuters IMA  ($)'!I20</f>
        <v>7.6550000000000002</v>
      </c>
      <c r="D18" s="181">
        <f>'Sectors % GDP'!E5</f>
        <v>163052.37299999999</v>
      </c>
      <c r="E18" s="181">
        <f t="shared" si="0"/>
        <v>4.69481054409432E-5</v>
      </c>
      <c r="F18" s="182">
        <v>1</v>
      </c>
      <c r="G18" s="181">
        <v>8</v>
      </c>
      <c r="H18" s="183">
        <v>25.83</v>
      </c>
      <c r="I18" s="183">
        <v>60.54</v>
      </c>
      <c r="J18" s="183">
        <v>32.75</v>
      </c>
      <c r="K18" s="184">
        <v>8.26</v>
      </c>
      <c r="L18" s="184">
        <f t="shared" si="1"/>
        <v>-2.5</v>
      </c>
      <c r="M18" s="185">
        <v>-2.5000000000000001E-2</v>
      </c>
      <c r="N18" s="185">
        <v>5</v>
      </c>
      <c r="O18" s="186">
        <f>'Trade Data'!D5</f>
        <v>0.59136484071720108</v>
      </c>
      <c r="P18" s="189">
        <v>1</v>
      </c>
      <c r="Q18" s="352"/>
      <c r="R18" s="352"/>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c r="BB18" s="352"/>
      <c r="BC18" s="352"/>
      <c r="BD18" s="352"/>
      <c r="BE18" s="352"/>
      <c r="BF18" s="352"/>
      <c r="BG18" s="352"/>
      <c r="BH18" s="352"/>
      <c r="BI18" s="352"/>
      <c r="BJ18" s="352"/>
      <c r="BK18" s="352"/>
      <c r="BL18" s="352"/>
      <c r="BM18" s="352"/>
      <c r="BN18" s="352"/>
      <c r="BO18" s="352"/>
      <c r="BP18" s="352"/>
      <c r="BQ18" s="352"/>
      <c r="BR18" s="352"/>
      <c r="BS18" s="352"/>
      <c r="BT18" s="352"/>
      <c r="BU18" s="352"/>
      <c r="BV18" s="352"/>
      <c r="BW18" s="352"/>
      <c r="BX18" s="352"/>
      <c r="BY18" s="352"/>
      <c r="BZ18" s="352"/>
      <c r="CA18" s="352"/>
      <c r="CB18" s="352"/>
      <c r="CC18" s="352"/>
      <c r="CD18" s="352"/>
      <c r="CE18" s="352"/>
      <c r="CF18" s="352"/>
      <c r="CG18" s="352"/>
      <c r="CH18" s="352"/>
      <c r="CI18" s="352"/>
      <c r="CJ18" s="352"/>
      <c r="CK18" s="352"/>
      <c r="CL18" s="352"/>
      <c r="CM18" s="352"/>
      <c r="CN18" s="352"/>
      <c r="CO18" s="352"/>
      <c r="CP18" s="352"/>
      <c r="CQ18" s="352"/>
      <c r="CR18" s="352"/>
      <c r="CS18" s="352"/>
      <c r="CT18" s="352"/>
      <c r="CU18" s="352"/>
      <c r="CV18" s="352"/>
      <c r="CW18" s="352"/>
      <c r="CX18" s="352"/>
      <c r="CY18" s="352"/>
      <c r="CZ18" s="352"/>
      <c r="DA18" s="352"/>
      <c r="DB18" s="352"/>
      <c r="DC18" s="352"/>
      <c r="DD18" s="352"/>
      <c r="DE18" s="352"/>
      <c r="DF18" s="352"/>
      <c r="DG18" s="352"/>
      <c r="DH18" s="352"/>
      <c r="DI18" s="352"/>
      <c r="DJ18" s="352"/>
      <c r="DK18" s="352"/>
      <c r="DL18" s="352"/>
      <c r="DM18" s="352"/>
      <c r="DN18" s="352"/>
      <c r="DO18" s="352"/>
      <c r="DP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352"/>
      <c r="EN18" s="352"/>
    </row>
    <row r="19" spans="1:144" ht="20.100000000000001" customHeight="1">
      <c r="A19" s="118" t="s">
        <v>24</v>
      </c>
      <c r="B19" s="118" t="s">
        <v>229</v>
      </c>
      <c r="C19" s="119">
        <v>0</v>
      </c>
      <c r="D19" s="120">
        <f>'Sectors % GDP'!E6</f>
        <v>355525.18800000002</v>
      </c>
      <c r="E19" s="120">
        <f t="shared" si="0"/>
        <v>0</v>
      </c>
      <c r="F19" s="121">
        <v>1</v>
      </c>
      <c r="G19" s="120">
        <v>3</v>
      </c>
      <c r="H19" s="122">
        <v>25.83</v>
      </c>
      <c r="I19" s="122">
        <v>60.54</v>
      </c>
      <c r="J19" s="122">
        <v>32.75</v>
      </c>
      <c r="K19" s="123">
        <v>8.26</v>
      </c>
      <c r="L19" s="123">
        <f t="shared" si="1"/>
        <v>-2.5</v>
      </c>
      <c r="M19" s="124">
        <v>-2.5000000000000001E-2</v>
      </c>
      <c r="N19" s="124">
        <v>5</v>
      </c>
      <c r="O19" s="125">
        <f>'Trade Data'!D5</f>
        <v>0.59136484071720108</v>
      </c>
      <c r="P19" s="127">
        <v>1</v>
      </c>
      <c r="Q19" s="352"/>
      <c r="R19" s="352"/>
      <c r="S19" s="352"/>
      <c r="T19" s="352"/>
      <c r="U19" s="352"/>
      <c r="V19" s="352"/>
      <c r="W19" s="352"/>
      <c r="X19" s="352"/>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c r="BB19" s="352"/>
      <c r="BC19" s="352"/>
      <c r="BD19" s="352"/>
      <c r="BE19" s="352"/>
      <c r="BF19" s="352"/>
      <c r="BG19" s="352"/>
      <c r="BH19" s="352"/>
      <c r="BI19" s="352"/>
      <c r="BJ19" s="352"/>
      <c r="BK19" s="352"/>
      <c r="BL19" s="352"/>
      <c r="BM19" s="352"/>
      <c r="BN19" s="352"/>
      <c r="BO19" s="352"/>
      <c r="BP19" s="352"/>
      <c r="BQ19" s="352"/>
      <c r="BR19" s="352"/>
      <c r="BS19" s="352"/>
      <c r="BT19" s="352"/>
      <c r="BU19" s="352"/>
      <c r="BV19" s="352"/>
      <c r="BW19" s="352"/>
      <c r="BX19" s="352"/>
      <c r="BY19" s="352"/>
      <c r="BZ19" s="352"/>
      <c r="CA19" s="352"/>
      <c r="CB19" s="352"/>
      <c r="CC19" s="352"/>
      <c r="CD19" s="352"/>
      <c r="CE19" s="352"/>
      <c r="CF19" s="352"/>
      <c r="CG19" s="352"/>
      <c r="CH19" s="352"/>
      <c r="CI19" s="352"/>
      <c r="CJ19" s="352"/>
      <c r="CK19" s="352"/>
      <c r="CL19" s="352"/>
      <c r="CM19" s="352"/>
      <c r="CN19" s="352"/>
      <c r="CO19" s="352"/>
      <c r="CP19" s="352"/>
      <c r="CQ19" s="352"/>
      <c r="CR19" s="352"/>
      <c r="CS19" s="352"/>
      <c r="CT19" s="352"/>
      <c r="CU19" s="352"/>
      <c r="CV19" s="352"/>
      <c r="CW19" s="352"/>
      <c r="CX19" s="352"/>
      <c r="CY19" s="352"/>
      <c r="CZ19" s="352"/>
      <c r="DA19" s="352"/>
      <c r="DB19" s="352"/>
      <c r="DC19" s="352"/>
      <c r="DD19" s="352"/>
      <c r="DE19" s="352"/>
      <c r="DF19" s="352"/>
      <c r="DG19" s="352"/>
      <c r="DH19" s="352"/>
      <c r="DI19" s="352"/>
      <c r="DJ19" s="352"/>
      <c r="DK19" s="352"/>
      <c r="DL19" s="352"/>
      <c r="DM19" s="352"/>
      <c r="DN19" s="352"/>
      <c r="DO19" s="352"/>
      <c r="DP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row>
    <row r="20" spans="1:144" s="169" customFormat="1" ht="20.100000000000001" customHeight="1">
      <c r="A20" s="160" t="s">
        <v>23</v>
      </c>
      <c r="B20" s="160" t="s">
        <v>230</v>
      </c>
      <c r="C20" s="161">
        <v>0</v>
      </c>
      <c r="D20" s="162">
        <f>'Sectors % GDP'!E4</f>
        <v>45088.800000000003</v>
      </c>
      <c r="E20" s="162">
        <f t="shared" si="0"/>
        <v>0</v>
      </c>
      <c r="F20" s="163">
        <v>0</v>
      </c>
      <c r="G20" s="162">
        <v>0</v>
      </c>
      <c r="H20" s="164">
        <v>21.71</v>
      </c>
      <c r="I20" s="164">
        <v>44</v>
      </c>
      <c r="J20" s="164">
        <v>37.159999999999997</v>
      </c>
      <c r="K20" s="165">
        <v>8.26</v>
      </c>
      <c r="L20" s="165">
        <f t="shared" si="1"/>
        <v>-2.5</v>
      </c>
      <c r="M20" s="166">
        <v>-2.5000000000000001E-2</v>
      </c>
      <c r="N20" s="166">
        <v>5</v>
      </c>
      <c r="O20" s="167">
        <f>'Trade Data'!D5</f>
        <v>0.59136484071720108</v>
      </c>
      <c r="P20" s="168">
        <v>0</v>
      </c>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row>
    <row r="21" spans="1:144" s="188" customFormat="1" ht="20.100000000000001" customHeight="1">
      <c r="A21" s="179" t="s">
        <v>23</v>
      </c>
      <c r="B21" s="179" t="s">
        <v>231</v>
      </c>
      <c r="C21" s="180">
        <v>0</v>
      </c>
      <c r="D21" s="181">
        <f>'Sectors % GDP'!E5</f>
        <v>163052.37299999999</v>
      </c>
      <c r="E21" s="181">
        <f t="shared" si="0"/>
        <v>0</v>
      </c>
      <c r="F21" s="182">
        <v>1</v>
      </c>
      <c r="G21" s="181">
        <v>1</v>
      </c>
      <c r="H21" s="183">
        <v>21.71</v>
      </c>
      <c r="I21" s="183">
        <v>44</v>
      </c>
      <c r="J21" s="183">
        <v>37.159999999999997</v>
      </c>
      <c r="K21" s="184">
        <v>8.26</v>
      </c>
      <c r="L21" s="184">
        <f t="shared" si="1"/>
        <v>-2.5</v>
      </c>
      <c r="M21" s="185">
        <v>-2.5000000000000001E-2</v>
      </c>
      <c r="N21" s="185">
        <v>5</v>
      </c>
      <c r="O21" s="186">
        <f>'Trade Data'!D5</f>
        <v>0.59136484071720108</v>
      </c>
      <c r="P21" s="187">
        <v>1</v>
      </c>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c r="BW21" s="352"/>
      <c r="BX21" s="352"/>
      <c r="BY21" s="352"/>
      <c r="BZ21" s="352"/>
      <c r="CA21" s="352"/>
      <c r="CB21" s="352"/>
      <c r="CC21" s="352"/>
      <c r="CD21" s="352"/>
      <c r="CE21" s="352"/>
      <c r="CF21" s="352"/>
      <c r="CG21" s="352"/>
      <c r="CH21" s="352"/>
      <c r="CI21" s="352"/>
      <c r="CJ21" s="352"/>
      <c r="CK21" s="352"/>
      <c r="CL21" s="352"/>
      <c r="CM21" s="352"/>
      <c r="CN21" s="352"/>
      <c r="CO21" s="352"/>
      <c r="CP21" s="352"/>
      <c r="CQ21" s="352"/>
      <c r="CR21" s="352"/>
      <c r="CS21" s="352"/>
      <c r="CT21" s="352"/>
      <c r="CU21" s="352"/>
      <c r="CV21" s="352"/>
      <c r="CW21" s="352"/>
      <c r="CX21" s="352"/>
      <c r="CY21" s="352"/>
      <c r="CZ21" s="352"/>
      <c r="DA21" s="352"/>
      <c r="DB21" s="352"/>
      <c r="DC21" s="352"/>
      <c r="DD21" s="352"/>
      <c r="DE21" s="352"/>
      <c r="DF21" s="352"/>
      <c r="DG21" s="352"/>
      <c r="DH21" s="352"/>
      <c r="DI21" s="352"/>
      <c r="DJ21" s="352"/>
      <c r="DK21" s="352"/>
      <c r="DL21" s="352"/>
      <c r="DM21" s="352"/>
      <c r="DN21" s="352"/>
      <c r="DO21" s="352"/>
      <c r="DP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row>
    <row r="22" spans="1:144" ht="20.100000000000001" customHeight="1">
      <c r="A22" s="118" t="s">
        <v>23</v>
      </c>
      <c r="B22" s="118" t="s">
        <v>222</v>
      </c>
      <c r="C22" s="119">
        <f>'Thomson Reuters IMA  ($)'!I21+'Thomson Reuters IMA  ($)'!I22+'Thomson Reuters IMA  ($)'!I23</f>
        <v>216.95099999999999</v>
      </c>
      <c r="D22" s="120">
        <f>'Sectors % GDP'!E6</f>
        <v>355525.18800000002</v>
      </c>
      <c r="E22" s="120">
        <f t="shared" si="0"/>
        <v>6.1022680620873471E-4</v>
      </c>
      <c r="F22" s="121">
        <v>1</v>
      </c>
      <c r="G22" s="120">
        <v>5</v>
      </c>
      <c r="H22" s="122">
        <v>21.71</v>
      </c>
      <c r="I22" s="122">
        <v>44</v>
      </c>
      <c r="J22" s="122">
        <v>37.159999999999997</v>
      </c>
      <c r="K22" s="123">
        <v>8.26</v>
      </c>
      <c r="L22" s="123">
        <f t="shared" si="1"/>
        <v>-2.5</v>
      </c>
      <c r="M22" s="124">
        <v>-2.5000000000000001E-2</v>
      </c>
      <c r="N22" s="124">
        <v>5</v>
      </c>
      <c r="O22" s="125">
        <f>'Trade Data'!D5</f>
        <v>0.59136484071720108</v>
      </c>
      <c r="P22" s="126">
        <v>1</v>
      </c>
      <c r="Q22" s="352"/>
      <c r="R22" s="352"/>
      <c r="S22" s="352"/>
      <c r="T22" s="352"/>
      <c r="U22" s="352"/>
      <c r="V22" s="352"/>
      <c r="W22" s="352"/>
      <c r="X22" s="352"/>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2"/>
      <c r="BT22" s="352"/>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c r="CQ22" s="352"/>
      <c r="CR22" s="352"/>
      <c r="CS22" s="352"/>
      <c r="CT22" s="352"/>
      <c r="CU22" s="352"/>
      <c r="CV22" s="352"/>
      <c r="CW22" s="352"/>
      <c r="CX22" s="352"/>
      <c r="CY22" s="352"/>
      <c r="CZ22" s="352"/>
      <c r="DA22" s="352"/>
      <c r="DB22" s="352"/>
      <c r="DC22" s="352"/>
      <c r="DD22" s="352"/>
      <c r="DE22" s="352"/>
      <c r="DF22" s="352"/>
      <c r="DG22" s="352"/>
      <c r="DH22" s="352"/>
      <c r="DI22" s="352"/>
      <c r="DJ22" s="352"/>
      <c r="DK22" s="352"/>
      <c r="DL22" s="352"/>
      <c r="DM22" s="352"/>
      <c r="DN22" s="352"/>
      <c r="DO22" s="352"/>
      <c r="DP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row>
    <row r="23" spans="1:144" s="169" customFormat="1" ht="20.100000000000001" customHeight="1">
      <c r="A23" s="160" t="s">
        <v>25</v>
      </c>
      <c r="B23" s="160" t="s">
        <v>223</v>
      </c>
      <c r="C23" s="161">
        <v>0</v>
      </c>
      <c r="D23" s="162">
        <f>'Sectors % GDP'!G4</f>
        <v>38149.847999999998</v>
      </c>
      <c r="E23" s="162">
        <f t="shared" si="0"/>
        <v>0</v>
      </c>
      <c r="F23" s="163">
        <v>0</v>
      </c>
      <c r="G23" s="162">
        <v>0</v>
      </c>
      <c r="H23" s="164">
        <v>16.41</v>
      </c>
      <c r="I23" s="164">
        <v>18.809999999999999</v>
      </c>
      <c r="J23" s="164">
        <v>42.1</v>
      </c>
      <c r="K23" s="165">
        <v>7.68</v>
      </c>
      <c r="L23" s="165">
        <f t="shared" si="1"/>
        <v>-2.5</v>
      </c>
      <c r="M23" s="166">
        <v>-2.5000000000000001E-2</v>
      </c>
      <c r="N23" s="166">
        <v>5</v>
      </c>
      <c r="O23" s="167">
        <f>'Trade Data'!D5</f>
        <v>0.59136484071720108</v>
      </c>
      <c r="P23" s="170">
        <v>0</v>
      </c>
      <c r="Q23" s="352"/>
      <c r="R23" s="352"/>
      <c r="S23" s="352"/>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c r="BB23" s="352"/>
      <c r="BC23" s="352"/>
      <c r="BD23" s="352"/>
      <c r="BE23" s="352"/>
      <c r="BF23" s="352"/>
      <c r="BG23" s="352"/>
      <c r="BH23" s="352"/>
      <c r="BI23" s="352"/>
      <c r="BJ23" s="352"/>
      <c r="BK23" s="352"/>
      <c r="BL23" s="352"/>
      <c r="BM23" s="352"/>
      <c r="BN23" s="352"/>
      <c r="BO23" s="352"/>
      <c r="BP23" s="352"/>
      <c r="BQ23" s="352"/>
      <c r="BR23" s="352"/>
      <c r="BS23" s="352"/>
      <c r="BT23" s="352"/>
      <c r="BU23" s="352"/>
      <c r="BV23" s="352"/>
      <c r="BW23" s="352"/>
      <c r="BX23" s="352"/>
      <c r="BY23" s="352"/>
      <c r="BZ23" s="352"/>
      <c r="CA23" s="352"/>
      <c r="CB23" s="352"/>
      <c r="CC23" s="352"/>
      <c r="CD23" s="352"/>
      <c r="CE23" s="352"/>
      <c r="CF23" s="352"/>
      <c r="CG23" s="352"/>
      <c r="CH23" s="352"/>
      <c r="CI23" s="352"/>
      <c r="CJ23" s="352"/>
      <c r="CK23" s="352"/>
      <c r="CL23" s="352"/>
      <c r="CM23" s="352"/>
      <c r="CN23" s="352"/>
      <c r="CO23" s="352"/>
      <c r="CP23" s="352"/>
      <c r="CQ23" s="352"/>
      <c r="CR23" s="352"/>
      <c r="CS23" s="352"/>
      <c r="CT23" s="352"/>
      <c r="CU23" s="352"/>
      <c r="CV23" s="352"/>
      <c r="CW23" s="352"/>
      <c r="CX23" s="352"/>
      <c r="CY23" s="352"/>
      <c r="CZ23" s="352"/>
      <c r="DA23" s="352"/>
      <c r="DB23" s="352"/>
      <c r="DC23" s="352"/>
      <c r="DD23" s="352"/>
      <c r="DE23" s="352"/>
      <c r="DF23" s="352"/>
      <c r="DG23" s="352"/>
      <c r="DH23" s="352"/>
      <c r="DI23" s="352"/>
      <c r="DJ23" s="352"/>
      <c r="DK23" s="352"/>
      <c r="DL23" s="352"/>
      <c r="DM23" s="352"/>
      <c r="DN23" s="352"/>
      <c r="DO23" s="352"/>
      <c r="DP23" s="352"/>
      <c r="DQ23" s="352"/>
      <c r="DR23" s="352"/>
      <c r="DS23" s="352"/>
      <c r="DT23" s="352"/>
      <c r="DU23" s="352"/>
      <c r="DV23" s="352"/>
      <c r="DW23" s="352"/>
      <c r="DX23" s="352"/>
      <c r="DY23" s="352"/>
      <c r="DZ23" s="352"/>
      <c r="EA23" s="352"/>
      <c r="EB23" s="352"/>
      <c r="EC23" s="352"/>
      <c r="ED23" s="352"/>
      <c r="EE23" s="352"/>
      <c r="EF23" s="352"/>
      <c r="EG23" s="352"/>
      <c r="EH23" s="352"/>
      <c r="EI23" s="352"/>
      <c r="EJ23" s="352"/>
      <c r="EK23" s="352"/>
      <c r="EL23" s="352"/>
      <c r="EM23" s="352"/>
      <c r="EN23" s="352"/>
    </row>
    <row r="24" spans="1:144" s="188" customFormat="1" ht="20.100000000000001" customHeight="1">
      <c r="A24" s="179" t="s">
        <v>25</v>
      </c>
      <c r="B24" s="179" t="s">
        <v>224</v>
      </c>
      <c r="C24" s="180">
        <f>'Thomson Reuters IMA  ($)'!I24+'Thomson Reuters IMA  ($)'!I25</f>
        <v>6.05</v>
      </c>
      <c r="D24" s="181">
        <f>'Sectors % GDP'!G5</f>
        <v>177232.57200000001</v>
      </c>
      <c r="E24" s="181">
        <f t="shared" si="0"/>
        <v>3.4135937495733006E-5</v>
      </c>
      <c r="F24" s="182">
        <v>1</v>
      </c>
      <c r="G24" s="181">
        <v>4</v>
      </c>
      <c r="H24" s="183">
        <v>16.41</v>
      </c>
      <c r="I24" s="183">
        <v>18.809999999999999</v>
      </c>
      <c r="J24" s="183">
        <v>42.1</v>
      </c>
      <c r="K24" s="184">
        <v>7.68</v>
      </c>
      <c r="L24" s="184">
        <f t="shared" si="1"/>
        <v>-2.5</v>
      </c>
      <c r="M24" s="185">
        <v>-2.5000000000000001E-2</v>
      </c>
      <c r="N24" s="185">
        <v>5</v>
      </c>
      <c r="O24" s="186">
        <f>'Trade Data'!D5</f>
        <v>0.59136484071720108</v>
      </c>
      <c r="P24" s="189">
        <v>1</v>
      </c>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352"/>
      <c r="BP24" s="352"/>
      <c r="BQ24" s="352"/>
      <c r="BR24" s="352"/>
      <c r="BS24" s="352"/>
      <c r="BT24" s="352"/>
      <c r="BU24" s="352"/>
      <c r="BV24" s="352"/>
      <c r="BW24" s="352"/>
      <c r="BX24" s="352"/>
      <c r="BY24" s="352"/>
      <c r="BZ24" s="352"/>
      <c r="CA24" s="352"/>
      <c r="CB24" s="352"/>
      <c r="CC24" s="352"/>
      <c r="CD24" s="352"/>
      <c r="CE24" s="352"/>
      <c r="CF24" s="352"/>
      <c r="CG24" s="352"/>
      <c r="CH24" s="352"/>
      <c r="CI24" s="352"/>
      <c r="CJ24" s="352"/>
      <c r="CK24" s="352"/>
      <c r="CL24" s="352"/>
      <c r="CM24" s="352"/>
      <c r="CN24" s="352"/>
      <c r="CO24" s="352"/>
      <c r="CP24" s="352"/>
      <c r="CQ24" s="352"/>
      <c r="CR24" s="352"/>
      <c r="CS24" s="352"/>
      <c r="CT24" s="352"/>
      <c r="CU24" s="352"/>
      <c r="CV24" s="352"/>
      <c r="CW24" s="352"/>
      <c r="CX24" s="352"/>
      <c r="CY24" s="352"/>
      <c r="CZ24" s="352"/>
      <c r="DA24" s="352"/>
      <c r="DB24" s="352"/>
      <c r="DC24" s="352"/>
      <c r="DD24" s="352"/>
      <c r="DE24" s="352"/>
      <c r="DF24" s="352"/>
      <c r="DG24" s="352"/>
      <c r="DH24" s="352"/>
      <c r="DI24" s="352"/>
      <c r="DJ24" s="352"/>
      <c r="DK24" s="352"/>
      <c r="DL24" s="352"/>
      <c r="DM24" s="352"/>
      <c r="DN24" s="352"/>
      <c r="DO24" s="352"/>
      <c r="DP24" s="352"/>
      <c r="DQ24" s="352"/>
      <c r="DR24" s="352"/>
      <c r="DS24" s="352"/>
      <c r="DT24" s="352"/>
      <c r="DU24" s="352"/>
      <c r="DV24" s="352"/>
      <c r="DW24" s="352"/>
      <c r="DX24" s="352"/>
      <c r="DY24" s="352"/>
      <c r="DZ24" s="352"/>
      <c r="EA24" s="352"/>
      <c r="EB24" s="352"/>
      <c r="EC24" s="352"/>
      <c r="ED24" s="352"/>
      <c r="EE24" s="352"/>
      <c r="EF24" s="352"/>
      <c r="EG24" s="352"/>
      <c r="EH24" s="352"/>
      <c r="EI24" s="352"/>
      <c r="EJ24" s="352"/>
      <c r="EK24" s="352"/>
      <c r="EL24" s="352"/>
      <c r="EM24" s="352"/>
      <c r="EN24" s="352"/>
    </row>
    <row r="25" spans="1:144" ht="20.100000000000001" customHeight="1">
      <c r="A25" s="118" t="s">
        <v>25</v>
      </c>
      <c r="B25" s="118" t="s">
        <v>225</v>
      </c>
      <c r="C25" s="119">
        <v>0</v>
      </c>
      <c r="D25" s="120">
        <f>'Sectors % GDP'!G6</f>
        <v>416174.41800000001</v>
      </c>
      <c r="E25" s="120">
        <f t="shared" si="0"/>
        <v>0</v>
      </c>
      <c r="F25" s="121">
        <v>1</v>
      </c>
      <c r="G25" s="120">
        <v>1</v>
      </c>
      <c r="H25" s="122">
        <v>16.41</v>
      </c>
      <c r="I25" s="122">
        <v>18.809999999999999</v>
      </c>
      <c r="J25" s="122">
        <v>42.1</v>
      </c>
      <c r="K25" s="123">
        <v>7.68</v>
      </c>
      <c r="L25" s="123">
        <f t="shared" si="1"/>
        <v>-2.5</v>
      </c>
      <c r="M25" s="124">
        <v>-2.5000000000000001E-2</v>
      </c>
      <c r="N25" s="124">
        <v>5</v>
      </c>
      <c r="O25" s="125">
        <f>'Trade Data'!D5</f>
        <v>0.59136484071720108</v>
      </c>
      <c r="P25" s="127">
        <v>1</v>
      </c>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352"/>
      <c r="BP25" s="352"/>
      <c r="BQ25" s="352"/>
      <c r="BR25" s="352"/>
      <c r="BS25" s="352"/>
      <c r="BT25" s="352"/>
      <c r="BU25" s="352"/>
      <c r="BV25" s="352"/>
      <c r="BW25" s="352"/>
      <c r="BX25" s="352"/>
      <c r="BY25" s="352"/>
      <c r="BZ25" s="352"/>
      <c r="CA25" s="352"/>
      <c r="CB25" s="352"/>
      <c r="CC25" s="352"/>
      <c r="CD25" s="352"/>
      <c r="CE25" s="352"/>
      <c r="CF25" s="352"/>
      <c r="CG25" s="352"/>
      <c r="CH25" s="352"/>
      <c r="CI25" s="352"/>
      <c r="CJ25" s="352"/>
      <c r="CK25" s="352"/>
      <c r="CL25" s="352"/>
      <c r="CM25" s="352"/>
      <c r="CN25" s="352"/>
      <c r="CO25" s="352"/>
      <c r="CP25" s="352"/>
      <c r="CQ25" s="352"/>
      <c r="CR25" s="352"/>
      <c r="CS25" s="352"/>
      <c r="CT25" s="352"/>
      <c r="CU25" s="352"/>
      <c r="CV25" s="352"/>
      <c r="CW25" s="352"/>
      <c r="CX25" s="352"/>
      <c r="CY25" s="352"/>
      <c r="CZ25" s="352"/>
      <c r="DA25" s="352"/>
      <c r="DB25" s="352"/>
      <c r="DC25" s="352"/>
      <c r="DD25" s="352"/>
      <c r="DE25" s="352"/>
      <c r="DF25" s="352"/>
      <c r="DG25" s="352"/>
      <c r="DH25" s="352"/>
      <c r="DI25" s="352"/>
      <c r="DJ25" s="352"/>
      <c r="DK25" s="352"/>
      <c r="DL25" s="352"/>
      <c r="DM25" s="352"/>
      <c r="DN25" s="352"/>
      <c r="DO25" s="352"/>
      <c r="DP25" s="352"/>
      <c r="DQ25" s="352"/>
      <c r="DR25" s="352"/>
      <c r="DS25" s="352"/>
      <c r="DT25" s="352"/>
      <c r="DU25" s="352"/>
      <c r="DV25" s="352"/>
      <c r="DW25" s="352"/>
      <c r="DX25" s="352"/>
      <c r="DY25" s="352"/>
      <c r="DZ25" s="352"/>
      <c r="EA25" s="352"/>
      <c r="EB25" s="352"/>
      <c r="EC25" s="352"/>
      <c r="ED25" s="352"/>
      <c r="EE25" s="352"/>
      <c r="EF25" s="352"/>
      <c r="EG25" s="352"/>
      <c r="EH25" s="352"/>
      <c r="EI25" s="352"/>
      <c r="EJ25" s="352"/>
      <c r="EK25" s="352"/>
      <c r="EL25" s="352"/>
      <c r="EM25" s="352"/>
      <c r="EN25" s="352"/>
    </row>
    <row r="26" spans="1:144" s="169" customFormat="1" ht="20.100000000000001" customHeight="1">
      <c r="A26" s="160" t="s">
        <v>877</v>
      </c>
      <c r="B26" s="160" t="s">
        <v>234</v>
      </c>
      <c r="C26" s="161">
        <v>0</v>
      </c>
      <c r="D26" s="162">
        <f>'Sectors % GDP'!G4</f>
        <v>38149.847999999998</v>
      </c>
      <c r="E26" s="162">
        <f t="shared" si="0"/>
        <v>0</v>
      </c>
      <c r="F26" s="163">
        <v>0</v>
      </c>
      <c r="G26" s="162">
        <v>0</v>
      </c>
      <c r="H26" s="164">
        <v>34.42</v>
      </c>
      <c r="I26" s="164">
        <v>64.06</v>
      </c>
      <c r="J26" s="164">
        <v>50.43</v>
      </c>
      <c r="K26" s="165">
        <v>7.68</v>
      </c>
      <c r="L26" s="165">
        <f t="shared" si="1"/>
        <v>2.6</v>
      </c>
      <c r="M26" s="166">
        <v>2.5999999999999999E-2</v>
      </c>
      <c r="N26" s="166">
        <v>5.75</v>
      </c>
      <c r="O26" s="167">
        <f>'Trade Data'!F5</f>
        <v>0.61215508806410301</v>
      </c>
      <c r="P26" s="168">
        <v>0</v>
      </c>
      <c r="Q26" s="352"/>
      <c r="R26" s="352"/>
      <c r="S26" s="352"/>
      <c r="T26" s="352"/>
      <c r="U26" s="352"/>
      <c r="V26" s="352"/>
      <c r="W26" s="352"/>
      <c r="X26" s="352"/>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c r="BB26" s="352"/>
      <c r="BC26" s="352"/>
      <c r="BD26" s="352"/>
      <c r="BE26" s="352"/>
      <c r="BF26" s="352"/>
      <c r="BG26" s="352"/>
      <c r="BH26" s="352"/>
      <c r="BI26" s="352"/>
      <c r="BJ26" s="352"/>
      <c r="BK26" s="352"/>
      <c r="BL26" s="352"/>
      <c r="BM26" s="352"/>
      <c r="BN26" s="352"/>
      <c r="BO26" s="352"/>
      <c r="BP26" s="352"/>
      <c r="BQ26" s="352"/>
      <c r="BR26" s="352"/>
      <c r="BS26" s="352"/>
      <c r="BT26" s="352"/>
      <c r="BU26" s="352"/>
      <c r="BV26" s="352"/>
      <c r="BW26" s="352"/>
      <c r="BX26" s="352"/>
      <c r="BY26" s="352"/>
      <c r="BZ26" s="352"/>
      <c r="CA26" s="352"/>
      <c r="CB26" s="352"/>
      <c r="CC26" s="352"/>
      <c r="CD26" s="352"/>
      <c r="CE26" s="352"/>
      <c r="CF26" s="352"/>
      <c r="CG26" s="352"/>
      <c r="CH26" s="352"/>
      <c r="CI26" s="352"/>
      <c r="CJ26" s="352"/>
      <c r="CK26" s="352"/>
      <c r="CL26" s="352"/>
      <c r="CM26" s="352"/>
      <c r="CN26" s="352"/>
      <c r="CO26" s="352"/>
      <c r="CP26" s="352"/>
      <c r="CQ26" s="352"/>
      <c r="CR26" s="352"/>
      <c r="CS26" s="352"/>
      <c r="CT26" s="352"/>
      <c r="CU26" s="352"/>
      <c r="CV26" s="352"/>
      <c r="CW26" s="352"/>
      <c r="CX26" s="352"/>
      <c r="CY26" s="352"/>
      <c r="CZ26" s="352"/>
      <c r="DA26" s="352"/>
      <c r="DB26" s="352"/>
      <c r="DC26" s="352"/>
      <c r="DD26" s="352"/>
      <c r="DE26" s="352"/>
      <c r="DF26" s="352"/>
      <c r="DG26" s="352"/>
      <c r="DH26" s="352"/>
      <c r="DI26" s="352"/>
      <c r="DJ26" s="352"/>
      <c r="DK26" s="352"/>
      <c r="DL26" s="352"/>
      <c r="DM26" s="352"/>
      <c r="DN26" s="352"/>
      <c r="DO26" s="352"/>
      <c r="DP26" s="352"/>
      <c r="DQ26" s="352"/>
      <c r="DR26" s="352"/>
      <c r="DS26" s="352"/>
      <c r="DT26" s="352"/>
      <c r="DU26" s="352"/>
      <c r="DV26" s="352"/>
      <c r="DW26" s="352"/>
      <c r="DX26" s="352"/>
      <c r="DY26" s="352"/>
      <c r="DZ26" s="352"/>
      <c r="EA26" s="352"/>
      <c r="EB26" s="352"/>
      <c r="EC26" s="352"/>
      <c r="ED26" s="352"/>
      <c r="EE26" s="352"/>
      <c r="EF26" s="352"/>
      <c r="EG26" s="352"/>
      <c r="EH26" s="352"/>
      <c r="EI26" s="352"/>
      <c r="EJ26" s="352"/>
      <c r="EK26" s="352"/>
      <c r="EL26" s="352"/>
      <c r="EM26" s="352"/>
      <c r="EN26" s="352"/>
    </row>
    <row r="27" spans="1:144" s="188" customFormat="1" ht="20.100000000000001" customHeight="1">
      <c r="A27" s="179" t="s">
        <v>877</v>
      </c>
      <c r="B27" s="179" t="s">
        <v>232</v>
      </c>
      <c r="C27" s="180">
        <f>'Thomson Reuters IMA  ($)'!I26</f>
        <v>24.372</v>
      </c>
      <c r="D27" s="181">
        <f>'Sectors % GDP'!G5</f>
        <v>177232.57200000001</v>
      </c>
      <c r="E27" s="181">
        <f t="shared" si="0"/>
        <v>1.3751422622248013E-4</v>
      </c>
      <c r="F27" s="182">
        <v>1</v>
      </c>
      <c r="G27" s="181">
        <v>2</v>
      </c>
      <c r="H27" s="183">
        <v>34.42</v>
      </c>
      <c r="I27" s="183">
        <v>64.06</v>
      </c>
      <c r="J27" s="183">
        <v>50.43</v>
      </c>
      <c r="K27" s="184">
        <v>7.68</v>
      </c>
      <c r="L27" s="184">
        <f t="shared" si="1"/>
        <v>2.6</v>
      </c>
      <c r="M27" s="185">
        <v>2.5999999999999999E-2</v>
      </c>
      <c r="N27" s="185">
        <v>5.75</v>
      </c>
      <c r="O27" s="186">
        <f>'Trade Data'!F5</f>
        <v>0.61215508806410301</v>
      </c>
      <c r="P27" s="187">
        <v>1</v>
      </c>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c r="BB27" s="352"/>
      <c r="BC27" s="352"/>
      <c r="BD27" s="352"/>
      <c r="BE27" s="352"/>
      <c r="BF27" s="352"/>
      <c r="BG27" s="352"/>
      <c r="BH27" s="352"/>
      <c r="BI27" s="352"/>
      <c r="BJ27" s="352"/>
      <c r="BK27" s="352"/>
      <c r="BL27" s="352"/>
      <c r="BM27" s="352"/>
      <c r="BN27" s="352"/>
      <c r="BO27" s="352"/>
      <c r="BP27" s="352"/>
      <c r="BQ27" s="352"/>
      <c r="BR27" s="352"/>
      <c r="BS27" s="352"/>
      <c r="BT27" s="352"/>
      <c r="BU27" s="352"/>
      <c r="BV27" s="352"/>
      <c r="BW27" s="352"/>
      <c r="BX27" s="352"/>
      <c r="BY27" s="352"/>
      <c r="BZ27" s="352"/>
      <c r="CA27" s="352"/>
      <c r="CB27" s="352"/>
      <c r="CC27" s="352"/>
      <c r="CD27" s="352"/>
      <c r="CE27" s="352"/>
      <c r="CF27" s="352"/>
      <c r="CG27" s="352"/>
      <c r="CH27" s="352"/>
      <c r="CI27" s="352"/>
      <c r="CJ27" s="352"/>
      <c r="CK27" s="352"/>
      <c r="CL27" s="352"/>
      <c r="CM27" s="352"/>
      <c r="CN27" s="352"/>
      <c r="CO27" s="352"/>
      <c r="CP27" s="352"/>
      <c r="CQ27" s="352"/>
      <c r="CR27" s="352"/>
      <c r="CS27" s="352"/>
      <c r="CT27" s="352"/>
      <c r="CU27" s="352"/>
      <c r="CV27" s="352"/>
      <c r="CW27" s="352"/>
      <c r="CX27" s="352"/>
      <c r="CY27" s="352"/>
      <c r="CZ27" s="352"/>
      <c r="DA27" s="352"/>
      <c r="DB27" s="352"/>
      <c r="DC27" s="352"/>
      <c r="DD27" s="352"/>
      <c r="DE27" s="352"/>
      <c r="DF27" s="352"/>
      <c r="DG27" s="352"/>
      <c r="DH27" s="352"/>
      <c r="DI27" s="352"/>
      <c r="DJ27" s="352"/>
      <c r="DK27" s="352"/>
      <c r="DL27" s="352"/>
      <c r="DM27" s="352"/>
      <c r="DN27" s="352"/>
      <c r="DO27" s="352"/>
      <c r="DP27" s="352"/>
      <c r="DQ27" s="352"/>
      <c r="DR27" s="352"/>
      <c r="DS27" s="352"/>
      <c r="DT27" s="352"/>
      <c r="DU27" s="352"/>
      <c r="DV27" s="352"/>
      <c r="DW27" s="352"/>
      <c r="DX27" s="352"/>
      <c r="DY27" s="352"/>
      <c r="DZ27" s="352"/>
      <c r="EA27" s="352"/>
      <c r="EB27" s="352"/>
      <c r="EC27" s="352"/>
      <c r="ED27" s="352"/>
      <c r="EE27" s="352"/>
      <c r="EF27" s="352"/>
      <c r="EG27" s="352"/>
      <c r="EH27" s="352"/>
      <c r="EI27" s="352"/>
      <c r="EJ27" s="352"/>
      <c r="EK27" s="352"/>
      <c r="EL27" s="352"/>
      <c r="EM27" s="352"/>
      <c r="EN27" s="352"/>
    </row>
    <row r="28" spans="1:144" ht="20.100000000000001" customHeight="1">
      <c r="A28" s="118" t="s">
        <v>877</v>
      </c>
      <c r="B28" s="118" t="s">
        <v>233</v>
      </c>
      <c r="C28" s="119">
        <v>0</v>
      </c>
      <c r="D28" s="120">
        <f>'Sectors % GDP'!G6</f>
        <v>416174.41800000001</v>
      </c>
      <c r="E28" s="120">
        <f t="shared" si="0"/>
        <v>0</v>
      </c>
      <c r="F28" s="121">
        <v>1</v>
      </c>
      <c r="G28" s="120">
        <v>2</v>
      </c>
      <c r="H28" s="122">
        <v>34.42</v>
      </c>
      <c r="I28" s="122">
        <v>64.06</v>
      </c>
      <c r="J28" s="122">
        <v>50.43</v>
      </c>
      <c r="K28" s="123">
        <v>7.68</v>
      </c>
      <c r="L28" s="123">
        <f t="shared" si="1"/>
        <v>2.6</v>
      </c>
      <c r="M28" s="124">
        <v>2.5999999999999999E-2</v>
      </c>
      <c r="N28" s="124">
        <v>5.75</v>
      </c>
      <c r="O28" s="125">
        <f>'Trade Data'!F5</f>
        <v>0.61215508806410301</v>
      </c>
      <c r="P28" s="126">
        <v>1</v>
      </c>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2"/>
      <c r="DM28" s="352"/>
      <c r="DN28" s="352"/>
      <c r="DO28" s="352"/>
      <c r="DP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row>
    <row r="29" spans="1:144" s="169" customFormat="1" ht="20.100000000000001" customHeight="1">
      <c r="A29" s="160" t="s">
        <v>27</v>
      </c>
      <c r="B29" s="160" t="s">
        <v>240</v>
      </c>
      <c r="C29" s="161">
        <v>0</v>
      </c>
      <c r="D29" s="162">
        <f>'Sectors % GDP'!G4</f>
        <v>38149.847999999998</v>
      </c>
      <c r="E29" s="162">
        <f t="shared" si="0"/>
        <v>0</v>
      </c>
      <c r="F29" s="163">
        <v>0</v>
      </c>
      <c r="G29" s="162">
        <v>0</v>
      </c>
      <c r="H29" s="164">
        <v>35.11</v>
      </c>
      <c r="I29" s="164">
        <v>57.4</v>
      </c>
      <c r="J29" s="164">
        <v>63.55</v>
      </c>
      <c r="K29" s="165">
        <v>7.68</v>
      </c>
      <c r="L29" s="165">
        <f t="shared" si="1"/>
        <v>2.6</v>
      </c>
      <c r="M29" s="166">
        <v>2.5999999999999999E-2</v>
      </c>
      <c r="N29" s="166">
        <v>5.75</v>
      </c>
      <c r="O29" s="167">
        <f>'Trade Data'!F5</f>
        <v>0.61215508806410301</v>
      </c>
      <c r="P29" s="170">
        <v>0</v>
      </c>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c r="BW29" s="352"/>
      <c r="BX29" s="352"/>
      <c r="BY29" s="352"/>
      <c r="BZ29" s="352"/>
      <c r="CA29" s="352"/>
      <c r="CB29" s="352"/>
      <c r="CC29" s="352"/>
      <c r="CD29" s="352"/>
      <c r="CE29" s="352"/>
      <c r="CF29" s="352"/>
      <c r="CG29" s="352"/>
      <c r="CH29" s="352"/>
      <c r="CI29" s="352"/>
      <c r="CJ29" s="352"/>
      <c r="CK29" s="352"/>
      <c r="CL29" s="352"/>
      <c r="CM29" s="352"/>
      <c r="CN29" s="352"/>
      <c r="CO29" s="352"/>
      <c r="CP29" s="352"/>
      <c r="CQ29" s="352"/>
      <c r="CR29" s="352"/>
      <c r="CS29" s="352"/>
      <c r="CT29" s="352"/>
      <c r="CU29" s="352"/>
      <c r="CV29" s="352"/>
      <c r="CW29" s="352"/>
      <c r="CX29" s="352"/>
      <c r="CY29" s="352"/>
      <c r="CZ29" s="352"/>
      <c r="DA29" s="352"/>
      <c r="DB29" s="352"/>
      <c r="DC29" s="352"/>
      <c r="DD29" s="352"/>
      <c r="DE29" s="352"/>
      <c r="DF29" s="352"/>
      <c r="DG29" s="352"/>
      <c r="DH29" s="352"/>
      <c r="DI29" s="352"/>
      <c r="DJ29" s="352"/>
      <c r="DK29" s="352"/>
      <c r="DL29" s="352"/>
      <c r="DM29" s="352"/>
      <c r="DN29" s="352"/>
      <c r="DO29" s="352"/>
      <c r="DP29" s="352"/>
      <c r="DQ29" s="352"/>
      <c r="DR29" s="352"/>
      <c r="DS29" s="352"/>
      <c r="DT29" s="352"/>
      <c r="DU29" s="352"/>
      <c r="DV29" s="352"/>
      <c r="DW29" s="352"/>
      <c r="DX29" s="352"/>
      <c r="DY29" s="352"/>
      <c r="DZ29" s="352"/>
      <c r="EA29" s="352"/>
      <c r="EB29" s="352"/>
      <c r="EC29" s="352"/>
      <c r="ED29" s="352"/>
      <c r="EE29" s="352"/>
      <c r="EF29" s="352"/>
      <c r="EG29" s="352"/>
      <c r="EH29" s="352"/>
      <c r="EI29" s="352"/>
      <c r="EJ29" s="352"/>
      <c r="EK29" s="352"/>
      <c r="EL29" s="352"/>
      <c r="EM29" s="352"/>
      <c r="EN29" s="352"/>
    </row>
    <row r="30" spans="1:144" s="188" customFormat="1" ht="20.100000000000001" customHeight="1">
      <c r="A30" s="179" t="s">
        <v>27</v>
      </c>
      <c r="B30" s="179" t="s">
        <v>235</v>
      </c>
      <c r="C30" s="180">
        <v>0</v>
      </c>
      <c r="D30" s="181">
        <f>'Sectors % GDP'!G5</f>
        <v>177232.57200000001</v>
      </c>
      <c r="E30" s="181">
        <f t="shared" si="0"/>
        <v>0</v>
      </c>
      <c r="F30" s="182">
        <v>0</v>
      </c>
      <c r="G30" s="181">
        <v>0</v>
      </c>
      <c r="H30" s="183">
        <v>35.11</v>
      </c>
      <c r="I30" s="183">
        <v>57.4</v>
      </c>
      <c r="J30" s="183">
        <v>63.55</v>
      </c>
      <c r="K30" s="184">
        <v>7.68</v>
      </c>
      <c r="L30" s="184">
        <f t="shared" si="1"/>
        <v>2.6</v>
      </c>
      <c r="M30" s="185">
        <v>2.5999999999999999E-2</v>
      </c>
      <c r="N30" s="185">
        <v>5.75</v>
      </c>
      <c r="O30" s="186">
        <f>'Trade Data'!F5</f>
        <v>0.61215508806410301</v>
      </c>
      <c r="P30" s="189">
        <v>1</v>
      </c>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c r="DP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row>
    <row r="31" spans="1:144" ht="20.100000000000001" customHeight="1">
      <c r="A31" s="118" t="s">
        <v>27</v>
      </c>
      <c r="B31" s="118" t="s">
        <v>236</v>
      </c>
      <c r="C31" s="119">
        <v>0</v>
      </c>
      <c r="D31" s="120">
        <f>'Sectors % GDP'!G6</f>
        <v>416174.41800000001</v>
      </c>
      <c r="E31" s="120">
        <f t="shared" si="0"/>
        <v>0</v>
      </c>
      <c r="F31" s="121">
        <v>1</v>
      </c>
      <c r="G31" s="120">
        <v>1</v>
      </c>
      <c r="H31" s="122">
        <v>35.11</v>
      </c>
      <c r="I31" s="122">
        <v>57.4</v>
      </c>
      <c r="J31" s="122">
        <v>63.55</v>
      </c>
      <c r="K31" s="123">
        <v>7.68</v>
      </c>
      <c r="L31" s="123">
        <f t="shared" si="1"/>
        <v>2.6</v>
      </c>
      <c r="M31" s="124">
        <v>2.5999999999999999E-2</v>
      </c>
      <c r="N31" s="124">
        <v>5.75</v>
      </c>
      <c r="O31" s="125">
        <f>'Trade Data'!F5</f>
        <v>0.61215508806410301</v>
      </c>
      <c r="P31" s="127">
        <v>1</v>
      </c>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c r="DP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row>
    <row r="32" spans="1:144" s="169" customFormat="1" ht="20.100000000000001" customHeight="1">
      <c r="A32" s="160" t="s">
        <v>28</v>
      </c>
      <c r="B32" s="160" t="s">
        <v>237</v>
      </c>
      <c r="C32" s="161">
        <v>0</v>
      </c>
      <c r="D32" s="162">
        <f>'Sectors % GDP'!G4</f>
        <v>38149.847999999998</v>
      </c>
      <c r="E32" s="162">
        <f t="shared" si="0"/>
        <v>0</v>
      </c>
      <c r="F32" s="163">
        <v>0</v>
      </c>
      <c r="G32" s="162">
        <v>0</v>
      </c>
      <c r="H32" s="164">
        <v>17.920000000000002</v>
      </c>
      <c r="I32" s="164">
        <v>15.47</v>
      </c>
      <c r="J32" s="164">
        <v>52.02</v>
      </c>
      <c r="K32" s="165">
        <v>7.68</v>
      </c>
      <c r="L32" s="165">
        <f t="shared" si="1"/>
        <v>2.6</v>
      </c>
      <c r="M32" s="166">
        <v>2.5999999999999999E-2</v>
      </c>
      <c r="N32" s="166">
        <v>5.75</v>
      </c>
      <c r="O32" s="167">
        <f>'Trade Data'!F5</f>
        <v>0.61215508806410301</v>
      </c>
      <c r="P32" s="168">
        <v>0</v>
      </c>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row>
    <row r="33" spans="1:144" s="188" customFormat="1" ht="20.100000000000001" customHeight="1">
      <c r="A33" s="179" t="s">
        <v>28</v>
      </c>
      <c r="B33" s="179" t="s">
        <v>238</v>
      </c>
      <c r="C33" s="180">
        <f>'Thomson Reuters IMA  ($)'!I27+'Thomson Reuters IMA  ($)'!I28</f>
        <v>16.827999999999999</v>
      </c>
      <c r="D33" s="181">
        <f>'Sectors % GDP'!G5</f>
        <v>177232.57200000001</v>
      </c>
      <c r="E33" s="181">
        <f t="shared" si="0"/>
        <v>9.4948686971602474E-5</v>
      </c>
      <c r="F33" s="182">
        <v>1</v>
      </c>
      <c r="G33" s="181">
        <v>2</v>
      </c>
      <c r="H33" s="183">
        <v>17.920000000000002</v>
      </c>
      <c r="I33" s="183">
        <v>15.47</v>
      </c>
      <c r="J33" s="183">
        <v>52.02</v>
      </c>
      <c r="K33" s="184">
        <v>7.68</v>
      </c>
      <c r="L33" s="184">
        <f t="shared" si="1"/>
        <v>2.6</v>
      </c>
      <c r="M33" s="185">
        <v>2.5999999999999999E-2</v>
      </c>
      <c r="N33" s="185">
        <v>5.75</v>
      </c>
      <c r="O33" s="186">
        <f>'Trade Data'!F5</f>
        <v>0.61215508806410301</v>
      </c>
      <c r="P33" s="187">
        <v>1</v>
      </c>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row>
    <row r="34" spans="1:144" ht="20.100000000000001" customHeight="1">
      <c r="A34" s="118" t="s">
        <v>28</v>
      </c>
      <c r="B34" s="118" t="s">
        <v>239</v>
      </c>
      <c r="C34" s="119">
        <v>0</v>
      </c>
      <c r="D34" s="120">
        <f>'Sectors % GDP'!G6</f>
        <v>416174.41800000001</v>
      </c>
      <c r="E34" s="120">
        <f t="shared" si="0"/>
        <v>0</v>
      </c>
      <c r="F34" s="121">
        <v>1</v>
      </c>
      <c r="G34" s="120">
        <v>4</v>
      </c>
      <c r="H34" s="122">
        <v>17.920000000000002</v>
      </c>
      <c r="I34" s="122">
        <v>15.47</v>
      </c>
      <c r="J34" s="122">
        <v>52.02</v>
      </c>
      <c r="K34" s="123">
        <v>7.68</v>
      </c>
      <c r="L34" s="123">
        <f t="shared" si="1"/>
        <v>2.6</v>
      </c>
      <c r="M34" s="124">
        <v>2.5999999999999999E-2</v>
      </c>
      <c r="N34" s="124">
        <v>5.75</v>
      </c>
      <c r="O34" s="125">
        <f>'Trade Data'!F5</f>
        <v>0.61215508806410301</v>
      </c>
      <c r="P34" s="126">
        <v>1</v>
      </c>
      <c r="Q34" s="352"/>
      <c r="R34" s="352"/>
      <c r="S34" s="352"/>
      <c r="T34" s="352"/>
      <c r="U34" s="352"/>
      <c r="V34" s="352"/>
      <c r="W34" s="352"/>
      <c r="X34" s="352"/>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c r="BB34" s="352"/>
      <c r="BC34" s="352"/>
      <c r="BD34" s="352"/>
      <c r="BE34" s="352"/>
      <c r="BF34" s="352"/>
      <c r="BG34" s="352"/>
      <c r="BH34" s="352"/>
      <c r="BI34" s="352"/>
      <c r="BJ34" s="352"/>
      <c r="BK34" s="352"/>
      <c r="BL34" s="352"/>
      <c r="BM34" s="352"/>
      <c r="BN34" s="352"/>
      <c r="BO34" s="352"/>
      <c r="BP34" s="352"/>
      <c r="BQ34" s="352"/>
      <c r="BR34" s="352"/>
      <c r="BS34" s="352"/>
      <c r="BT34" s="352"/>
      <c r="BU34" s="352"/>
      <c r="BV34" s="352"/>
      <c r="BW34" s="352"/>
      <c r="BX34" s="352"/>
      <c r="BY34" s="352"/>
      <c r="BZ34" s="352"/>
      <c r="CA34" s="352"/>
      <c r="CB34" s="352"/>
      <c r="CC34" s="352"/>
      <c r="CD34" s="352"/>
      <c r="CE34" s="352"/>
      <c r="CF34" s="352"/>
      <c r="CG34" s="352"/>
      <c r="CH34" s="352"/>
      <c r="CI34" s="352"/>
      <c r="CJ34" s="352"/>
      <c r="CK34" s="352"/>
      <c r="CL34" s="352"/>
      <c r="CM34" s="352"/>
      <c r="CN34" s="352"/>
      <c r="CO34" s="352"/>
      <c r="CP34" s="352"/>
      <c r="CQ34" s="352"/>
      <c r="CR34" s="352"/>
      <c r="CS34" s="352"/>
      <c r="CT34" s="352"/>
      <c r="CU34" s="352"/>
      <c r="CV34" s="352"/>
      <c r="CW34" s="352"/>
      <c r="CX34" s="352"/>
      <c r="CY34" s="352"/>
      <c r="CZ34" s="352"/>
      <c r="DA34" s="352"/>
      <c r="DB34" s="352"/>
      <c r="DC34" s="352"/>
      <c r="DD34" s="352"/>
      <c r="DE34" s="352"/>
      <c r="DF34" s="352"/>
      <c r="DG34" s="352"/>
      <c r="DH34" s="352"/>
      <c r="DI34" s="352"/>
      <c r="DJ34" s="352"/>
      <c r="DK34" s="352"/>
      <c r="DL34" s="352"/>
      <c r="DM34" s="352"/>
      <c r="DN34" s="352"/>
      <c r="DO34" s="352"/>
      <c r="DP34" s="352"/>
      <c r="DQ34" s="352"/>
      <c r="DR34" s="352"/>
      <c r="DS34" s="352"/>
      <c r="DT34" s="352"/>
      <c r="DU34" s="352"/>
      <c r="DV34" s="352"/>
      <c r="DW34" s="352"/>
      <c r="DX34" s="352"/>
      <c r="DY34" s="352"/>
      <c r="DZ34" s="352"/>
      <c r="EA34" s="352"/>
      <c r="EB34" s="352"/>
      <c r="EC34" s="352"/>
      <c r="ED34" s="352"/>
      <c r="EE34" s="352"/>
      <c r="EF34" s="352"/>
      <c r="EG34" s="352"/>
      <c r="EH34" s="352"/>
      <c r="EI34" s="352"/>
      <c r="EJ34" s="352"/>
      <c r="EK34" s="352"/>
      <c r="EL34" s="352"/>
      <c r="EM34" s="352"/>
      <c r="EN34" s="352"/>
    </row>
    <row r="35" spans="1:144" s="169" customFormat="1" ht="20.100000000000001" customHeight="1">
      <c r="A35" s="160" t="s">
        <v>29</v>
      </c>
      <c r="B35" s="160" t="s">
        <v>241</v>
      </c>
      <c r="C35" s="161">
        <v>0</v>
      </c>
      <c r="D35" s="162">
        <f>'Sectors % GDP'!I4</f>
        <v>41182.343999999997</v>
      </c>
      <c r="E35" s="162">
        <f t="shared" si="0"/>
        <v>0</v>
      </c>
      <c r="F35" s="163">
        <v>0</v>
      </c>
      <c r="G35" s="162">
        <v>0</v>
      </c>
      <c r="H35" s="164">
        <v>13.77</v>
      </c>
      <c r="I35" s="164">
        <v>23.69</v>
      </c>
      <c r="J35" s="164">
        <v>22.56</v>
      </c>
      <c r="K35" s="165">
        <v>8.65</v>
      </c>
      <c r="L35" s="165">
        <f t="shared" si="1"/>
        <v>2.6</v>
      </c>
      <c r="M35" s="166">
        <v>2.5999999999999999E-2</v>
      </c>
      <c r="N35" s="166">
        <v>5.75</v>
      </c>
      <c r="O35" s="167">
        <f>'Trade Data'!F5</f>
        <v>0.61215508806410301</v>
      </c>
      <c r="P35" s="170">
        <v>0</v>
      </c>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c r="DP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row>
    <row r="36" spans="1:144" s="188" customFormat="1" ht="20.100000000000001" customHeight="1">
      <c r="A36" s="179" t="s">
        <v>29</v>
      </c>
      <c r="B36" s="179" t="s">
        <v>242</v>
      </c>
      <c r="C36" s="180">
        <f>'Thomson Reuters IMA  ($)'!I29+'Thomson Reuters IMA  ($)'!I30+'Thomson Reuters IMA  ($)'!I31+'Thomson Reuters IMA  ($)'!I32+'Thomson Reuters IMA  ($)'!I33</f>
        <v>26.552</v>
      </c>
      <c r="D36" s="181">
        <f>'Sectors % GDP'!I5</f>
        <v>145336.63199999998</v>
      </c>
      <c r="E36" s="181">
        <f t="shared" si="0"/>
        <v>1.8269310107585265E-4</v>
      </c>
      <c r="F36" s="182">
        <v>1</v>
      </c>
      <c r="G36" s="181">
        <v>6</v>
      </c>
      <c r="H36" s="183">
        <v>13.77</v>
      </c>
      <c r="I36" s="183">
        <v>23.69</v>
      </c>
      <c r="J36" s="183">
        <v>22.56</v>
      </c>
      <c r="K36" s="184">
        <v>8.65</v>
      </c>
      <c r="L36" s="184">
        <f t="shared" si="1"/>
        <v>2.6</v>
      </c>
      <c r="M36" s="185">
        <v>2.5999999999999999E-2</v>
      </c>
      <c r="N36" s="185">
        <v>5.75</v>
      </c>
      <c r="O36" s="191">
        <f>'Trade Data'!F5</f>
        <v>0.61215508806410301</v>
      </c>
      <c r="P36" s="189">
        <v>1</v>
      </c>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c r="DP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row>
    <row r="37" spans="1:144" ht="20.100000000000001" customHeight="1">
      <c r="A37" s="118" t="s">
        <v>29</v>
      </c>
      <c r="B37" s="118" t="s">
        <v>243</v>
      </c>
      <c r="C37" s="119">
        <f>'Thomson Reuters IMA  ($)'!I34</f>
        <v>1238.578</v>
      </c>
      <c r="D37" s="120">
        <f>'Sectors % GDP'!I6</f>
        <v>358221.02399999998</v>
      </c>
      <c r="E37" s="120">
        <f t="shared" si="0"/>
        <v>3.4575804238670257E-3</v>
      </c>
      <c r="F37" s="121">
        <v>1</v>
      </c>
      <c r="G37" s="120">
        <v>2</v>
      </c>
      <c r="H37" s="122">
        <v>13.77</v>
      </c>
      <c r="I37" s="122">
        <v>23.69</v>
      </c>
      <c r="J37" s="122">
        <v>22.56</v>
      </c>
      <c r="K37" s="123">
        <v>8.65</v>
      </c>
      <c r="L37" s="123">
        <f t="shared" si="1"/>
        <v>2.6</v>
      </c>
      <c r="M37" s="124">
        <v>2.5999999999999999E-2</v>
      </c>
      <c r="N37" s="124">
        <v>5.75</v>
      </c>
      <c r="O37" s="130">
        <f>'Trade Data'!F5</f>
        <v>0.61215508806410301</v>
      </c>
      <c r="P37" s="127">
        <v>1</v>
      </c>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c r="DP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row>
    <row r="38" spans="1:144" s="169" customFormat="1" ht="20.100000000000001" customHeight="1">
      <c r="A38" s="160" t="s">
        <v>30</v>
      </c>
      <c r="B38" s="160" t="s">
        <v>244</v>
      </c>
      <c r="C38" s="161">
        <v>0</v>
      </c>
      <c r="D38" s="162">
        <f>'Sectors % GDP'!I4</f>
        <v>41182.343999999997</v>
      </c>
      <c r="E38" s="162">
        <f t="shared" si="0"/>
        <v>0</v>
      </c>
      <c r="F38" s="163">
        <v>0</v>
      </c>
      <c r="G38" s="162">
        <v>0</v>
      </c>
      <c r="H38" s="164">
        <v>18.53</v>
      </c>
      <c r="I38" s="164">
        <v>25</v>
      </c>
      <c r="J38" s="165">
        <v>40.229999999999997</v>
      </c>
      <c r="K38" s="165">
        <v>8.65</v>
      </c>
      <c r="L38" s="165">
        <f t="shared" si="1"/>
        <v>-2.1999999999999997</v>
      </c>
      <c r="M38" s="166">
        <v>-2.1999999999999999E-2</v>
      </c>
      <c r="N38" s="166">
        <v>6.25</v>
      </c>
      <c r="O38" s="172">
        <v>0.65</v>
      </c>
      <c r="P38" s="168">
        <v>0</v>
      </c>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row>
    <row r="39" spans="1:144" s="188" customFormat="1" ht="20.100000000000001" customHeight="1">
      <c r="A39" s="179" t="s">
        <v>30</v>
      </c>
      <c r="B39" s="179" t="s">
        <v>245</v>
      </c>
      <c r="C39" s="180">
        <f>'Thomson Reuters IMA  ($)'!I35+'Thomson Reuters IMA  ($)'!I37</f>
        <v>250.03899999999999</v>
      </c>
      <c r="D39" s="181">
        <f>'Sectors % GDP'!I5</f>
        <v>145336.63199999998</v>
      </c>
      <c r="E39" s="181">
        <f t="shared" si="0"/>
        <v>1.7204127862272191E-3</v>
      </c>
      <c r="F39" s="182">
        <v>1</v>
      </c>
      <c r="G39" s="181">
        <v>4</v>
      </c>
      <c r="H39" s="183">
        <v>18.53</v>
      </c>
      <c r="I39" s="183">
        <v>25</v>
      </c>
      <c r="J39" s="184">
        <v>40.229999999999997</v>
      </c>
      <c r="K39" s="184">
        <v>8.65</v>
      </c>
      <c r="L39" s="184">
        <f t="shared" si="1"/>
        <v>-2.1999999999999997</v>
      </c>
      <c r="M39" s="185">
        <v>-2.1999999999999999E-2</v>
      </c>
      <c r="N39" s="185">
        <v>6.25</v>
      </c>
      <c r="O39" s="191">
        <v>0.65</v>
      </c>
      <c r="P39" s="187">
        <v>1</v>
      </c>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c r="DP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row>
    <row r="40" spans="1:144" ht="20.100000000000001" customHeight="1">
      <c r="A40" s="118" t="s">
        <v>30</v>
      </c>
      <c r="B40" s="118" t="s">
        <v>246</v>
      </c>
      <c r="C40" s="119">
        <f>'Thomson Reuters IMA  ($)'!I36</f>
        <v>140.4</v>
      </c>
      <c r="D40" s="120">
        <f>'Sectors % GDP'!I6</f>
        <v>358221.02399999998</v>
      </c>
      <c r="E40" s="120">
        <f t="shared" si="0"/>
        <v>3.9193679486550741E-4</v>
      </c>
      <c r="F40" s="121">
        <v>1</v>
      </c>
      <c r="G40" s="120">
        <v>1</v>
      </c>
      <c r="H40" s="122">
        <v>18.53</v>
      </c>
      <c r="I40" s="122">
        <v>25</v>
      </c>
      <c r="J40" s="123">
        <v>40.229999999999997</v>
      </c>
      <c r="K40" s="123">
        <v>8.65</v>
      </c>
      <c r="L40" s="123">
        <f t="shared" si="1"/>
        <v>-2.1999999999999997</v>
      </c>
      <c r="M40" s="124">
        <v>-2.1999999999999999E-2</v>
      </c>
      <c r="N40" s="124">
        <v>6.25</v>
      </c>
      <c r="O40" s="130">
        <v>0.65</v>
      </c>
      <c r="P40" s="126">
        <v>1</v>
      </c>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c r="DP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row>
    <row r="41" spans="1:144" s="169" customFormat="1" ht="20.100000000000001" customHeight="1">
      <c r="A41" s="160" t="s">
        <v>31</v>
      </c>
      <c r="B41" s="160" t="s">
        <v>247</v>
      </c>
      <c r="C41" s="161">
        <v>0</v>
      </c>
      <c r="D41" s="162">
        <f>'Sectors % GDP'!I4</f>
        <v>41182.343999999997</v>
      </c>
      <c r="E41" s="162">
        <f t="shared" si="0"/>
        <v>0</v>
      </c>
      <c r="F41" s="163">
        <v>1</v>
      </c>
      <c r="G41" s="162">
        <v>1</v>
      </c>
      <c r="H41" s="164">
        <v>23.03</v>
      </c>
      <c r="I41" s="164">
        <v>54.9</v>
      </c>
      <c r="J41" s="165">
        <v>29.79</v>
      </c>
      <c r="K41" s="165">
        <v>8.65</v>
      </c>
      <c r="L41" s="165">
        <f t="shared" si="1"/>
        <v>-2.1999999999999997</v>
      </c>
      <c r="M41" s="166">
        <v>-2.1999999999999999E-2</v>
      </c>
      <c r="N41" s="166">
        <v>6.25</v>
      </c>
      <c r="O41" s="172">
        <v>0.65</v>
      </c>
      <c r="P41" s="170">
        <v>0</v>
      </c>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c r="DP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row>
    <row r="42" spans="1:144" s="188" customFormat="1" ht="20.100000000000001" customHeight="1">
      <c r="A42" s="179" t="s">
        <v>31</v>
      </c>
      <c r="B42" s="179" t="s">
        <v>248</v>
      </c>
      <c r="C42" s="180">
        <f>'Thomson Reuters IMA  ($)'!I38+'Thomson Reuters IMA  ($)'!I39+'Thomson Reuters IMA  ($)'!I40+'Thomson Reuters IMA  ($)'!I41-'Thomson Reuters IMA  ($)'!I40</f>
        <v>272.17</v>
      </c>
      <c r="D42" s="181">
        <f>'Sectors % GDP'!I5</f>
        <v>145336.63199999998</v>
      </c>
      <c r="E42" s="181">
        <f t="shared" si="0"/>
        <v>1.8726868529607872E-3</v>
      </c>
      <c r="F42" s="182">
        <v>1</v>
      </c>
      <c r="G42" s="181">
        <v>4</v>
      </c>
      <c r="H42" s="183">
        <v>23.03</v>
      </c>
      <c r="I42" s="183">
        <v>54.9</v>
      </c>
      <c r="J42" s="184">
        <v>29.79</v>
      </c>
      <c r="K42" s="184">
        <v>8.65</v>
      </c>
      <c r="L42" s="184">
        <f t="shared" si="1"/>
        <v>-2.1999999999999997</v>
      </c>
      <c r="M42" s="185">
        <v>-2.1999999999999999E-2</v>
      </c>
      <c r="N42" s="185">
        <v>6.25</v>
      </c>
      <c r="O42" s="191">
        <v>0.65</v>
      </c>
      <c r="P42" s="189">
        <v>1</v>
      </c>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row>
    <row r="43" spans="1:144" ht="20.100000000000001" customHeight="1">
      <c r="A43" s="118" t="s">
        <v>31</v>
      </c>
      <c r="B43" s="118" t="s">
        <v>249</v>
      </c>
      <c r="C43" s="119">
        <f>'Thomson Reuters IMA  ($)'!I40+'Thomson Reuters IMA  ($)'!I42</f>
        <v>280</v>
      </c>
      <c r="D43" s="120">
        <f>'Sectors % GDP'!I6</f>
        <v>358221.02399999998</v>
      </c>
      <c r="E43" s="120">
        <f t="shared" si="0"/>
        <v>7.8164033164061309E-4</v>
      </c>
      <c r="F43" s="121">
        <v>1</v>
      </c>
      <c r="G43" s="120">
        <v>6</v>
      </c>
      <c r="H43" s="122">
        <v>23.03</v>
      </c>
      <c r="I43" s="122">
        <v>54.9</v>
      </c>
      <c r="J43" s="123">
        <v>29.79</v>
      </c>
      <c r="K43" s="123">
        <v>8.65</v>
      </c>
      <c r="L43" s="123">
        <f t="shared" si="1"/>
        <v>-2.1999999999999997</v>
      </c>
      <c r="M43" s="124">
        <v>-2.1999999999999999E-2</v>
      </c>
      <c r="N43" s="124">
        <v>6.25</v>
      </c>
      <c r="O43" s="130">
        <v>0.65</v>
      </c>
      <c r="P43" s="127">
        <v>1</v>
      </c>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row>
    <row r="44" spans="1:144" s="169" customFormat="1" ht="20.100000000000001" customHeight="1">
      <c r="A44" s="173" t="s">
        <v>32</v>
      </c>
      <c r="B44" s="160" t="s">
        <v>250</v>
      </c>
      <c r="C44" s="161">
        <v>0</v>
      </c>
      <c r="D44" s="162">
        <f>'Sectors % GDP'!I4</f>
        <v>41182.343999999997</v>
      </c>
      <c r="E44" s="162">
        <f t="shared" si="0"/>
        <v>0</v>
      </c>
      <c r="F44" s="163">
        <v>0</v>
      </c>
      <c r="G44" s="162">
        <v>0</v>
      </c>
      <c r="H44" s="164">
        <v>16.260000000000002</v>
      </c>
      <c r="I44" s="164">
        <v>40.22</v>
      </c>
      <c r="J44" s="165">
        <v>19.649999999999999</v>
      </c>
      <c r="K44" s="165">
        <v>8.65</v>
      </c>
      <c r="L44" s="165">
        <f t="shared" si="1"/>
        <v>-2.1999999999999997</v>
      </c>
      <c r="M44" s="166">
        <v>-2.1999999999999999E-2</v>
      </c>
      <c r="N44" s="166">
        <v>6.25</v>
      </c>
      <c r="O44" s="172">
        <v>0.65</v>
      </c>
      <c r="P44" s="168">
        <v>0</v>
      </c>
      <c r="Q44" s="352"/>
      <c r="R44" s="352"/>
      <c r="S44" s="352"/>
      <c r="T44" s="352"/>
      <c r="U44" s="352"/>
      <c r="V44" s="352"/>
      <c r="W44" s="352"/>
      <c r="X44" s="352"/>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c r="BB44" s="352"/>
      <c r="BC44" s="352"/>
      <c r="BD44" s="352"/>
      <c r="BE44" s="352"/>
      <c r="BF44" s="352"/>
      <c r="BG44" s="352"/>
      <c r="BH44" s="352"/>
      <c r="BI44" s="352"/>
      <c r="BJ44" s="352"/>
      <c r="BK44" s="352"/>
      <c r="BL44" s="352"/>
      <c r="BM44" s="352"/>
      <c r="BN44" s="352"/>
      <c r="BO44" s="352"/>
      <c r="BP44" s="352"/>
      <c r="BQ44" s="352"/>
      <c r="BR44" s="352"/>
      <c r="BS44" s="352"/>
      <c r="BT44" s="352"/>
      <c r="BU44" s="352"/>
      <c r="BV44" s="352"/>
      <c r="BW44" s="352"/>
      <c r="BX44" s="352"/>
      <c r="BY44" s="352"/>
      <c r="BZ44" s="352"/>
      <c r="CA44" s="352"/>
      <c r="CB44" s="352"/>
      <c r="CC44" s="352"/>
      <c r="CD44" s="352"/>
      <c r="CE44" s="352"/>
      <c r="CF44" s="352"/>
      <c r="CG44" s="352"/>
      <c r="CH44" s="352"/>
      <c r="CI44" s="352"/>
      <c r="CJ44" s="352"/>
      <c r="CK44" s="352"/>
      <c r="CL44" s="352"/>
      <c r="CM44" s="352"/>
      <c r="CN44" s="352"/>
      <c r="CO44" s="352"/>
      <c r="CP44" s="352"/>
      <c r="CQ44" s="352"/>
      <c r="CR44" s="352"/>
      <c r="CS44" s="352"/>
      <c r="CT44" s="352"/>
      <c r="CU44" s="352"/>
      <c r="CV44" s="352"/>
      <c r="CW44" s="352"/>
      <c r="CX44" s="352"/>
      <c r="CY44" s="352"/>
      <c r="CZ44" s="352"/>
      <c r="DA44" s="352"/>
      <c r="DB44" s="352"/>
      <c r="DC44" s="352"/>
      <c r="DD44" s="352"/>
      <c r="DE44" s="352"/>
      <c r="DF44" s="352"/>
      <c r="DG44" s="352"/>
      <c r="DH44" s="352"/>
      <c r="DI44" s="352"/>
      <c r="DJ44" s="352"/>
      <c r="DK44" s="352"/>
      <c r="DL44" s="352"/>
      <c r="DM44" s="352"/>
      <c r="DN44" s="352"/>
      <c r="DO44" s="352"/>
      <c r="DP44" s="352"/>
      <c r="DQ44" s="352"/>
      <c r="DR44" s="352"/>
      <c r="DS44" s="352"/>
      <c r="DT44" s="352"/>
      <c r="DU44" s="352"/>
      <c r="DV44" s="352"/>
      <c r="DW44" s="352"/>
      <c r="DX44" s="352"/>
      <c r="DY44" s="352"/>
      <c r="DZ44" s="352"/>
      <c r="EA44" s="352"/>
      <c r="EB44" s="352"/>
      <c r="EC44" s="352"/>
      <c r="ED44" s="352"/>
      <c r="EE44" s="352"/>
      <c r="EF44" s="352"/>
      <c r="EG44" s="352"/>
      <c r="EH44" s="352"/>
      <c r="EI44" s="352"/>
      <c r="EJ44" s="352"/>
      <c r="EK44" s="352"/>
      <c r="EL44" s="352"/>
      <c r="EM44" s="352"/>
      <c r="EN44" s="352"/>
    </row>
    <row r="45" spans="1:144" s="188" customFormat="1" ht="20.100000000000001" customHeight="1">
      <c r="A45" s="179" t="s">
        <v>32</v>
      </c>
      <c r="B45" s="179" t="s">
        <v>251</v>
      </c>
      <c r="C45" s="180">
        <f>SUM('Thomson Reuters IMA  ($)'!I43:I51)</f>
        <v>270.09699999999998</v>
      </c>
      <c r="D45" s="181">
        <f>'Sectors % GDP'!I5</f>
        <v>145336.63199999998</v>
      </c>
      <c r="E45" s="181">
        <f t="shared" si="0"/>
        <v>1.8584234152336763E-3</v>
      </c>
      <c r="F45" s="182">
        <v>1</v>
      </c>
      <c r="G45" s="181">
        <v>10</v>
      </c>
      <c r="H45" s="183">
        <v>16.260000000000002</v>
      </c>
      <c r="I45" s="183">
        <v>40.22</v>
      </c>
      <c r="J45" s="184">
        <v>19.649999999999999</v>
      </c>
      <c r="K45" s="184">
        <v>8.65</v>
      </c>
      <c r="L45" s="184">
        <f t="shared" si="1"/>
        <v>-2.1999999999999997</v>
      </c>
      <c r="M45" s="185">
        <v>-2.1999999999999999E-2</v>
      </c>
      <c r="N45" s="185">
        <v>6.25</v>
      </c>
      <c r="O45" s="191">
        <v>0.65</v>
      </c>
      <c r="P45" s="187">
        <v>1</v>
      </c>
      <c r="Q45" s="352"/>
      <c r="R45" s="352"/>
      <c r="S45" s="352"/>
      <c r="T45" s="352"/>
      <c r="U45" s="352"/>
      <c r="V45" s="352"/>
      <c r="W45" s="352"/>
      <c r="X45" s="352"/>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c r="BB45" s="352"/>
      <c r="BC45" s="352"/>
      <c r="BD45" s="352"/>
      <c r="BE45" s="352"/>
      <c r="BF45" s="352"/>
      <c r="BG45" s="352"/>
      <c r="BH45" s="352"/>
      <c r="BI45" s="352"/>
      <c r="BJ45" s="352"/>
      <c r="BK45" s="352"/>
      <c r="BL45" s="352"/>
      <c r="BM45" s="352"/>
      <c r="BN45" s="352"/>
      <c r="BO45" s="352"/>
      <c r="BP45" s="352"/>
      <c r="BQ45" s="352"/>
      <c r="BR45" s="352"/>
      <c r="BS45" s="352"/>
      <c r="BT45" s="352"/>
      <c r="BU45" s="352"/>
      <c r="BV45" s="352"/>
      <c r="BW45" s="352"/>
      <c r="BX45" s="352"/>
      <c r="BY45" s="352"/>
      <c r="BZ45" s="352"/>
      <c r="CA45" s="352"/>
      <c r="CB45" s="352"/>
      <c r="CC45" s="352"/>
      <c r="CD45" s="352"/>
      <c r="CE45" s="352"/>
      <c r="CF45" s="352"/>
      <c r="CG45" s="352"/>
      <c r="CH45" s="352"/>
      <c r="CI45" s="352"/>
      <c r="CJ45" s="352"/>
      <c r="CK45" s="352"/>
      <c r="CL45" s="352"/>
      <c r="CM45" s="352"/>
      <c r="CN45" s="352"/>
      <c r="CO45" s="352"/>
      <c r="CP45" s="352"/>
      <c r="CQ45" s="352"/>
      <c r="CR45" s="352"/>
      <c r="CS45" s="352"/>
      <c r="CT45" s="352"/>
      <c r="CU45" s="352"/>
      <c r="CV45" s="352"/>
      <c r="CW45" s="352"/>
      <c r="CX45" s="352"/>
      <c r="CY45" s="352"/>
      <c r="CZ45" s="352"/>
      <c r="DA45" s="352"/>
      <c r="DB45" s="352"/>
      <c r="DC45" s="352"/>
      <c r="DD45" s="352"/>
      <c r="DE45" s="352"/>
      <c r="DF45" s="352"/>
      <c r="DG45" s="352"/>
      <c r="DH45" s="352"/>
      <c r="DI45" s="352"/>
      <c r="DJ45" s="352"/>
      <c r="DK45" s="352"/>
      <c r="DL45" s="352"/>
      <c r="DM45" s="352"/>
      <c r="DN45" s="352"/>
      <c r="DO45" s="352"/>
      <c r="DP45" s="352"/>
      <c r="DQ45" s="352"/>
      <c r="DR45" s="352"/>
      <c r="DS45" s="352"/>
      <c r="DT45" s="352"/>
      <c r="DU45" s="352"/>
      <c r="DV45" s="352"/>
      <c r="DW45" s="352"/>
      <c r="DX45" s="352"/>
      <c r="DY45" s="352"/>
      <c r="DZ45" s="352"/>
      <c r="EA45" s="352"/>
      <c r="EB45" s="352"/>
      <c r="EC45" s="352"/>
      <c r="ED45" s="352"/>
      <c r="EE45" s="352"/>
      <c r="EF45" s="352"/>
      <c r="EG45" s="352"/>
      <c r="EH45" s="352"/>
      <c r="EI45" s="352"/>
      <c r="EJ45" s="352"/>
      <c r="EK45" s="352"/>
      <c r="EL45" s="352"/>
      <c r="EM45" s="352"/>
      <c r="EN45" s="352"/>
    </row>
    <row r="46" spans="1:144" ht="20.100000000000001" customHeight="1">
      <c r="A46" s="118" t="s">
        <v>32</v>
      </c>
      <c r="B46" s="118" t="s">
        <v>252</v>
      </c>
      <c r="C46" s="119">
        <f>'Thomson Reuters IMA  ($)'!I52+'Thomson Reuters IMA  ($)'!I53</f>
        <v>585</v>
      </c>
      <c r="D46" s="120">
        <f>'Sectors % GDP'!I6</f>
        <v>358221.02399999998</v>
      </c>
      <c r="E46" s="120">
        <f t="shared" si="0"/>
        <v>1.6330699786062809E-3</v>
      </c>
      <c r="F46" s="121">
        <v>1</v>
      </c>
      <c r="G46" s="120">
        <v>6</v>
      </c>
      <c r="H46" s="122">
        <v>16.260000000000002</v>
      </c>
      <c r="I46" s="122">
        <v>40.22</v>
      </c>
      <c r="J46" s="123">
        <v>19.649999999999999</v>
      </c>
      <c r="K46" s="123">
        <v>8.65</v>
      </c>
      <c r="L46" s="123">
        <f t="shared" si="1"/>
        <v>-2.1999999999999997</v>
      </c>
      <c r="M46" s="124">
        <v>-2.1999999999999999E-2</v>
      </c>
      <c r="N46" s="124">
        <v>6.25</v>
      </c>
      <c r="O46" s="130">
        <v>0.65</v>
      </c>
      <c r="P46" s="126">
        <v>1</v>
      </c>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Q46" s="352"/>
      <c r="BR46" s="352"/>
      <c r="BS46" s="352"/>
      <c r="BT46" s="352"/>
      <c r="BU46" s="352"/>
      <c r="BV46" s="352"/>
      <c r="BW46" s="352"/>
      <c r="BX46" s="352"/>
      <c r="BY46" s="352"/>
      <c r="BZ46" s="352"/>
      <c r="CA46" s="352"/>
      <c r="CB46" s="352"/>
      <c r="CC46" s="352"/>
      <c r="CD46" s="352"/>
      <c r="CE46" s="352"/>
      <c r="CF46" s="352"/>
      <c r="CG46" s="352"/>
      <c r="CH46" s="352"/>
      <c r="CI46" s="352"/>
      <c r="CJ46" s="352"/>
      <c r="CK46" s="352"/>
      <c r="CL46" s="352"/>
      <c r="CM46" s="352"/>
      <c r="CN46" s="352"/>
      <c r="CO46" s="352"/>
      <c r="CP46" s="352"/>
      <c r="CQ46" s="352"/>
      <c r="CR46" s="352"/>
      <c r="CS46" s="352"/>
      <c r="CT46" s="352"/>
      <c r="CU46" s="352"/>
      <c r="CV46" s="352"/>
      <c r="CW46" s="352"/>
      <c r="CX46" s="352"/>
      <c r="CY46" s="352"/>
      <c r="CZ46" s="352"/>
      <c r="DA46" s="352"/>
      <c r="DB46" s="352"/>
      <c r="DC46" s="352"/>
      <c r="DD46" s="352"/>
      <c r="DE46" s="352"/>
      <c r="DF46" s="352"/>
      <c r="DG46" s="352"/>
      <c r="DH46" s="352"/>
      <c r="DI46" s="352"/>
      <c r="DJ46" s="352"/>
      <c r="DK46" s="352"/>
      <c r="DL46" s="352"/>
      <c r="DM46" s="352"/>
      <c r="DN46" s="352"/>
      <c r="DO46" s="352"/>
      <c r="DP46" s="352"/>
      <c r="DQ46" s="352"/>
      <c r="DR46" s="352"/>
      <c r="DS46" s="352"/>
      <c r="DT46" s="352"/>
      <c r="DU46" s="352"/>
      <c r="DV46" s="352"/>
      <c r="DW46" s="352"/>
      <c r="DX46" s="352"/>
      <c r="DY46" s="352"/>
      <c r="DZ46" s="352"/>
      <c r="EA46" s="352"/>
      <c r="EB46" s="352"/>
      <c r="EC46" s="352"/>
      <c r="ED46" s="352"/>
      <c r="EE46" s="352"/>
      <c r="EF46" s="352"/>
      <c r="EG46" s="352"/>
      <c r="EH46" s="352"/>
      <c r="EI46" s="352"/>
      <c r="EJ46" s="352"/>
      <c r="EK46" s="352"/>
      <c r="EL46" s="352"/>
      <c r="EM46" s="352"/>
      <c r="EN46" s="352"/>
    </row>
    <row r="47" spans="1:144" s="169" customFormat="1" ht="20.100000000000001" customHeight="1">
      <c r="A47" s="160" t="s">
        <v>33</v>
      </c>
      <c r="B47" s="160" t="s">
        <v>253</v>
      </c>
      <c r="C47" s="161">
        <v>0</v>
      </c>
      <c r="D47" s="162">
        <f>'Sectors % GDP'!K4</f>
        <v>67565.83</v>
      </c>
      <c r="E47" s="162">
        <f t="shared" si="0"/>
        <v>0</v>
      </c>
      <c r="F47" s="163">
        <v>0</v>
      </c>
      <c r="G47" s="162">
        <v>0</v>
      </c>
      <c r="H47" s="164">
        <v>17.940000000000001</v>
      </c>
      <c r="I47" s="164">
        <v>20.399999999999999</v>
      </c>
      <c r="J47" s="165">
        <v>36.880000000000003</v>
      </c>
      <c r="K47" s="165">
        <v>11.82</v>
      </c>
      <c r="L47" s="165">
        <f t="shared" si="1"/>
        <v>-2.1999999999999997</v>
      </c>
      <c r="M47" s="166">
        <v>-2.1999999999999999E-2</v>
      </c>
      <c r="N47" s="166">
        <v>6.25</v>
      </c>
      <c r="O47" s="167">
        <f>'Trade Data'!J5</f>
        <v>0.64695522396479066</v>
      </c>
      <c r="P47" s="170">
        <v>0</v>
      </c>
      <c r="Q47" s="352"/>
      <c r="R47" s="352"/>
      <c r="S47" s="352"/>
      <c r="T47" s="352"/>
      <c r="U47" s="352"/>
      <c r="V47" s="352"/>
      <c r="W47" s="352"/>
      <c r="X47" s="352"/>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c r="BB47" s="352"/>
      <c r="BC47" s="352"/>
      <c r="BD47" s="352"/>
      <c r="BE47" s="352"/>
      <c r="BF47" s="352"/>
      <c r="BG47" s="352"/>
      <c r="BH47" s="352"/>
      <c r="BI47" s="352"/>
      <c r="BJ47" s="352"/>
      <c r="BK47" s="352"/>
      <c r="BL47" s="352"/>
      <c r="BM47" s="352"/>
      <c r="BN47" s="352"/>
      <c r="BO47" s="352"/>
      <c r="BP47" s="352"/>
      <c r="BQ47" s="352"/>
      <c r="BR47" s="352"/>
      <c r="BS47" s="352"/>
      <c r="BT47" s="352"/>
      <c r="BU47" s="352"/>
      <c r="BV47" s="352"/>
      <c r="BW47" s="352"/>
      <c r="BX47" s="352"/>
      <c r="BY47" s="352"/>
      <c r="BZ47" s="352"/>
      <c r="CA47" s="352"/>
      <c r="CB47" s="352"/>
      <c r="CC47" s="352"/>
      <c r="CD47" s="352"/>
      <c r="CE47" s="352"/>
      <c r="CF47" s="352"/>
      <c r="CG47" s="352"/>
      <c r="CH47" s="352"/>
      <c r="CI47" s="352"/>
      <c r="CJ47" s="352"/>
      <c r="CK47" s="352"/>
      <c r="CL47" s="352"/>
      <c r="CM47" s="352"/>
      <c r="CN47" s="352"/>
      <c r="CO47" s="352"/>
      <c r="CP47" s="352"/>
      <c r="CQ47" s="352"/>
      <c r="CR47" s="352"/>
      <c r="CS47" s="352"/>
      <c r="CT47" s="352"/>
      <c r="CU47" s="352"/>
      <c r="CV47" s="352"/>
      <c r="CW47" s="352"/>
      <c r="CX47" s="352"/>
      <c r="CY47" s="352"/>
      <c r="CZ47" s="352"/>
      <c r="DA47" s="352"/>
      <c r="DB47" s="352"/>
      <c r="DC47" s="352"/>
      <c r="DD47" s="352"/>
      <c r="DE47" s="352"/>
      <c r="DF47" s="352"/>
      <c r="DG47" s="352"/>
      <c r="DH47" s="352"/>
      <c r="DI47" s="352"/>
      <c r="DJ47" s="352"/>
      <c r="DK47" s="352"/>
      <c r="DL47" s="352"/>
      <c r="DM47" s="352"/>
      <c r="DN47" s="352"/>
      <c r="DO47" s="352"/>
      <c r="DP47" s="352"/>
      <c r="DQ47" s="352"/>
      <c r="DR47" s="352"/>
      <c r="DS47" s="352"/>
      <c r="DT47" s="352"/>
      <c r="DU47" s="352"/>
      <c r="DV47" s="352"/>
      <c r="DW47" s="352"/>
      <c r="DX47" s="352"/>
      <c r="DY47" s="352"/>
      <c r="DZ47" s="352"/>
      <c r="EA47" s="352"/>
      <c r="EB47" s="352"/>
      <c r="EC47" s="352"/>
      <c r="ED47" s="352"/>
      <c r="EE47" s="352"/>
      <c r="EF47" s="352"/>
      <c r="EG47" s="352"/>
      <c r="EH47" s="352"/>
      <c r="EI47" s="352"/>
      <c r="EJ47" s="352"/>
      <c r="EK47" s="352"/>
      <c r="EL47" s="352"/>
      <c r="EM47" s="352"/>
      <c r="EN47" s="352"/>
    </row>
    <row r="48" spans="1:144" s="188" customFormat="1" ht="20.100000000000001" customHeight="1">
      <c r="A48" s="179" t="s">
        <v>33</v>
      </c>
      <c r="B48" s="179" t="s">
        <v>254</v>
      </c>
      <c r="C48" s="180">
        <f>'Thomson Reuters IMA  ($)'!I54+'Thomson Reuters IMA  ($)'!I55+'Thomson Reuters IMA  ($)'!I57+'Thomson Reuters IMA  ($)'!I58+'Thomson Reuters IMA  ($)'!I59+'Thomson Reuters IMA  ($)'!I60+'Thomson Reuters IMA  ($)'!I61</f>
        <v>102.078</v>
      </c>
      <c r="D48" s="181">
        <f>'Sectors % GDP'!K5</f>
        <v>174803.34</v>
      </c>
      <c r="E48" s="181">
        <f t="shared" si="0"/>
        <v>5.8395909368779797E-4</v>
      </c>
      <c r="F48" s="182">
        <v>1</v>
      </c>
      <c r="G48" s="181">
        <v>9</v>
      </c>
      <c r="H48" s="183">
        <v>17.940000000000001</v>
      </c>
      <c r="I48" s="183">
        <v>20.399999999999999</v>
      </c>
      <c r="J48" s="184">
        <v>36.880000000000003</v>
      </c>
      <c r="K48" s="184">
        <v>11.82</v>
      </c>
      <c r="L48" s="184">
        <f t="shared" si="1"/>
        <v>-2.1999999999999997</v>
      </c>
      <c r="M48" s="185">
        <v>-2.1999999999999999E-2</v>
      </c>
      <c r="N48" s="185">
        <v>6.25</v>
      </c>
      <c r="O48" s="191">
        <v>0.65</v>
      </c>
      <c r="P48" s="189">
        <v>1</v>
      </c>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c r="BB48" s="352"/>
      <c r="BC48" s="352"/>
      <c r="BD48" s="352"/>
      <c r="BE48" s="352"/>
      <c r="BF48" s="352"/>
      <c r="BG48" s="352"/>
      <c r="BH48" s="352"/>
      <c r="BI48" s="352"/>
      <c r="BJ48" s="352"/>
      <c r="BK48" s="352"/>
      <c r="BL48" s="352"/>
      <c r="BM48" s="352"/>
      <c r="BN48" s="352"/>
      <c r="BO48" s="352"/>
      <c r="BP48" s="352"/>
      <c r="BQ48" s="352"/>
      <c r="BR48" s="352"/>
      <c r="BS48" s="352"/>
      <c r="BT48" s="352"/>
      <c r="BU48" s="352"/>
      <c r="BV48" s="352"/>
      <c r="BW48" s="352"/>
      <c r="BX48" s="352"/>
      <c r="BY48" s="352"/>
      <c r="BZ48" s="352"/>
      <c r="CA48" s="352"/>
      <c r="CB48" s="352"/>
      <c r="CC48" s="352"/>
      <c r="CD48" s="352"/>
      <c r="CE48" s="352"/>
      <c r="CF48" s="352"/>
      <c r="CG48" s="352"/>
      <c r="CH48" s="352"/>
      <c r="CI48" s="352"/>
      <c r="CJ48" s="352"/>
      <c r="CK48" s="352"/>
      <c r="CL48" s="352"/>
      <c r="CM48" s="352"/>
      <c r="CN48" s="352"/>
      <c r="CO48" s="352"/>
      <c r="CP48" s="352"/>
      <c r="CQ48" s="352"/>
      <c r="CR48" s="352"/>
      <c r="CS48" s="352"/>
      <c r="CT48" s="352"/>
      <c r="CU48" s="352"/>
      <c r="CV48" s="352"/>
      <c r="CW48" s="352"/>
      <c r="CX48" s="352"/>
      <c r="CY48" s="352"/>
      <c r="CZ48" s="352"/>
      <c r="DA48" s="352"/>
      <c r="DB48" s="352"/>
      <c r="DC48" s="352"/>
      <c r="DD48" s="352"/>
      <c r="DE48" s="352"/>
      <c r="DF48" s="352"/>
      <c r="DG48" s="352"/>
      <c r="DH48" s="352"/>
      <c r="DI48" s="352"/>
      <c r="DJ48" s="352"/>
      <c r="DK48" s="352"/>
      <c r="DL48" s="352"/>
      <c r="DM48" s="352"/>
      <c r="DN48" s="352"/>
      <c r="DO48" s="352"/>
      <c r="DP48" s="352"/>
      <c r="DQ48" s="352"/>
      <c r="DR48" s="352"/>
      <c r="DS48" s="352"/>
      <c r="DT48" s="352"/>
      <c r="DU48" s="352"/>
      <c r="DV48" s="352"/>
      <c r="DW48" s="352"/>
      <c r="DX48" s="352"/>
      <c r="DY48" s="352"/>
      <c r="DZ48" s="352"/>
      <c r="EA48" s="352"/>
      <c r="EB48" s="352"/>
      <c r="EC48" s="352"/>
      <c r="ED48" s="352"/>
      <c r="EE48" s="352"/>
      <c r="EF48" s="352"/>
      <c r="EG48" s="352"/>
      <c r="EH48" s="352"/>
      <c r="EI48" s="352"/>
      <c r="EJ48" s="352"/>
      <c r="EK48" s="352"/>
      <c r="EL48" s="352"/>
      <c r="EM48" s="352"/>
      <c r="EN48" s="352"/>
    </row>
    <row r="49" spans="1:144" ht="20.100000000000001" customHeight="1">
      <c r="A49" s="118" t="s">
        <v>879</v>
      </c>
      <c r="B49" s="118" t="s">
        <v>255</v>
      </c>
      <c r="C49" s="119">
        <f>'Thomson Reuters IMA  ($)'!I56</f>
        <v>5.0579999999999998</v>
      </c>
      <c r="D49" s="120">
        <f>'Sectors % GDP'!K6</f>
        <v>377500.83</v>
      </c>
      <c r="E49" s="120">
        <f t="shared" si="0"/>
        <v>1.3398646037414009E-5</v>
      </c>
      <c r="F49" s="121">
        <v>1</v>
      </c>
      <c r="G49" s="120">
        <v>5</v>
      </c>
      <c r="H49" s="122">
        <v>17.940000000000001</v>
      </c>
      <c r="I49" s="122">
        <v>20.399999999999999</v>
      </c>
      <c r="J49" s="123">
        <v>36.880000000000003</v>
      </c>
      <c r="K49" s="123">
        <v>11.82</v>
      </c>
      <c r="L49" s="123">
        <f t="shared" si="1"/>
        <v>-2.1999999999999997</v>
      </c>
      <c r="M49" s="124">
        <v>-2.1999999999999999E-2</v>
      </c>
      <c r="N49" s="124">
        <v>6.25</v>
      </c>
      <c r="O49" s="130">
        <v>0.65</v>
      </c>
      <c r="P49" s="127">
        <v>1</v>
      </c>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c r="BB49" s="352"/>
      <c r="BC49" s="352"/>
      <c r="BD49" s="352"/>
      <c r="BE49" s="352"/>
      <c r="BF49" s="352"/>
      <c r="BG49" s="352"/>
      <c r="BH49" s="352"/>
      <c r="BI49" s="352"/>
      <c r="BJ49" s="352"/>
      <c r="BK49" s="352"/>
      <c r="BL49" s="352"/>
      <c r="BM49" s="352"/>
      <c r="BN49" s="352"/>
      <c r="BO49" s="352"/>
      <c r="BP49" s="352"/>
      <c r="BQ49" s="352"/>
      <c r="BR49" s="352"/>
      <c r="BS49" s="352"/>
      <c r="BT49" s="352"/>
      <c r="BU49" s="352"/>
      <c r="BV49" s="352"/>
      <c r="BW49" s="352"/>
      <c r="BX49" s="352"/>
      <c r="BY49" s="352"/>
      <c r="BZ49" s="352"/>
      <c r="CA49" s="352"/>
      <c r="CB49" s="352"/>
      <c r="CC49" s="352"/>
      <c r="CD49" s="352"/>
      <c r="CE49" s="352"/>
      <c r="CF49" s="352"/>
      <c r="CG49" s="352"/>
      <c r="CH49" s="352"/>
      <c r="CI49" s="352"/>
      <c r="CJ49" s="352"/>
      <c r="CK49" s="352"/>
      <c r="CL49" s="352"/>
      <c r="CM49" s="352"/>
      <c r="CN49" s="352"/>
      <c r="CO49" s="352"/>
      <c r="CP49" s="352"/>
      <c r="CQ49" s="352"/>
      <c r="CR49" s="352"/>
      <c r="CS49" s="352"/>
      <c r="CT49" s="352"/>
      <c r="CU49" s="352"/>
      <c r="CV49" s="352"/>
      <c r="CW49" s="352"/>
      <c r="CX49" s="352"/>
      <c r="CY49" s="352"/>
      <c r="CZ49" s="352"/>
      <c r="DA49" s="352"/>
      <c r="DB49" s="352"/>
      <c r="DC49" s="352"/>
      <c r="DD49" s="352"/>
      <c r="DE49" s="352"/>
      <c r="DF49" s="352"/>
      <c r="DG49" s="352"/>
      <c r="DH49" s="352"/>
      <c r="DI49" s="352"/>
      <c r="DJ49" s="352"/>
      <c r="DK49" s="352"/>
      <c r="DL49" s="352"/>
      <c r="DM49" s="352"/>
      <c r="DN49" s="352"/>
      <c r="DO49" s="352"/>
      <c r="DP49" s="352"/>
      <c r="DQ49" s="352"/>
      <c r="DR49" s="352"/>
      <c r="DS49" s="352"/>
      <c r="DT49" s="352"/>
      <c r="DU49" s="352"/>
      <c r="DV49" s="352"/>
      <c r="DW49" s="352"/>
      <c r="DX49" s="352"/>
      <c r="DY49" s="352"/>
      <c r="DZ49" s="352"/>
      <c r="EA49" s="352"/>
      <c r="EB49" s="352"/>
      <c r="EC49" s="352"/>
      <c r="ED49" s="352"/>
      <c r="EE49" s="352"/>
      <c r="EF49" s="352"/>
      <c r="EG49" s="352"/>
      <c r="EH49" s="352"/>
      <c r="EI49" s="352"/>
      <c r="EJ49" s="352"/>
      <c r="EK49" s="352"/>
      <c r="EL49" s="352"/>
      <c r="EM49" s="352"/>
      <c r="EN49" s="352"/>
    </row>
    <row r="50" spans="1:144" s="169" customFormat="1" ht="20.100000000000001" customHeight="1">
      <c r="A50" s="160" t="s">
        <v>34</v>
      </c>
      <c r="B50" s="160" t="s">
        <v>256</v>
      </c>
      <c r="C50" s="161">
        <v>0</v>
      </c>
      <c r="D50" s="162">
        <f>'Sectors % GDP'!K4</f>
        <v>67565.83</v>
      </c>
      <c r="E50" s="162">
        <f t="shared" si="0"/>
        <v>0</v>
      </c>
      <c r="F50" s="163">
        <v>0</v>
      </c>
      <c r="G50" s="162">
        <v>0</v>
      </c>
      <c r="H50" s="164">
        <v>35.090000000000003</v>
      </c>
      <c r="I50" s="164">
        <v>59.98</v>
      </c>
      <c r="J50" s="165">
        <v>50.68</v>
      </c>
      <c r="K50" s="165">
        <v>11.82</v>
      </c>
      <c r="L50" s="165">
        <f t="shared" si="1"/>
        <v>2.1999999999999997</v>
      </c>
      <c r="M50" s="166">
        <v>2.1999999999999999E-2</v>
      </c>
      <c r="N50" s="166">
        <v>5.69</v>
      </c>
      <c r="O50" s="172">
        <v>0.65</v>
      </c>
      <c r="P50" s="168">
        <v>0</v>
      </c>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c r="BB50" s="352"/>
      <c r="BC50" s="352"/>
      <c r="BD50" s="352"/>
      <c r="BE50" s="352"/>
      <c r="BF50" s="352"/>
      <c r="BG50" s="352"/>
      <c r="BH50" s="352"/>
      <c r="BI50" s="352"/>
      <c r="BJ50" s="352"/>
      <c r="BK50" s="352"/>
      <c r="BL50" s="352"/>
      <c r="BM50" s="352"/>
      <c r="BN50" s="352"/>
      <c r="BO50" s="352"/>
      <c r="BP50" s="352"/>
      <c r="BQ50" s="352"/>
      <c r="BR50" s="352"/>
      <c r="BS50" s="352"/>
      <c r="BT50" s="352"/>
      <c r="BU50" s="352"/>
      <c r="BV50" s="352"/>
      <c r="BW50" s="352"/>
      <c r="BX50" s="352"/>
      <c r="BY50" s="352"/>
      <c r="BZ50" s="352"/>
      <c r="CA50" s="352"/>
      <c r="CB50" s="352"/>
      <c r="CC50" s="352"/>
      <c r="CD50" s="352"/>
      <c r="CE50" s="352"/>
      <c r="CF50" s="352"/>
      <c r="CG50" s="352"/>
      <c r="CH50" s="352"/>
      <c r="CI50" s="352"/>
      <c r="CJ50" s="352"/>
      <c r="CK50" s="352"/>
      <c r="CL50" s="352"/>
      <c r="CM50" s="352"/>
      <c r="CN50" s="352"/>
      <c r="CO50" s="352"/>
      <c r="CP50" s="352"/>
      <c r="CQ50" s="352"/>
      <c r="CR50" s="352"/>
      <c r="CS50" s="352"/>
      <c r="CT50" s="352"/>
      <c r="CU50" s="352"/>
      <c r="CV50" s="352"/>
      <c r="CW50" s="352"/>
      <c r="CX50" s="352"/>
      <c r="CY50" s="352"/>
      <c r="CZ50" s="352"/>
      <c r="DA50" s="352"/>
      <c r="DB50" s="352"/>
      <c r="DC50" s="352"/>
      <c r="DD50" s="352"/>
      <c r="DE50" s="352"/>
      <c r="DF50" s="352"/>
      <c r="DG50" s="352"/>
      <c r="DH50" s="352"/>
      <c r="DI50" s="352"/>
      <c r="DJ50" s="352"/>
      <c r="DK50" s="352"/>
      <c r="DL50" s="352"/>
      <c r="DM50" s="352"/>
      <c r="DN50" s="352"/>
      <c r="DO50" s="352"/>
      <c r="DP50" s="352"/>
      <c r="DQ50" s="352"/>
      <c r="DR50" s="352"/>
      <c r="DS50" s="352"/>
      <c r="DT50" s="352"/>
      <c r="DU50" s="352"/>
      <c r="DV50" s="352"/>
      <c r="DW50" s="352"/>
      <c r="DX50" s="352"/>
      <c r="DY50" s="352"/>
      <c r="DZ50" s="352"/>
      <c r="EA50" s="352"/>
      <c r="EB50" s="352"/>
      <c r="EC50" s="352"/>
      <c r="ED50" s="352"/>
      <c r="EE50" s="352"/>
      <c r="EF50" s="352"/>
      <c r="EG50" s="352"/>
      <c r="EH50" s="352"/>
      <c r="EI50" s="352"/>
      <c r="EJ50" s="352"/>
      <c r="EK50" s="352"/>
      <c r="EL50" s="352"/>
      <c r="EM50" s="352"/>
      <c r="EN50" s="352"/>
    </row>
    <row r="51" spans="1:144" s="188" customFormat="1" ht="20.100000000000001" customHeight="1">
      <c r="A51" s="179" t="s">
        <v>34</v>
      </c>
      <c r="B51" s="179" t="s">
        <v>257</v>
      </c>
      <c r="C51" s="180">
        <f>'Thomson Reuters IMA  ($)'!I64</f>
        <v>960</v>
      </c>
      <c r="D51" s="181">
        <f>'Sectors % GDP'!K5</f>
        <v>174803.34</v>
      </c>
      <c r="E51" s="181">
        <f t="shared" si="0"/>
        <v>5.49188591018913E-3</v>
      </c>
      <c r="F51" s="182">
        <v>1</v>
      </c>
      <c r="G51" s="181">
        <v>4</v>
      </c>
      <c r="H51" s="183">
        <v>35.090000000000003</v>
      </c>
      <c r="I51" s="183">
        <v>59.98</v>
      </c>
      <c r="J51" s="184">
        <v>50.68</v>
      </c>
      <c r="K51" s="184">
        <v>11.82</v>
      </c>
      <c r="L51" s="184">
        <f t="shared" si="1"/>
        <v>2.1999999999999997</v>
      </c>
      <c r="M51" s="185">
        <v>2.1999999999999999E-2</v>
      </c>
      <c r="N51" s="185">
        <v>5.69</v>
      </c>
      <c r="O51" s="191">
        <v>0.65</v>
      </c>
      <c r="P51" s="187">
        <v>1</v>
      </c>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c r="BB51" s="352"/>
      <c r="BC51" s="352"/>
      <c r="BD51" s="352"/>
      <c r="BE51" s="352"/>
      <c r="BF51" s="352"/>
      <c r="BG51" s="352"/>
      <c r="BH51" s="352"/>
      <c r="BI51" s="352"/>
      <c r="BJ51" s="352"/>
      <c r="BK51" s="352"/>
      <c r="BL51" s="352"/>
      <c r="BM51" s="352"/>
      <c r="BN51" s="352"/>
      <c r="BO51" s="352"/>
      <c r="BP51" s="352"/>
      <c r="BQ51" s="352"/>
      <c r="BR51" s="352"/>
      <c r="BS51" s="352"/>
      <c r="BT51" s="352"/>
      <c r="BU51" s="352"/>
      <c r="BV51" s="352"/>
      <c r="BW51" s="352"/>
      <c r="BX51" s="352"/>
      <c r="BY51" s="352"/>
      <c r="BZ51" s="352"/>
      <c r="CA51" s="352"/>
      <c r="CB51" s="352"/>
      <c r="CC51" s="352"/>
      <c r="CD51" s="352"/>
      <c r="CE51" s="352"/>
      <c r="CF51" s="352"/>
      <c r="CG51" s="352"/>
      <c r="CH51" s="352"/>
      <c r="CI51" s="352"/>
      <c r="CJ51" s="352"/>
      <c r="CK51" s="352"/>
      <c r="CL51" s="352"/>
      <c r="CM51" s="352"/>
      <c r="CN51" s="352"/>
      <c r="CO51" s="352"/>
      <c r="CP51" s="352"/>
      <c r="CQ51" s="352"/>
      <c r="CR51" s="352"/>
      <c r="CS51" s="352"/>
      <c r="CT51" s="352"/>
      <c r="CU51" s="352"/>
      <c r="CV51" s="352"/>
      <c r="CW51" s="352"/>
      <c r="CX51" s="352"/>
      <c r="CY51" s="352"/>
      <c r="CZ51" s="352"/>
      <c r="DA51" s="352"/>
      <c r="DB51" s="352"/>
      <c r="DC51" s="352"/>
      <c r="DD51" s="352"/>
      <c r="DE51" s="352"/>
      <c r="DF51" s="352"/>
      <c r="DG51" s="352"/>
      <c r="DH51" s="352"/>
      <c r="DI51" s="352"/>
      <c r="DJ51" s="352"/>
      <c r="DK51" s="352"/>
      <c r="DL51" s="352"/>
      <c r="DM51" s="352"/>
      <c r="DN51" s="352"/>
      <c r="DO51" s="352"/>
      <c r="DP51" s="352"/>
      <c r="DQ51" s="352"/>
      <c r="DR51" s="352"/>
      <c r="DS51" s="352"/>
      <c r="DT51" s="352"/>
      <c r="DU51" s="352"/>
      <c r="DV51" s="352"/>
      <c r="DW51" s="352"/>
      <c r="DX51" s="352"/>
      <c r="DY51" s="352"/>
      <c r="DZ51" s="352"/>
      <c r="EA51" s="352"/>
      <c r="EB51" s="352"/>
      <c r="EC51" s="352"/>
      <c r="ED51" s="352"/>
      <c r="EE51" s="352"/>
      <c r="EF51" s="352"/>
      <c r="EG51" s="352"/>
      <c r="EH51" s="352"/>
      <c r="EI51" s="352"/>
      <c r="EJ51" s="352"/>
      <c r="EK51" s="352"/>
      <c r="EL51" s="352"/>
      <c r="EM51" s="352"/>
      <c r="EN51" s="352"/>
    </row>
    <row r="52" spans="1:144" ht="20.100000000000001" customHeight="1">
      <c r="A52" s="118" t="s">
        <v>34</v>
      </c>
      <c r="B52" s="118" t="s">
        <v>258</v>
      </c>
      <c r="C52" s="119">
        <f>'Thomson Reuters IMA  ($)'!I62+'Thomson Reuters IMA  ($)'!I63</f>
        <v>216</v>
      </c>
      <c r="D52" s="120">
        <f>'Sectors % GDP'!K6</f>
        <v>377500.83</v>
      </c>
      <c r="E52" s="120">
        <f t="shared" si="0"/>
        <v>5.7218417241625661E-4</v>
      </c>
      <c r="F52" s="121">
        <v>1</v>
      </c>
      <c r="G52" s="120">
        <v>5</v>
      </c>
      <c r="H52" s="122">
        <v>35.090000000000003</v>
      </c>
      <c r="I52" s="122">
        <v>59.98</v>
      </c>
      <c r="J52" s="123">
        <v>50.68</v>
      </c>
      <c r="K52" s="123">
        <v>11.82</v>
      </c>
      <c r="L52" s="123">
        <f t="shared" si="1"/>
        <v>2.1999999999999997</v>
      </c>
      <c r="M52" s="124">
        <v>2.1999999999999999E-2</v>
      </c>
      <c r="N52" s="124">
        <v>5.69</v>
      </c>
      <c r="O52" s="130">
        <v>0.65</v>
      </c>
      <c r="P52" s="126">
        <v>1</v>
      </c>
      <c r="Q52" s="352"/>
      <c r="R52" s="352"/>
      <c r="S52" s="352"/>
      <c r="T52" s="352"/>
      <c r="U52" s="352"/>
      <c r="V52" s="352"/>
      <c r="W52" s="352"/>
      <c r="X52" s="352"/>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c r="BB52" s="352"/>
      <c r="BC52" s="352"/>
      <c r="BD52" s="352"/>
      <c r="BE52" s="352"/>
      <c r="BF52" s="352"/>
      <c r="BG52" s="352"/>
      <c r="BH52" s="352"/>
      <c r="BI52" s="352"/>
      <c r="BJ52" s="352"/>
      <c r="BK52" s="352"/>
      <c r="BL52" s="352"/>
      <c r="BM52" s="352"/>
      <c r="BN52" s="352"/>
      <c r="BO52" s="352"/>
      <c r="BP52" s="352"/>
      <c r="BQ52" s="352"/>
      <c r="BR52" s="352"/>
      <c r="BS52" s="352"/>
      <c r="BT52" s="352"/>
      <c r="BU52" s="352"/>
      <c r="BV52" s="352"/>
      <c r="BW52" s="352"/>
      <c r="BX52" s="352"/>
      <c r="BY52" s="352"/>
      <c r="BZ52" s="352"/>
      <c r="CA52" s="352"/>
      <c r="CB52" s="352"/>
      <c r="CC52" s="352"/>
      <c r="CD52" s="352"/>
      <c r="CE52" s="352"/>
      <c r="CF52" s="352"/>
      <c r="CG52" s="352"/>
      <c r="CH52" s="352"/>
      <c r="CI52" s="352"/>
      <c r="CJ52" s="352"/>
      <c r="CK52" s="352"/>
      <c r="CL52" s="352"/>
      <c r="CM52" s="352"/>
      <c r="CN52" s="352"/>
      <c r="CO52" s="352"/>
      <c r="CP52" s="352"/>
      <c r="CQ52" s="352"/>
      <c r="CR52" s="352"/>
      <c r="CS52" s="352"/>
      <c r="CT52" s="352"/>
      <c r="CU52" s="352"/>
      <c r="CV52" s="352"/>
      <c r="CW52" s="352"/>
      <c r="CX52" s="352"/>
      <c r="CY52" s="352"/>
      <c r="CZ52" s="352"/>
      <c r="DA52" s="352"/>
      <c r="DB52" s="352"/>
      <c r="DC52" s="352"/>
      <c r="DD52" s="352"/>
      <c r="DE52" s="352"/>
      <c r="DF52" s="352"/>
      <c r="DG52" s="352"/>
      <c r="DH52" s="352"/>
      <c r="DI52" s="352"/>
      <c r="DJ52" s="352"/>
      <c r="DK52" s="352"/>
      <c r="DL52" s="352"/>
      <c r="DM52" s="352"/>
      <c r="DN52" s="352"/>
      <c r="DO52" s="352"/>
      <c r="DP52" s="352"/>
      <c r="DQ52" s="352"/>
      <c r="DR52" s="352"/>
      <c r="DS52" s="352"/>
      <c r="DT52" s="352"/>
      <c r="DU52" s="352"/>
      <c r="DV52" s="352"/>
      <c r="DW52" s="352"/>
      <c r="DX52" s="352"/>
      <c r="DY52" s="352"/>
      <c r="DZ52" s="352"/>
      <c r="EA52" s="352"/>
      <c r="EB52" s="352"/>
      <c r="EC52" s="352"/>
      <c r="ED52" s="352"/>
      <c r="EE52" s="352"/>
      <c r="EF52" s="352"/>
      <c r="EG52" s="352"/>
      <c r="EH52" s="352"/>
      <c r="EI52" s="352"/>
      <c r="EJ52" s="352"/>
      <c r="EK52" s="352"/>
      <c r="EL52" s="352"/>
      <c r="EM52" s="352"/>
      <c r="EN52" s="352"/>
    </row>
    <row r="53" spans="1:144" s="169" customFormat="1" ht="20.100000000000001" customHeight="1">
      <c r="A53" s="160" t="s">
        <v>35</v>
      </c>
      <c r="B53" s="160" t="s">
        <v>259</v>
      </c>
      <c r="C53" s="161">
        <v>0</v>
      </c>
      <c r="D53" s="162">
        <f>'Sectors % GDP'!K4</f>
        <v>67565.83</v>
      </c>
      <c r="E53" s="162">
        <f t="shared" si="0"/>
        <v>0</v>
      </c>
      <c r="F53" s="163">
        <v>0</v>
      </c>
      <c r="G53" s="162">
        <v>0</v>
      </c>
      <c r="H53" s="164">
        <v>18.11</v>
      </c>
      <c r="I53" s="164">
        <v>33.799999999999997</v>
      </c>
      <c r="J53" s="165">
        <v>24.06</v>
      </c>
      <c r="K53" s="165">
        <v>11.82</v>
      </c>
      <c r="L53" s="165">
        <f t="shared" si="1"/>
        <v>2.1999999999999997</v>
      </c>
      <c r="M53" s="166">
        <v>2.1999999999999999E-2</v>
      </c>
      <c r="N53" s="166">
        <v>5.69</v>
      </c>
      <c r="O53" s="172">
        <v>0.65</v>
      </c>
      <c r="P53" s="170">
        <v>0</v>
      </c>
      <c r="Q53" s="352"/>
      <c r="R53" s="352"/>
      <c r="S53" s="352"/>
      <c r="T53" s="352"/>
      <c r="U53" s="352"/>
      <c r="V53" s="352"/>
      <c r="W53" s="352"/>
      <c r="X53" s="352"/>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c r="BB53" s="352"/>
      <c r="BC53" s="352"/>
      <c r="BD53" s="352"/>
      <c r="BE53" s="352"/>
      <c r="BF53" s="352"/>
      <c r="BG53" s="352"/>
      <c r="BH53" s="352"/>
      <c r="BI53" s="352"/>
      <c r="BJ53" s="352"/>
      <c r="BK53" s="352"/>
      <c r="BL53" s="352"/>
      <c r="BM53" s="352"/>
      <c r="BN53" s="352"/>
      <c r="BO53" s="352"/>
      <c r="BP53" s="352"/>
      <c r="BQ53" s="352"/>
      <c r="BR53" s="352"/>
      <c r="BS53" s="352"/>
      <c r="BT53" s="352"/>
      <c r="BU53" s="352"/>
      <c r="BV53" s="352"/>
      <c r="BW53" s="352"/>
      <c r="BX53" s="352"/>
      <c r="BY53" s="352"/>
      <c r="BZ53" s="352"/>
      <c r="CA53" s="352"/>
      <c r="CB53" s="352"/>
      <c r="CC53" s="352"/>
      <c r="CD53" s="352"/>
      <c r="CE53" s="352"/>
      <c r="CF53" s="352"/>
      <c r="CG53" s="352"/>
      <c r="CH53" s="352"/>
      <c r="CI53" s="352"/>
      <c r="CJ53" s="352"/>
      <c r="CK53" s="352"/>
      <c r="CL53" s="352"/>
      <c r="CM53" s="352"/>
      <c r="CN53" s="352"/>
      <c r="CO53" s="352"/>
      <c r="CP53" s="352"/>
      <c r="CQ53" s="352"/>
      <c r="CR53" s="352"/>
      <c r="CS53" s="352"/>
      <c r="CT53" s="352"/>
      <c r="CU53" s="352"/>
      <c r="CV53" s="352"/>
      <c r="CW53" s="352"/>
      <c r="CX53" s="352"/>
      <c r="CY53" s="352"/>
      <c r="CZ53" s="352"/>
      <c r="DA53" s="352"/>
      <c r="DB53" s="352"/>
      <c r="DC53" s="352"/>
      <c r="DD53" s="352"/>
      <c r="DE53" s="352"/>
      <c r="DF53" s="352"/>
      <c r="DG53" s="352"/>
      <c r="DH53" s="352"/>
      <c r="DI53" s="352"/>
      <c r="DJ53" s="352"/>
      <c r="DK53" s="352"/>
      <c r="DL53" s="352"/>
      <c r="DM53" s="352"/>
      <c r="DN53" s="352"/>
      <c r="DO53" s="352"/>
      <c r="DP53" s="352"/>
      <c r="DQ53" s="352"/>
      <c r="DR53" s="352"/>
      <c r="DS53" s="352"/>
      <c r="DT53" s="352"/>
      <c r="DU53" s="352"/>
      <c r="DV53" s="352"/>
      <c r="DW53" s="352"/>
      <c r="DX53" s="352"/>
      <c r="DY53" s="352"/>
      <c r="DZ53" s="352"/>
      <c r="EA53" s="352"/>
      <c r="EB53" s="352"/>
      <c r="EC53" s="352"/>
      <c r="ED53" s="352"/>
      <c r="EE53" s="352"/>
      <c r="EF53" s="352"/>
      <c r="EG53" s="352"/>
      <c r="EH53" s="352"/>
      <c r="EI53" s="352"/>
      <c r="EJ53" s="352"/>
      <c r="EK53" s="352"/>
      <c r="EL53" s="352"/>
      <c r="EM53" s="352"/>
      <c r="EN53" s="352"/>
    </row>
    <row r="54" spans="1:144" s="188" customFormat="1" ht="20.100000000000001" customHeight="1">
      <c r="A54" s="179" t="s">
        <v>35</v>
      </c>
      <c r="B54" s="179" t="s">
        <v>260</v>
      </c>
      <c r="C54" s="180">
        <f>'Thomson Reuters IMA  ($)'!I65+'Thomson Reuters IMA  ($)'!I66+'Thomson Reuters IMA  ($)'!I68+'Thomson Reuters IMA  ($)'!I69+'Thomson Reuters IMA  ($)'!I70</f>
        <v>162.04300000000001</v>
      </c>
      <c r="D54" s="181">
        <f>'Sectors % GDP'!K5</f>
        <v>174803.34</v>
      </c>
      <c r="E54" s="181">
        <f t="shared" si="0"/>
        <v>9.2700173806747638E-4</v>
      </c>
      <c r="F54" s="182">
        <v>1</v>
      </c>
      <c r="G54" s="181">
        <v>7</v>
      </c>
      <c r="H54" s="183">
        <v>18.11</v>
      </c>
      <c r="I54" s="183">
        <v>33.799999999999997</v>
      </c>
      <c r="J54" s="184">
        <v>24.06</v>
      </c>
      <c r="K54" s="184">
        <v>11.82</v>
      </c>
      <c r="L54" s="184">
        <f t="shared" si="1"/>
        <v>2.1999999999999997</v>
      </c>
      <c r="M54" s="185">
        <v>2.1999999999999999E-2</v>
      </c>
      <c r="N54" s="185">
        <v>5.69</v>
      </c>
      <c r="O54" s="191">
        <v>0.65</v>
      </c>
      <c r="P54" s="189">
        <v>1</v>
      </c>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c r="BT54" s="352"/>
      <c r="BU54" s="352"/>
      <c r="BV54" s="352"/>
      <c r="BW54" s="352"/>
      <c r="BX54" s="352"/>
      <c r="BY54" s="352"/>
      <c r="BZ54" s="352"/>
      <c r="CA54" s="352"/>
      <c r="CB54" s="352"/>
      <c r="CC54" s="352"/>
      <c r="CD54" s="352"/>
      <c r="CE54" s="352"/>
      <c r="CF54" s="352"/>
      <c r="CG54" s="352"/>
      <c r="CH54" s="352"/>
      <c r="CI54" s="352"/>
      <c r="CJ54" s="352"/>
      <c r="CK54" s="352"/>
      <c r="CL54" s="352"/>
      <c r="CM54" s="352"/>
      <c r="CN54" s="352"/>
      <c r="CO54" s="352"/>
      <c r="CP54" s="352"/>
      <c r="CQ54" s="352"/>
      <c r="CR54" s="352"/>
      <c r="CS54" s="352"/>
      <c r="CT54" s="352"/>
      <c r="CU54" s="352"/>
      <c r="CV54" s="352"/>
      <c r="CW54" s="352"/>
      <c r="CX54" s="352"/>
      <c r="CY54" s="352"/>
      <c r="CZ54" s="352"/>
      <c r="DA54" s="352"/>
      <c r="DB54" s="352"/>
      <c r="DC54" s="352"/>
      <c r="DD54" s="352"/>
      <c r="DE54" s="352"/>
      <c r="DF54" s="352"/>
      <c r="DG54" s="352"/>
      <c r="DH54" s="352"/>
      <c r="DI54" s="352"/>
      <c r="DJ54" s="352"/>
      <c r="DK54" s="352"/>
      <c r="DL54" s="352"/>
      <c r="DM54" s="352"/>
      <c r="DN54" s="352"/>
      <c r="DO54" s="352"/>
      <c r="DP54" s="352"/>
      <c r="DQ54" s="352"/>
      <c r="DR54" s="352"/>
      <c r="DS54" s="352"/>
      <c r="DT54" s="352"/>
      <c r="DU54" s="352"/>
      <c r="DV54" s="352"/>
      <c r="DW54" s="352"/>
      <c r="DX54" s="352"/>
      <c r="DY54" s="352"/>
      <c r="DZ54" s="352"/>
      <c r="EA54" s="352"/>
      <c r="EB54" s="352"/>
      <c r="EC54" s="352"/>
      <c r="ED54" s="352"/>
      <c r="EE54" s="352"/>
      <c r="EF54" s="352"/>
      <c r="EG54" s="352"/>
      <c r="EH54" s="352"/>
      <c r="EI54" s="352"/>
      <c r="EJ54" s="352"/>
      <c r="EK54" s="352"/>
      <c r="EL54" s="352"/>
      <c r="EM54" s="352"/>
      <c r="EN54" s="352"/>
    </row>
    <row r="55" spans="1:144" ht="20.100000000000001" customHeight="1">
      <c r="A55" s="118" t="s">
        <v>35</v>
      </c>
      <c r="B55" s="118" t="s">
        <v>261</v>
      </c>
      <c r="C55" s="119">
        <f>'Thomson Reuters IMA  ($)'!I67</f>
        <v>2.5</v>
      </c>
      <c r="D55" s="120">
        <f>'Sectors % GDP'!K6</f>
        <v>377500.83</v>
      </c>
      <c r="E55" s="120">
        <f t="shared" si="0"/>
        <v>6.6225019955585262E-6</v>
      </c>
      <c r="F55" s="121">
        <v>1</v>
      </c>
      <c r="G55" s="120">
        <v>4</v>
      </c>
      <c r="H55" s="122">
        <v>18.11</v>
      </c>
      <c r="I55" s="122">
        <v>33.799999999999997</v>
      </c>
      <c r="J55" s="123">
        <v>24.06</v>
      </c>
      <c r="K55" s="123">
        <v>11.82</v>
      </c>
      <c r="L55" s="123">
        <f t="shared" si="1"/>
        <v>2.1999999999999997</v>
      </c>
      <c r="M55" s="124">
        <v>2.1999999999999999E-2</v>
      </c>
      <c r="N55" s="124">
        <v>5.69</v>
      </c>
      <c r="O55" s="130">
        <v>0.65</v>
      </c>
      <c r="P55" s="127">
        <v>1</v>
      </c>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52"/>
      <c r="BL55" s="352"/>
      <c r="BM55" s="352"/>
      <c r="BN55" s="352"/>
      <c r="BO55" s="352"/>
      <c r="BP55" s="352"/>
      <c r="BQ55" s="352"/>
      <c r="BR55" s="352"/>
      <c r="BS55" s="352"/>
      <c r="BT55" s="352"/>
      <c r="BU55" s="352"/>
      <c r="BV55" s="352"/>
      <c r="BW55" s="352"/>
      <c r="BX55" s="352"/>
      <c r="BY55" s="352"/>
      <c r="BZ55" s="352"/>
      <c r="CA55" s="352"/>
      <c r="CB55" s="352"/>
      <c r="CC55" s="352"/>
      <c r="CD55" s="352"/>
      <c r="CE55" s="352"/>
      <c r="CF55" s="352"/>
      <c r="CG55" s="352"/>
      <c r="CH55" s="352"/>
      <c r="CI55" s="352"/>
      <c r="CJ55" s="352"/>
      <c r="CK55" s="352"/>
      <c r="CL55" s="352"/>
      <c r="CM55" s="352"/>
      <c r="CN55" s="352"/>
      <c r="CO55" s="352"/>
      <c r="CP55" s="352"/>
      <c r="CQ55" s="352"/>
      <c r="CR55" s="352"/>
      <c r="CS55" s="352"/>
      <c r="CT55" s="352"/>
      <c r="CU55" s="352"/>
      <c r="CV55" s="352"/>
      <c r="CW55" s="352"/>
      <c r="CX55" s="352"/>
      <c r="CY55" s="352"/>
      <c r="CZ55" s="352"/>
      <c r="DA55" s="352"/>
      <c r="DB55" s="352"/>
      <c r="DC55" s="352"/>
      <c r="DD55" s="352"/>
      <c r="DE55" s="352"/>
      <c r="DF55" s="352"/>
      <c r="DG55" s="352"/>
      <c r="DH55" s="352"/>
      <c r="DI55" s="352"/>
      <c r="DJ55" s="352"/>
      <c r="DK55" s="352"/>
      <c r="DL55" s="352"/>
      <c r="DM55" s="352"/>
      <c r="DN55" s="352"/>
      <c r="DO55" s="352"/>
      <c r="DP55" s="352"/>
      <c r="DQ55" s="352"/>
      <c r="DR55" s="352"/>
      <c r="DS55" s="352"/>
      <c r="DT55" s="352"/>
      <c r="DU55" s="352"/>
      <c r="DV55" s="352"/>
      <c r="DW55" s="352"/>
      <c r="DX55" s="352"/>
      <c r="DY55" s="352"/>
      <c r="DZ55" s="352"/>
      <c r="EA55" s="352"/>
      <c r="EB55" s="352"/>
      <c r="EC55" s="352"/>
      <c r="ED55" s="352"/>
      <c r="EE55" s="352"/>
      <c r="EF55" s="352"/>
      <c r="EG55" s="352"/>
      <c r="EH55" s="352"/>
      <c r="EI55" s="352"/>
      <c r="EJ55" s="352"/>
      <c r="EK55" s="352"/>
      <c r="EL55" s="352"/>
      <c r="EM55" s="352"/>
      <c r="EN55" s="352"/>
    </row>
    <row r="56" spans="1:144" s="169" customFormat="1" ht="20.100000000000001" customHeight="1">
      <c r="A56" s="160" t="s">
        <v>36</v>
      </c>
      <c r="B56" s="160" t="s">
        <v>849</v>
      </c>
      <c r="C56" s="161">
        <v>0</v>
      </c>
      <c r="D56" s="162">
        <f>'Sectors % GDP'!K4</f>
        <v>67565.83</v>
      </c>
      <c r="E56" s="162">
        <f t="shared" si="0"/>
        <v>0</v>
      </c>
      <c r="F56" s="163">
        <v>1</v>
      </c>
      <c r="G56" s="162">
        <v>1</v>
      </c>
      <c r="H56" s="164">
        <v>21.24</v>
      </c>
      <c r="I56" s="164">
        <v>32.29</v>
      </c>
      <c r="J56" s="164">
        <v>35</v>
      </c>
      <c r="K56" s="165">
        <v>11.82</v>
      </c>
      <c r="L56" s="165">
        <f t="shared" si="1"/>
        <v>2.1999999999999997</v>
      </c>
      <c r="M56" s="166">
        <v>2.1999999999999999E-2</v>
      </c>
      <c r="N56" s="166">
        <v>5.69</v>
      </c>
      <c r="O56" s="172">
        <v>0.65</v>
      </c>
      <c r="P56" s="168">
        <v>0</v>
      </c>
      <c r="Q56" s="352"/>
      <c r="R56" s="352"/>
      <c r="S56" s="352"/>
      <c r="T56" s="352"/>
      <c r="U56" s="352"/>
      <c r="V56" s="352"/>
      <c r="W56" s="352"/>
      <c r="X56" s="352"/>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c r="BB56" s="352"/>
      <c r="BC56" s="352"/>
      <c r="BD56" s="352"/>
      <c r="BE56" s="352"/>
      <c r="BF56" s="352"/>
      <c r="BG56" s="352"/>
      <c r="BH56" s="352"/>
      <c r="BI56" s="352"/>
      <c r="BJ56" s="352"/>
      <c r="BK56" s="352"/>
      <c r="BL56" s="352"/>
      <c r="BM56" s="352"/>
      <c r="BN56" s="352"/>
      <c r="BO56" s="352"/>
      <c r="BP56" s="352"/>
      <c r="BQ56" s="352"/>
      <c r="BR56" s="352"/>
      <c r="BS56" s="352"/>
      <c r="BT56" s="352"/>
      <c r="BU56" s="352"/>
      <c r="BV56" s="352"/>
      <c r="BW56" s="352"/>
      <c r="BX56" s="352"/>
      <c r="BY56" s="352"/>
      <c r="BZ56" s="352"/>
      <c r="CA56" s="352"/>
      <c r="CB56" s="352"/>
      <c r="CC56" s="352"/>
      <c r="CD56" s="352"/>
      <c r="CE56" s="352"/>
      <c r="CF56" s="352"/>
      <c r="CG56" s="352"/>
      <c r="CH56" s="352"/>
      <c r="CI56" s="352"/>
      <c r="CJ56" s="352"/>
      <c r="CK56" s="352"/>
      <c r="CL56" s="352"/>
      <c r="CM56" s="352"/>
      <c r="CN56" s="352"/>
      <c r="CO56" s="352"/>
      <c r="CP56" s="352"/>
      <c r="CQ56" s="352"/>
      <c r="CR56" s="352"/>
      <c r="CS56" s="352"/>
      <c r="CT56" s="352"/>
      <c r="CU56" s="352"/>
      <c r="CV56" s="352"/>
      <c r="CW56" s="352"/>
      <c r="CX56" s="352"/>
      <c r="CY56" s="352"/>
      <c r="CZ56" s="352"/>
      <c r="DA56" s="352"/>
      <c r="DB56" s="352"/>
      <c r="DC56" s="352"/>
      <c r="DD56" s="352"/>
      <c r="DE56" s="352"/>
      <c r="DF56" s="352"/>
      <c r="DG56" s="352"/>
      <c r="DH56" s="352"/>
      <c r="DI56" s="352"/>
      <c r="DJ56" s="352"/>
      <c r="DK56" s="352"/>
      <c r="DL56" s="352"/>
      <c r="DM56" s="352"/>
      <c r="DN56" s="352"/>
      <c r="DO56" s="352"/>
      <c r="DP56" s="352"/>
      <c r="DQ56" s="352"/>
      <c r="DR56" s="352"/>
      <c r="DS56" s="352"/>
      <c r="DT56" s="352"/>
      <c r="DU56" s="352"/>
      <c r="DV56" s="352"/>
      <c r="DW56" s="352"/>
      <c r="DX56" s="352"/>
      <c r="DY56" s="352"/>
      <c r="DZ56" s="352"/>
      <c r="EA56" s="352"/>
      <c r="EB56" s="352"/>
      <c r="EC56" s="352"/>
      <c r="ED56" s="352"/>
      <c r="EE56" s="352"/>
      <c r="EF56" s="352"/>
      <c r="EG56" s="352"/>
      <c r="EH56" s="352"/>
      <c r="EI56" s="352"/>
      <c r="EJ56" s="352"/>
      <c r="EK56" s="352"/>
      <c r="EL56" s="352"/>
      <c r="EM56" s="352"/>
      <c r="EN56" s="352"/>
    </row>
    <row r="57" spans="1:144" s="188" customFormat="1" ht="20.100000000000001" customHeight="1">
      <c r="A57" s="179" t="s">
        <v>36</v>
      </c>
      <c r="B57" s="179" t="s">
        <v>850</v>
      </c>
      <c r="C57" s="180">
        <f>'Thomson Reuters IMA  ($)'!I71+'Thomson Reuters IMA  ($)'!I72+'Thomson Reuters IMA  ($)'!I73+'Thomson Reuters IMA  ($)'!I74</f>
        <v>53.969000000000001</v>
      </c>
      <c r="D57" s="181">
        <f>'Sectors % GDP'!K5</f>
        <v>174803.34</v>
      </c>
      <c r="E57" s="181">
        <f t="shared" si="0"/>
        <v>3.0874124029895539E-4</v>
      </c>
      <c r="F57" s="182">
        <v>1</v>
      </c>
      <c r="G57" s="181">
        <v>9</v>
      </c>
      <c r="H57" s="183">
        <v>21.24</v>
      </c>
      <c r="I57" s="183">
        <v>32.29</v>
      </c>
      <c r="J57" s="183">
        <v>35</v>
      </c>
      <c r="K57" s="184">
        <v>11.82</v>
      </c>
      <c r="L57" s="184">
        <f t="shared" si="1"/>
        <v>2.1999999999999997</v>
      </c>
      <c r="M57" s="185">
        <v>2.1999999999999999E-2</v>
      </c>
      <c r="N57" s="185">
        <v>5.69</v>
      </c>
      <c r="O57" s="191">
        <v>0.65</v>
      </c>
      <c r="P57" s="187">
        <v>1</v>
      </c>
      <c r="Q57" s="352"/>
      <c r="R57" s="352"/>
      <c r="S57" s="352"/>
      <c r="T57" s="352"/>
      <c r="U57" s="352"/>
      <c r="V57" s="352"/>
      <c r="W57" s="352"/>
      <c r="X57" s="352"/>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c r="BB57" s="352"/>
      <c r="BC57" s="352"/>
      <c r="BD57" s="352"/>
      <c r="BE57" s="352"/>
      <c r="BF57" s="352"/>
      <c r="BG57" s="352"/>
      <c r="BH57" s="352"/>
      <c r="BI57" s="352"/>
      <c r="BJ57" s="352"/>
      <c r="BK57" s="352"/>
      <c r="BL57" s="352"/>
      <c r="BM57" s="352"/>
      <c r="BN57" s="352"/>
      <c r="BO57" s="352"/>
      <c r="BP57" s="352"/>
      <c r="BQ57" s="352"/>
      <c r="BR57" s="352"/>
      <c r="BS57" s="352"/>
      <c r="BT57" s="352"/>
      <c r="BU57" s="352"/>
      <c r="BV57" s="352"/>
      <c r="BW57" s="352"/>
      <c r="BX57" s="352"/>
      <c r="BY57" s="352"/>
      <c r="BZ57" s="352"/>
      <c r="CA57" s="352"/>
      <c r="CB57" s="352"/>
      <c r="CC57" s="352"/>
      <c r="CD57" s="352"/>
      <c r="CE57" s="352"/>
      <c r="CF57" s="352"/>
      <c r="CG57" s="352"/>
      <c r="CH57" s="352"/>
      <c r="CI57" s="352"/>
      <c r="CJ57" s="352"/>
      <c r="CK57" s="352"/>
      <c r="CL57" s="352"/>
      <c r="CM57" s="352"/>
      <c r="CN57" s="352"/>
      <c r="CO57" s="352"/>
      <c r="CP57" s="352"/>
      <c r="CQ57" s="352"/>
      <c r="CR57" s="352"/>
      <c r="CS57" s="352"/>
      <c r="CT57" s="352"/>
      <c r="CU57" s="352"/>
      <c r="CV57" s="352"/>
      <c r="CW57" s="352"/>
      <c r="CX57" s="352"/>
      <c r="CY57" s="352"/>
      <c r="CZ57" s="352"/>
      <c r="DA57" s="352"/>
      <c r="DB57" s="352"/>
      <c r="DC57" s="352"/>
      <c r="DD57" s="352"/>
      <c r="DE57" s="352"/>
      <c r="DF57" s="352"/>
      <c r="DG57" s="352"/>
      <c r="DH57" s="352"/>
      <c r="DI57" s="352"/>
      <c r="DJ57" s="352"/>
      <c r="DK57" s="352"/>
      <c r="DL57" s="352"/>
      <c r="DM57" s="352"/>
      <c r="DN57" s="352"/>
      <c r="DO57" s="352"/>
      <c r="DP57" s="352"/>
      <c r="DQ57" s="352"/>
      <c r="DR57" s="352"/>
      <c r="DS57" s="352"/>
      <c r="DT57" s="352"/>
      <c r="DU57" s="352"/>
      <c r="DV57" s="352"/>
      <c r="DW57" s="352"/>
      <c r="DX57" s="352"/>
      <c r="DY57" s="352"/>
      <c r="DZ57" s="352"/>
      <c r="EA57" s="352"/>
      <c r="EB57" s="352"/>
      <c r="EC57" s="352"/>
      <c r="ED57" s="352"/>
      <c r="EE57" s="352"/>
      <c r="EF57" s="352"/>
      <c r="EG57" s="352"/>
      <c r="EH57" s="352"/>
      <c r="EI57" s="352"/>
      <c r="EJ57" s="352"/>
      <c r="EK57" s="352"/>
      <c r="EL57" s="352"/>
      <c r="EM57" s="352"/>
      <c r="EN57" s="352"/>
    </row>
    <row r="58" spans="1:144" ht="20.100000000000001" customHeight="1">
      <c r="A58" s="118" t="s">
        <v>36</v>
      </c>
      <c r="B58" s="118" t="s">
        <v>851</v>
      </c>
      <c r="C58" s="119">
        <f>'Thomson Reuters IMA  ($)'!I75+'Thomson Reuters IMA  ($)'!I76</f>
        <v>1065.2950000000001</v>
      </c>
      <c r="D58" s="120">
        <f>'Sectors % GDP'!K6</f>
        <v>377500.83</v>
      </c>
      <c r="E58" s="120">
        <f t="shared" si="0"/>
        <v>2.821967305343408E-3</v>
      </c>
      <c r="F58" s="121">
        <v>1</v>
      </c>
      <c r="G58" s="120">
        <v>3</v>
      </c>
      <c r="H58" s="122">
        <v>21.24</v>
      </c>
      <c r="I58" s="122">
        <v>32.29</v>
      </c>
      <c r="J58" s="122">
        <v>35</v>
      </c>
      <c r="K58" s="123">
        <v>11.82</v>
      </c>
      <c r="L58" s="123">
        <f t="shared" si="1"/>
        <v>2.1999999999999997</v>
      </c>
      <c r="M58" s="124">
        <v>2.1999999999999999E-2</v>
      </c>
      <c r="N58" s="124">
        <v>5.69</v>
      </c>
      <c r="O58" s="130">
        <v>0.65</v>
      </c>
      <c r="P58" s="126">
        <v>1</v>
      </c>
      <c r="Q58" s="352"/>
      <c r="R58" s="352"/>
      <c r="S58" s="352"/>
      <c r="T58" s="352"/>
      <c r="U58" s="352"/>
      <c r="V58" s="352"/>
      <c r="W58" s="352"/>
      <c r="X58" s="352"/>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c r="BB58" s="352"/>
      <c r="BC58" s="352"/>
      <c r="BD58" s="352"/>
      <c r="BE58" s="352"/>
      <c r="BF58" s="352"/>
      <c r="BG58" s="352"/>
      <c r="BH58" s="352"/>
      <c r="BI58" s="352"/>
      <c r="BJ58" s="352"/>
      <c r="BK58" s="352"/>
      <c r="BL58" s="352"/>
      <c r="BM58" s="352"/>
      <c r="BN58" s="352"/>
      <c r="BO58" s="352"/>
      <c r="BP58" s="352"/>
      <c r="BQ58" s="352"/>
      <c r="BR58" s="352"/>
      <c r="BS58" s="352"/>
      <c r="BT58" s="352"/>
      <c r="BU58" s="352"/>
      <c r="BV58" s="352"/>
      <c r="BW58" s="352"/>
      <c r="BX58" s="352"/>
      <c r="BY58" s="352"/>
      <c r="BZ58" s="352"/>
      <c r="CA58" s="352"/>
      <c r="CB58" s="352"/>
      <c r="CC58" s="352"/>
      <c r="CD58" s="352"/>
      <c r="CE58" s="352"/>
      <c r="CF58" s="352"/>
      <c r="CG58" s="352"/>
      <c r="CH58" s="352"/>
      <c r="CI58" s="352"/>
      <c r="CJ58" s="352"/>
      <c r="CK58" s="352"/>
      <c r="CL58" s="352"/>
      <c r="CM58" s="352"/>
      <c r="CN58" s="352"/>
      <c r="CO58" s="352"/>
      <c r="CP58" s="352"/>
      <c r="CQ58" s="352"/>
      <c r="CR58" s="352"/>
      <c r="CS58" s="352"/>
      <c r="CT58" s="352"/>
      <c r="CU58" s="352"/>
      <c r="CV58" s="352"/>
      <c r="CW58" s="352"/>
      <c r="CX58" s="352"/>
      <c r="CY58" s="352"/>
      <c r="CZ58" s="352"/>
      <c r="DA58" s="352"/>
      <c r="DB58" s="352"/>
      <c r="DC58" s="352"/>
      <c r="DD58" s="352"/>
      <c r="DE58" s="352"/>
      <c r="DF58" s="352"/>
      <c r="DG58" s="352"/>
      <c r="DH58" s="352"/>
      <c r="DI58" s="352"/>
      <c r="DJ58" s="352"/>
      <c r="DK58" s="352"/>
      <c r="DL58" s="352"/>
      <c r="DM58" s="352"/>
      <c r="DN58" s="352"/>
      <c r="DO58" s="352"/>
      <c r="DP58" s="352"/>
      <c r="DQ58" s="352"/>
      <c r="DR58" s="352"/>
      <c r="DS58" s="352"/>
      <c r="DT58" s="352"/>
      <c r="DU58" s="352"/>
      <c r="DV58" s="352"/>
      <c r="DW58" s="352"/>
      <c r="DX58" s="352"/>
      <c r="DY58" s="352"/>
      <c r="DZ58" s="352"/>
      <c r="EA58" s="352"/>
      <c r="EB58" s="352"/>
      <c r="EC58" s="352"/>
      <c r="ED58" s="352"/>
      <c r="EE58" s="352"/>
      <c r="EF58" s="352"/>
      <c r="EG58" s="352"/>
      <c r="EH58" s="352"/>
      <c r="EI58" s="352"/>
      <c r="EJ58" s="352"/>
      <c r="EK58" s="352"/>
      <c r="EL58" s="352"/>
      <c r="EM58" s="352"/>
      <c r="EN58" s="352"/>
    </row>
    <row r="59" spans="1:144" s="169" customFormat="1" ht="20.100000000000001" customHeight="1">
      <c r="A59" s="160" t="s">
        <v>0</v>
      </c>
      <c r="B59" s="160" t="s">
        <v>817</v>
      </c>
      <c r="C59" s="161">
        <v>0</v>
      </c>
      <c r="D59" s="162">
        <f>'Sectors % GDP'!C8</f>
        <v>130416</v>
      </c>
      <c r="E59" s="162">
        <f t="shared" si="0"/>
        <v>0</v>
      </c>
      <c r="F59" s="163">
        <v>0</v>
      </c>
      <c r="G59" s="162">
        <v>0</v>
      </c>
      <c r="H59" s="164">
        <v>35.770000000000003</v>
      </c>
      <c r="I59" s="164">
        <v>34.43</v>
      </c>
      <c r="J59" s="165">
        <v>66.790000000000006</v>
      </c>
      <c r="K59" s="165">
        <v>17.03</v>
      </c>
      <c r="L59" s="165">
        <f t="shared" si="1"/>
        <v>3</v>
      </c>
      <c r="M59" s="166">
        <v>0.03</v>
      </c>
      <c r="N59" s="166">
        <v>5.8</v>
      </c>
      <c r="O59" s="167">
        <f>'Trade Data'!B8</f>
        <v>2.1643702144485442</v>
      </c>
      <c r="P59" s="170">
        <v>0</v>
      </c>
      <c r="Q59" s="352"/>
      <c r="R59" s="352"/>
      <c r="S59" s="352"/>
      <c r="T59" s="352"/>
      <c r="U59" s="352"/>
      <c r="V59" s="352"/>
      <c r="W59" s="352"/>
      <c r="X59" s="352"/>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c r="BB59" s="352"/>
      <c r="BC59" s="352"/>
      <c r="BD59" s="352"/>
      <c r="BE59" s="352"/>
      <c r="BF59" s="352"/>
      <c r="BG59" s="352"/>
      <c r="BH59" s="352"/>
      <c r="BI59" s="352"/>
      <c r="BJ59" s="352"/>
      <c r="BK59" s="352"/>
      <c r="BL59" s="352"/>
      <c r="BM59" s="352"/>
      <c r="BN59" s="352"/>
      <c r="BO59" s="352"/>
      <c r="BP59" s="352"/>
      <c r="BQ59" s="352"/>
      <c r="BR59" s="352"/>
      <c r="BS59" s="352"/>
      <c r="BT59" s="352"/>
      <c r="BU59" s="352"/>
      <c r="BV59" s="352"/>
      <c r="BW59" s="352"/>
      <c r="BX59" s="352"/>
      <c r="BY59" s="352"/>
      <c r="BZ59" s="352"/>
      <c r="CA59" s="352"/>
      <c r="CB59" s="352"/>
      <c r="CC59" s="352"/>
      <c r="CD59" s="352"/>
      <c r="CE59" s="352"/>
      <c r="CF59" s="352"/>
      <c r="CG59" s="352"/>
      <c r="CH59" s="352"/>
      <c r="CI59" s="352"/>
      <c r="CJ59" s="352"/>
      <c r="CK59" s="352"/>
      <c r="CL59" s="352"/>
      <c r="CM59" s="352"/>
      <c r="CN59" s="352"/>
      <c r="CO59" s="352"/>
      <c r="CP59" s="352"/>
      <c r="CQ59" s="352"/>
      <c r="CR59" s="352"/>
      <c r="CS59" s="352"/>
      <c r="CT59" s="352"/>
      <c r="CU59" s="352"/>
      <c r="CV59" s="352"/>
      <c r="CW59" s="352"/>
      <c r="CX59" s="352"/>
      <c r="CY59" s="352"/>
      <c r="CZ59" s="352"/>
      <c r="DA59" s="352"/>
      <c r="DB59" s="352"/>
      <c r="DC59" s="352"/>
      <c r="DD59" s="352"/>
      <c r="DE59" s="352"/>
      <c r="DF59" s="352"/>
      <c r="DG59" s="352"/>
      <c r="DH59" s="352"/>
      <c r="DI59" s="352"/>
      <c r="DJ59" s="352"/>
      <c r="DK59" s="352"/>
      <c r="DL59" s="352"/>
      <c r="DM59" s="352"/>
      <c r="DN59" s="352"/>
      <c r="DO59" s="352"/>
      <c r="DP59" s="352"/>
      <c r="DQ59" s="352"/>
      <c r="DR59" s="352"/>
      <c r="DS59" s="352"/>
      <c r="DT59" s="352"/>
      <c r="DU59" s="352"/>
      <c r="DV59" s="352"/>
      <c r="DW59" s="352"/>
      <c r="DX59" s="352"/>
      <c r="DY59" s="352"/>
      <c r="DZ59" s="352"/>
      <c r="EA59" s="352"/>
      <c r="EB59" s="352"/>
      <c r="EC59" s="352"/>
      <c r="ED59" s="352"/>
      <c r="EE59" s="352"/>
      <c r="EF59" s="352"/>
      <c r="EG59" s="352"/>
      <c r="EH59" s="352"/>
      <c r="EI59" s="352"/>
      <c r="EJ59" s="352"/>
      <c r="EK59" s="352"/>
      <c r="EL59" s="352"/>
      <c r="EM59" s="352"/>
      <c r="EN59" s="352"/>
    </row>
    <row r="60" spans="1:144" s="188" customFormat="1" ht="20.100000000000001" customHeight="1">
      <c r="A60" s="179" t="s">
        <v>0</v>
      </c>
      <c r="B60" s="179" t="s">
        <v>816</v>
      </c>
      <c r="C60" s="180">
        <f>SUM('Thomson Reuters IMA  ($)'!I77,'Thomson Reuters IMA  ($)'!I80,'Thomson Reuters IMA  ($)'!I81,'Thomson Reuters IMA  ($)'!I82)</f>
        <v>27.853999999999999</v>
      </c>
      <c r="D60" s="181">
        <f>'Sectors % GDP'!C9</f>
        <v>613795</v>
      </c>
      <c r="E60" s="181">
        <f t="shared" si="0"/>
        <v>4.5379972140535518E-5</v>
      </c>
      <c r="F60" s="182">
        <v>1</v>
      </c>
      <c r="G60" s="181">
        <v>24</v>
      </c>
      <c r="H60" s="183">
        <v>35.770000000000003</v>
      </c>
      <c r="I60" s="183">
        <v>34.43</v>
      </c>
      <c r="J60" s="184">
        <v>66.790000000000006</v>
      </c>
      <c r="K60" s="184">
        <v>17.03</v>
      </c>
      <c r="L60" s="184">
        <f t="shared" si="1"/>
        <v>3</v>
      </c>
      <c r="M60" s="185">
        <v>0.03</v>
      </c>
      <c r="N60" s="185">
        <v>5.8</v>
      </c>
      <c r="O60" s="186">
        <f>'Trade Data'!B8</f>
        <v>2.1643702144485442</v>
      </c>
      <c r="P60" s="189">
        <v>1</v>
      </c>
      <c r="Q60" s="352"/>
      <c r="R60" s="352"/>
      <c r="S60" s="352"/>
      <c r="T60" s="352"/>
      <c r="U60" s="352"/>
      <c r="V60" s="352"/>
      <c r="W60" s="352"/>
      <c r="X60" s="352"/>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c r="BB60" s="352"/>
      <c r="BC60" s="352"/>
      <c r="BD60" s="352"/>
      <c r="BE60" s="352"/>
      <c r="BF60" s="352"/>
      <c r="BG60" s="352"/>
      <c r="BH60" s="352"/>
      <c r="BI60" s="352"/>
      <c r="BJ60" s="352"/>
      <c r="BK60" s="352"/>
      <c r="BL60" s="352"/>
      <c r="BM60" s="352"/>
      <c r="BN60" s="352"/>
      <c r="BO60" s="352"/>
      <c r="BP60" s="352"/>
      <c r="BQ60" s="352"/>
      <c r="BR60" s="352"/>
      <c r="BS60" s="352"/>
      <c r="BT60" s="352"/>
      <c r="BU60" s="352"/>
      <c r="BV60" s="352"/>
      <c r="BW60" s="352"/>
      <c r="BX60" s="352"/>
      <c r="BY60" s="352"/>
      <c r="BZ60" s="352"/>
      <c r="CA60" s="352"/>
      <c r="CB60" s="352"/>
      <c r="CC60" s="352"/>
      <c r="CD60" s="352"/>
      <c r="CE60" s="352"/>
      <c r="CF60" s="352"/>
      <c r="CG60" s="352"/>
      <c r="CH60" s="352"/>
      <c r="CI60" s="352"/>
      <c r="CJ60" s="352"/>
      <c r="CK60" s="352"/>
      <c r="CL60" s="352"/>
      <c r="CM60" s="352"/>
      <c r="CN60" s="352"/>
      <c r="CO60" s="352"/>
      <c r="CP60" s="352"/>
      <c r="CQ60" s="352"/>
      <c r="CR60" s="352"/>
      <c r="CS60" s="352"/>
      <c r="CT60" s="352"/>
      <c r="CU60" s="352"/>
      <c r="CV60" s="352"/>
      <c r="CW60" s="352"/>
      <c r="CX60" s="352"/>
      <c r="CY60" s="352"/>
      <c r="CZ60" s="352"/>
      <c r="DA60" s="352"/>
      <c r="DB60" s="352"/>
      <c r="DC60" s="352"/>
      <c r="DD60" s="352"/>
      <c r="DE60" s="352"/>
      <c r="DF60" s="352"/>
      <c r="DG60" s="352"/>
      <c r="DH60" s="352"/>
      <c r="DI60" s="352"/>
      <c r="DJ60" s="352"/>
      <c r="DK60" s="352"/>
      <c r="DL60" s="352"/>
      <c r="DM60" s="352"/>
      <c r="DN60" s="352"/>
      <c r="DO60" s="352"/>
      <c r="DP60" s="352"/>
      <c r="DQ60" s="352"/>
      <c r="DR60" s="352"/>
      <c r="DS60" s="352"/>
      <c r="DT60" s="352"/>
      <c r="DU60" s="352"/>
      <c r="DV60" s="352"/>
      <c r="DW60" s="352"/>
      <c r="DX60" s="352"/>
      <c r="DY60" s="352"/>
      <c r="DZ60" s="352"/>
      <c r="EA60" s="352"/>
      <c r="EB60" s="352"/>
      <c r="EC60" s="352"/>
      <c r="ED60" s="352"/>
      <c r="EE60" s="352"/>
      <c r="EF60" s="352"/>
      <c r="EG60" s="352"/>
      <c r="EH60" s="352"/>
      <c r="EI60" s="352"/>
      <c r="EJ60" s="352"/>
      <c r="EK60" s="352"/>
      <c r="EL60" s="352"/>
      <c r="EM60" s="352"/>
      <c r="EN60" s="352"/>
    </row>
    <row r="61" spans="1:144" ht="20.100000000000001" customHeight="1">
      <c r="A61" s="118" t="s">
        <v>0</v>
      </c>
      <c r="B61" s="118" t="s">
        <v>815</v>
      </c>
      <c r="C61" s="119">
        <f>'Thomson Reuters IMA  ($)'!I78+'Thomson Reuters IMA  ($)'!I79+'Thomson Reuters IMA  ($)'!I83+'Thomson Reuters IMA  ($)'!I84+'Thomson Reuters IMA  ($)'!I85+'Thomson Reuters IMA  ($)'!I86</f>
        <v>864.37</v>
      </c>
      <c r="D61" s="120">
        <f>'Sectors % GDP'!C10</f>
        <v>1725789</v>
      </c>
      <c r="E61" s="120">
        <f t="shared" si="0"/>
        <v>5.0085497126241968E-4</v>
      </c>
      <c r="F61" s="121">
        <v>1</v>
      </c>
      <c r="G61" s="120">
        <v>20</v>
      </c>
      <c r="H61" s="122">
        <v>35.770000000000003</v>
      </c>
      <c r="I61" s="131">
        <v>34.43</v>
      </c>
      <c r="J61" s="123">
        <v>66.790000000000006</v>
      </c>
      <c r="K61" s="123">
        <v>17.03</v>
      </c>
      <c r="L61" s="123">
        <f t="shared" si="1"/>
        <v>3</v>
      </c>
      <c r="M61" s="124">
        <v>0.03</v>
      </c>
      <c r="N61" s="124">
        <v>5.8</v>
      </c>
      <c r="O61" s="125">
        <f>'Trade Data'!B8</f>
        <v>2.1643702144485442</v>
      </c>
      <c r="P61" s="127">
        <v>1</v>
      </c>
      <c r="Q61" s="352"/>
      <c r="R61" s="352"/>
      <c r="S61" s="352"/>
      <c r="T61" s="352"/>
      <c r="U61" s="352"/>
      <c r="V61" s="352"/>
      <c r="W61" s="352"/>
      <c r="X61" s="352"/>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c r="BB61" s="352"/>
      <c r="BC61" s="352"/>
      <c r="BD61" s="352"/>
      <c r="BE61" s="352"/>
      <c r="BF61" s="352"/>
      <c r="BG61" s="352"/>
      <c r="BH61" s="352"/>
      <c r="BI61" s="352"/>
      <c r="BJ61" s="352"/>
      <c r="BK61" s="352"/>
      <c r="BL61" s="352"/>
      <c r="BM61" s="352"/>
      <c r="BN61" s="352"/>
      <c r="BO61" s="352"/>
      <c r="BP61" s="352"/>
      <c r="BQ61" s="352"/>
      <c r="BR61" s="352"/>
      <c r="BS61" s="352"/>
      <c r="BT61" s="352"/>
      <c r="BU61" s="352"/>
      <c r="BV61" s="352"/>
      <c r="BW61" s="352"/>
      <c r="BX61" s="352"/>
      <c r="BY61" s="352"/>
      <c r="BZ61" s="352"/>
      <c r="CA61" s="352"/>
      <c r="CB61" s="352"/>
      <c r="CC61" s="352"/>
      <c r="CD61" s="352"/>
      <c r="CE61" s="352"/>
      <c r="CF61" s="352"/>
      <c r="CG61" s="352"/>
      <c r="CH61" s="352"/>
      <c r="CI61" s="352"/>
      <c r="CJ61" s="352"/>
      <c r="CK61" s="352"/>
      <c r="CL61" s="352"/>
      <c r="CM61" s="352"/>
      <c r="CN61" s="352"/>
      <c r="CO61" s="352"/>
      <c r="CP61" s="352"/>
      <c r="CQ61" s="352"/>
      <c r="CR61" s="352"/>
      <c r="CS61" s="352"/>
      <c r="CT61" s="352"/>
      <c r="CU61" s="352"/>
      <c r="CV61" s="352"/>
      <c r="CW61" s="352"/>
      <c r="CX61" s="352"/>
      <c r="CY61" s="352"/>
      <c r="CZ61" s="352"/>
      <c r="DA61" s="352"/>
      <c r="DB61" s="352"/>
      <c r="DC61" s="352"/>
      <c r="DD61" s="352"/>
      <c r="DE61" s="352"/>
      <c r="DF61" s="352"/>
      <c r="DG61" s="352"/>
      <c r="DH61" s="352"/>
      <c r="DI61" s="352"/>
      <c r="DJ61" s="352"/>
      <c r="DK61" s="352"/>
      <c r="DL61" s="352"/>
      <c r="DM61" s="352"/>
      <c r="DN61" s="352"/>
      <c r="DO61" s="352"/>
      <c r="DP61" s="352"/>
      <c r="DQ61" s="352"/>
      <c r="DR61" s="352"/>
      <c r="DS61" s="352"/>
      <c r="DT61" s="352"/>
      <c r="DU61" s="352"/>
      <c r="DV61" s="352"/>
      <c r="DW61" s="352"/>
      <c r="DX61" s="352"/>
      <c r="DY61" s="352"/>
      <c r="DZ61" s="352"/>
      <c r="EA61" s="352"/>
      <c r="EB61" s="352"/>
      <c r="EC61" s="352"/>
      <c r="ED61" s="352"/>
      <c r="EE61" s="352"/>
      <c r="EF61" s="352"/>
      <c r="EG61" s="352"/>
      <c r="EH61" s="352"/>
      <c r="EI61" s="352"/>
      <c r="EJ61" s="352"/>
      <c r="EK61" s="352"/>
      <c r="EL61" s="352"/>
      <c r="EM61" s="352"/>
      <c r="EN61" s="352"/>
    </row>
    <row r="62" spans="1:144" s="169" customFormat="1" ht="20.100000000000001" customHeight="1">
      <c r="A62" s="160" t="s">
        <v>1</v>
      </c>
      <c r="B62" s="160" t="s">
        <v>814</v>
      </c>
      <c r="C62" s="161">
        <v>0</v>
      </c>
      <c r="D62" s="162">
        <f>'Sectors % GDP'!C8</f>
        <v>130416</v>
      </c>
      <c r="E62" s="162">
        <f t="shared" si="0"/>
        <v>0</v>
      </c>
      <c r="F62" s="163">
        <v>0</v>
      </c>
      <c r="G62" s="162">
        <v>0</v>
      </c>
      <c r="H62" s="164">
        <v>20.02</v>
      </c>
      <c r="I62" s="164">
        <v>6.66</v>
      </c>
      <c r="J62" s="164">
        <v>63.76</v>
      </c>
      <c r="K62" s="165">
        <v>17.03</v>
      </c>
      <c r="L62" s="165">
        <f t="shared" si="1"/>
        <v>3</v>
      </c>
      <c r="M62" s="166">
        <v>0.03</v>
      </c>
      <c r="N62" s="166">
        <v>5.8</v>
      </c>
      <c r="O62" s="167">
        <f>'Trade Data'!B8</f>
        <v>2.1643702144485442</v>
      </c>
      <c r="P62" s="168">
        <v>0</v>
      </c>
      <c r="Q62" s="352"/>
      <c r="R62" s="352"/>
      <c r="S62" s="352"/>
      <c r="T62" s="352"/>
      <c r="U62" s="352"/>
      <c r="V62" s="352"/>
      <c r="W62" s="352"/>
      <c r="X62" s="352"/>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c r="BB62" s="352"/>
      <c r="BC62" s="352"/>
      <c r="BD62" s="352"/>
      <c r="BE62" s="352"/>
      <c r="BF62" s="352"/>
      <c r="BG62" s="352"/>
      <c r="BH62" s="352"/>
      <c r="BI62" s="352"/>
      <c r="BJ62" s="352"/>
      <c r="BK62" s="352"/>
      <c r="BL62" s="352"/>
      <c r="BM62" s="352"/>
      <c r="BN62" s="352"/>
      <c r="BO62" s="352"/>
      <c r="BP62" s="352"/>
      <c r="BQ62" s="352"/>
      <c r="BR62" s="352"/>
      <c r="BS62" s="352"/>
      <c r="BT62" s="352"/>
      <c r="BU62" s="352"/>
      <c r="BV62" s="352"/>
      <c r="BW62" s="352"/>
      <c r="BX62" s="352"/>
      <c r="BY62" s="352"/>
      <c r="BZ62" s="352"/>
      <c r="CA62" s="352"/>
      <c r="CB62" s="352"/>
      <c r="CC62" s="352"/>
      <c r="CD62" s="352"/>
      <c r="CE62" s="352"/>
      <c r="CF62" s="352"/>
      <c r="CG62" s="352"/>
      <c r="CH62" s="352"/>
      <c r="CI62" s="352"/>
      <c r="CJ62" s="352"/>
      <c r="CK62" s="352"/>
      <c r="CL62" s="352"/>
      <c r="CM62" s="352"/>
      <c r="CN62" s="352"/>
      <c r="CO62" s="352"/>
      <c r="CP62" s="352"/>
      <c r="CQ62" s="352"/>
      <c r="CR62" s="352"/>
      <c r="CS62" s="352"/>
      <c r="CT62" s="352"/>
      <c r="CU62" s="352"/>
      <c r="CV62" s="352"/>
      <c r="CW62" s="352"/>
      <c r="CX62" s="352"/>
      <c r="CY62" s="352"/>
      <c r="CZ62" s="352"/>
      <c r="DA62" s="352"/>
      <c r="DB62" s="352"/>
      <c r="DC62" s="352"/>
      <c r="DD62" s="352"/>
      <c r="DE62" s="352"/>
      <c r="DF62" s="352"/>
      <c r="DG62" s="352"/>
      <c r="DH62" s="352"/>
      <c r="DI62" s="352"/>
      <c r="DJ62" s="352"/>
      <c r="DK62" s="352"/>
      <c r="DL62" s="352"/>
      <c r="DM62" s="352"/>
      <c r="DN62" s="352"/>
      <c r="DO62" s="352"/>
      <c r="DP62" s="352"/>
      <c r="DQ62" s="352"/>
      <c r="DR62" s="352"/>
      <c r="DS62" s="352"/>
      <c r="DT62" s="352"/>
      <c r="DU62" s="352"/>
      <c r="DV62" s="352"/>
      <c r="DW62" s="352"/>
      <c r="DX62" s="352"/>
      <c r="DY62" s="352"/>
      <c r="DZ62" s="352"/>
      <c r="EA62" s="352"/>
      <c r="EB62" s="352"/>
      <c r="EC62" s="352"/>
      <c r="ED62" s="352"/>
      <c r="EE62" s="352"/>
      <c r="EF62" s="352"/>
      <c r="EG62" s="352"/>
      <c r="EH62" s="352"/>
      <c r="EI62" s="352"/>
      <c r="EJ62" s="352"/>
      <c r="EK62" s="352"/>
      <c r="EL62" s="352"/>
      <c r="EM62" s="352"/>
      <c r="EN62" s="352"/>
    </row>
    <row r="63" spans="1:144" s="188" customFormat="1" ht="20.100000000000001" customHeight="1">
      <c r="A63" s="179" t="s">
        <v>1</v>
      </c>
      <c r="B63" s="179" t="s">
        <v>813</v>
      </c>
      <c r="C63" s="180">
        <f>'Thomson Reuters IMA  ($)'!I90+'Thomson Reuters IMA  ($)'!I91+'Thomson Reuters IMA  ($)'!I92+'Thomson Reuters IMA  ($)'!I97+'Thomson Reuters IMA  ($)'!I102+'Thomson Reuters IMA  ($)'!I106</f>
        <v>1936.242</v>
      </c>
      <c r="D63" s="181">
        <f>'Sectors % GDP'!C9</f>
        <v>613795</v>
      </c>
      <c r="E63" s="181">
        <f t="shared" si="0"/>
        <v>3.154541825853909E-3</v>
      </c>
      <c r="F63" s="182">
        <v>1</v>
      </c>
      <c r="G63" s="181">
        <v>22</v>
      </c>
      <c r="H63" s="183">
        <v>20.02</v>
      </c>
      <c r="I63" s="183">
        <v>6.66</v>
      </c>
      <c r="J63" s="183">
        <v>63.76</v>
      </c>
      <c r="K63" s="184">
        <v>17.03</v>
      </c>
      <c r="L63" s="184">
        <f t="shared" si="1"/>
        <v>3</v>
      </c>
      <c r="M63" s="185">
        <v>0.03</v>
      </c>
      <c r="N63" s="185">
        <v>5.8</v>
      </c>
      <c r="O63" s="186">
        <f>'Trade Data'!B8</f>
        <v>2.1643702144485442</v>
      </c>
      <c r="P63" s="187">
        <v>1</v>
      </c>
      <c r="Q63" s="352"/>
      <c r="R63" s="352"/>
      <c r="S63" s="352"/>
      <c r="T63" s="352"/>
      <c r="U63" s="352"/>
      <c r="V63" s="352"/>
      <c r="W63" s="352"/>
      <c r="X63" s="352"/>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c r="BB63" s="352"/>
      <c r="BC63" s="352"/>
      <c r="BD63" s="352"/>
      <c r="BE63" s="352"/>
      <c r="BF63" s="352"/>
      <c r="BG63" s="352"/>
      <c r="BH63" s="352"/>
      <c r="BI63" s="352"/>
      <c r="BJ63" s="352"/>
      <c r="BK63" s="352"/>
      <c r="BL63" s="352"/>
      <c r="BM63" s="352"/>
      <c r="BN63" s="352"/>
      <c r="BO63" s="352"/>
      <c r="BP63" s="352"/>
      <c r="BQ63" s="352"/>
      <c r="BR63" s="352"/>
      <c r="BS63" s="352"/>
      <c r="BT63" s="352"/>
      <c r="BU63" s="352"/>
      <c r="BV63" s="352"/>
      <c r="BW63" s="352"/>
      <c r="BX63" s="352"/>
      <c r="BY63" s="352"/>
      <c r="BZ63" s="352"/>
      <c r="CA63" s="352"/>
      <c r="CB63" s="352"/>
      <c r="CC63" s="352"/>
      <c r="CD63" s="352"/>
      <c r="CE63" s="352"/>
      <c r="CF63" s="352"/>
      <c r="CG63" s="352"/>
      <c r="CH63" s="352"/>
      <c r="CI63" s="352"/>
      <c r="CJ63" s="352"/>
      <c r="CK63" s="352"/>
      <c r="CL63" s="352"/>
      <c r="CM63" s="352"/>
      <c r="CN63" s="352"/>
      <c r="CO63" s="352"/>
      <c r="CP63" s="352"/>
      <c r="CQ63" s="352"/>
      <c r="CR63" s="352"/>
      <c r="CS63" s="352"/>
      <c r="CT63" s="352"/>
      <c r="CU63" s="352"/>
      <c r="CV63" s="352"/>
      <c r="CW63" s="352"/>
      <c r="CX63" s="352"/>
      <c r="CY63" s="352"/>
      <c r="CZ63" s="352"/>
      <c r="DA63" s="352"/>
      <c r="DB63" s="352"/>
      <c r="DC63" s="352"/>
      <c r="DD63" s="352"/>
      <c r="DE63" s="352"/>
      <c r="DF63" s="352"/>
      <c r="DG63" s="352"/>
      <c r="DH63" s="352"/>
      <c r="DI63" s="352"/>
      <c r="DJ63" s="352"/>
      <c r="DK63" s="352"/>
      <c r="DL63" s="352"/>
      <c r="DM63" s="352"/>
      <c r="DN63" s="352"/>
      <c r="DO63" s="352"/>
      <c r="DP63" s="352"/>
      <c r="DQ63" s="352"/>
      <c r="DR63" s="352"/>
      <c r="DS63" s="352"/>
      <c r="DT63" s="352"/>
      <c r="DU63" s="352"/>
      <c r="DV63" s="352"/>
      <c r="DW63" s="352"/>
      <c r="DX63" s="352"/>
      <c r="DY63" s="352"/>
      <c r="DZ63" s="352"/>
      <c r="EA63" s="352"/>
      <c r="EB63" s="352"/>
      <c r="EC63" s="352"/>
      <c r="ED63" s="352"/>
      <c r="EE63" s="352"/>
      <c r="EF63" s="352"/>
      <c r="EG63" s="352"/>
      <c r="EH63" s="352"/>
      <c r="EI63" s="352"/>
      <c r="EJ63" s="352"/>
      <c r="EK63" s="352"/>
      <c r="EL63" s="352"/>
      <c r="EM63" s="352"/>
      <c r="EN63" s="352"/>
    </row>
    <row r="64" spans="1:144" ht="20.100000000000001" customHeight="1">
      <c r="A64" s="118" t="s">
        <v>1</v>
      </c>
      <c r="B64" s="118" t="s">
        <v>812</v>
      </c>
      <c r="C64" s="119">
        <f>'Thomson Reuters IMA  ($)'!I87+'Thomson Reuters IMA  ($)'!I88+'Thomson Reuters IMA  ($)'!I89+'Thomson Reuters IMA  ($)'!I93+'Thomson Reuters IMA  ($)'!I94+'Thomson Reuters IMA  ($)'!I95+'Thomson Reuters IMA  ($)'!I96+'Thomson Reuters IMA  ($)'!I98+'Thomson Reuters IMA  ($)'!I99+'Thomson Reuters IMA  ($)'!I100+'Thomson Reuters IMA  ($)'!I101+'Thomson Reuters IMA  ($)'!I103+'Thomson Reuters IMA  ($)'!I104+'Thomson Reuters IMA  ($)'!I105</f>
        <v>2220.9870000000001</v>
      </c>
      <c r="D64" s="120">
        <f>'Sectors % GDP'!C10</f>
        <v>1725789</v>
      </c>
      <c r="E64" s="120">
        <f t="shared" si="0"/>
        <v>1.286940060459303E-3</v>
      </c>
      <c r="F64" s="121">
        <v>1</v>
      </c>
      <c r="G64" s="120">
        <v>32</v>
      </c>
      <c r="H64" s="122">
        <v>20.02</v>
      </c>
      <c r="I64" s="131">
        <v>6.66</v>
      </c>
      <c r="J64" s="122">
        <v>63.76</v>
      </c>
      <c r="K64" s="123">
        <v>17.03</v>
      </c>
      <c r="L64" s="123">
        <f t="shared" si="1"/>
        <v>3</v>
      </c>
      <c r="M64" s="124">
        <v>0.03</v>
      </c>
      <c r="N64" s="124">
        <v>5.8</v>
      </c>
      <c r="O64" s="125">
        <f>'Trade Data'!B8</f>
        <v>2.1643702144485442</v>
      </c>
      <c r="P64" s="126">
        <v>1</v>
      </c>
      <c r="Q64" s="352"/>
      <c r="R64" s="352"/>
      <c r="S64" s="352"/>
      <c r="T64" s="352"/>
      <c r="U64" s="352"/>
      <c r="V64" s="352"/>
      <c r="W64" s="352"/>
      <c r="X64" s="352"/>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c r="BB64" s="352"/>
      <c r="BC64" s="352"/>
      <c r="BD64" s="352"/>
      <c r="BE64" s="352"/>
      <c r="BF64" s="352"/>
      <c r="BG64" s="352"/>
      <c r="BH64" s="352"/>
      <c r="BI64" s="352"/>
      <c r="BJ64" s="352"/>
      <c r="BK64" s="352"/>
      <c r="BL64" s="352"/>
      <c r="BM64" s="352"/>
      <c r="BN64" s="352"/>
      <c r="BO64" s="352"/>
      <c r="BP64" s="352"/>
      <c r="BQ64" s="352"/>
      <c r="BR64" s="352"/>
      <c r="BS64" s="352"/>
      <c r="BT64" s="352"/>
      <c r="BU64" s="352"/>
      <c r="BV64" s="352"/>
      <c r="BW64" s="352"/>
      <c r="BX64" s="352"/>
      <c r="BY64" s="352"/>
      <c r="BZ64" s="352"/>
      <c r="CA64" s="352"/>
      <c r="CB64" s="352"/>
      <c r="CC64" s="352"/>
      <c r="CD64" s="352"/>
      <c r="CE64" s="352"/>
      <c r="CF64" s="352"/>
      <c r="CG64" s="352"/>
      <c r="CH64" s="352"/>
      <c r="CI64" s="352"/>
      <c r="CJ64" s="352"/>
      <c r="CK64" s="352"/>
      <c r="CL64" s="352"/>
      <c r="CM64" s="352"/>
      <c r="CN64" s="352"/>
      <c r="CO64" s="352"/>
      <c r="CP64" s="352"/>
      <c r="CQ64" s="352"/>
      <c r="CR64" s="352"/>
      <c r="CS64" s="352"/>
      <c r="CT64" s="352"/>
      <c r="CU64" s="352"/>
      <c r="CV64" s="352"/>
      <c r="CW64" s="352"/>
      <c r="CX64" s="352"/>
      <c r="CY64" s="352"/>
      <c r="CZ64" s="352"/>
      <c r="DA64" s="352"/>
      <c r="DB64" s="352"/>
      <c r="DC64" s="352"/>
      <c r="DD64" s="352"/>
      <c r="DE64" s="352"/>
      <c r="DF64" s="352"/>
      <c r="DG64" s="352"/>
      <c r="DH64" s="352"/>
      <c r="DI64" s="352"/>
      <c r="DJ64" s="352"/>
      <c r="DK64" s="352"/>
      <c r="DL64" s="352"/>
      <c r="DM64" s="352"/>
      <c r="DN64" s="352"/>
      <c r="DO64" s="352"/>
      <c r="DP64" s="352"/>
      <c r="DQ64" s="352"/>
      <c r="DR64" s="352"/>
      <c r="DS64" s="352"/>
      <c r="DT64" s="352"/>
      <c r="DU64" s="352"/>
      <c r="DV64" s="352"/>
      <c r="DW64" s="352"/>
      <c r="DX64" s="352"/>
      <c r="DY64" s="352"/>
      <c r="DZ64" s="352"/>
      <c r="EA64" s="352"/>
      <c r="EB64" s="352"/>
      <c r="EC64" s="352"/>
      <c r="ED64" s="352"/>
      <c r="EE64" s="352"/>
      <c r="EF64" s="352"/>
      <c r="EG64" s="352"/>
      <c r="EH64" s="352"/>
      <c r="EI64" s="352"/>
      <c r="EJ64" s="352"/>
      <c r="EK64" s="352"/>
      <c r="EL64" s="352"/>
      <c r="EM64" s="352"/>
      <c r="EN64" s="352"/>
    </row>
    <row r="65" spans="1:144" s="169" customFormat="1" ht="20.100000000000001" customHeight="1">
      <c r="A65" s="160" t="s">
        <v>2</v>
      </c>
      <c r="B65" s="160" t="s">
        <v>811</v>
      </c>
      <c r="C65" s="161">
        <v>0</v>
      </c>
      <c r="D65" s="162">
        <f>'Sectors % GDP'!C8</f>
        <v>130416</v>
      </c>
      <c r="E65" s="162">
        <f t="shared" si="0"/>
        <v>0</v>
      </c>
      <c r="F65" s="163">
        <v>1</v>
      </c>
      <c r="G65" s="162">
        <v>1</v>
      </c>
      <c r="H65" s="164">
        <v>33.24</v>
      </c>
      <c r="I65" s="164">
        <v>34.049999999999997</v>
      </c>
      <c r="J65" s="164">
        <v>60.1</v>
      </c>
      <c r="K65" s="165">
        <v>17.03</v>
      </c>
      <c r="L65" s="165">
        <f t="shared" si="1"/>
        <v>3</v>
      </c>
      <c r="M65" s="166">
        <v>0.03</v>
      </c>
      <c r="N65" s="166">
        <v>5.8</v>
      </c>
      <c r="O65" s="167">
        <f>'Trade Data'!B8</f>
        <v>2.1643702144485442</v>
      </c>
      <c r="P65" s="170">
        <v>0</v>
      </c>
      <c r="Q65" s="352"/>
      <c r="R65" s="352"/>
      <c r="S65" s="352"/>
      <c r="T65" s="352"/>
      <c r="U65" s="352"/>
      <c r="V65" s="352"/>
      <c r="W65" s="352"/>
      <c r="X65" s="352"/>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c r="BB65" s="352"/>
      <c r="BC65" s="352"/>
      <c r="BD65" s="352"/>
      <c r="BE65" s="352"/>
      <c r="BF65" s="352"/>
      <c r="BG65" s="352"/>
      <c r="BH65" s="352"/>
      <c r="BI65" s="352"/>
      <c r="BJ65" s="352"/>
      <c r="BK65" s="352"/>
      <c r="BL65" s="352"/>
      <c r="BM65" s="352"/>
      <c r="BN65" s="352"/>
      <c r="BO65" s="352"/>
      <c r="BP65" s="352"/>
      <c r="BQ65" s="352"/>
      <c r="BR65" s="352"/>
      <c r="BS65" s="352"/>
      <c r="BT65" s="352"/>
      <c r="BU65" s="352"/>
      <c r="BV65" s="352"/>
      <c r="BW65" s="352"/>
      <c r="BX65" s="352"/>
      <c r="BY65" s="352"/>
      <c r="BZ65" s="352"/>
      <c r="CA65" s="352"/>
      <c r="CB65" s="352"/>
      <c r="CC65" s="352"/>
      <c r="CD65" s="352"/>
      <c r="CE65" s="352"/>
      <c r="CF65" s="352"/>
      <c r="CG65" s="352"/>
      <c r="CH65" s="352"/>
      <c r="CI65" s="352"/>
      <c r="CJ65" s="352"/>
      <c r="CK65" s="352"/>
      <c r="CL65" s="352"/>
      <c r="CM65" s="352"/>
      <c r="CN65" s="352"/>
      <c r="CO65" s="352"/>
      <c r="CP65" s="352"/>
      <c r="CQ65" s="352"/>
      <c r="CR65" s="352"/>
      <c r="CS65" s="352"/>
      <c r="CT65" s="352"/>
      <c r="CU65" s="352"/>
      <c r="CV65" s="352"/>
      <c r="CW65" s="352"/>
      <c r="CX65" s="352"/>
      <c r="CY65" s="352"/>
      <c r="CZ65" s="352"/>
      <c r="DA65" s="352"/>
      <c r="DB65" s="352"/>
      <c r="DC65" s="352"/>
      <c r="DD65" s="352"/>
      <c r="DE65" s="352"/>
      <c r="DF65" s="352"/>
      <c r="DG65" s="352"/>
      <c r="DH65" s="352"/>
      <c r="DI65" s="352"/>
      <c r="DJ65" s="352"/>
      <c r="DK65" s="352"/>
      <c r="DL65" s="352"/>
      <c r="DM65" s="352"/>
      <c r="DN65" s="352"/>
      <c r="DO65" s="352"/>
      <c r="DP65" s="352"/>
      <c r="DQ65" s="352"/>
      <c r="DR65" s="352"/>
      <c r="DS65" s="352"/>
      <c r="DT65" s="352"/>
      <c r="DU65" s="352"/>
      <c r="DV65" s="352"/>
      <c r="DW65" s="352"/>
      <c r="DX65" s="352"/>
      <c r="DY65" s="352"/>
      <c r="DZ65" s="352"/>
      <c r="EA65" s="352"/>
      <c r="EB65" s="352"/>
      <c r="EC65" s="352"/>
      <c r="ED65" s="352"/>
      <c r="EE65" s="352"/>
      <c r="EF65" s="352"/>
      <c r="EG65" s="352"/>
      <c r="EH65" s="352"/>
      <c r="EI65" s="352"/>
      <c r="EJ65" s="352"/>
      <c r="EK65" s="352"/>
      <c r="EL65" s="352"/>
      <c r="EM65" s="352"/>
      <c r="EN65" s="352"/>
    </row>
    <row r="66" spans="1:144" s="188" customFormat="1" ht="20.100000000000001" customHeight="1">
      <c r="A66" s="179" t="s">
        <v>2</v>
      </c>
      <c r="B66" s="179" t="s">
        <v>810</v>
      </c>
      <c r="C66" s="180">
        <f>'Thomson Reuters IMA  ($)'!I109+'Thomson Reuters IMA  ($)'!I111+'Thomson Reuters IMA  ($)'!I114+'Thomson Reuters IMA  ($)'!I117</f>
        <v>564.99699999999996</v>
      </c>
      <c r="D66" s="181">
        <f>'Sectors % GDP'!C9</f>
        <v>613795</v>
      </c>
      <c r="E66" s="181">
        <f t="shared" ref="E66:E129" si="2">C66/D66</f>
        <v>9.2049788610203728E-4</v>
      </c>
      <c r="F66" s="182">
        <v>1</v>
      </c>
      <c r="G66" s="181">
        <v>17</v>
      </c>
      <c r="H66" s="183">
        <v>33.24</v>
      </c>
      <c r="I66" s="183">
        <v>34.049999999999997</v>
      </c>
      <c r="J66" s="183">
        <v>60.1</v>
      </c>
      <c r="K66" s="184">
        <v>17.03</v>
      </c>
      <c r="L66" s="184">
        <f t="shared" si="1"/>
        <v>3</v>
      </c>
      <c r="M66" s="185">
        <v>0.03</v>
      </c>
      <c r="N66" s="185">
        <v>5.8</v>
      </c>
      <c r="O66" s="186">
        <f>'Trade Data'!B8</f>
        <v>2.1643702144485442</v>
      </c>
      <c r="P66" s="189">
        <v>1</v>
      </c>
      <c r="Q66" s="352"/>
      <c r="R66" s="352"/>
      <c r="S66" s="352"/>
      <c r="T66" s="352"/>
      <c r="U66" s="352"/>
      <c r="V66" s="352"/>
      <c r="W66" s="352"/>
      <c r="X66" s="352"/>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c r="BB66" s="352"/>
      <c r="BC66" s="352"/>
      <c r="BD66" s="352"/>
      <c r="BE66" s="352"/>
      <c r="BF66" s="352"/>
      <c r="BG66" s="352"/>
      <c r="BH66" s="352"/>
      <c r="BI66" s="352"/>
      <c r="BJ66" s="352"/>
      <c r="BK66" s="352"/>
      <c r="BL66" s="352"/>
      <c r="BM66" s="352"/>
      <c r="BN66" s="352"/>
      <c r="BO66" s="352"/>
      <c r="BP66" s="352"/>
      <c r="BQ66" s="352"/>
      <c r="BR66" s="352"/>
      <c r="BS66" s="352"/>
      <c r="BT66" s="352"/>
      <c r="BU66" s="352"/>
      <c r="BV66" s="352"/>
      <c r="BW66" s="352"/>
      <c r="BX66" s="352"/>
      <c r="BY66" s="352"/>
      <c r="BZ66" s="352"/>
      <c r="CA66" s="352"/>
      <c r="CB66" s="352"/>
      <c r="CC66" s="352"/>
      <c r="CD66" s="352"/>
      <c r="CE66" s="352"/>
      <c r="CF66" s="352"/>
      <c r="CG66" s="352"/>
      <c r="CH66" s="352"/>
      <c r="CI66" s="352"/>
      <c r="CJ66" s="352"/>
      <c r="CK66" s="352"/>
      <c r="CL66" s="352"/>
      <c r="CM66" s="352"/>
      <c r="CN66" s="352"/>
      <c r="CO66" s="352"/>
      <c r="CP66" s="352"/>
      <c r="CQ66" s="352"/>
      <c r="CR66" s="352"/>
      <c r="CS66" s="352"/>
      <c r="CT66" s="352"/>
      <c r="CU66" s="352"/>
      <c r="CV66" s="352"/>
      <c r="CW66" s="352"/>
      <c r="CX66" s="352"/>
      <c r="CY66" s="352"/>
      <c r="CZ66" s="352"/>
      <c r="DA66" s="352"/>
      <c r="DB66" s="352"/>
      <c r="DC66" s="352"/>
      <c r="DD66" s="352"/>
      <c r="DE66" s="352"/>
      <c r="DF66" s="352"/>
      <c r="DG66" s="352"/>
      <c r="DH66" s="352"/>
      <c r="DI66" s="352"/>
      <c r="DJ66" s="352"/>
      <c r="DK66" s="352"/>
      <c r="DL66" s="352"/>
      <c r="DM66" s="352"/>
      <c r="DN66" s="352"/>
      <c r="DO66" s="352"/>
      <c r="DP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row>
    <row r="67" spans="1:144" ht="20.100000000000001" customHeight="1">
      <c r="A67" s="118" t="s">
        <v>880</v>
      </c>
      <c r="B67" s="118" t="s">
        <v>809</v>
      </c>
      <c r="C67" s="119">
        <f>'Thomson Reuters IMA  ($)'!I107+'Thomson Reuters IMA  ($)'!I108+'Thomson Reuters IMA  ($)'!I110+'Thomson Reuters IMA  ($)'!I112+'Thomson Reuters IMA  ($)'!I113+'Thomson Reuters IMA  ($)'!I115+'Thomson Reuters IMA  ($)'!I116+'Thomson Reuters IMA  ($)'!I118+'Thomson Reuters IMA  ($)'!I119+'Thomson Reuters IMA  ($)'!I120+'Thomson Reuters IMA  ($)'!I121</f>
        <v>5177.4880000000003</v>
      </c>
      <c r="D67" s="120">
        <f>'Sectors % GDP'!C10</f>
        <v>1725789</v>
      </c>
      <c r="E67" s="120">
        <f t="shared" si="2"/>
        <v>3.0000701128585247E-3</v>
      </c>
      <c r="F67" s="121">
        <v>1</v>
      </c>
      <c r="G67" s="120">
        <v>29</v>
      </c>
      <c r="H67" s="122">
        <v>33.24</v>
      </c>
      <c r="I67" s="131">
        <v>34.049999999999997</v>
      </c>
      <c r="J67" s="122">
        <v>60.1</v>
      </c>
      <c r="K67" s="123">
        <v>17.03</v>
      </c>
      <c r="L67" s="123">
        <f t="shared" ref="L67:L130" si="3">M67*100</f>
        <v>3</v>
      </c>
      <c r="M67" s="124">
        <v>0.03</v>
      </c>
      <c r="N67" s="124">
        <v>5.8</v>
      </c>
      <c r="O67" s="125">
        <f>'Trade Data'!B8</f>
        <v>2.1643702144485442</v>
      </c>
      <c r="P67" s="127">
        <v>1</v>
      </c>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c r="BB67" s="352"/>
      <c r="BC67" s="352"/>
      <c r="BD67" s="352"/>
      <c r="BE67" s="352"/>
      <c r="BF67" s="352"/>
      <c r="BG67" s="352"/>
      <c r="BH67" s="352"/>
      <c r="BI67" s="352"/>
      <c r="BJ67" s="352"/>
      <c r="BK67" s="352"/>
      <c r="BL67" s="352"/>
      <c r="BM67" s="352"/>
      <c r="BN67" s="352"/>
      <c r="BO67" s="352"/>
      <c r="BP67" s="352"/>
      <c r="BQ67" s="352"/>
      <c r="BR67" s="352"/>
      <c r="BS67" s="352"/>
      <c r="BT67" s="352"/>
      <c r="BU67" s="352"/>
      <c r="BV67" s="352"/>
      <c r="BW67" s="352"/>
      <c r="BX67" s="352"/>
      <c r="BY67" s="352"/>
      <c r="BZ67" s="352"/>
      <c r="CA67" s="352"/>
      <c r="CB67" s="352"/>
      <c r="CC67" s="352"/>
      <c r="CD67" s="352"/>
      <c r="CE67" s="352"/>
      <c r="CF67" s="352"/>
      <c r="CG67" s="352"/>
      <c r="CH67" s="352"/>
      <c r="CI67" s="352"/>
      <c r="CJ67" s="352"/>
      <c r="CK67" s="352"/>
      <c r="CL67" s="352"/>
      <c r="CM67" s="352"/>
      <c r="CN67" s="352"/>
      <c r="CO67" s="352"/>
      <c r="CP67" s="352"/>
      <c r="CQ67" s="352"/>
      <c r="CR67" s="352"/>
      <c r="CS67" s="352"/>
      <c r="CT67" s="352"/>
      <c r="CU67" s="352"/>
      <c r="CV67" s="352"/>
      <c r="CW67" s="352"/>
      <c r="CX67" s="352"/>
      <c r="CY67" s="352"/>
      <c r="CZ67" s="352"/>
      <c r="DA67" s="352"/>
      <c r="DB67" s="352"/>
      <c r="DC67" s="352"/>
      <c r="DD67" s="352"/>
      <c r="DE67" s="352"/>
      <c r="DF67" s="352"/>
      <c r="DG67" s="352"/>
      <c r="DH67" s="352"/>
      <c r="DI67" s="352"/>
      <c r="DJ67" s="352"/>
      <c r="DK67" s="352"/>
      <c r="DL67" s="352"/>
      <c r="DM67" s="352"/>
      <c r="DN67" s="352"/>
      <c r="DO67" s="352"/>
      <c r="DP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row>
    <row r="68" spans="1:144" s="169" customFormat="1" ht="20.100000000000001" customHeight="1">
      <c r="A68" s="160" t="s">
        <v>3</v>
      </c>
      <c r="B68" s="160" t="s">
        <v>808</v>
      </c>
      <c r="C68" s="161">
        <v>0</v>
      </c>
      <c r="D68" s="162">
        <f>'Sectors % GDP'!E8</f>
        <v>123738</v>
      </c>
      <c r="E68" s="162">
        <f t="shared" si="2"/>
        <v>0</v>
      </c>
      <c r="F68" s="163">
        <v>0</v>
      </c>
      <c r="G68" s="162">
        <v>0</v>
      </c>
      <c r="H68" s="164">
        <v>21.53</v>
      </c>
      <c r="I68" s="164">
        <v>12.28</v>
      </c>
      <c r="J68" s="164">
        <v>55.65</v>
      </c>
      <c r="K68" s="165">
        <v>17.03</v>
      </c>
      <c r="L68" s="165">
        <f t="shared" si="3"/>
        <v>3</v>
      </c>
      <c r="M68" s="166">
        <v>0.03</v>
      </c>
      <c r="N68" s="166">
        <v>5.8</v>
      </c>
      <c r="O68" s="167">
        <f>'Trade Data'!B8</f>
        <v>2.1643702144485442</v>
      </c>
      <c r="P68" s="168">
        <v>0</v>
      </c>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c r="BB68" s="352"/>
      <c r="BC68" s="352"/>
      <c r="BD68" s="352"/>
      <c r="BE68" s="352"/>
      <c r="BF68" s="352"/>
      <c r="BG68" s="352"/>
      <c r="BH68" s="352"/>
      <c r="BI68" s="352"/>
      <c r="BJ68" s="352"/>
      <c r="BK68" s="352"/>
      <c r="BL68" s="352"/>
      <c r="BM68" s="352"/>
      <c r="BN68" s="352"/>
      <c r="BO68" s="352"/>
      <c r="BP68" s="352"/>
      <c r="BQ68" s="352"/>
      <c r="BR68" s="352"/>
      <c r="BS68" s="352"/>
      <c r="BT68" s="352"/>
      <c r="BU68" s="352"/>
      <c r="BV68" s="352"/>
      <c r="BW68" s="352"/>
      <c r="BX68" s="352"/>
      <c r="BY68" s="352"/>
      <c r="BZ68" s="352"/>
      <c r="CA68" s="352"/>
      <c r="CB68" s="352"/>
      <c r="CC68" s="352"/>
      <c r="CD68" s="352"/>
      <c r="CE68" s="352"/>
      <c r="CF68" s="352"/>
      <c r="CG68" s="352"/>
      <c r="CH68" s="352"/>
      <c r="CI68" s="352"/>
      <c r="CJ68" s="352"/>
      <c r="CK68" s="352"/>
      <c r="CL68" s="352"/>
      <c r="CM68" s="352"/>
      <c r="CN68" s="352"/>
      <c r="CO68" s="352"/>
      <c r="CP68" s="352"/>
      <c r="CQ68" s="352"/>
      <c r="CR68" s="352"/>
      <c r="CS68" s="352"/>
      <c r="CT68" s="352"/>
      <c r="CU68" s="352"/>
      <c r="CV68" s="352"/>
      <c r="CW68" s="352"/>
      <c r="CX68" s="352"/>
      <c r="CY68" s="352"/>
      <c r="CZ68" s="352"/>
      <c r="DA68" s="352"/>
      <c r="DB68" s="352"/>
      <c r="DC68" s="352"/>
      <c r="DD68" s="352"/>
      <c r="DE68" s="352"/>
      <c r="DF68" s="352"/>
      <c r="DG68" s="352"/>
      <c r="DH68" s="352"/>
      <c r="DI68" s="352"/>
      <c r="DJ68" s="352"/>
      <c r="DK68" s="352"/>
      <c r="DL68" s="352"/>
      <c r="DM68" s="352"/>
      <c r="DN68" s="352"/>
      <c r="DO68" s="352"/>
      <c r="DP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row>
    <row r="69" spans="1:144" s="188" customFormat="1" ht="20.100000000000001" customHeight="1">
      <c r="A69" s="179" t="s">
        <v>3</v>
      </c>
      <c r="B69" s="179" t="s">
        <v>807</v>
      </c>
      <c r="C69" s="180">
        <f>'Thomson Reuters IMA  ($)'!I122+'Thomson Reuters IMA  ($)'!I123+'Thomson Reuters IMA  ($)'!I124+'Thomson Reuters IMA  ($)'!I125+'Thomson Reuters IMA  ($)'!I126+'Thomson Reuters IMA  ($)'!I131</f>
        <v>1196.146</v>
      </c>
      <c r="D69" s="181">
        <f>'Sectors % GDP'!E9</f>
        <v>585234</v>
      </c>
      <c r="E69" s="181">
        <f t="shared" si="2"/>
        <v>2.0438764665074139E-3</v>
      </c>
      <c r="F69" s="182">
        <v>1</v>
      </c>
      <c r="G69" s="181">
        <v>23</v>
      </c>
      <c r="H69" s="183">
        <v>21.53</v>
      </c>
      <c r="I69" s="183">
        <v>12.28</v>
      </c>
      <c r="J69" s="183">
        <v>55.65</v>
      </c>
      <c r="K69" s="184">
        <v>17.03</v>
      </c>
      <c r="L69" s="184">
        <f t="shared" si="3"/>
        <v>3</v>
      </c>
      <c r="M69" s="185">
        <v>0.03</v>
      </c>
      <c r="N69" s="185">
        <v>5.8</v>
      </c>
      <c r="O69" s="186">
        <f>'Trade Data'!B8</f>
        <v>2.1643702144485442</v>
      </c>
      <c r="P69" s="187">
        <v>1</v>
      </c>
      <c r="Q69" s="352"/>
      <c r="R69" s="352"/>
      <c r="S69" s="352"/>
      <c r="T69" s="352"/>
      <c r="U69" s="352"/>
      <c r="V69" s="352"/>
      <c r="W69" s="352"/>
      <c r="X69" s="352"/>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c r="BB69" s="352"/>
      <c r="BC69" s="352"/>
      <c r="BD69" s="352"/>
      <c r="BE69" s="352"/>
      <c r="BF69" s="352"/>
      <c r="BG69" s="352"/>
      <c r="BH69" s="352"/>
      <c r="BI69" s="352"/>
      <c r="BJ69" s="352"/>
      <c r="BK69" s="352"/>
      <c r="BL69" s="352"/>
      <c r="BM69" s="352"/>
      <c r="BN69" s="352"/>
      <c r="BO69" s="352"/>
      <c r="BP69" s="352"/>
      <c r="BQ69" s="352"/>
      <c r="BR69" s="352"/>
      <c r="BS69" s="352"/>
      <c r="BT69" s="352"/>
      <c r="BU69" s="352"/>
      <c r="BV69" s="352"/>
      <c r="BW69" s="352"/>
      <c r="BX69" s="352"/>
      <c r="BY69" s="352"/>
      <c r="BZ69" s="352"/>
      <c r="CA69" s="352"/>
      <c r="CB69" s="352"/>
      <c r="CC69" s="352"/>
      <c r="CD69" s="352"/>
      <c r="CE69" s="352"/>
      <c r="CF69" s="352"/>
      <c r="CG69" s="352"/>
      <c r="CH69" s="352"/>
      <c r="CI69" s="352"/>
      <c r="CJ69" s="352"/>
      <c r="CK69" s="352"/>
      <c r="CL69" s="352"/>
      <c r="CM69" s="352"/>
      <c r="CN69" s="352"/>
      <c r="CO69" s="352"/>
      <c r="CP69" s="352"/>
      <c r="CQ69" s="352"/>
      <c r="CR69" s="352"/>
      <c r="CS69" s="352"/>
      <c r="CT69" s="352"/>
      <c r="CU69" s="352"/>
      <c r="CV69" s="352"/>
      <c r="CW69" s="352"/>
      <c r="CX69" s="352"/>
      <c r="CY69" s="352"/>
      <c r="CZ69" s="352"/>
      <c r="DA69" s="352"/>
      <c r="DB69" s="352"/>
      <c r="DC69" s="352"/>
      <c r="DD69" s="352"/>
      <c r="DE69" s="352"/>
      <c r="DF69" s="352"/>
      <c r="DG69" s="352"/>
      <c r="DH69" s="352"/>
      <c r="DI69" s="352"/>
      <c r="DJ69" s="352"/>
      <c r="DK69" s="352"/>
      <c r="DL69" s="352"/>
      <c r="DM69" s="352"/>
      <c r="DN69" s="352"/>
      <c r="DO69" s="352"/>
      <c r="DP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row>
    <row r="70" spans="1:144" ht="20.100000000000001" customHeight="1">
      <c r="A70" s="118" t="s">
        <v>3</v>
      </c>
      <c r="B70" s="118" t="s">
        <v>806</v>
      </c>
      <c r="C70" s="119">
        <f>SUM('Thomson Reuters IMA  ($)'!I127:I130)</f>
        <v>671.98199999999997</v>
      </c>
      <c r="D70" s="120">
        <f>'Sectors % GDP'!E10</f>
        <v>1751028</v>
      </c>
      <c r="E70" s="120">
        <f t="shared" si="2"/>
        <v>3.8376428018284116E-4</v>
      </c>
      <c r="F70" s="121">
        <v>1</v>
      </c>
      <c r="G70" s="120">
        <v>15</v>
      </c>
      <c r="H70" s="122">
        <v>21.53</v>
      </c>
      <c r="I70" s="131">
        <v>12.28</v>
      </c>
      <c r="J70" s="122">
        <v>55.65</v>
      </c>
      <c r="K70" s="123">
        <v>17.03</v>
      </c>
      <c r="L70" s="123">
        <f t="shared" si="3"/>
        <v>3</v>
      </c>
      <c r="M70" s="124">
        <v>0.03</v>
      </c>
      <c r="N70" s="124">
        <v>5.8</v>
      </c>
      <c r="O70" s="125">
        <f>'Trade Data'!B8</f>
        <v>2.1643702144485442</v>
      </c>
      <c r="P70" s="126">
        <v>1</v>
      </c>
      <c r="Q70" s="352"/>
      <c r="R70" s="352"/>
      <c r="S70" s="352"/>
      <c r="T70" s="352"/>
      <c r="U70" s="352"/>
      <c r="V70" s="352"/>
      <c r="W70" s="352"/>
      <c r="X70" s="352"/>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c r="BB70" s="352"/>
      <c r="BC70" s="352"/>
      <c r="BD70" s="352"/>
      <c r="BE70" s="352"/>
      <c r="BF70" s="352"/>
      <c r="BG70" s="352"/>
      <c r="BH70" s="352"/>
      <c r="BI70" s="352"/>
      <c r="BJ70" s="352"/>
      <c r="BK70" s="352"/>
      <c r="BL70" s="352"/>
      <c r="BM70" s="352"/>
      <c r="BN70" s="352"/>
      <c r="BO70" s="352"/>
      <c r="BP70" s="352"/>
      <c r="BQ70" s="352"/>
      <c r="BR70" s="352"/>
      <c r="BS70" s="352"/>
      <c r="BT70" s="352"/>
      <c r="BU70" s="352"/>
      <c r="BV70" s="352"/>
      <c r="BW70" s="352"/>
      <c r="BX70" s="352"/>
      <c r="BY70" s="352"/>
      <c r="BZ70" s="352"/>
      <c r="CA70" s="352"/>
      <c r="CB70" s="352"/>
      <c r="CC70" s="352"/>
      <c r="CD70" s="352"/>
      <c r="CE70" s="352"/>
      <c r="CF70" s="352"/>
      <c r="CG70" s="352"/>
      <c r="CH70" s="352"/>
      <c r="CI70" s="352"/>
      <c r="CJ70" s="352"/>
      <c r="CK70" s="352"/>
      <c r="CL70" s="352"/>
      <c r="CM70" s="352"/>
      <c r="CN70" s="352"/>
      <c r="CO70" s="352"/>
      <c r="CP70" s="352"/>
      <c r="CQ70" s="352"/>
      <c r="CR70" s="352"/>
      <c r="CS70" s="352"/>
      <c r="CT70" s="352"/>
      <c r="CU70" s="352"/>
      <c r="CV70" s="352"/>
      <c r="CW70" s="352"/>
      <c r="CX70" s="352"/>
      <c r="CY70" s="352"/>
      <c r="CZ70" s="352"/>
      <c r="DA70" s="352"/>
      <c r="DB70" s="352"/>
      <c r="DC70" s="352"/>
      <c r="DD70" s="352"/>
      <c r="DE70" s="352"/>
      <c r="DF70" s="352"/>
      <c r="DG70" s="352"/>
      <c r="DH70" s="352"/>
      <c r="DI70" s="352"/>
      <c r="DJ70" s="352"/>
      <c r="DK70" s="352"/>
      <c r="DL70" s="352"/>
      <c r="DM70" s="352"/>
      <c r="DN70" s="352"/>
      <c r="DO70" s="352"/>
      <c r="DP70" s="352"/>
      <c r="DQ70" s="352"/>
      <c r="DR70" s="352"/>
      <c r="DS70" s="352"/>
      <c r="DT70" s="352"/>
      <c r="DU70" s="352"/>
      <c r="DV70" s="352"/>
      <c r="DW70" s="352"/>
      <c r="DX70" s="352"/>
      <c r="DY70" s="352"/>
      <c r="DZ70" s="352"/>
      <c r="EA70" s="352"/>
      <c r="EB70" s="352"/>
      <c r="EC70" s="352"/>
      <c r="ED70" s="352"/>
      <c r="EE70" s="352"/>
      <c r="EF70" s="352"/>
      <c r="EG70" s="352"/>
      <c r="EH70" s="352"/>
      <c r="EI70" s="352"/>
      <c r="EJ70" s="352"/>
      <c r="EK70" s="352"/>
      <c r="EL70" s="352"/>
      <c r="EM70" s="352"/>
      <c r="EN70" s="352"/>
    </row>
    <row r="71" spans="1:144" s="169" customFormat="1" ht="20.100000000000001" customHeight="1">
      <c r="A71" s="160" t="s">
        <v>4</v>
      </c>
      <c r="B71" s="160" t="s">
        <v>805</v>
      </c>
      <c r="C71" s="161">
        <v>0</v>
      </c>
      <c r="D71" s="162">
        <f>'Sectors % GDP'!E8</f>
        <v>123738</v>
      </c>
      <c r="E71" s="162">
        <f t="shared" si="2"/>
        <v>0</v>
      </c>
      <c r="F71" s="163">
        <v>1</v>
      </c>
      <c r="G71" s="162">
        <v>1</v>
      </c>
      <c r="H71" s="164">
        <v>26</v>
      </c>
      <c r="I71" s="164">
        <v>16.28</v>
      </c>
      <c r="J71" s="164">
        <v>62.49</v>
      </c>
      <c r="K71" s="165">
        <v>17.03</v>
      </c>
      <c r="L71" s="165">
        <f t="shared" si="3"/>
        <v>0.5</v>
      </c>
      <c r="M71" s="166">
        <v>5.0000000000000001E-3</v>
      </c>
      <c r="N71" s="166">
        <v>5</v>
      </c>
      <c r="O71" s="167">
        <f>'Trade Data'!D8</f>
        <v>2.1175705424135502</v>
      </c>
      <c r="P71" s="170">
        <v>0</v>
      </c>
      <c r="Q71" s="352"/>
      <c r="R71" s="352"/>
      <c r="S71" s="352"/>
      <c r="T71" s="352"/>
      <c r="U71" s="352"/>
      <c r="V71" s="352"/>
      <c r="W71" s="352"/>
      <c r="X71" s="352"/>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c r="BB71" s="352"/>
      <c r="BC71" s="352"/>
      <c r="BD71" s="352"/>
      <c r="BE71" s="352"/>
      <c r="BF71" s="352"/>
      <c r="BG71" s="352"/>
      <c r="BH71" s="352"/>
      <c r="BI71" s="352"/>
      <c r="BJ71" s="352"/>
      <c r="BK71" s="352"/>
      <c r="BL71" s="352"/>
      <c r="BM71" s="352"/>
      <c r="BN71" s="352"/>
      <c r="BO71" s="352"/>
      <c r="BP71" s="352"/>
      <c r="BQ71" s="352"/>
      <c r="BR71" s="352"/>
      <c r="BS71" s="352"/>
      <c r="BT71" s="352"/>
      <c r="BU71" s="352"/>
      <c r="BV71" s="352"/>
      <c r="BW71" s="352"/>
      <c r="BX71" s="352"/>
      <c r="BY71" s="352"/>
      <c r="BZ71" s="352"/>
      <c r="CA71" s="352"/>
      <c r="CB71" s="352"/>
      <c r="CC71" s="352"/>
      <c r="CD71" s="352"/>
      <c r="CE71" s="352"/>
      <c r="CF71" s="352"/>
      <c r="CG71" s="352"/>
      <c r="CH71" s="352"/>
      <c r="CI71" s="352"/>
      <c r="CJ71" s="352"/>
      <c r="CK71" s="352"/>
      <c r="CL71" s="352"/>
      <c r="CM71" s="352"/>
      <c r="CN71" s="352"/>
      <c r="CO71" s="352"/>
      <c r="CP71" s="352"/>
      <c r="CQ71" s="352"/>
      <c r="CR71" s="352"/>
      <c r="CS71" s="352"/>
      <c r="CT71" s="352"/>
      <c r="CU71" s="352"/>
      <c r="CV71" s="352"/>
      <c r="CW71" s="352"/>
      <c r="CX71" s="352"/>
      <c r="CY71" s="352"/>
      <c r="CZ71" s="352"/>
      <c r="DA71" s="352"/>
      <c r="DB71" s="352"/>
      <c r="DC71" s="352"/>
      <c r="DD71" s="352"/>
      <c r="DE71" s="352"/>
      <c r="DF71" s="352"/>
      <c r="DG71" s="352"/>
      <c r="DH71" s="352"/>
      <c r="DI71" s="352"/>
      <c r="DJ71" s="352"/>
      <c r="DK71" s="352"/>
      <c r="DL71" s="352"/>
      <c r="DM71" s="352"/>
      <c r="DN71" s="352"/>
      <c r="DO71" s="352"/>
      <c r="DP71" s="352"/>
      <c r="DQ71" s="352"/>
      <c r="DR71" s="352"/>
      <c r="DS71" s="352"/>
      <c r="DT71" s="352"/>
      <c r="DU71" s="352"/>
      <c r="DV71" s="352"/>
      <c r="DW71" s="352"/>
      <c r="DX71" s="352"/>
      <c r="DY71" s="352"/>
      <c r="DZ71" s="352"/>
      <c r="EA71" s="352"/>
      <c r="EB71" s="352"/>
      <c r="EC71" s="352"/>
      <c r="ED71" s="352"/>
      <c r="EE71" s="352"/>
      <c r="EF71" s="352"/>
      <c r="EG71" s="352"/>
      <c r="EH71" s="352"/>
      <c r="EI71" s="352"/>
      <c r="EJ71" s="352"/>
      <c r="EK71" s="352"/>
      <c r="EL71" s="352"/>
      <c r="EM71" s="352"/>
      <c r="EN71" s="352"/>
    </row>
    <row r="72" spans="1:144" s="188" customFormat="1" ht="20.100000000000001" customHeight="1">
      <c r="A72" s="179" t="s">
        <v>4</v>
      </c>
      <c r="B72" s="179" t="s">
        <v>804</v>
      </c>
      <c r="C72" s="180">
        <f>'Thomson Reuters IMA  ($)'!I132+'Thomson Reuters IMA  ($)'!I133+'Thomson Reuters IMA  ($)'!I134+'Thomson Reuters IMA  ($)'!I135+'Thomson Reuters IMA  ($)'!I136+'Thomson Reuters IMA  ($)'!I137+'Thomson Reuters IMA  ($)'!I139+'Thomson Reuters IMA  ($)'!I140+'Thomson Reuters IMA  ($)'!I142+'Thomson Reuters IMA  ($)'!I143+'Thomson Reuters IMA  ($)'!I145</f>
        <v>1512.325</v>
      </c>
      <c r="D72" s="181">
        <f>'Sectors % GDP'!E9</f>
        <v>585234</v>
      </c>
      <c r="E72" s="181">
        <f t="shared" si="2"/>
        <v>2.5841372852568375E-3</v>
      </c>
      <c r="F72" s="182">
        <v>1</v>
      </c>
      <c r="G72" s="181">
        <v>21</v>
      </c>
      <c r="H72" s="183">
        <v>26</v>
      </c>
      <c r="I72" s="183">
        <v>16.28</v>
      </c>
      <c r="J72" s="183">
        <v>62.49</v>
      </c>
      <c r="K72" s="184">
        <v>17.03</v>
      </c>
      <c r="L72" s="184">
        <f t="shared" si="3"/>
        <v>0.5</v>
      </c>
      <c r="M72" s="185">
        <v>5.0000000000000001E-3</v>
      </c>
      <c r="N72" s="185">
        <v>5</v>
      </c>
      <c r="O72" s="186">
        <f>'Trade Data'!D8</f>
        <v>2.1175705424135502</v>
      </c>
      <c r="P72" s="189">
        <v>1</v>
      </c>
      <c r="Q72" s="352"/>
      <c r="R72" s="352"/>
      <c r="S72" s="352"/>
      <c r="T72" s="352"/>
      <c r="U72" s="352"/>
      <c r="V72" s="352"/>
      <c r="W72" s="352"/>
      <c r="X72" s="352"/>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c r="BB72" s="352"/>
      <c r="BC72" s="352"/>
      <c r="BD72" s="352"/>
      <c r="BE72" s="352"/>
      <c r="BF72" s="352"/>
      <c r="BG72" s="352"/>
      <c r="BH72" s="352"/>
      <c r="BI72" s="352"/>
      <c r="BJ72" s="352"/>
      <c r="BK72" s="352"/>
      <c r="BL72" s="352"/>
      <c r="BM72" s="352"/>
      <c r="BN72" s="352"/>
      <c r="BO72" s="352"/>
      <c r="BP72" s="352"/>
      <c r="BQ72" s="352"/>
      <c r="BR72" s="352"/>
      <c r="BS72" s="352"/>
      <c r="BT72" s="352"/>
      <c r="BU72" s="352"/>
      <c r="BV72" s="352"/>
      <c r="BW72" s="352"/>
      <c r="BX72" s="352"/>
      <c r="BY72" s="352"/>
      <c r="BZ72" s="352"/>
      <c r="CA72" s="352"/>
      <c r="CB72" s="352"/>
      <c r="CC72" s="352"/>
      <c r="CD72" s="352"/>
      <c r="CE72" s="352"/>
      <c r="CF72" s="352"/>
      <c r="CG72" s="352"/>
      <c r="CH72" s="352"/>
      <c r="CI72" s="352"/>
      <c r="CJ72" s="352"/>
      <c r="CK72" s="352"/>
      <c r="CL72" s="352"/>
      <c r="CM72" s="352"/>
      <c r="CN72" s="352"/>
      <c r="CO72" s="352"/>
      <c r="CP72" s="352"/>
      <c r="CQ72" s="352"/>
      <c r="CR72" s="352"/>
      <c r="CS72" s="352"/>
      <c r="CT72" s="352"/>
      <c r="CU72" s="352"/>
      <c r="CV72" s="352"/>
      <c r="CW72" s="352"/>
      <c r="CX72" s="352"/>
      <c r="CY72" s="352"/>
      <c r="CZ72" s="352"/>
      <c r="DA72" s="352"/>
      <c r="DB72" s="352"/>
      <c r="DC72" s="352"/>
      <c r="DD72" s="352"/>
      <c r="DE72" s="352"/>
      <c r="DF72" s="352"/>
      <c r="DG72" s="352"/>
      <c r="DH72" s="352"/>
      <c r="DI72" s="352"/>
      <c r="DJ72" s="352"/>
      <c r="DK72" s="352"/>
      <c r="DL72" s="352"/>
      <c r="DM72" s="352"/>
      <c r="DN72" s="352"/>
      <c r="DO72" s="352"/>
      <c r="DP72" s="352"/>
      <c r="DQ72" s="352"/>
      <c r="DR72" s="352"/>
      <c r="DS72" s="352"/>
      <c r="DT72" s="352"/>
      <c r="DU72" s="352"/>
      <c r="DV72" s="352"/>
      <c r="DW72" s="352"/>
      <c r="DX72" s="352"/>
      <c r="DY72" s="352"/>
      <c r="DZ72" s="352"/>
      <c r="EA72" s="352"/>
      <c r="EB72" s="352"/>
      <c r="EC72" s="352"/>
      <c r="ED72" s="352"/>
      <c r="EE72" s="352"/>
      <c r="EF72" s="352"/>
      <c r="EG72" s="352"/>
      <c r="EH72" s="352"/>
      <c r="EI72" s="352"/>
      <c r="EJ72" s="352"/>
      <c r="EK72" s="352"/>
      <c r="EL72" s="352"/>
      <c r="EM72" s="352"/>
      <c r="EN72" s="352"/>
    </row>
    <row r="73" spans="1:144" ht="20.100000000000001" customHeight="1">
      <c r="A73" s="118" t="s">
        <v>4</v>
      </c>
      <c r="B73" s="118" t="s">
        <v>803</v>
      </c>
      <c r="C73" s="119">
        <f>'Thomson Reuters IMA  ($)'!I138+'Thomson Reuters IMA  ($)'!I141+'Thomson Reuters IMA  ($)'!I144+'Thomson Reuters IMA  ($)'!I146</f>
        <v>3790.8510000000001</v>
      </c>
      <c r="D73" s="120">
        <f>'Sectors % GDP'!E10</f>
        <v>1751028</v>
      </c>
      <c r="E73" s="120">
        <f t="shared" si="2"/>
        <v>2.1649288303784977E-3</v>
      </c>
      <c r="F73" s="121">
        <v>1</v>
      </c>
      <c r="G73" s="120">
        <v>15</v>
      </c>
      <c r="H73" s="122">
        <v>26</v>
      </c>
      <c r="I73" s="131">
        <v>16.28</v>
      </c>
      <c r="J73" s="122">
        <v>62.49</v>
      </c>
      <c r="K73" s="123">
        <v>17.03</v>
      </c>
      <c r="L73" s="123">
        <f t="shared" si="3"/>
        <v>0.5</v>
      </c>
      <c r="M73" s="124">
        <v>5.0000000000000001E-3</v>
      </c>
      <c r="N73" s="124">
        <v>5</v>
      </c>
      <c r="O73" s="125">
        <f>'Trade Data'!D8</f>
        <v>2.1175705424135502</v>
      </c>
      <c r="P73" s="127">
        <v>1</v>
      </c>
      <c r="Q73" s="352"/>
      <c r="R73" s="352"/>
      <c r="S73" s="352"/>
      <c r="T73" s="352"/>
      <c r="U73" s="352"/>
      <c r="V73" s="352"/>
      <c r="W73" s="352"/>
      <c r="X73" s="352"/>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c r="BB73" s="352"/>
      <c r="BC73" s="352"/>
      <c r="BD73" s="352"/>
      <c r="BE73" s="352"/>
      <c r="BF73" s="352"/>
      <c r="BG73" s="352"/>
      <c r="BH73" s="352"/>
      <c r="BI73" s="352"/>
      <c r="BJ73" s="352"/>
      <c r="BK73" s="352"/>
      <c r="BL73" s="352"/>
      <c r="BM73" s="352"/>
      <c r="BN73" s="352"/>
      <c r="BO73" s="352"/>
      <c r="BP73" s="352"/>
      <c r="BQ73" s="352"/>
      <c r="BR73" s="352"/>
      <c r="BS73" s="352"/>
      <c r="BT73" s="352"/>
      <c r="BU73" s="352"/>
      <c r="BV73" s="352"/>
      <c r="BW73" s="352"/>
      <c r="BX73" s="352"/>
      <c r="BY73" s="352"/>
      <c r="BZ73" s="352"/>
      <c r="CA73" s="352"/>
      <c r="CB73" s="352"/>
      <c r="CC73" s="352"/>
      <c r="CD73" s="352"/>
      <c r="CE73" s="352"/>
      <c r="CF73" s="352"/>
      <c r="CG73" s="352"/>
      <c r="CH73" s="352"/>
      <c r="CI73" s="352"/>
      <c r="CJ73" s="352"/>
      <c r="CK73" s="352"/>
      <c r="CL73" s="352"/>
      <c r="CM73" s="352"/>
      <c r="CN73" s="352"/>
      <c r="CO73" s="352"/>
      <c r="CP73" s="352"/>
      <c r="CQ73" s="352"/>
      <c r="CR73" s="352"/>
      <c r="CS73" s="352"/>
      <c r="CT73" s="352"/>
      <c r="CU73" s="352"/>
      <c r="CV73" s="352"/>
      <c r="CW73" s="352"/>
      <c r="CX73" s="352"/>
      <c r="CY73" s="352"/>
      <c r="CZ73" s="352"/>
      <c r="DA73" s="352"/>
      <c r="DB73" s="352"/>
      <c r="DC73" s="352"/>
      <c r="DD73" s="352"/>
      <c r="DE73" s="352"/>
      <c r="DF73" s="352"/>
      <c r="DG73" s="352"/>
      <c r="DH73" s="352"/>
      <c r="DI73" s="352"/>
      <c r="DJ73" s="352"/>
      <c r="DK73" s="352"/>
      <c r="DL73" s="352"/>
      <c r="DM73" s="352"/>
      <c r="DN73" s="352"/>
      <c r="DO73" s="352"/>
      <c r="DP73" s="352"/>
      <c r="DQ73" s="352"/>
      <c r="DR73" s="352"/>
      <c r="DS73" s="352"/>
      <c r="DT73" s="352"/>
      <c r="DU73" s="352"/>
      <c r="DV73" s="352"/>
      <c r="DW73" s="352"/>
      <c r="DX73" s="352"/>
      <c r="DY73" s="352"/>
      <c r="DZ73" s="352"/>
      <c r="EA73" s="352"/>
      <c r="EB73" s="352"/>
      <c r="EC73" s="352"/>
      <c r="ED73" s="352"/>
      <c r="EE73" s="352"/>
      <c r="EF73" s="352"/>
      <c r="EG73" s="352"/>
      <c r="EH73" s="352"/>
      <c r="EI73" s="352"/>
      <c r="EJ73" s="352"/>
      <c r="EK73" s="352"/>
      <c r="EL73" s="352"/>
      <c r="EM73" s="352"/>
      <c r="EN73" s="352"/>
    </row>
    <row r="74" spans="1:144" s="169" customFormat="1" ht="20.100000000000001" customHeight="1">
      <c r="A74" s="160" t="s">
        <v>5</v>
      </c>
      <c r="B74" s="160" t="s">
        <v>802</v>
      </c>
      <c r="C74" s="161">
        <v>0</v>
      </c>
      <c r="D74" s="162">
        <f>'Sectors % GDP'!E8</f>
        <v>123738</v>
      </c>
      <c r="E74" s="162">
        <f t="shared" si="2"/>
        <v>0</v>
      </c>
      <c r="F74" s="163">
        <v>1</v>
      </c>
      <c r="G74" s="162">
        <v>1</v>
      </c>
      <c r="H74" s="164">
        <v>29.5</v>
      </c>
      <c r="I74" s="164">
        <v>39.090000000000003</v>
      </c>
      <c r="J74" s="164">
        <v>45.81</v>
      </c>
      <c r="K74" s="165">
        <v>17.03</v>
      </c>
      <c r="L74" s="165">
        <f t="shared" si="3"/>
        <v>0.5</v>
      </c>
      <c r="M74" s="166">
        <v>5.0000000000000001E-3</v>
      </c>
      <c r="N74" s="166">
        <v>5</v>
      </c>
      <c r="O74" s="167">
        <f>'Trade Data'!D8</f>
        <v>2.1175705424135502</v>
      </c>
      <c r="P74" s="168">
        <v>0</v>
      </c>
      <c r="Q74" s="352"/>
      <c r="R74" s="352"/>
      <c r="S74" s="352"/>
      <c r="T74" s="352"/>
      <c r="U74" s="352"/>
      <c r="V74" s="352"/>
      <c r="W74" s="352"/>
      <c r="X74" s="352"/>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2"/>
      <c r="DL74" s="352"/>
      <c r="DM74" s="352"/>
      <c r="DN74" s="352"/>
      <c r="DO74" s="352"/>
      <c r="DP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row>
    <row r="75" spans="1:144" s="188" customFormat="1" ht="20.100000000000001" customHeight="1">
      <c r="A75" s="179" t="s">
        <v>5</v>
      </c>
      <c r="B75" s="179" t="s">
        <v>801</v>
      </c>
      <c r="C75" s="180">
        <f>'Thomson Reuters IMA  ($)'!I148+'Thomson Reuters IMA  ($)'!I149+'Thomson Reuters IMA  ($)'!I151+'Thomson Reuters IMA  ($)'!I154+'Thomson Reuters IMA  ($)'!I156+'Thomson Reuters IMA  ($)'!I157</f>
        <v>561.30700000000002</v>
      </c>
      <c r="D75" s="181">
        <f>'Sectors % GDP'!E9</f>
        <v>585234</v>
      </c>
      <c r="E75" s="181">
        <f t="shared" si="2"/>
        <v>9.5911549909950551E-4</v>
      </c>
      <c r="F75" s="182">
        <v>1</v>
      </c>
      <c r="G75" s="181">
        <v>18</v>
      </c>
      <c r="H75" s="183">
        <v>29.5</v>
      </c>
      <c r="I75" s="183">
        <v>39.090000000000003</v>
      </c>
      <c r="J75" s="183">
        <v>45.81</v>
      </c>
      <c r="K75" s="184">
        <v>17.03</v>
      </c>
      <c r="L75" s="184">
        <f t="shared" si="3"/>
        <v>0.5</v>
      </c>
      <c r="M75" s="185">
        <v>5.0000000000000001E-3</v>
      </c>
      <c r="N75" s="185">
        <v>5</v>
      </c>
      <c r="O75" s="186">
        <f>'Trade Data'!D8</f>
        <v>2.1175705424135502</v>
      </c>
      <c r="P75" s="187">
        <v>1</v>
      </c>
      <c r="Q75" s="352"/>
      <c r="R75" s="352"/>
      <c r="S75" s="352"/>
      <c r="T75" s="352"/>
      <c r="U75" s="352"/>
      <c r="V75" s="352"/>
      <c r="W75" s="352"/>
      <c r="X75" s="352"/>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c r="BB75" s="352"/>
      <c r="BC75" s="352"/>
      <c r="BD75" s="352"/>
      <c r="BE75" s="352"/>
      <c r="BF75" s="352"/>
      <c r="BG75" s="352"/>
      <c r="BH75" s="352"/>
      <c r="BI75" s="352"/>
      <c r="BJ75" s="352"/>
      <c r="BK75" s="352"/>
      <c r="BL75" s="352"/>
      <c r="BM75" s="352"/>
      <c r="BN75" s="352"/>
      <c r="BO75" s="352"/>
      <c r="BP75" s="352"/>
      <c r="BQ75" s="352"/>
      <c r="BR75" s="352"/>
      <c r="BS75" s="352"/>
      <c r="BT75" s="352"/>
      <c r="BU75" s="352"/>
      <c r="BV75" s="352"/>
      <c r="BW75" s="352"/>
      <c r="BX75" s="352"/>
      <c r="BY75" s="352"/>
      <c r="BZ75" s="352"/>
      <c r="CA75" s="352"/>
      <c r="CB75" s="352"/>
      <c r="CC75" s="352"/>
      <c r="CD75" s="352"/>
      <c r="CE75" s="352"/>
      <c r="CF75" s="352"/>
      <c r="CG75" s="352"/>
      <c r="CH75" s="352"/>
      <c r="CI75" s="352"/>
      <c r="CJ75" s="352"/>
      <c r="CK75" s="352"/>
      <c r="CL75" s="352"/>
      <c r="CM75" s="352"/>
      <c r="CN75" s="352"/>
      <c r="CO75" s="352"/>
      <c r="CP75" s="352"/>
      <c r="CQ75" s="352"/>
      <c r="CR75" s="352"/>
      <c r="CS75" s="352"/>
      <c r="CT75" s="352"/>
      <c r="CU75" s="352"/>
      <c r="CV75" s="352"/>
      <c r="CW75" s="352"/>
      <c r="CX75" s="352"/>
      <c r="CY75" s="352"/>
      <c r="CZ75" s="352"/>
      <c r="DA75" s="352"/>
      <c r="DB75" s="352"/>
      <c r="DC75" s="352"/>
      <c r="DD75" s="352"/>
      <c r="DE75" s="352"/>
      <c r="DF75" s="352"/>
      <c r="DG75" s="352"/>
      <c r="DH75" s="352"/>
      <c r="DI75" s="352"/>
      <c r="DJ75" s="352"/>
      <c r="DK75" s="352"/>
      <c r="DL75" s="352"/>
      <c r="DM75" s="352"/>
      <c r="DN75" s="352"/>
      <c r="DO75" s="352"/>
      <c r="DP75" s="352"/>
      <c r="DQ75" s="352"/>
      <c r="DR75" s="352"/>
      <c r="DS75" s="352"/>
      <c r="DT75" s="352"/>
      <c r="DU75" s="352"/>
      <c r="DV75" s="352"/>
      <c r="DW75" s="352"/>
      <c r="DX75" s="352"/>
      <c r="DY75" s="352"/>
      <c r="DZ75" s="352"/>
      <c r="EA75" s="352"/>
      <c r="EB75" s="352"/>
      <c r="EC75" s="352"/>
      <c r="ED75" s="352"/>
      <c r="EE75" s="352"/>
      <c r="EF75" s="352"/>
      <c r="EG75" s="352"/>
      <c r="EH75" s="352"/>
      <c r="EI75" s="352"/>
      <c r="EJ75" s="352"/>
      <c r="EK75" s="352"/>
      <c r="EL75" s="352"/>
      <c r="EM75" s="352"/>
      <c r="EN75" s="352"/>
    </row>
    <row r="76" spans="1:144" ht="20.100000000000001" customHeight="1">
      <c r="A76" s="118" t="s">
        <v>5</v>
      </c>
      <c r="B76" s="118" t="s">
        <v>800</v>
      </c>
      <c r="C76" s="119">
        <f>'Thomson Reuters IMA  ($)'!I147+'Thomson Reuters IMA  ($)'!I150+'Thomson Reuters IMA  ($)'!I152+'Thomson Reuters IMA  ($)'!I153+'Thomson Reuters IMA  ($)'!I155</f>
        <v>158.37700000000001</v>
      </c>
      <c r="D76" s="120">
        <f>'Sectors % GDP'!E10</f>
        <v>1751028</v>
      </c>
      <c r="E76" s="120">
        <f t="shared" si="2"/>
        <v>9.0448011111187259E-5</v>
      </c>
      <c r="F76" s="121">
        <v>1</v>
      </c>
      <c r="G76" s="120">
        <v>21</v>
      </c>
      <c r="H76" s="122">
        <v>29.5</v>
      </c>
      <c r="I76" s="131">
        <v>39.090000000000003</v>
      </c>
      <c r="J76" s="122">
        <v>45.81</v>
      </c>
      <c r="K76" s="123">
        <v>17.03</v>
      </c>
      <c r="L76" s="123">
        <f t="shared" si="3"/>
        <v>0.5</v>
      </c>
      <c r="M76" s="124">
        <v>5.0000000000000001E-3</v>
      </c>
      <c r="N76" s="124">
        <v>5</v>
      </c>
      <c r="O76" s="125">
        <f>'Trade Data'!D8</f>
        <v>2.1175705424135502</v>
      </c>
      <c r="P76" s="126">
        <v>1</v>
      </c>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352"/>
      <c r="BP76" s="352"/>
      <c r="BQ76" s="352"/>
      <c r="BR76" s="352"/>
      <c r="BS76" s="352"/>
      <c r="BT76" s="352"/>
      <c r="BU76" s="352"/>
      <c r="BV76" s="352"/>
      <c r="BW76" s="352"/>
      <c r="BX76" s="352"/>
      <c r="BY76" s="352"/>
      <c r="BZ76" s="352"/>
      <c r="CA76" s="352"/>
      <c r="CB76" s="352"/>
      <c r="CC76" s="352"/>
      <c r="CD76" s="352"/>
      <c r="CE76" s="352"/>
      <c r="CF76" s="352"/>
      <c r="CG76" s="352"/>
      <c r="CH76" s="352"/>
      <c r="CI76" s="352"/>
      <c r="CJ76" s="352"/>
      <c r="CK76" s="352"/>
      <c r="CL76" s="352"/>
      <c r="CM76" s="352"/>
      <c r="CN76" s="352"/>
      <c r="CO76" s="352"/>
      <c r="CP76" s="352"/>
      <c r="CQ76" s="352"/>
      <c r="CR76" s="352"/>
      <c r="CS76" s="352"/>
      <c r="CT76" s="352"/>
      <c r="CU76" s="352"/>
      <c r="CV76" s="352"/>
      <c r="CW76" s="352"/>
      <c r="CX76" s="352"/>
      <c r="CY76" s="352"/>
      <c r="CZ76" s="352"/>
      <c r="DA76" s="352"/>
      <c r="DB76" s="352"/>
      <c r="DC76" s="352"/>
      <c r="DD76" s="352"/>
      <c r="DE76" s="352"/>
      <c r="DF76" s="352"/>
      <c r="DG76" s="352"/>
      <c r="DH76" s="352"/>
      <c r="DI76" s="352"/>
      <c r="DJ76" s="352"/>
      <c r="DK76" s="352"/>
      <c r="DL76" s="352"/>
      <c r="DM76" s="352"/>
      <c r="DN76" s="352"/>
      <c r="DO76" s="352"/>
      <c r="DP76" s="352"/>
      <c r="DQ76" s="352"/>
      <c r="DR76" s="352"/>
      <c r="DS76" s="352"/>
      <c r="DT76" s="352"/>
      <c r="DU76" s="352"/>
      <c r="DV76" s="352"/>
      <c r="DW76" s="352"/>
      <c r="DX76" s="352"/>
      <c r="DY76" s="352"/>
      <c r="DZ76" s="352"/>
      <c r="EA76" s="352"/>
      <c r="EB76" s="352"/>
      <c r="EC76" s="352"/>
      <c r="ED76" s="352"/>
      <c r="EE76" s="352"/>
      <c r="EF76" s="352"/>
      <c r="EG76" s="352"/>
      <c r="EH76" s="352"/>
      <c r="EI76" s="352"/>
      <c r="EJ76" s="352"/>
      <c r="EK76" s="352"/>
      <c r="EL76" s="352"/>
      <c r="EM76" s="352"/>
      <c r="EN76" s="352"/>
    </row>
    <row r="77" spans="1:144" s="169" customFormat="1" ht="20.100000000000001" customHeight="1">
      <c r="A77" s="160" t="s">
        <v>6</v>
      </c>
      <c r="B77" s="160" t="s">
        <v>799</v>
      </c>
      <c r="C77" s="161">
        <v>0</v>
      </c>
      <c r="D77" s="162">
        <f>'Sectors % GDP'!E8</f>
        <v>123738</v>
      </c>
      <c r="E77" s="162">
        <f t="shared" si="2"/>
        <v>0</v>
      </c>
      <c r="F77" s="163">
        <v>0</v>
      </c>
      <c r="G77" s="162">
        <v>0</v>
      </c>
      <c r="H77" s="164">
        <v>23.34</v>
      </c>
      <c r="I77" s="164">
        <v>30.51</v>
      </c>
      <c r="J77" s="164">
        <v>37.79</v>
      </c>
      <c r="K77" s="165">
        <v>17.03</v>
      </c>
      <c r="L77" s="165">
        <f t="shared" si="3"/>
        <v>0.5</v>
      </c>
      <c r="M77" s="166">
        <v>5.0000000000000001E-3</v>
      </c>
      <c r="N77" s="166">
        <v>5</v>
      </c>
      <c r="O77" s="167">
        <f>'Trade Data'!D8</f>
        <v>2.1175705424135502</v>
      </c>
      <c r="P77" s="170">
        <v>0</v>
      </c>
      <c r="Q77" s="352"/>
      <c r="R77" s="352"/>
      <c r="S77" s="352"/>
      <c r="T77" s="35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c r="BT77" s="352"/>
      <c r="BU77" s="352"/>
      <c r="BV77" s="352"/>
      <c r="BW77" s="352"/>
      <c r="BX77" s="352"/>
      <c r="BY77" s="352"/>
      <c r="BZ77" s="352"/>
      <c r="CA77" s="352"/>
      <c r="CB77" s="352"/>
      <c r="CC77" s="352"/>
      <c r="CD77" s="352"/>
      <c r="CE77" s="352"/>
      <c r="CF77" s="352"/>
      <c r="CG77" s="352"/>
      <c r="CH77" s="352"/>
      <c r="CI77" s="352"/>
      <c r="CJ77" s="352"/>
      <c r="CK77" s="352"/>
      <c r="CL77" s="352"/>
      <c r="CM77" s="352"/>
      <c r="CN77" s="352"/>
      <c r="CO77" s="352"/>
      <c r="CP77" s="352"/>
      <c r="CQ77" s="352"/>
      <c r="CR77" s="352"/>
      <c r="CS77" s="352"/>
      <c r="CT77" s="352"/>
      <c r="CU77" s="352"/>
      <c r="CV77" s="352"/>
      <c r="CW77" s="352"/>
      <c r="CX77" s="352"/>
      <c r="CY77" s="352"/>
      <c r="CZ77" s="352"/>
      <c r="DA77" s="352"/>
      <c r="DB77" s="352"/>
      <c r="DC77" s="352"/>
      <c r="DD77" s="352"/>
      <c r="DE77" s="352"/>
      <c r="DF77" s="352"/>
      <c r="DG77" s="352"/>
      <c r="DH77" s="352"/>
      <c r="DI77" s="352"/>
      <c r="DJ77" s="352"/>
      <c r="DK77" s="352"/>
      <c r="DL77" s="352"/>
      <c r="DM77" s="352"/>
      <c r="DN77" s="352"/>
      <c r="DO77" s="352"/>
      <c r="DP77" s="352"/>
      <c r="DQ77" s="352"/>
      <c r="DR77" s="352"/>
      <c r="DS77" s="352"/>
      <c r="DT77" s="352"/>
      <c r="DU77" s="352"/>
      <c r="DV77" s="352"/>
      <c r="DW77" s="352"/>
      <c r="DX77" s="352"/>
      <c r="DY77" s="352"/>
      <c r="DZ77" s="352"/>
      <c r="EA77" s="352"/>
      <c r="EB77" s="352"/>
      <c r="EC77" s="352"/>
      <c r="ED77" s="352"/>
      <c r="EE77" s="352"/>
      <c r="EF77" s="352"/>
      <c r="EG77" s="352"/>
      <c r="EH77" s="352"/>
      <c r="EI77" s="352"/>
      <c r="EJ77" s="352"/>
      <c r="EK77" s="352"/>
      <c r="EL77" s="352"/>
      <c r="EM77" s="352"/>
      <c r="EN77" s="352"/>
    </row>
    <row r="78" spans="1:144" s="188" customFormat="1" ht="20.100000000000001" customHeight="1">
      <c r="A78" s="179" t="s">
        <v>6</v>
      </c>
      <c r="B78" s="179" t="s">
        <v>798</v>
      </c>
      <c r="C78" s="180">
        <f>'Thomson Reuters IMA  ($)'!I160+'Thomson Reuters IMA  ($)'!I161+'Thomson Reuters IMA  ($)'!I162+'Thomson Reuters IMA  ($)'!I164+'Thomson Reuters IMA  ($)'!I166+'Thomson Reuters IMA  ($)'!I170+'Thomson Reuters IMA  ($)'!I171+'Thomson Reuters IMA  ($)'!I172</f>
        <v>172.24699999999999</v>
      </c>
      <c r="D78" s="181">
        <f>'Sectors % GDP'!E9</f>
        <v>585234</v>
      </c>
      <c r="E78" s="181">
        <f t="shared" si="2"/>
        <v>2.9432158760427449E-4</v>
      </c>
      <c r="F78" s="182">
        <v>1</v>
      </c>
      <c r="G78" s="181">
        <v>24</v>
      </c>
      <c r="H78" s="183">
        <v>23.34</v>
      </c>
      <c r="I78" s="183">
        <v>30.51</v>
      </c>
      <c r="J78" s="183">
        <v>37.79</v>
      </c>
      <c r="K78" s="184">
        <v>17.03</v>
      </c>
      <c r="L78" s="184">
        <f t="shared" si="3"/>
        <v>0.5</v>
      </c>
      <c r="M78" s="185">
        <v>5.0000000000000001E-3</v>
      </c>
      <c r="N78" s="185">
        <v>5</v>
      </c>
      <c r="O78" s="186">
        <f>'Trade Data'!D8</f>
        <v>2.1175705424135502</v>
      </c>
      <c r="P78" s="189">
        <v>1</v>
      </c>
      <c r="Q78" s="352"/>
      <c r="R78" s="352"/>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352"/>
      <c r="BP78" s="352"/>
      <c r="BQ78" s="352"/>
      <c r="BR78" s="352"/>
      <c r="BS78" s="352"/>
      <c r="BT78" s="352"/>
      <c r="BU78" s="352"/>
      <c r="BV78" s="352"/>
      <c r="BW78" s="352"/>
      <c r="BX78" s="352"/>
      <c r="BY78" s="352"/>
      <c r="BZ78" s="352"/>
      <c r="CA78" s="352"/>
      <c r="CB78" s="352"/>
      <c r="CC78" s="352"/>
      <c r="CD78" s="352"/>
      <c r="CE78" s="352"/>
      <c r="CF78" s="352"/>
      <c r="CG78" s="352"/>
      <c r="CH78" s="352"/>
      <c r="CI78" s="352"/>
      <c r="CJ78" s="352"/>
      <c r="CK78" s="352"/>
      <c r="CL78" s="352"/>
      <c r="CM78" s="352"/>
      <c r="CN78" s="352"/>
      <c r="CO78" s="352"/>
      <c r="CP78" s="352"/>
      <c r="CQ78" s="352"/>
      <c r="CR78" s="352"/>
      <c r="CS78" s="352"/>
      <c r="CT78" s="352"/>
      <c r="CU78" s="352"/>
      <c r="CV78" s="352"/>
      <c r="CW78" s="352"/>
      <c r="CX78" s="352"/>
      <c r="CY78" s="352"/>
      <c r="CZ78" s="352"/>
      <c r="DA78" s="352"/>
      <c r="DB78" s="352"/>
      <c r="DC78" s="352"/>
      <c r="DD78" s="352"/>
      <c r="DE78" s="352"/>
      <c r="DF78" s="352"/>
      <c r="DG78" s="352"/>
      <c r="DH78" s="352"/>
      <c r="DI78" s="352"/>
      <c r="DJ78" s="352"/>
      <c r="DK78" s="352"/>
      <c r="DL78" s="352"/>
      <c r="DM78" s="352"/>
      <c r="DN78" s="352"/>
      <c r="DO78" s="352"/>
      <c r="DP78" s="352"/>
      <c r="DQ78" s="352"/>
      <c r="DR78" s="352"/>
      <c r="DS78" s="352"/>
      <c r="DT78" s="352"/>
      <c r="DU78" s="352"/>
      <c r="DV78" s="352"/>
      <c r="DW78" s="352"/>
      <c r="DX78" s="352"/>
      <c r="DY78" s="352"/>
      <c r="DZ78" s="352"/>
      <c r="EA78" s="352"/>
      <c r="EB78" s="352"/>
      <c r="EC78" s="352"/>
      <c r="ED78" s="352"/>
      <c r="EE78" s="352"/>
      <c r="EF78" s="352"/>
      <c r="EG78" s="352"/>
      <c r="EH78" s="352"/>
      <c r="EI78" s="352"/>
      <c r="EJ78" s="352"/>
      <c r="EK78" s="352"/>
      <c r="EL78" s="352"/>
      <c r="EM78" s="352"/>
      <c r="EN78" s="352"/>
    </row>
    <row r="79" spans="1:144" ht="20.100000000000001" customHeight="1">
      <c r="A79" s="118" t="s">
        <v>6</v>
      </c>
      <c r="B79" s="118" t="s">
        <v>797</v>
      </c>
      <c r="C79" s="119">
        <f>'Thomson Reuters IMA  ($)'!I158+'Thomson Reuters IMA  ($)'!I159+'Thomson Reuters IMA  ($)'!I163+'Thomson Reuters IMA  ($)'!I165+'Thomson Reuters IMA  ($)'!I167+'Thomson Reuters IMA  ($)'!I168+'Thomson Reuters IMA  ($)'!I169+'Thomson Reuters IMA  ($)'!I173</f>
        <v>187.279</v>
      </c>
      <c r="D79" s="120">
        <f>'Sectors % GDP'!E10</f>
        <v>1751028</v>
      </c>
      <c r="E79" s="120">
        <f t="shared" si="2"/>
        <v>1.0695374374367514E-4</v>
      </c>
      <c r="F79" s="121">
        <v>1</v>
      </c>
      <c r="G79" s="120">
        <v>34</v>
      </c>
      <c r="H79" s="122">
        <v>23.34</v>
      </c>
      <c r="I79" s="131">
        <v>30.51</v>
      </c>
      <c r="J79" s="122">
        <v>37.79</v>
      </c>
      <c r="K79" s="123">
        <v>17.03</v>
      </c>
      <c r="L79" s="123">
        <f t="shared" si="3"/>
        <v>0.5</v>
      </c>
      <c r="M79" s="124">
        <v>5.0000000000000001E-3</v>
      </c>
      <c r="N79" s="124">
        <v>5</v>
      </c>
      <c r="O79" s="125">
        <f>'Trade Data'!D8</f>
        <v>2.1175705424135502</v>
      </c>
      <c r="P79" s="127">
        <v>1</v>
      </c>
      <c r="Q79" s="352"/>
      <c r="R79" s="352"/>
      <c r="S79" s="352"/>
      <c r="T79" s="35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c r="BG79" s="352"/>
      <c r="BH79" s="352"/>
      <c r="BI79" s="352"/>
      <c r="BJ79" s="352"/>
      <c r="BK79" s="352"/>
      <c r="BL79" s="352"/>
      <c r="BM79" s="352"/>
      <c r="BN79" s="352"/>
      <c r="BO79" s="352"/>
      <c r="BP79" s="352"/>
      <c r="BQ79" s="352"/>
      <c r="BR79" s="352"/>
      <c r="BS79" s="352"/>
      <c r="BT79" s="352"/>
      <c r="BU79" s="352"/>
      <c r="BV79" s="352"/>
      <c r="BW79" s="352"/>
      <c r="BX79" s="352"/>
      <c r="BY79" s="352"/>
      <c r="BZ79" s="352"/>
      <c r="CA79" s="352"/>
      <c r="CB79" s="352"/>
      <c r="CC79" s="352"/>
      <c r="CD79" s="352"/>
      <c r="CE79" s="352"/>
      <c r="CF79" s="352"/>
      <c r="CG79" s="352"/>
      <c r="CH79" s="352"/>
      <c r="CI79" s="352"/>
      <c r="CJ79" s="352"/>
      <c r="CK79" s="352"/>
      <c r="CL79" s="352"/>
      <c r="CM79" s="352"/>
      <c r="CN79" s="352"/>
      <c r="CO79" s="352"/>
      <c r="CP79" s="352"/>
      <c r="CQ79" s="352"/>
      <c r="CR79" s="352"/>
      <c r="CS79" s="352"/>
      <c r="CT79" s="352"/>
      <c r="CU79" s="352"/>
      <c r="CV79" s="352"/>
      <c r="CW79" s="352"/>
      <c r="CX79" s="352"/>
      <c r="CY79" s="352"/>
      <c r="CZ79" s="352"/>
      <c r="DA79" s="352"/>
      <c r="DB79" s="352"/>
      <c r="DC79" s="352"/>
      <c r="DD79" s="352"/>
      <c r="DE79" s="352"/>
      <c r="DF79" s="352"/>
      <c r="DG79" s="352"/>
      <c r="DH79" s="352"/>
      <c r="DI79" s="352"/>
      <c r="DJ79" s="352"/>
      <c r="DK79" s="352"/>
      <c r="DL79" s="352"/>
      <c r="DM79" s="352"/>
      <c r="DN79" s="352"/>
      <c r="DO79" s="352"/>
      <c r="DP79" s="352"/>
      <c r="DQ79" s="352"/>
      <c r="DR79" s="352"/>
      <c r="DS79" s="352"/>
      <c r="DT79" s="352"/>
      <c r="DU79" s="352"/>
      <c r="DV79" s="352"/>
      <c r="DW79" s="352"/>
      <c r="DX79" s="352"/>
      <c r="DY79" s="352"/>
      <c r="DZ79" s="352"/>
      <c r="EA79" s="352"/>
      <c r="EB79" s="352"/>
      <c r="EC79" s="352"/>
      <c r="ED79" s="352"/>
      <c r="EE79" s="352"/>
      <c r="EF79" s="352"/>
      <c r="EG79" s="352"/>
      <c r="EH79" s="352"/>
      <c r="EI79" s="352"/>
      <c r="EJ79" s="352"/>
      <c r="EK79" s="352"/>
      <c r="EL79" s="352"/>
      <c r="EM79" s="352"/>
      <c r="EN79" s="352"/>
    </row>
    <row r="80" spans="1:144" s="169" customFormat="1" ht="20.100000000000001" customHeight="1">
      <c r="A80" s="160" t="s">
        <v>7</v>
      </c>
      <c r="B80" s="160" t="s">
        <v>796</v>
      </c>
      <c r="C80" s="161">
        <f>'Thomson Reuters IMA  ($)'!I179+'Thomson Reuters IMA  ($)'!I180</f>
        <v>21.498999999999999</v>
      </c>
      <c r="D80" s="162">
        <f>'Sectors % GDP'!G8</f>
        <v>89460</v>
      </c>
      <c r="E80" s="162">
        <f t="shared" si="2"/>
        <v>2.4031969595349876E-4</v>
      </c>
      <c r="F80" s="163">
        <v>1</v>
      </c>
      <c r="G80" s="162">
        <v>2</v>
      </c>
      <c r="H80" s="164">
        <v>17.93</v>
      </c>
      <c r="I80" s="164">
        <v>21.26</v>
      </c>
      <c r="J80" s="164">
        <v>34.24</v>
      </c>
      <c r="K80" s="165">
        <v>12.15</v>
      </c>
      <c r="L80" s="165">
        <f t="shared" si="3"/>
        <v>0.5</v>
      </c>
      <c r="M80" s="166">
        <v>5.0000000000000001E-3</v>
      </c>
      <c r="N80" s="166">
        <v>5</v>
      </c>
      <c r="O80" s="167">
        <f>'Trade Data'!D8</f>
        <v>2.1175705424135502</v>
      </c>
      <c r="P80" s="168">
        <v>0</v>
      </c>
      <c r="Q80" s="352"/>
      <c r="R80" s="352"/>
      <c r="S80" s="352"/>
      <c r="T80" s="352"/>
      <c r="U80" s="352"/>
      <c r="V80" s="352"/>
      <c r="W80" s="352"/>
      <c r="X80" s="352"/>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c r="BB80" s="352"/>
      <c r="BC80" s="352"/>
      <c r="BD80" s="352"/>
      <c r="BE80" s="352"/>
      <c r="BF80" s="352"/>
      <c r="BG80" s="352"/>
      <c r="BH80" s="352"/>
      <c r="BI80" s="352"/>
      <c r="BJ80" s="352"/>
      <c r="BK80" s="352"/>
      <c r="BL80" s="352"/>
      <c r="BM80" s="352"/>
      <c r="BN80" s="352"/>
      <c r="BO80" s="352"/>
      <c r="BP80" s="352"/>
      <c r="BQ80" s="352"/>
      <c r="BR80" s="352"/>
      <c r="BS80" s="352"/>
      <c r="BT80" s="352"/>
      <c r="BU80" s="352"/>
      <c r="BV80" s="352"/>
      <c r="BW80" s="352"/>
      <c r="BX80" s="352"/>
      <c r="BY80" s="352"/>
      <c r="BZ80" s="352"/>
      <c r="CA80" s="352"/>
      <c r="CB80" s="352"/>
      <c r="CC80" s="352"/>
      <c r="CD80" s="352"/>
      <c r="CE80" s="352"/>
      <c r="CF80" s="352"/>
      <c r="CG80" s="352"/>
      <c r="CH80" s="352"/>
      <c r="CI80" s="352"/>
      <c r="CJ80" s="352"/>
      <c r="CK80" s="352"/>
      <c r="CL80" s="352"/>
      <c r="CM80" s="352"/>
      <c r="CN80" s="352"/>
      <c r="CO80" s="352"/>
      <c r="CP80" s="352"/>
      <c r="CQ80" s="352"/>
      <c r="CR80" s="352"/>
      <c r="CS80" s="352"/>
      <c r="CT80" s="352"/>
      <c r="CU80" s="352"/>
      <c r="CV80" s="352"/>
      <c r="CW80" s="352"/>
      <c r="CX80" s="352"/>
      <c r="CY80" s="352"/>
      <c r="CZ80" s="352"/>
      <c r="DA80" s="352"/>
      <c r="DB80" s="352"/>
      <c r="DC80" s="352"/>
      <c r="DD80" s="352"/>
      <c r="DE80" s="352"/>
      <c r="DF80" s="352"/>
      <c r="DG80" s="352"/>
      <c r="DH80" s="352"/>
      <c r="DI80" s="352"/>
      <c r="DJ80" s="352"/>
      <c r="DK80" s="352"/>
      <c r="DL80" s="352"/>
      <c r="DM80" s="352"/>
      <c r="DN80" s="352"/>
      <c r="DO80" s="352"/>
      <c r="DP80" s="352"/>
      <c r="DQ80" s="352"/>
      <c r="DR80" s="352"/>
      <c r="DS80" s="352"/>
      <c r="DT80" s="352"/>
      <c r="DU80" s="352"/>
      <c r="DV80" s="352"/>
      <c r="DW80" s="352"/>
      <c r="DX80" s="352"/>
      <c r="DY80" s="352"/>
      <c r="DZ80" s="352"/>
      <c r="EA80" s="352"/>
      <c r="EB80" s="352"/>
      <c r="EC80" s="352"/>
      <c r="ED80" s="352"/>
      <c r="EE80" s="352"/>
      <c r="EF80" s="352"/>
      <c r="EG80" s="352"/>
      <c r="EH80" s="352"/>
      <c r="EI80" s="352"/>
      <c r="EJ80" s="352"/>
      <c r="EK80" s="352"/>
      <c r="EL80" s="352"/>
      <c r="EM80" s="352"/>
      <c r="EN80" s="352"/>
    </row>
    <row r="81" spans="1:144" s="188" customFormat="1" ht="20.100000000000001" customHeight="1">
      <c r="A81" s="179" t="s">
        <v>881</v>
      </c>
      <c r="B81" s="179" t="s">
        <v>795</v>
      </c>
      <c r="C81" s="180">
        <f>'Thomson Reuters IMA  ($)'!I174+'Thomson Reuters IMA  ($)'!I175+'Thomson Reuters IMA  ($)'!I183</f>
        <v>56.18</v>
      </c>
      <c r="D81" s="181">
        <f>'Sectors % GDP'!G9</f>
        <v>402300</v>
      </c>
      <c r="E81" s="181">
        <f t="shared" si="2"/>
        <v>1.3964702957991549E-4</v>
      </c>
      <c r="F81" s="182">
        <v>1</v>
      </c>
      <c r="G81" s="181">
        <v>25</v>
      </c>
      <c r="H81" s="183">
        <v>17.93</v>
      </c>
      <c r="I81" s="183">
        <v>21.26</v>
      </c>
      <c r="J81" s="183">
        <v>34.24</v>
      </c>
      <c r="K81" s="184">
        <v>12.15</v>
      </c>
      <c r="L81" s="184">
        <f t="shared" si="3"/>
        <v>0.5</v>
      </c>
      <c r="M81" s="185">
        <v>5.0000000000000001E-3</v>
      </c>
      <c r="N81" s="185">
        <v>5</v>
      </c>
      <c r="O81" s="191">
        <f>'Trade Data'!D8</f>
        <v>2.1175705424135502</v>
      </c>
      <c r="P81" s="187">
        <v>1</v>
      </c>
      <c r="Q81" s="352"/>
      <c r="R81" s="352"/>
      <c r="S81" s="352"/>
      <c r="T81" s="352"/>
      <c r="U81" s="352"/>
      <c r="V81" s="352"/>
      <c r="W81" s="352"/>
      <c r="X81" s="352"/>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c r="BB81" s="352"/>
      <c r="BC81" s="352"/>
      <c r="BD81" s="352"/>
      <c r="BE81" s="352"/>
      <c r="BF81" s="352"/>
      <c r="BG81" s="352"/>
      <c r="BH81" s="352"/>
      <c r="BI81" s="352"/>
      <c r="BJ81" s="352"/>
      <c r="BK81" s="352"/>
      <c r="BL81" s="352"/>
      <c r="BM81" s="352"/>
      <c r="BN81" s="352"/>
      <c r="BO81" s="352"/>
      <c r="BP81" s="352"/>
      <c r="BQ81" s="352"/>
      <c r="BR81" s="352"/>
      <c r="BS81" s="352"/>
      <c r="BT81" s="352"/>
      <c r="BU81" s="352"/>
      <c r="BV81" s="352"/>
      <c r="BW81" s="352"/>
      <c r="BX81" s="352"/>
      <c r="BY81" s="352"/>
      <c r="BZ81" s="352"/>
      <c r="CA81" s="352"/>
      <c r="CB81" s="352"/>
      <c r="CC81" s="352"/>
      <c r="CD81" s="352"/>
      <c r="CE81" s="352"/>
      <c r="CF81" s="352"/>
      <c r="CG81" s="352"/>
      <c r="CH81" s="352"/>
      <c r="CI81" s="352"/>
      <c r="CJ81" s="352"/>
      <c r="CK81" s="352"/>
      <c r="CL81" s="352"/>
      <c r="CM81" s="352"/>
      <c r="CN81" s="352"/>
      <c r="CO81" s="352"/>
      <c r="CP81" s="352"/>
      <c r="CQ81" s="352"/>
      <c r="CR81" s="352"/>
      <c r="CS81" s="352"/>
      <c r="CT81" s="352"/>
      <c r="CU81" s="352"/>
      <c r="CV81" s="352"/>
      <c r="CW81" s="352"/>
      <c r="CX81" s="352"/>
      <c r="CY81" s="352"/>
      <c r="CZ81" s="352"/>
      <c r="DA81" s="352"/>
      <c r="DB81" s="352"/>
      <c r="DC81" s="352"/>
      <c r="DD81" s="352"/>
      <c r="DE81" s="352"/>
      <c r="DF81" s="352"/>
      <c r="DG81" s="352"/>
      <c r="DH81" s="352"/>
      <c r="DI81" s="352"/>
      <c r="DJ81" s="352"/>
      <c r="DK81" s="352"/>
      <c r="DL81" s="352"/>
      <c r="DM81" s="352"/>
      <c r="DN81" s="352"/>
      <c r="DO81" s="352"/>
      <c r="DP81" s="352"/>
      <c r="DQ81" s="352"/>
      <c r="DR81" s="352"/>
      <c r="DS81" s="352"/>
      <c r="DT81" s="352"/>
      <c r="DU81" s="352"/>
      <c r="DV81" s="352"/>
      <c r="DW81" s="352"/>
      <c r="DX81" s="352"/>
      <c r="DY81" s="352"/>
      <c r="DZ81" s="352"/>
      <c r="EA81" s="352"/>
      <c r="EB81" s="352"/>
      <c r="EC81" s="352"/>
      <c r="ED81" s="352"/>
      <c r="EE81" s="352"/>
      <c r="EF81" s="352"/>
      <c r="EG81" s="352"/>
      <c r="EH81" s="352"/>
      <c r="EI81" s="352"/>
      <c r="EJ81" s="352"/>
      <c r="EK81" s="352"/>
      <c r="EL81" s="352"/>
      <c r="EM81" s="352"/>
      <c r="EN81" s="352"/>
    </row>
    <row r="82" spans="1:144" ht="20.100000000000001" customHeight="1">
      <c r="A82" s="118" t="s">
        <v>7</v>
      </c>
      <c r="B82" s="118" t="s">
        <v>794</v>
      </c>
      <c r="C82" s="119">
        <f>'Thomson Reuters IMA  ($)'!I176+'Thomson Reuters IMA  ($)'!I177+'Thomson Reuters IMA  ($)'!I178+'Thomson Reuters IMA  ($)'!I181+'Thomson Reuters IMA  ($)'!I182+'Thomson Reuters IMA  ($)'!I184+'Thomson Reuters IMA  ($)'!I185+'Thomson Reuters IMA  ($)'!I186</f>
        <v>581.57500000000005</v>
      </c>
      <c r="D82" s="120">
        <f>'Sectors % GDP'!G10</f>
        <v>1308240</v>
      </c>
      <c r="E82" s="120">
        <f t="shared" si="2"/>
        <v>4.4454763651929311E-4</v>
      </c>
      <c r="F82" s="121">
        <v>1</v>
      </c>
      <c r="G82" s="120">
        <v>28</v>
      </c>
      <c r="H82" s="122">
        <v>17.93</v>
      </c>
      <c r="I82" s="122">
        <v>21.26</v>
      </c>
      <c r="J82" s="122">
        <v>34.24</v>
      </c>
      <c r="K82" s="123">
        <v>12.15</v>
      </c>
      <c r="L82" s="123">
        <f t="shared" si="3"/>
        <v>0.5</v>
      </c>
      <c r="M82" s="124">
        <v>5.0000000000000001E-3</v>
      </c>
      <c r="N82" s="124">
        <v>5</v>
      </c>
      <c r="O82" s="130">
        <f>'Trade Data'!D8</f>
        <v>2.1175705424135502</v>
      </c>
      <c r="P82" s="126">
        <v>1</v>
      </c>
      <c r="Q82" s="352"/>
      <c r="R82" s="352"/>
      <c r="S82" s="352"/>
      <c r="T82" s="352"/>
      <c r="U82" s="352"/>
      <c r="V82" s="352"/>
      <c r="W82" s="352"/>
      <c r="X82" s="352"/>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c r="BB82" s="352"/>
      <c r="BC82" s="352"/>
      <c r="BD82" s="352"/>
      <c r="BE82" s="352"/>
      <c r="BF82" s="352"/>
      <c r="BG82" s="352"/>
      <c r="BH82" s="352"/>
      <c r="BI82" s="352"/>
      <c r="BJ82" s="352"/>
      <c r="BK82" s="352"/>
      <c r="BL82" s="352"/>
      <c r="BM82" s="352"/>
      <c r="BN82" s="352"/>
      <c r="BO82" s="352"/>
      <c r="BP82" s="352"/>
      <c r="BQ82" s="352"/>
      <c r="BR82" s="352"/>
      <c r="BS82" s="352"/>
      <c r="BT82" s="352"/>
      <c r="BU82" s="352"/>
      <c r="BV82" s="352"/>
      <c r="BW82" s="352"/>
      <c r="BX82" s="352"/>
      <c r="BY82" s="352"/>
      <c r="BZ82" s="352"/>
      <c r="CA82" s="352"/>
      <c r="CB82" s="352"/>
      <c r="CC82" s="352"/>
      <c r="CD82" s="352"/>
      <c r="CE82" s="352"/>
      <c r="CF82" s="352"/>
      <c r="CG82" s="352"/>
      <c r="CH82" s="352"/>
      <c r="CI82" s="352"/>
      <c r="CJ82" s="352"/>
      <c r="CK82" s="352"/>
      <c r="CL82" s="352"/>
      <c r="CM82" s="352"/>
      <c r="CN82" s="352"/>
      <c r="CO82" s="352"/>
      <c r="CP82" s="352"/>
      <c r="CQ82" s="352"/>
      <c r="CR82" s="352"/>
      <c r="CS82" s="352"/>
      <c r="CT82" s="352"/>
      <c r="CU82" s="352"/>
      <c r="CV82" s="352"/>
      <c r="CW82" s="352"/>
      <c r="CX82" s="352"/>
      <c r="CY82" s="352"/>
      <c r="CZ82" s="352"/>
      <c r="DA82" s="352"/>
      <c r="DB82" s="352"/>
      <c r="DC82" s="352"/>
      <c r="DD82" s="352"/>
      <c r="DE82" s="352"/>
      <c r="DF82" s="352"/>
      <c r="DG82" s="352"/>
      <c r="DH82" s="352"/>
      <c r="DI82" s="352"/>
      <c r="DJ82" s="352"/>
      <c r="DK82" s="352"/>
      <c r="DL82" s="352"/>
      <c r="DM82" s="352"/>
      <c r="DN82" s="352"/>
      <c r="DO82" s="352"/>
      <c r="DP82" s="352"/>
      <c r="DQ82" s="352"/>
      <c r="DR82" s="352"/>
      <c r="DS82" s="352"/>
      <c r="DT82" s="352"/>
      <c r="DU82" s="352"/>
      <c r="DV82" s="352"/>
      <c r="DW82" s="352"/>
      <c r="DX82" s="352"/>
      <c r="DY82" s="352"/>
      <c r="DZ82" s="352"/>
      <c r="EA82" s="352"/>
      <c r="EB82" s="352"/>
      <c r="EC82" s="352"/>
      <c r="ED82" s="352"/>
      <c r="EE82" s="352"/>
      <c r="EF82" s="352"/>
      <c r="EG82" s="352"/>
      <c r="EH82" s="352"/>
      <c r="EI82" s="352"/>
      <c r="EJ82" s="352"/>
      <c r="EK82" s="352"/>
      <c r="EL82" s="352"/>
      <c r="EM82" s="352"/>
      <c r="EN82" s="352"/>
    </row>
    <row r="83" spans="1:144" s="169" customFormat="1" ht="20.100000000000001" customHeight="1">
      <c r="A83" s="160" t="s">
        <v>8</v>
      </c>
      <c r="B83" s="160" t="s">
        <v>793</v>
      </c>
      <c r="C83" s="161">
        <v>0</v>
      </c>
      <c r="D83" s="162">
        <f>'Sectors % GDP'!G8</f>
        <v>89460</v>
      </c>
      <c r="E83" s="162">
        <f t="shared" si="2"/>
        <v>0</v>
      </c>
      <c r="F83" s="163">
        <v>1</v>
      </c>
      <c r="G83" s="162">
        <v>2</v>
      </c>
      <c r="H83" s="164">
        <v>14.56</v>
      </c>
      <c r="I83" s="164">
        <v>17.149999999999999</v>
      </c>
      <c r="J83" s="164">
        <v>27.17</v>
      </c>
      <c r="K83" s="165">
        <v>12.15</v>
      </c>
      <c r="L83" s="165">
        <f t="shared" si="3"/>
        <v>-3.8</v>
      </c>
      <c r="M83" s="166">
        <v>-3.7999999999999999E-2</v>
      </c>
      <c r="N83" s="166">
        <v>5.75</v>
      </c>
      <c r="O83" s="172">
        <f>'Trade Data'!F8</f>
        <v>1.9495038934441589</v>
      </c>
      <c r="P83" s="170">
        <v>0</v>
      </c>
      <c r="Q83" s="352"/>
      <c r="R83" s="352"/>
      <c r="S83" s="352"/>
      <c r="T83" s="352"/>
      <c r="U83" s="352"/>
      <c r="V83" s="352"/>
      <c r="W83" s="352"/>
      <c r="X83" s="352"/>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c r="BB83" s="352"/>
      <c r="BC83" s="352"/>
      <c r="BD83" s="352"/>
      <c r="BE83" s="352"/>
      <c r="BF83" s="352"/>
      <c r="BG83" s="352"/>
      <c r="BH83" s="352"/>
      <c r="BI83" s="352"/>
      <c r="BJ83" s="352"/>
      <c r="BK83" s="352"/>
      <c r="BL83" s="352"/>
      <c r="BM83" s="352"/>
      <c r="BN83" s="352"/>
      <c r="BO83" s="352"/>
      <c r="BP83" s="352"/>
      <c r="BQ83" s="352"/>
      <c r="BR83" s="352"/>
      <c r="BS83" s="352"/>
      <c r="BT83" s="352"/>
      <c r="BU83" s="352"/>
      <c r="BV83" s="352"/>
      <c r="BW83" s="352"/>
      <c r="BX83" s="352"/>
      <c r="BY83" s="352"/>
      <c r="BZ83" s="352"/>
      <c r="CA83" s="352"/>
      <c r="CB83" s="352"/>
      <c r="CC83" s="352"/>
      <c r="CD83" s="352"/>
      <c r="CE83" s="352"/>
      <c r="CF83" s="352"/>
      <c r="CG83" s="352"/>
      <c r="CH83" s="352"/>
      <c r="CI83" s="352"/>
      <c r="CJ83" s="352"/>
      <c r="CK83" s="352"/>
      <c r="CL83" s="352"/>
      <c r="CM83" s="352"/>
      <c r="CN83" s="352"/>
      <c r="CO83" s="352"/>
      <c r="CP83" s="352"/>
      <c r="CQ83" s="352"/>
      <c r="CR83" s="352"/>
      <c r="CS83" s="352"/>
      <c r="CT83" s="352"/>
      <c r="CU83" s="352"/>
      <c r="CV83" s="352"/>
      <c r="CW83" s="352"/>
      <c r="CX83" s="352"/>
      <c r="CY83" s="352"/>
      <c r="CZ83" s="352"/>
      <c r="DA83" s="352"/>
      <c r="DB83" s="352"/>
      <c r="DC83" s="352"/>
      <c r="DD83" s="352"/>
      <c r="DE83" s="352"/>
      <c r="DF83" s="352"/>
      <c r="DG83" s="352"/>
      <c r="DH83" s="352"/>
      <c r="DI83" s="352"/>
      <c r="DJ83" s="352"/>
      <c r="DK83" s="352"/>
      <c r="DL83" s="352"/>
      <c r="DM83" s="352"/>
      <c r="DN83" s="352"/>
      <c r="DO83" s="352"/>
      <c r="DP83" s="352"/>
      <c r="DQ83" s="352"/>
      <c r="DR83" s="352"/>
      <c r="DS83" s="352"/>
      <c r="DT83" s="352"/>
      <c r="DU83" s="352"/>
      <c r="DV83" s="352"/>
      <c r="DW83" s="352"/>
      <c r="DX83" s="352"/>
      <c r="DY83" s="352"/>
      <c r="DZ83" s="352"/>
      <c r="EA83" s="352"/>
      <c r="EB83" s="352"/>
      <c r="EC83" s="352"/>
      <c r="ED83" s="352"/>
      <c r="EE83" s="352"/>
      <c r="EF83" s="352"/>
      <c r="EG83" s="352"/>
      <c r="EH83" s="352"/>
      <c r="EI83" s="352"/>
      <c r="EJ83" s="352"/>
      <c r="EK83" s="352"/>
      <c r="EL83" s="352"/>
      <c r="EM83" s="352"/>
      <c r="EN83" s="352"/>
    </row>
    <row r="84" spans="1:144" s="188" customFormat="1" ht="20.100000000000001" customHeight="1">
      <c r="A84" s="179" t="s">
        <v>8</v>
      </c>
      <c r="B84" s="179" t="s">
        <v>792</v>
      </c>
      <c r="C84" s="180">
        <f>'Thomson Reuters IMA  ($)'!I187+'Thomson Reuters IMA  ($)'!I188+'Thomson Reuters IMA  ($)'!I189+'Thomson Reuters IMA  ($)'!I190+'Thomson Reuters IMA  ($)'!I192+'Thomson Reuters IMA  ($)'!I195+'Thomson Reuters IMA  ($)'!I197+'Thomson Reuters IMA  ($)'!I198+'Thomson Reuters IMA  ($)'!I199+'Thomson Reuters IMA  ($)'!I203+'Thomson Reuters IMA  ($)'!I207+'Thomson Reuters IMA  ($)'!I208+'Thomson Reuters IMA  ($)'!I210</f>
        <v>5247.4809999999998</v>
      </c>
      <c r="D84" s="181">
        <f>'Sectors % GDP'!G9</f>
        <v>402300</v>
      </c>
      <c r="E84" s="181">
        <f t="shared" si="2"/>
        <v>1.304370121799652E-2</v>
      </c>
      <c r="F84" s="182">
        <v>1</v>
      </c>
      <c r="G84" s="181">
        <v>25</v>
      </c>
      <c r="H84" s="183">
        <v>14.56</v>
      </c>
      <c r="I84" s="183">
        <v>17.149999999999999</v>
      </c>
      <c r="J84" s="183">
        <v>27.17</v>
      </c>
      <c r="K84" s="184">
        <v>12.15</v>
      </c>
      <c r="L84" s="184">
        <f t="shared" si="3"/>
        <v>-3.8</v>
      </c>
      <c r="M84" s="185">
        <v>-3.7999999999999999E-2</v>
      </c>
      <c r="N84" s="185">
        <v>5.75</v>
      </c>
      <c r="O84" s="186">
        <f>'Trade Data'!F8</f>
        <v>1.9495038934441589</v>
      </c>
      <c r="P84" s="189">
        <v>1</v>
      </c>
      <c r="Q84" s="352"/>
      <c r="R84" s="352"/>
      <c r="S84" s="352"/>
      <c r="T84" s="352"/>
      <c r="U84" s="352"/>
      <c r="V84" s="352"/>
      <c r="W84" s="352"/>
      <c r="X84" s="352"/>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c r="BB84" s="352"/>
      <c r="BC84" s="352"/>
      <c r="BD84" s="352"/>
      <c r="BE84" s="352"/>
      <c r="BF84" s="352"/>
      <c r="BG84" s="352"/>
      <c r="BH84" s="352"/>
      <c r="BI84" s="352"/>
      <c r="BJ84" s="352"/>
      <c r="BK84" s="352"/>
      <c r="BL84" s="352"/>
      <c r="BM84" s="352"/>
      <c r="BN84" s="352"/>
      <c r="BO84" s="352"/>
      <c r="BP84" s="352"/>
      <c r="BQ84" s="352"/>
      <c r="BR84" s="352"/>
      <c r="BS84" s="352"/>
      <c r="BT84" s="352"/>
      <c r="BU84" s="352"/>
      <c r="BV84" s="352"/>
      <c r="BW84" s="352"/>
      <c r="BX84" s="352"/>
      <c r="BY84" s="352"/>
      <c r="BZ84" s="352"/>
      <c r="CA84" s="352"/>
      <c r="CB84" s="352"/>
      <c r="CC84" s="352"/>
      <c r="CD84" s="352"/>
      <c r="CE84" s="352"/>
      <c r="CF84" s="352"/>
      <c r="CG84" s="352"/>
      <c r="CH84" s="352"/>
      <c r="CI84" s="352"/>
      <c r="CJ84" s="352"/>
      <c r="CK84" s="352"/>
      <c r="CL84" s="352"/>
      <c r="CM84" s="352"/>
      <c r="CN84" s="352"/>
      <c r="CO84" s="352"/>
      <c r="CP84" s="352"/>
      <c r="CQ84" s="352"/>
      <c r="CR84" s="352"/>
      <c r="CS84" s="352"/>
      <c r="CT84" s="352"/>
      <c r="CU84" s="352"/>
      <c r="CV84" s="352"/>
      <c r="CW84" s="352"/>
      <c r="CX84" s="352"/>
      <c r="CY84" s="352"/>
      <c r="CZ84" s="352"/>
      <c r="DA84" s="352"/>
      <c r="DB84" s="352"/>
      <c r="DC84" s="352"/>
      <c r="DD84" s="352"/>
      <c r="DE84" s="352"/>
      <c r="DF84" s="352"/>
      <c r="DG84" s="352"/>
      <c r="DH84" s="352"/>
      <c r="DI84" s="352"/>
      <c r="DJ84" s="352"/>
      <c r="DK84" s="352"/>
      <c r="DL84" s="352"/>
      <c r="DM84" s="352"/>
      <c r="DN84" s="352"/>
      <c r="DO84" s="352"/>
      <c r="DP84" s="352"/>
      <c r="DQ84" s="352"/>
      <c r="DR84" s="352"/>
      <c r="DS84" s="352"/>
      <c r="DT84" s="352"/>
      <c r="DU84" s="352"/>
      <c r="DV84" s="352"/>
      <c r="DW84" s="352"/>
      <c r="DX84" s="352"/>
      <c r="DY84" s="352"/>
      <c r="DZ84" s="352"/>
      <c r="EA84" s="352"/>
      <c r="EB84" s="352"/>
      <c r="EC84" s="352"/>
      <c r="ED84" s="352"/>
      <c r="EE84" s="352"/>
      <c r="EF84" s="352"/>
      <c r="EG84" s="352"/>
      <c r="EH84" s="352"/>
      <c r="EI84" s="352"/>
      <c r="EJ84" s="352"/>
      <c r="EK84" s="352"/>
      <c r="EL84" s="352"/>
      <c r="EM84" s="352"/>
      <c r="EN84" s="352"/>
    </row>
    <row r="85" spans="1:144" ht="20.100000000000001" customHeight="1">
      <c r="A85" s="118" t="s">
        <v>8</v>
      </c>
      <c r="B85" s="118" t="s">
        <v>791</v>
      </c>
      <c r="C85" s="119">
        <f>'Thomson Reuters IMA  ($)'!I191+'Thomson Reuters IMA  ($)'!I193+'Thomson Reuters IMA  ($)'!I194+'Thomson Reuters IMA  ($)'!I196+'Thomson Reuters IMA  ($)'!I200+'Thomson Reuters IMA  ($)'!I201+'Thomson Reuters IMA  ($)'!I202+'Thomson Reuters IMA  ($)'!I204+'Thomson Reuters IMA  ($)'!I205+'Thomson Reuters IMA  ($)'!I206+'Thomson Reuters IMA  ($)'!I209</f>
        <v>1214.67</v>
      </c>
      <c r="D85" s="120">
        <f>'Sectors % GDP'!G10</f>
        <v>1308240</v>
      </c>
      <c r="E85" s="120">
        <f t="shared" si="2"/>
        <v>9.2847642634379015E-4</v>
      </c>
      <c r="F85" s="121">
        <v>1</v>
      </c>
      <c r="G85" s="120">
        <v>26</v>
      </c>
      <c r="H85" s="122">
        <v>14.56</v>
      </c>
      <c r="I85" s="122">
        <v>17.149999999999999</v>
      </c>
      <c r="J85" s="122">
        <v>27.17</v>
      </c>
      <c r="K85" s="123">
        <v>12.15</v>
      </c>
      <c r="L85" s="123">
        <f t="shared" si="3"/>
        <v>-3.8</v>
      </c>
      <c r="M85" s="124">
        <v>-3.7999999999999999E-2</v>
      </c>
      <c r="N85" s="124">
        <v>5.75</v>
      </c>
      <c r="O85" s="125">
        <f>'Trade Data'!F8</f>
        <v>1.9495038934441589</v>
      </c>
      <c r="P85" s="127">
        <v>1</v>
      </c>
      <c r="Q85" s="352"/>
      <c r="R85" s="352"/>
      <c r="S85" s="352"/>
      <c r="T85" s="352"/>
      <c r="U85" s="352"/>
      <c r="V85" s="352"/>
      <c r="W85" s="352"/>
      <c r="X85" s="352"/>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c r="BB85" s="352"/>
      <c r="BC85" s="352"/>
      <c r="BD85" s="352"/>
      <c r="BE85" s="352"/>
      <c r="BF85" s="352"/>
      <c r="BG85" s="352"/>
      <c r="BH85" s="352"/>
      <c r="BI85" s="352"/>
      <c r="BJ85" s="352"/>
      <c r="BK85" s="352"/>
      <c r="BL85" s="352"/>
      <c r="BM85" s="352"/>
      <c r="BN85" s="352"/>
      <c r="BO85" s="352"/>
      <c r="BP85" s="352"/>
      <c r="BQ85" s="352"/>
      <c r="BR85" s="352"/>
      <c r="BS85" s="352"/>
      <c r="BT85" s="352"/>
      <c r="BU85" s="352"/>
      <c r="BV85" s="352"/>
      <c r="BW85" s="352"/>
      <c r="BX85" s="352"/>
      <c r="BY85" s="352"/>
      <c r="BZ85" s="352"/>
      <c r="CA85" s="352"/>
      <c r="CB85" s="352"/>
      <c r="CC85" s="352"/>
      <c r="CD85" s="352"/>
      <c r="CE85" s="352"/>
      <c r="CF85" s="352"/>
      <c r="CG85" s="352"/>
      <c r="CH85" s="352"/>
      <c r="CI85" s="352"/>
      <c r="CJ85" s="352"/>
      <c r="CK85" s="352"/>
      <c r="CL85" s="352"/>
      <c r="CM85" s="352"/>
      <c r="CN85" s="352"/>
      <c r="CO85" s="352"/>
      <c r="CP85" s="352"/>
      <c r="CQ85" s="352"/>
      <c r="CR85" s="352"/>
      <c r="CS85" s="352"/>
      <c r="CT85" s="352"/>
      <c r="CU85" s="352"/>
      <c r="CV85" s="352"/>
      <c r="CW85" s="352"/>
      <c r="CX85" s="352"/>
      <c r="CY85" s="352"/>
      <c r="CZ85" s="352"/>
      <c r="DA85" s="352"/>
      <c r="DB85" s="352"/>
      <c r="DC85" s="352"/>
      <c r="DD85" s="352"/>
      <c r="DE85" s="352"/>
      <c r="DF85" s="352"/>
      <c r="DG85" s="352"/>
      <c r="DH85" s="352"/>
      <c r="DI85" s="352"/>
      <c r="DJ85" s="352"/>
      <c r="DK85" s="352"/>
      <c r="DL85" s="352"/>
      <c r="DM85" s="352"/>
      <c r="DN85" s="352"/>
      <c r="DO85" s="352"/>
      <c r="DP85" s="352"/>
      <c r="DQ85" s="352"/>
      <c r="DR85" s="352"/>
      <c r="DS85" s="352"/>
      <c r="DT85" s="352"/>
      <c r="DU85" s="352"/>
      <c r="DV85" s="352"/>
      <c r="DW85" s="352"/>
      <c r="DX85" s="352"/>
      <c r="DY85" s="352"/>
      <c r="DZ85" s="352"/>
      <c r="EA85" s="352"/>
      <c r="EB85" s="352"/>
      <c r="EC85" s="352"/>
      <c r="ED85" s="352"/>
      <c r="EE85" s="352"/>
      <c r="EF85" s="352"/>
      <c r="EG85" s="352"/>
      <c r="EH85" s="352"/>
      <c r="EI85" s="352"/>
      <c r="EJ85" s="352"/>
      <c r="EK85" s="352"/>
      <c r="EL85" s="352"/>
      <c r="EM85" s="352"/>
      <c r="EN85" s="352"/>
    </row>
    <row r="86" spans="1:144" s="169" customFormat="1" ht="20.100000000000001" customHeight="1">
      <c r="A86" s="160" t="s">
        <v>882</v>
      </c>
      <c r="B86" s="160" t="s">
        <v>790</v>
      </c>
      <c r="C86" s="161">
        <v>0</v>
      </c>
      <c r="D86" s="162">
        <f>'Sectors % GDP'!G8</f>
        <v>89460</v>
      </c>
      <c r="E86" s="162">
        <f t="shared" si="2"/>
        <v>0</v>
      </c>
      <c r="F86" s="163">
        <v>1</v>
      </c>
      <c r="G86" s="162">
        <v>1</v>
      </c>
      <c r="H86" s="164">
        <v>16.5</v>
      </c>
      <c r="I86" s="174">
        <v>26.8</v>
      </c>
      <c r="J86" s="165">
        <v>25.37</v>
      </c>
      <c r="K86" s="165">
        <v>12.15</v>
      </c>
      <c r="L86" s="165">
        <f t="shared" si="3"/>
        <v>-3.8</v>
      </c>
      <c r="M86" s="166">
        <v>-3.7999999999999999E-2</v>
      </c>
      <c r="N86" s="166">
        <v>5.75</v>
      </c>
      <c r="O86" s="167">
        <f>'Trade Data'!F8</f>
        <v>1.9495038934441589</v>
      </c>
      <c r="P86" s="168">
        <v>0</v>
      </c>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c r="BB86" s="352"/>
      <c r="BC86" s="352"/>
      <c r="BD86" s="352"/>
      <c r="BE86" s="352"/>
      <c r="BF86" s="352"/>
      <c r="BG86" s="352"/>
      <c r="BH86" s="352"/>
      <c r="BI86" s="352"/>
      <c r="BJ86" s="352"/>
      <c r="BK86" s="352"/>
      <c r="BL86" s="352"/>
      <c r="BM86" s="352"/>
      <c r="BN86" s="352"/>
      <c r="BO86" s="352"/>
      <c r="BP86" s="352"/>
      <c r="BQ86" s="352"/>
      <c r="BR86" s="352"/>
      <c r="BS86" s="352"/>
      <c r="BT86" s="352"/>
      <c r="BU86" s="352"/>
      <c r="BV86" s="352"/>
      <c r="BW86" s="352"/>
      <c r="BX86" s="352"/>
      <c r="BY86" s="352"/>
      <c r="BZ86" s="352"/>
      <c r="CA86" s="352"/>
      <c r="CB86" s="352"/>
      <c r="CC86" s="352"/>
      <c r="CD86" s="352"/>
      <c r="CE86" s="352"/>
      <c r="CF86" s="352"/>
      <c r="CG86" s="352"/>
      <c r="CH86" s="352"/>
      <c r="CI86" s="352"/>
      <c r="CJ86" s="352"/>
      <c r="CK86" s="352"/>
      <c r="CL86" s="352"/>
      <c r="CM86" s="352"/>
      <c r="CN86" s="352"/>
      <c r="CO86" s="352"/>
      <c r="CP86" s="352"/>
      <c r="CQ86" s="352"/>
      <c r="CR86" s="352"/>
      <c r="CS86" s="352"/>
      <c r="CT86" s="352"/>
      <c r="CU86" s="352"/>
      <c r="CV86" s="352"/>
      <c r="CW86" s="352"/>
      <c r="CX86" s="352"/>
      <c r="CY86" s="352"/>
      <c r="CZ86" s="352"/>
      <c r="DA86" s="352"/>
      <c r="DB86" s="352"/>
      <c r="DC86" s="352"/>
      <c r="DD86" s="352"/>
      <c r="DE86" s="352"/>
      <c r="DF86" s="352"/>
      <c r="DG86" s="352"/>
      <c r="DH86" s="352"/>
      <c r="DI86" s="352"/>
      <c r="DJ86" s="352"/>
      <c r="DK86" s="352"/>
      <c r="DL86" s="352"/>
      <c r="DM86" s="352"/>
      <c r="DN86" s="352"/>
      <c r="DO86" s="352"/>
      <c r="DP86" s="352"/>
      <c r="DQ86" s="352"/>
      <c r="DR86" s="352"/>
      <c r="DS86" s="352"/>
      <c r="DT86" s="352"/>
      <c r="DU86" s="352"/>
      <c r="DV86" s="352"/>
      <c r="DW86" s="352"/>
      <c r="DX86" s="352"/>
      <c r="DY86" s="352"/>
      <c r="DZ86" s="352"/>
      <c r="EA86" s="352"/>
      <c r="EB86" s="352"/>
      <c r="EC86" s="352"/>
      <c r="ED86" s="352"/>
      <c r="EE86" s="352"/>
      <c r="EF86" s="352"/>
      <c r="EG86" s="352"/>
      <c r="EH86" s="352"/>
      <c r="EI86" s="352"/>
      <c r="EJ86" s="352"/>
      <c r="EK86" s="352"/>
      <c r="EL86" s="352"/>
      <c r="EM86" s="352"/>
      <c r="EN86" s="352"/>
    </row>
    <row r="87" spans="1:144" s="188" customFormat="1" ht="20.100000000000001" customHeight="1">
      <c r="A87" s="179" t="s">
        <v>882</v>
      </c>
      <c r="B87" s="179" t="s">
        <v>789</v>
      </c>
      <c r="C87" s="180">
        <f>'Thomson Reuters IMA  ($)'!I214+'Thomson Reuters IMA  ($)'!I218+'Thomson Reuters IMA  ($)'!I219</f>
        <v>466.01900000000001</v>
      </c>
      <c r="D87" s="181">
        <f>'Sectors % GDP'!G9</f>
        <v>402300</v>
      </c>
      <c r="E87" s="181">
        <f t="shared" si="2"/>
        <v>1.1583867760377828E-3</v>
      </c>
      <c r="F87" s="182">
        <v>1</v>
      </c>
      <c r="G87" s="181">
        <v>17</v>
      </c>
      <c r="H87" s="183">
        <v>16.5</v>
      </c>
      <c r="I87" s="192">
        <v>26.8</v>
      </c>
      <c r="J87" s="184">
        <v>25.37</v>
      </c>
      <c r="K87" s="184">
        <v>12.15</v>
      </c>
      <c r="L87" s="184">
        <f t="shared" si="3"/>
        <v>-3.8</v>
      </c>
      <c r="M87" s="185">
        <v>-3.7999999999999999E-2</v>
      </c>
      <c r="N87" s="185">
        <v>5.75</v>
      </c>
      <c r="O87" s="186">
        <f>'Trade Data'!F8</f>
        <v>1.9495038934441589</v>
      </c>
      <c r="P87" s="187">
        <v>1</v>
      </c>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c r="BB87" s="352"/>
      <c r="BC87" s="352"/>
      <c r="BD87" s="352"/>
      <c r="BE87" s="352"/>
      <c r="BF87" s="352"/>
      <c r="BG87" s="352"/>
      <c r="BH87" s="352"/>
      <c r="BI87" s="352"/>
      <c r="BJ87" s="352"/>
      <c r="BK87" s="352"/>
      <c r="BL87" s="352"/>
      <c r="BM87" s="352"/>
      <c r="BN87" s="352"/>
      <c r="BO87" s="352"/>
      <c r="BP87" s="352"/>
      <c r="BQ87" s="352"/>
      <c r="BR87" s="352"/>
      <c r="BS87" s="352"/>
      <c r="BT87" s="352"/>
      <c r="BU87" s="352"/>
      <c r="BV87" s="352"/>
      <c r="BW87" s="352"/>
      <c r="BX87" s="352"/>
      <c r="BY87" s="352"/>
      <c r="BZ87" s="352"/>
      <c r="CA87" s="352"/>
      <c r="CB87" s="352"/>
      <c r="CC87" s="352"/>
      <c r="CD87" s="352"/>
      <c r="CE87" s="352"/>
      <c r="CF87" s="352"/>
      <c r="CG87" s="352"/>
      <c r="CH87" s="352"/>
      <c r="CI87" s="352"/>
      <c r="CJ87" s="352"/>
      <c r="CK87" s="352"/>
      <c r="CL87" s="352"/>
      <c r="CM87" s="352"/>
      <c r="CN87" s="352"/>
      <c r="CO87" s="352"/>
      <c r="CP87" s="352"/>
      <c r="CQ87" s="352"/>
      <c r="CR87" s="352"/>
      <c r="CS87" s="352"/>
      <c r="CT87" s="352"/>
      <c r="CU87" s="352"/>
      <c r="CV87" s="352"/>
      <c r="CW87" s="352"/>
      <c r="CX87" s="352"/>
      <c r="CY87" s="352"/>
      <c r="CZ87" s="352"/>
      <c r="DA87" s="352"/>
      <c r="DB87" s="352"/>
      <c r="DC87" s="352"/>
      <c r="DD87" s="352"/>
      <c r="DE87" s="352"/>
      <c r="DF87" s="352"/>
      <c r="DG87" s="352"/>
      <c r="DH87" s="352"/>
      <c r="DI87" s="352"/>
      <c r="DJ87" s="352"/>
      <c r="DK87" s="352"/>
      <c r="DL87" s="352"/>
      <c r="DM87" s="352"/>
      <c r="DN87" s="352"/>
      <c r="DO87" s="352"/>
      <c r="DP87" s="352"/>
      <c r="DQ87" s="352"/>
      <c r="DR87" s="352"/>
      <c r="DS87" s="352"/>
      <c r="DT87" s="352"/>
      <c r="DU87" s="352"/>
      <c r="DV87" s="352"/>
      <c r="DW87" s="352"/>
      <c r="DX87" s="352"/>
      <c r="DY87" s="352"/>
      <c r="DZ87" s="352"/>
      <c r="EA87" s="352"/>
      <c r="EB87" s="352"/>
      <c r="EC87" s="352"/>
      <c r="ED87" s="352"/>
      <c r="EE87" s="352"/>
      <c r="EF87" s="352"/>
      <c r="EG87" s="352"/>
      <c r="EH87" s="352"/>
      <c r="EI87" s="352"/>
      <c r="EJ87" s="352"/>
      <c r="EK87" s="352"/>
      <c r="EL87" s="352"/>
      <c r="EM87" s="352"/>
      <c r="EN87" s="352"/>
    </row>
    <row r="88" spans="1:144" ht="20.100000000000001" customHeight="1">
      <c r="A88" s="118" t="s">
        <v>882</v>
      </c>
      <c r="B88" s="118" t="s">
        <v>788</v>
      </c>
      <c r="C88" s="119">
        <f>'Thomson Reuters IMA  ($)'!I212+'Thomson Reuters IMA  ($)'!I215+'Thomson Reuters IMA  ($)'!I216+'Thomson Reuters IMA  ($)'!I217+'Thomson Reuters IMA  ($)'!I220+'Thomson Reuters IMA  ($)'!I221</f>
        <v>1438.481</v>
      </c>
      <c r="D88" s="120">
        <f>'Sectors % GDP'!G10</f>
        <v>1308240</v>
      </c>
      <c r="E88" s="120">
        <f t="shared" si="2"/>
        <v>1.0995543631138018E-3</v>
      </c>
      <c r="F88" s="121">
        <v>1</v>
      </c>
      <c r="G88" s="120">
        <v>28</v>
      </c>
      <c r="H88" s="122">
        <v>16.5</v>
      </c>
      <c r="I88" s="132">
        <v>26.8</v>
      </c>
      <c r="J88" s="123">
        <v>25.37</v>
      </c>
      <c r="K88" s="123">
        <v>12.15</v>
      </c>
      <c r="L88" s="123">
        <f t="shared" si="3"/>
        <v>-3.8</v>
      </c>
      <c r="M88" s="124">
        <v>-3.7999999999999999E-2</v>
      </c>
      <c r="N88" s="124">
        <v>5.75</v>
      </c>
      <c r="O88" s="125">
        <f>'Trade Data'!F8</f>
        <v>1.9495038934441589</v>
      </c>
      <c r="P88" s="126">
        <v>1</v>
      </c>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c r="BB88" s="352"/>
      <c r="BC88" s="352"/>
      <c r="BD88" s="352"/>
      <c r="BE88" s="352"/>
      <c r="BF88" s="352"/>
      <c r="BG88" s="352"/>
      <c r="BH88" s="352"/>
      <c r="BI88" s="352"/>
      <c r="BJ88" s="352"/>
      <c r="BK88" s="352"/>
      <c r="BL88" s="352"/>
      <c r="BM88" s="352"/>
      <c r="BN88" s="352"/>
      <c r="BO88" s="352"/>
      <c r="BP88" s="352"/>
      <c r="BQ88" s="352"/>
      <c r="BR88" s="352"/>
      <c r="BS88" s="352"/>
      <c r="BT88" s="352"/>
      <c r="BU88" s="352"/>
      <c r="BV88" s="352"/>
      <c r="BW88" s="352"/>
      <c r="BX88" s="352"/>
      <c r="BY88" s="352"/>
      <c r="BZ88" s="352"/>
      <c r="CA88" s="352"/>
      <c r="CB88" s="352"/>
      <c r="CC88" s="352"/>
      <c r="CD88" s="352"/>
      <c r="CE88" s="352"/>
      <c r="CF88" s="352"/>
      <c r="CG88" s="352"/>
      <c r="CH88" s="352"/>
      <c r="CI88" s="352"/>
      <c r="CJ88" s="352"/>
      <c r="CK88" s="352"/>
      <c r="CL88" s="352"/>
      <c r="CM88" s="352"/>
      <c r="CN88" s="352"/>
      <c r="CO88" s="352"/>
      <c r="CP88" s="352"/>
      <c r="CQ88" s="352"/>
      <c r="CR88" s="352"/>
      <c r="CS88" s="352"/>
      <c r="CT88" s="352"/>
      <c r="CU88" s="352"/>
      <c r="CV88" s="352"/>
      <c r="CW88" s="352"/>
      <c r="CX88" s="352"/>
      <c r="CY88" s="352"/>
      <c r="CZ88" s="352"/>
      <c r="DA88" s="352"/>
      <c r="DB88" s="352"/>
      <c r="DC88" s="352"/>
      <c r="DD88" s="352"/>
      <c r="DE88" s="352"/>
      <c r="DF88" s="352"/>
      <c r="DG88" s="352"/>
      <c r="DH88" s="352"/>
      <c r="DI88" s="352"/>
      <c r="DJ88" s="352"/>
      <c r="DK88" s="352"/>
      <c r="DL88" s="352"/>
      <c r="DM88" s="352"/>
      <c r="DN88" s="352"/>
      <c r="DO88" s="352"/>
      <c r="DP88" s="352"/>
      <c r="DQ88" s="352"/>
      <c r="DR88" s="352"/>
      <c r="DS88" s="352"/>
      <c r="DT88" s="352"/>
      <c r="DU88" s="352"/>
      <c r="DV88" s="352"/>
      <c r="DW88" s="352"/>
      <c r="DX88" s="352"/>
      <c r="DY88" s="352"/>
      <c r="DZ88" s="352"/>
      <c r="EA88" s="352"/>
      <c r="EB88" s="352"/>
      <c r="EC88" s="352"/>
      <c r="ED88" s="352"/>
      <c r="EE88" s="352"/>
      <c r="EF88" s="352"/>
      <c r="EG88" s="352"/>
      <c r="EH88" s="352"/>
      <c r="EI88" s="352"/>
      <c r="EJ88" s="352"/>
      <c r="EK88" s="352"/>
      <c r="EL88" s="352"/>
      <c r="EM88" s="352"/>
      <c r="EN88" s="352"/>
    </row>
    <row r="89" spans="1:144" s="169" customFormat="1" ht="20.100000000000001" customHeight="1">
      <c r="A89" s="160" t="s">
        <v>10</v>
      </c>
      <c r="B89" s="160" t="s">
        <v>787</v>
      </c>
      <c r="C89" s="161">
        <v>0</v>
      </c>
      <c r="D89" s="162">
        <f>'Sectors % GDP'!G8</f>
        <v>89460</v>
      </c>
      <c r="E89" s="162">
        <f t="shared" si="2"/>
        <v>0</v>
      </c>
      <c r="F89" s="163">
        <v>1</v>
      </c>
      <c r="G89" s="162">
        <v>1</v>
      </c>
      <c r="H89" s="164">
        <v>9</v>
      </c>
      <c r="I89" s="164">
        <v>4.95</v>
      </c>
      <c r="J89" s="164">
        <v>24.06</v>
      </c>
      <c r="K89" s="165">
        <v>12.15</v>
      </c>
      <c r="L89" s="165">
        <f t="shared" si="3"/>
        <v>-3.8</v>
      </c>
      <c r="M89" s="166">
        <v>-3.7999999999999999E-2</v>
      </c>
      <c r="N89" s="166">
        <v>5.75</v>
      </c>
      <c r="O89" s="167">
        <f>'Trade Data'!F8</f>
        <v>1.9495038934441589</v>
      </c>
      <c r="P89" s="170">
        <v>0</v>
      </c>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c r="BT89" s="352"/>
      <c r="BU89" s="352"/>
      <c r="BV89" s="352"/>
      <c r="BW89" s="352"/>
      <c r="BX89" s="352"/>
      <c r="BY89" s="352"/>
      <c r="BZ89" s="352"/>
      <c r="CA89" s="352"/>
      <c r="CB89" s="352"/>
      <c r="CC89" s="352"/>
      <c r="CD89" s="352"/>
      <c r="CE89" s="352"/>
      <c r="CF89" s="352"/>
      <c r="CG89" s="352"/>
      <c r="CH89" s="352"/>
      <c r="CI89" s="352"/>
      <c r="CJ89" s="352"/>
      <c r="CK89" s="352"/>
      <c r="CL89" s="352"/>
      <c r="CM89" s="352"/>
      <c r="CN89" s="352"/>
      <c r="CO89" s="352"/>
      <c r="CP89" s="352"/>
      <c r="CQ89" s="352"/>
      <c r="CR89" s="352"/>
      <c r="CS89" s="352"/>
      <c r="CT89" s="352"/>
      <c r="CU89" s="352"/>
      <c r="CV89" s="352"/>
      <c r="CW89" s="352"/>
      <c r="CX89" s="352"/>
      <c r="CY89" s="352"/>
      <c r="CZ89" s="352"/>
      <c r="DA89" s="352"/>
      <c r="DB89" s="352"/>
      <c r="DC89" s="352"/>
      <c r="DD89" s="352"/>
      <c r="DE89" s="352"/>
      <c r="DF89" s="352"/>
      <c r="DG89" s="352"/>
      <c r="DH89" s="352"/>
      <c r="DI89" s="352"/>
      <c r="DJ89" s="352"/>
      <c r="DK89" s="352"/>
      <c r="DL89" s="352"/>
      <c r="DM89" s="352"/>
      <c r="DN89" s="352"/>
      <c r="DO89" s="352"/>
      <c r="DP89" s="352"/>
      <c r="DQ89" s="352"/>
      <c r="DR89" s="352"/>
      <c r="DS89" s="352"/>
      <c r="DT89" s="352"/>
      <c r="DU89" s="352"/>
      <c r="DV89" s="352"/>
      <c r="DW89" s="352"/>
      <c r="DX89" s="352"/>
      <c r="DY89" s="352"/>
      <c r="DZ89" s="352"/>
      <c r="EA89" s="352"/>
      <c r="EB89" s="352"/>
      <c r="EC89" s="352"/>
      <c r="ED89" s="352"/>
      <c r="EE89" s="352"/>
      <c r="EF89" s="352"/>
      <c r="EG89" s="352"/>
      <c r="EH89" s="352"/>
      <c r="EI89" s="352"/>
      <c r="EJ89" s="352"/>
      <c r="EK89" s="352"/>
      <c r="EL89" s="352"/>
      <c r="EM89" s="352"/>
      <c r="EN89" s="352"/>
    </row>
    <row r="90" spans="1:144" s="188" customFormat="1" ht="20.100000000000001" customHeight="1">
      <c r="A90" s="179" t="s">
        <v>10</v>
      </c>
      <c r="B90" s="179" t="s">
        <v>786</v>
      </c>
      <c r="C90" s="180">
        <f>'Thomson Reuters IMA  ($)'!I222+'Thomson Reuters IMA  ($)'!I224+'Thomson Reuters IMA  ($)'!I226+'Thomson Reuters IMA  ($)'!I229+'Thomson Reuters IMA  ($)'!I230+'Thomson Reuters IMA  ($)'!I232+'Thomson Reuters IMA  ($)'!I233+'Thomson Reuters IMA  ($)'!I235+'Thomson Reuters IMA  ($)'!I237+'Thomson Reuters IMA  ($)'!I241</f>
        <v>2530.8119999999999</v>
      </c>
      <c r="D90" s="181">
        <f>'Sectors % GDP'!G9</f>
        <v>402300</v>
      </c>
      <c r="E90" s="181">
        <f t="shared" si="2"/>
        <v>6.2908575689783744E-3</v>
      </c>
      <c r="F90" s="182">
        <v>1</v>
      </c>
      <c r="G90" s="181">
        <v>30</v>
      </c>
      <c r="H90" s="183">
        <v>9</v>
      </c>
      <c r="I90" s="183">
        <v>4.95</v>
      </c>
      <c r="J90" s="183">
        <v>24.06</v>
      </c>
      <c r="K90" s="184">
        <v>12.15</v>
      </c>
      <c r="L90" s="184">
        <f t="shared" si="3"/>
        <v>-3.8</v>
      </c>
      <c r="M90" s="185">
        <v>-3.7999999999999999E-2</v>
      </c>
      <c r="N90" s="185">
        <v>5.75</v>
      </c>
      <c r="O90" s="186">
        <f>'Trade Data'!F8</f>
        <v>1.9495038934441589</v>
      </c>
      <c r="P90" s="189">
        <v>1</v>
      </c>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c r="BB90" s="352"/>
      <c r="BC90" s="352"/>
      <c r="BD90" s="352"/>
      <c r="BE90" s="352"/>
      <c r="BF90" s="352"/>
      <c r="BG90" s="352"/>
      <c r="BH90" s="352"/>
      <c r="BI90" s="352"/>
      <c r="BJ90" s="352"/>
      <c r="BK90" s="352"/>
      <c r="BL90" s="352"/>
      <c r="BM90" s="352"/>
      <c r="BN90" s="352"/>
      <c r="BO90" s="352"/>
      <c r="BP90" s="352"/>
      <c r="BQ90" s="352"/>
      <c r="BR90" s="352"/>
      <c r="BS90" s="352"/>
      <c r="BT90" s="352"/>
      <c r="BU90" s="352"/>
      <c r="BV90" s="352"/>
      <c r="BW90" s="352"/>
      <c r="BX90" s="352"/>
      <c r="BY90" s="352"/>
      <c r="BZ90" s="352"/>
      <c r="CA90" s="352"/>
      <c r="CB90" s="352"/>
      <c r="CC90" s="352"/>
      <c r="CD90" s="352"/>
      <c r="CE90" s="352"/>
      <c r="CF90" s="352"/>
      <c r="CG90" s="352"/>
      <c r="CH90" s="352"/>
      <c r="CI90" s="352"/>
      <c r="CJ90" s="352"/>
      <c r="CK90" s="352"/>
      <c r="CL90" s="352"/>
      <c r="CM90" s="352"/>
      <c r="CN90" s="352"/>
      <c r="CO90" s="352"/>
      <c r="CP90" s="352"/>
      <c r="CQ90" s="352"/>
      <c r="CR90" s="352"/>
      <c r="CS90" s="352"/>
      <c r="CT90" s="352"/>
      <c r="CU90" s="352"/>
      <c r="CV90" s="352"/>
      <c r="CW90" s="352"/>
      <c r="CX90" s="352"/>
      <c r="CY90" s="352"/>
      <c r="CZ90" s="352"/>
      <c r="DA90" s="352"/>
      <c r="DB90" s="352"/>
      <c r="DC90" s="352"/>
      <c r="DD90" s="352"/>
      <c r="DE90" s="352"/>
      <c r="DF90" s="352"/>
      <c r="DG90" s="352"/>
      <c r="DH90" s="352"/>
      <c r="DI90" s="352"/>
      <c r="DJ90" s="352"/>
      <c r="DK90" s="352"/>
      <c r="DL90" s="352"/>
      <c r="DM90" s="352"/>
      <c r="DN90" s="352"/>
      <c r="DO90" s="352"/>
      <c r="DP90" s="352"/>
      <c r="DQ90" s="352"/>
      <c r="DR90" s="352"/>
      <c r="DS90" s="352"/>
      <c r="DT90" s="352"/>
      <c r="DU90" s="352"/>
      <c r="DV90" s="352"/>
      <c r="DW90" s="352"/>
      <c r="DX90" s="352"/>
      <c r="DY90" s="352"/>
      <c r="DZ90" s="352"/>
      <c r="EA90" s="352"/>
      <c r="EB90" s="352"/>
      <c r="EC90" s="352"/>
      <c r="ED90" s="352"/>
      <c r="EE90" s="352"/>
      <c r="EF90" s="352"/>
      <c r="EG90" s="352"/>
      <c r="EH90" s="352"/>
      <c r="EI90" s="352"/>
      <c r="EJ90" s="352"/>
      <c r="EK90" s="352"/>
      <c r="EL90" s="352"/>
      <c r="EM90" s="352"/>
      <c r="EN90" s="352"/>
    </row>
    <row r="91" spans="1:144" ht="20.100000000000001" customHeight="1">
      <c r="A91" s="118" t="s">
        <v>10</v>
      </c>
      <c r="B91" s="118" t="s">
        <v>785</v>
      </c>
      <c r="C91" s="119">
        <f>'Thomson Reuters IMA  ($)'!I223+'Thomson Reuters IMA  ($)'!I225+'Thomson Reuters IMA  ($)'!I227+'Thomson Reuters IMA  ($)'!I228+'Thomson Reuters IMA  ($)'!I231+'Thomson Reuters IMA  ($)'!I234+'Thomson Reuters IMA  ($)'!I236+'Thomson Reuters IMA  ($)'!I238+'Thomson Reuters IMA  ($)'!I239+'Thomson Reuters IMA  ($)'!I240+'Thomson Reuters IMA  ($)'!I242</f>
        <v>6613.8109999999997</v>
      </c>
      <c r="D91" s="120">
        <f>'Sectors % GDP'!G10</f>
        <v>1308240</v>
      </c>
      <c r="E91" s="120">
        <f t="shared" si="2"/>
        <v>5.0555028129395212E-3</v>
      </c>
      <c r="F91" s="121">
        <v>1</v>
      </c>
      <c r="G91" s="120">
        <v>33</v>
      </c>
      <c r="H91" s="122">
        <v>9</v>
      </c>
      <c r="I91" s="122">
        <v>4.95</v>
      </c>
      <c r="J91" s="122">
        <v>24.06</v>
      </c>
      <c r="K91" s="123">
        <v>12.15</v>
      </c>
      <c r="L91" s="123">
        <f t="shared" si="3"/>
        <v>-3.8</v>
      </c>
      <c r="M91" s="124">
        <v>-3.7999999999999999E-2</v>
      </c>
      <c r="N91" s="124">
        <v>5.75</v>
      </c>
      <c r="O91" s="125">
        <f>'Trade Data'!F8</f>
        <v>1.9495038934441589</v>
      </c>
      <c r="P91" s="127">
        <v>1</v>
      </c>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c r="BB91" s="352"/>
      <c r="BC91" s="352"/>
      <c r="BD91" s="352"/>
      <c r="BE91" s="352"/>
      <c r="BF91" s="352"/>
      <c r="BG91" s="352"/>
      <c r="BH91" s="352"/>
      <c r="BI91" s="352"/>
      <c r="BJ91" s="352"/>
      <c r="BK91" s="352"/>
      <c r="BL91" s="352"/>
      <c r="BM91" s="352"/>
      <c r="BN91" s="352"/>
      <c r="BO91" s="352"/>
      <c r="BP91" s="352"/>
      <c r="BQ91" s="352"/>
      <c r="BR91" s="352"/>
      <c r="BS91" s="352"/>
      <c r="BT91" s="352"/>
      <c r="BU91" s="352"/>
      <c r="BV91" s="352"/>
      <c r="BW91" s="352"/>
      <c r="BX91" s="352"/>
      <c r="BY91" s="352"/>
      <c r="BZ91" s="352"/>
      <c r="CA91" s="352"/>
      <c r="CB91" s="352"/>
      <c r="CC91" s="352"/>
      <c r="CD91" s="352"/>
      <c r="CE91" s="352"/>
      <c r="CF91" s="352"/>
      <c r="CG91" s="352"/>
      <c r="CH91" s="352"/>
      <c r="CI91" s="352"/>
      <c r="CJ91" s="352"/>
      <c r="CK91" s="352"/>
      <c r="CL91" s="352"/>
      <c r="CM91" s="352"/>
      <c r="CN91" s="352"/>
      <c r="CO91" s="352"/>
      <c r="CP91" s="352"/>
      <c r="CQ91" s="352"/>
      <c r="CR91" s="352"/>
      <c r="CS91" s="352"/>
      <c r="CT91" s="352"/>
      <c r="CU91" s="352"/>
      <c r="CV91" s="352"/>
      <c r="CW91" s="352"/>
      <c r="CX91" s="352"/>
      <c r="CY91" s="352"/>
      <c r="CZ91" s="352"/>
      <c r="DA91" s="352"/>
      <c r="DB91" s="352"/>
      <c r="DC91" s="352"/>
      <c r="DD91" s="352"/>
      <c r="DE91" s="352"/>
      <c r="DF91" s="352"/>
      <c r="DG91" s="352"/>
      <c r="DH91" s="352"/>
      <c r="DI91" s="352"/>
      <c r="DJ91" s="352"/>
      <c r="DK91" s="352"/>
      <c r="DL91" s="352"/>
      <c r="DM91" s="352"/>
      <c r="DN91" s="352"/>
      <c r="DO91" s="352"/>
      <c r="DP91" s="352"/>
      <c r="DQ91" s="352"/>
      <c r="DR91" s="352"/>
      <c r="DS91" s="352"/>
      <c r="DT91" s="352"/>
      <c r="DU91" s="352"/>
      <c r="DV91" s="352"/>
      <c r="DW91" s="352"/>
      <c r="DX91" s="352"/>
      <c r="DY91" s="352"/>
      <c r="DZ91" s="352"/>
      <c r="EA91" s="352"/>
      <c r="EB91" s="352"/>
      <c r="EC91" s="352"/>
      <c r="ED91" s="352"/>
      <c r="EE91" s="352"/>
      <c r="EF91" s="352"/>
      <c r="EG91" s="352"/>
      <c r="EH91" s="352"/>
      <c r="EI91" s="352"/>
      <c r="EJ91" s="352"/>
      <c r="EK91" s="352"/>
      <c r="EL91" s="352"/>
      <c r="EM91" s="352"/>
      <c r="EN91" s="352"/>
    </row>
    <row r="92" spans="1:144" s="169" customFormat="1" ht="20.100000000000001" customHeight="1">
      <c r="A92" s="160" t="s">
        <v>11</v>
      </c>
      <c r="B92" s="160" t="s">
        <v>784</v>
      </c>
      <c r="C92" s="161">
        <v>0</v>
      </c>
      <c r="D92" s="162">
        <f>'Sectors % GDP'!I8</f>
        <v>98100</v>
      </c>
      <c r="E92" s="162">
        <f t="shared" si="2"/>
        <v>0</v>
      </c>
      <c r="F92" s="163">
        <v>0</v>
      </c>
      <c r="G92" s="162">
        <v>0</v>
      </c>
      <c r="H92" s="164">
        <v>10.64</v>
      </c>
      <c r="I92" s="164">
        <v>9.99</v>
      </c>
      <c r="J92" s="165">
        <v>22.13</v>
      </c>
      <c r="K92" s="165">
        <v>11.76</v>
      </c>
      <c r="L92" s="165">
        <f t="shared" si="3"/>
        <v>-3.8</v>
      </c>
      <c r="M92" s="166">
        <v>-3.7999999999999999E-2</v>
      </c>
      <c r="N92" s="166">
        <v>5.75</v>
      </c>
      <c r="O92" s="167">
        <f>'Trade Data'!F8</f>
        <v>1.9495038934441589</v>
      </c>
      <c r="P92" s="168">
        <v>0</v>
      </c>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c r="BB92" s="352"/>
      <c r="BC92" s="352"/>
      <c r="BD92" s="352"/>
      <c r="BE92" s="352"/>
      <c r="BF92" s="352"/>
      <c r="BG92" s="352"/>
      <c r="BH92" s="352"/>
      <c r="BI92" s="352"/>
      <c r="BJ92" s="352"/>
      <c r="BK92" s="352"/>
      <c r="BL92" s="352"/>
      <c r="BM92" s="352"/>
      <c r="BN92" s="352"/>
      <c r="BO92" s="352"/>
      <c r="BP92" s="352"/>
      <c r="BQ92" s="352"/>
      <c r="BR92" s="352"/>
      <c r="BS92" s="352"/>
      <c r="BT92" s="352"/>
      <c r="BU92" s="352"/>
      <c r="BV92" s="352"/>
      <c r="BW92" s="352"/>
      <c r="BX92" s="352"/>
      <c r="BY92" s="352"/>
      <c r="BZ92" s="352"/>
      <c r="CA92" s="352"/>
      <c r="CB92" s="352"/>
      <c r="CC92" s="352"/>
      <c r="CD92" s="352"/>
      <c r="CE92" s="352"/>
      <c r="CF92" s="352"/>
      <c r="CG92" s="352"/>
      <c r="CH92" s="352"/>
      <c r="CI92" s="352"/>
      <c r="CJ92" s="352"/>
      <c r="CK92" s="352"/>
      <c r="CL92" s="352"/>
      <c r="CM92" s="352"/>
      <c r="CN92" s="352"/>
      <c r="CO92" s="352"/>
      <c r="CP92" s="352"/>
      <c r="CQ92" s="352"/>
      <c r="CR92" s="352"/>
      <c r="CS92" s="352"/>
      <c r="CT92" s="352"/>
      <c r="CU92" s="352"/>
      <c r="CV92" s="352"/>
      <c r="CW92" s="352"/>
      <c r="CX92" s="352"/>
      <c r="CY92" s="352"/>
      <c r="CZ92" s="352"/>
      <c r="DA92" s="352"/>
      <c r="DB92" s="352"/>
      <c r="DC92" s="352"/>
      <c r="DD92" s="352"/>
      <c r="DE92" s="352"/>
      <c r="DF92" s="352"/>
      <c r="DG92" s="352"/>
      <c r="DH92" s="352"/>
      <c r="DI92" s="352"/>
      <c r="DJ92" s="352"/>
      <c r="DK92" s="352"/>
      <c r="DL92" s="352"/>
      <c r="DM92" s="352"/>
      <c r="DN92" s="352"/>
      <c r="DO92" s="352"/>
      <c r="DP92" s="352"/>
      <c r="DQ92" s="352"/>
      <c r="DR92" s="352"/>
      <c r="DS92" s="352"/>
      <c r="DT92" s="352"/>
      <c r="DU92" s="352"/>
      <c r="DV92" s="352"/>
      <c r="DW92" s="352"/>
      <c r="DX92" s="352"/>
      <c r="DY92" s="352"/>
      <c r="DZ92" s="352"/>
      <c r="EA92" s="352"/>
      <c r="EB92" s="352"/>
      <c r="EC92" s="352"/>
      <c r="ED92" s="352"/>
      <c r="EE92" s="352"/>
      <c r="EF92" s="352"/>
      <c r="EG92" s="352"/>
      <c r="EH92" s="352"/>
      <c r="EI92" s="352"/>
      <c r="EJ92" s="352"/>
      <c r="EK92" s="352"/>
      <c r="EL92" s="352"/>
      <c r="EM92" s="352"/>
      <c r="EN92" s="352"/>
    </row>
    <row r="93" spans="1:144" s="188" customFormat="1" ht="20.100000000000001" customHeight="1">
      <c r="A93" s="179" t="s">
        <v>11</v>
      </c>
      <c r="B93" s="179" t="s">
        <v>783</v>
      </c>
      <c r="C93" s="180">
        <f>'Thomson Reuters IMA  ($)'!I243+'Thomson Reuters IMA  ($)'!I247+'Thomson Reuters IMA  ($)'!I248+'Thomson Reuters IMA  ($)'!I249+'Thomson Reuters IMA  ($)'!I251</f>
        <v>237.95099999999999</v>
      </c>
      <c r="D93" s="181">
        <f>'Sectors % GDP'!I9</f>
        <v>382320</v>
      </c>
      <c r="E93" s="181">
        <f t="shared" si="2"/>
        <v>6.2238700564971753E-4</v>
      </c>
      <c r="F93" s="182">
        <v>1</v>
      </c>
      <c r="G93" s="181">
        <v>19</v>
      </c>
      <c r="H93" s="183">
        <v>10.64</v>
      </c>
      <c r="I93" s="183">
        <v>9.99</v>
      </c>
      <c r="J93" s="184">
        <v>22.13</v>
      </c>
      <c r="K93" s="184">
        <v>11.76</v>
      </c>
      <c r="L93" s="184">
        <f t="shared" si="3"/>
        <v>-3.8</v>
      </c>
      <c r="M93" s="185">
        <v>-3.7999999999999999E-2</v>
      </c>
      <c r="N93" s="185">
        <v>5.75</v>
      </c>
      <c r="O93" s="186">
        <f>'Trade Data'!F8</f>
        <v>1.9495038934441589</v>
      </c>
      <c r="P93" s="187">
        <v>1</v>
      </c>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c r="BB93" s="352"/>
      <c r="BC93" s="352"/>
      <c r="BD93" s="352"/>
      <c r="BE93" s="352"/>
      <c r="BF93" s="352"/>
      <c r="BG93" s="352"/>
      <c r="BH93" s="352"/>
      <c r="BI93" s="352"/>
      <c r="BJ93" s="352"/>
      <c r="BK93" s="352"/>
      <c r="BL93" s="352"/>
      <c r="BM93" s="352"/>
      <c r="BN93" s="352"/>
      <c r="BO93" s="352"/>
      <c r="BP93" s="352"/>
      <c r="BQ93" s="352"/>
      <c r="BR93" s="352"/>
      <c r="BS93" s="352"/>
      <c r="BT93" s="352"/>
      <c r="BU93" s="352"/>
      <c r="BV93" s="352"/>
      <c r="BW93" s="352"/>
      <c r="BX93" s="352"/>
      <c r="BY93" s="352"/>
      <c r="BZ93" s="352"/>
      <c r="CA93" s="352"/>
      <c r="CB93" s="352"/>
      <c r="CC93" s="352"/>
      <c r="CD93" s="352"/>
      <c r="CE93" s="352"/>
      <c r="CF93" s="352"/>
      <c r="CG93" s="352"/>
      <c r="CH93" s="352"/>
      <c r="CI93" s="352"/>
      <c r="CJ93" s="352"/>
      <c r="CK93" s="352"/>
      <c r="CL93" s="352"/>
      <c r="CM93" s="352"/>
      <c r="CN93" s="352"/>
      <c r="CO93" s="352"/>
      <c r="CP93" s="352"/>
      <c r="CQ93" s="352"/>
      <c r="CR93" s="352"/>
      <c r="CS93" s="352"/>
      <c r="CT93" s="352"/>
      <c r="CU93" s="352"/>
      <c r="CV93" s="352"/>
      <c r="CW93" s="352"/>
      <c r="CX93" s="352"/>
      <c r="CY93" s="352"/>
      <c r="CZ93" s="352"/>
      <c r="DA93" s="352"/>
      <c r="DB93" s="352"/>
      <c r="DC93" s="352"/>
      <c r="DD93" s="352"/>
      <c r="DE93" s="352"/>
      <c r="DF93" s="352"/>
      <c r="DG93" s="352"/>
      <c r="DH93" s="352"/>
      <c r="DI93" s="352"/>
      <c r="DJ93" s="352"/>
      <c r="DK93" s="352"/>
      <c r="DL93" s="352"/>
      <c r="DM93" s="352"/>
      <c r="DN93" s="352"/>
      <c r="DO93" s="352"/>
      <c r="DP93" s="352"/>
      <c r="DQ93" s="352"/>
      <c r="DR93" s="352"/>
      <c r="DS93" s="352"/>
      <c r="DT93" s="352"/>
      <c r="DU93" s="352"/>
      <c r="DV93" s="352"/>
      <c r="DW93" s="352"/>
      <c r="DX93" s="352"/>
      <c r="DY93" s="352"/>
      <c r="DZ93" s="352"/>
      <c r="EA93" s="352"/>
      <c r="EB93" s="352"/>
      <c r="EC93" s="352"/>
      <c r="ED93" s="352"/>
      <c r="EE93" s="352"/>
      <c r="EF93" s="352"/>
      <c r="EG93" s="352"/>
      <c r="EH93" s="352"/>
      <c r="EI93" s="352"/>
      <c r="EJ93" s="352"/>
      <c r="EK93" s="352"/>
      <c r="EL93" s="352"/>
      <c r="EM93" s="352"/>
      <c r="EN93" s="352"/>
    </row>
    <row r="94" spans="1:144" ht="20.100000000000001" customHeight="1">
      <c r="A94" s="118" t="s">
        <v>11</v>
      </c>
      <c r="B94" s="118" t="s">
        <v>782</v>
      </c>
      <c r="C94" s="119">
        <f>'Thomson Reuters IMA  ($)'!I250+'Thomson Reuters IMA  ($)'!I246+'Thomson Reuters IMA  ($)'!I245+'Thomson Reuters IMA  ($)'!I244+'Thomson Reuters IMA  ($)'!I243</f>
        <v>58.145000000000003</v>
      </c>
      <c r="D94" s="120">
        <f>'Sectors % GDP'!I10</f>
        <v>1319400</v>
      </c>
      <c r="E94" s="120">
        <f t="shared" si="2"/>
        <v>4.406927391238442E-5</v>
      </c>
      <c r="F94" s="121">
        <v>1</v>
      </c>
      <c r="G94" s="120">
        <v>22</v>
      </c>
      <c r="H94" s="122">
        <v>10.64</v>
      </c>
      <c r="I94" s="122">
        <v>9.99</v>
      </c>
      <c r="J94" s="123">
        <v>22.13</v>
      </c>
      <c r="K94" s="123">
        <v>11.76</v>
      </c>
      <c r="L94" s="123">
        <f t="shared" si="3"/>
        <v>-3.8</v>
      </c>
      <c r="M94" s="124">
        <v>-3.7999999999999999E-2</v>
      </c>
      <c r="N94" s="124">
        <v>5.75</v>
      </c>
      <c r="O94" s="125">
        <f>'Trade Data'!F8</f>
        <v>1.9495038934441589</v>
      </c>
      <c r="P94" s="126">
        <v>1</v>
      </c>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c r="BB94" s="352"/>
      <c r="BC94" s="352"/>
      <c r="BD94" s="352"/>
      <c r="BE94" s="352"/>
      <c r="BF94" s="352"/>
      <c r="BG94" s="352"/>
      <c r="BH94" s="352"/>
      <c r="BI94" s="352"/>
      <c r="BJ94" s="352"/>
      <c r="BK94" s="352"/>
      <c r="BL94" s="352"/>
      <c r="BM94" s="352"/>
      <c r="BN94" s="352"/>
      <c r="BO94" s="352"/>
      <c r="BP94" s="352"/>
      <c r="BQ94" s="352"/>
      <c r="BR94" s="352"/>
      <c r="BS94" s="352"/>
      <c r="BT94" s="352"/>
      <c r="BU94" s="352"/>
      <c r="BV94" s="352"/>
      <c r="BW94" s="352"/>
      <c r="BX94" s="352"/>
      <c r="BY94" s="352"/>
      <c r="BZ94" s="352"/>
      <c r="CA94" s="352"/>
      <c r="CB94" s="352"/>
      <c r="CC94" s="352"/>
      <c r="CD94" s="352"/>
      <c r="CE94" s="352"/>
      <c r="CF94" s="352"/>
      <c r="CG94" s="352"/>
      <c r="CH94" s="352"/>
      <c r="CI94" s="352"/>
      <c r="CJ94" s="352"/>
      <c r="CK94" s="352"/>
      <c r="CL94" s="352"/>
      <c r="CM94" s="352"/>
      <c r="CN94" s="352"/>
      <c r="CO94" s="352"/>
      <c r="CP94" s="352"/>
      <c r="CQ94" s="352"/>
      <c r="CR94" s="352"/>
      <c r="CS94" s="352"/>
      <c r="CT94" s="352"/>
      <c r="CU94" s="352"/>
      <c r="CV94" s="352"/>
      <c r="CW94" s="352"/>
      <c r="CX94" s="352"/>
      <c r="CY94" s="352"/>
      <c r="CZ94" s="352"/>
      <c r="DA94" s="352"/>
      <c r="DB94" s="352"/>
      <c r="DC94" s="352"/>
      <c r="DD94" s="352"/>
      <c r="DE94" s="352"/>
      <c r="DF94" s="352"/>
      <c r="DG94" s="352"/>
      <c r="DH94" s="352"/>
      <c r="DI94" s="352"/>
      <c r="DJ94" s="352"/>
      <c r="DK94" s="352"/>
      <c r="DL94" s="352"/>
      <c r="DM94" s="352"/>
      <c r="DN94" s="352"/>
      <c r="DO94" s="352"/>
      <c r="DP94" s="352"/>
      <c r="DQ94" s="352"/>
      <c r="DR94" s="352"/>
      <c r="DS94" s="352"/>
      <c r="DT94" s="352"/>
      <c r="DU94" s="352"/>
      <c r="DV94" s="352"/>
      <c r="DW94" s="352"/>
      <c r="DX94" s="352"/>
      <c r="DY94" s="352"/>
      <c r="DZ94" s="352"/>
      <c r="EA94" s="352"/>
      <c r="EB94" s="352"/>
      <c r="EC94" s="352"/>
      <c r="ED94" s="352"/>
      <c r="EE94" s="352"/>
      <c r="EF94" s="352"/>
      <c r="EG94" s="352"/>
      <c r="EH94" s="352"/>
      <c r="EI94" s="352"/>
      <c r="EJ94" s="352"/>
      <c r="EK94" s="352"/>
      <c r="EL94" s="352"/>
      <c r="EM94" s="352"/>
      <c r="EN94" s="352"/>
    </row>
    <row r="95" spans="1:144" s="169" customFormat="1" ht="20.100000000000001" customHeight="1">
      <c r="A95" s="160" t="s">
        <v>12</v>
      </c>
      <c r="B95" s="160" t="s">
        <v>781</v>
      </c>
      <c r="C95" s="161">
        <v>0</v>
      </c>
      <c r="D95" s="162">
        <f>'Sectors % GDP'!I8</f>
        <v>98100</v>
      </c>
      <c r="E95" s="162">
        <f t="shared" si="2"/>
        <v>0</v>
      </c>
      <c r="F95" s="163">
        <v>0</v>
      </c>
      <c r="G95" s="162">
        <v>0</v>
      </c>
      <c r="H95" s="164">
        <v>20.91</v>
      </c>
      <c r="I95" s="164">
        <v>44.83</v>
      </c>
      <c r="J95" s="164">
        <v>25.35</v>
      </c>
      <c r="K95" s="165">
        <v>11.76</v>
      </c>
      <c r="L95" s="165">
        <f t="shared" si="3"/>
        <v>-3.5999999999999996</v>
      </c>
      <c r="M95" s="166">
        <v>-3.5999999999999997E-2</v>
      </c>
      <c r="N95" s="166">
        <v>6.25</v>
      </c>
      <c r="O95" s="167">
        <f>'Trade Data'!H8</f>
        <v>1.8710074189599308</v>
      </c>
      <c r="P95" s="170">
        <v>0</v>
      </c>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c r="BB95" s="352"/>
      <c r="BC95" s="352"/>
      <c r="BD95" s="352"/>
      <c r="BE95" s="352"/>
      <c r="BF95" s="352"/>
      <c r="BG95" s="352"/>
      <c r="BH95" s="352"/>
      <c r="BI95" s="352"/>
      <c r="BJ95" s="352"/>
      <c r="BK95" s="352"/>
      <c r="BL95" s="352"/>
      <c r="BM95" s="352"/>
      <c r="BN95" s="352"/>
      <c r="BO95" s="352"/>
      <c r="BP95" s="352"/>
      <c r="BQ95" s="352"/>
      <c r="BR95" s="352"/>
      <c r="BS95" s="352"/>
      <c r="BT95" s="352"/>
      <c r="BU95" s="352"/>
      <c r="BV95" s="352"/>
      <c r="BW95" s="352"/>
      <c r="BX95" s="352"/>
      <c r="BY95" s="352"/>
      <c r="BZ95" s="352"/>
      <c r="CA95" s="352"/>
      <c r="CB95" s="352"/>
      <c r="CC95" s="352"/>
      <c r="CD95" s="352"/>
      <c r="CE95" s="352"/>
      <c r="CF95" s="352"/>
      <c r="CG95" s="352"/>
      <c r="CH95" s="352"/>
      <c r="CI95" s="352"/>
      <c r="CJ95" s="352"/>
      <c r="CK95" s="352"/>
      <c r="CL95" s="352"/>
      <c r="CM95" s="352"/>
      <c r="CN95" s="352"/>
      <c r="CO95" s="352"/>
      <c r="CP95" s="352"/>
      <c r="CQ95" s="352"/>
      <c r="CR95" s="352"/>
      <c r="CS95" s="352"/>
      <c r="CT95" s="352"/>
      <c r="CU95" s="352"/>
      <c r="CV95" s="352"/>
      <c r="CW95" s="352"/>
      <c r="CX95" s="352"/>
      <c r="CY95" s="352"/>
      <c r="CZ95" s="352"/>
      <c r="DA95" s="352"/>
      <c r="DB95" s="352"/>
      <c r="DC95" s="352"/>
      <c r="DD95" s="352"/>
      <c r="DE95" s="352"/>
      <c r="DF95" s="352"/>
      <c r="DG95" s="352"/>
      <c r="DH95" s="352"/>
      <c r="DI95" s="352"/>
      <c r="DJ95" s="352"/>
      <c r="DK95" s="352"/>
      <c r="DL95" s="352"/>
      <c r="DM95" s="352"/>
      <c r="DN95" s="352"/>
      <c r="DO95" s="352"/>
      <c r="DP95" s="352"/>
      <c r="DQ95" s="352"/>
      <c r="DR95" s="352"/>
      <c r="DS95" s="352"/>
      <c r="DT95" s="352"/>
      <c r="DU95" s="352"/>
      <c r="DV95" s="352"/>
      <c r="DW95" s="352"/>
      <c r="DX95" s="352"/>
      <c r="DY95" s="352"/>
      <c r="DZ95" s="352"/>
      <c r="EA95" s="352"/>
      <c r="EB95" s="352"/>
      <c r="EC95" s="352"/>
      <c r="ED95" s="352"/>
      <c r="EE95" s="352"/>
      <c r="EF95" s="352"/>
      <c r="EG95" s="352"/>
      <c r="EH95" s="352"/>
      <c r="EI95" s="352"/>
      <c r="EJ95" s="352"/>
      <c r="EK95" s="352"/>
      <c r="EL95" s="352"/>
      <c r="EM95" s="352"/>
      <c r="EN95" s="352"/>
    </row>
    <row r="96" spans="1:144" s="188" customFormat="1" ht="20.100000000000001" customHeight="1">
      <c r="A96" s="179" t="s">
        <v>12</v>
      </c>
      <c r="B96" s="179" t="s">
        <v>780</v>
      </c>
      <c r="C96" s="180">
        <f>'Thomson Reuters IMA  ($)'!I252+'Thomson Reuters IMA  ($)'!I253+'Thomson Reuters IMA  ($)'!I255+'Thomson Reuters IMA  ($)'!I260</f>
        <v>1707.55</v>
      </c>
      <c r="D96" s="181">
        <f>'Sectors % GDP'!I9</f>
        <v>382320</v>
      </c>
      <c r="E96" s="181">
        <f t="shared" si="2"/>
        <v>4.466284787612471E-3</v>
      </c>
      <c r="F96" s="182">
        <v>1</v>
      </c>
      <c r="G96" s="181">
        <v>14</v>
      </c>
      <c r="H96" s="183">
        <v>20.91</v>
      </c>
      <c r="I96" s="183">
        <v>44.83</v>
      </c>
      <c r="J96" s="183">
        <v>25.35</v>
      </c>
      <c r="K96" s="184">
        <v>11.76</v>
      </c>
      <c r="L96" s="184">
        <f t="shared" si="3"/>
        <v>-3.5999999999999996</v>
      </c>
      <c r="M96" s="185">
        <v>-3.5999999999999997E-2</v>
      </c>
      <c r="N96" s="185">
        <v>6.25</v>
      </c>
      <c r="O96" s="186">
        <f>'Trade Data'!H8</f>
        <v>1.8710074189599308</v>
      </c>
      <c r="P96" s="189">
        <v>1</v>
      </c>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c r="BB96" s="352"/>
      <c r="BC96" s="352"/>
      <c r="BD96" s="352"/>
      <c r="BE96" s="352"/>
      <c r="BF96" s="352"/>
      <c r="BG96" s="352"/>
      <c r="BH96" s="352"/>
      <c r="BI96" s="352"/>
      <c r="BJ96" s="352"/>
      <c r="BK96" s="352"/>
      <c r="BL96" s="352"/>
      <c r="BM96" s="352"/>
      <c r="BN96" s="352"/>
      <c r="BO96" s="352"/>
      <c r="BP96" s="352"/>
      <c r="BQ96" s="352"/>
      <c r="BR96" s="352"/>
      <c r="BS96" s="352"/>
      <c r="BT96" s="352"/>
      <c r="BU96" s="352"/>
      <c r="BV96" s="352"/>
      <c r="BW96" s="352"/>
      <c r="BX96" s="352"/>
      <c r="BY96" s="352"/>
      <c r="BZ96" s="352"/>
      <c r="CA96" s="352"/>
      <c r="CB96" s="352"/>
      <c r="CC96" s="352"/>
      <c r="CD96" s="352"/>
      <c r="CE96" s="352"/>
      <c r="CF96" s="352"/>
      <c r="CG96" s="352"/>
      <c r="CH96" s="352"/>
      <c r="CI96" s="352"/>
      <c r="CJ96" s="352"/>
      <c r="CK96" s="352"/>
      <c r="CL96" s="352"/>
      <c r="CM96" s="352"/>
      <c r="CN96" s="352"/>
      <c r="CO96" s="352"/>
      <c r="CP96" s="352"/>
      <c r="CQ96" s="352"/>
      <c r="CR96" s="352"/>
      <c r="CS96" s="352"/>
      <c r="CT96" s="352"/>
      <c r="CU96" s="352"/>
      <c r="CV96" s="352"/>
      <c r="CW96" s="352"/>
      <c r="CX96" s="352"/>
      <c r="CY96" s="352"/>
      <c r="CZ96" s="352"/>
      <c r="DA96" s="352"/>
      <c r="DB96" s="352"/>
      <c r="DC96" s="352"/>
      <c r="DD96" s="352"/>
      <c r="DE96" s="352"/>
      <c r="DF96" s="352"/>
      <c r="DG96" s="352"/>
      <c r="DH96" s="352"/>
      <c r="DI96" s="352"/>
      <c r="DJ96" s="352"/>
      <c r="DK96" s="352"/>
      <c r="DL96" s="352"/>
      <c r="DM96" s="352"/>
      <c r="DN96" s="352"/>
      <c r="DO96" s="352"/>
      <c r="DP96" s="352"/>
      <c r="DQ96" s="352"/>
      <c r="DR96" s="352"/>
      <c r="DS96" s="352"/>
      <c r="DT96" s="352"/>
      <c r="DU96" s="352"/>
      <c r="DV96" s="352"/>
      <c r="DW96" s="352"/>
      <c r="DX96" s="352"/>
      <c r="DY96" s="352"/>
      <c r="DZ96" s="352"/>
      <c r="EA96" s="352"/>
      <c r="EB96" s="352"/>
      <c r="EC96" s="352"/>
      <c r="ED96" s="352"/>
      <c r="EE96" s="352"/>
      <c r="EF96" s="352"/>
      <c r="EG96" s="352"/>
      <c r="EH96" s="352"/>
      <c r="EI96" s="352"/>
      <c r="EJ96" s="352"/>
      <c r="EK96" s="352"/>
      <c r="EL96" s="352"/>
      <c r="EM96" s="352"/>
      <c r="EN96" s="352"/>
    </row>
    <row r="97" spans="1:144" ht="20.100000000000001" customHeight="1">
      <c r="A97" s="118" t="s">
        <v>12</v>
      </c>
      <c r="B97" s="118" t="s">
        <v>779</v>
      </c>
      <c r="C97" s="119">
        <f>'Thomson Reuters IMA  ($)'!I254+'Thomson Reuters IMA  ($)'!I256+'Thomson Reuters IMA  ($)'!I257+'Thomson Reuters IMA  ($)'!I258+'Thomson Reuters IMA  ($)'!I259</f>
        <v>410.90999999999997</v>
      </c>
      <c r="D97" s="120">
        <f>'Sectors % GDP'!I10</f>
        <v>1319400</v>
      </c>
      <c r="E97" s="120">
        <f t="shared" si="2"/>
        <v>3.1143701682582992E-4</v>
      </c>
      <c r="F97" s="121">
        <v>1</v>
      </c>
      <c r="G97" s="120">
        <v>16</v>
      </c>
      <c r="H97" s="122">
        <v>20.91</v>
      </c>
      <c r="I97" s="122">
        <v>44.83</v>
      </c>
      <c r="J97" s="122">
        <v>25.35</v>
      </c>
      <c r="K97" s="123">
        <v>11.76</v>
      </c>
      <c r="L97" s="123">
        <f t="shared" si="3"/>
        <v>-3.5999999999999996</v>
      </c>
      <c r="M97" s="124">
        <v>-3.5999999999999997E-2</v>
      </c>
      <c r="N97" s="124">
        <v>6.25</v>
      </c>
      <c r="O97" s="125">
        <f>'Trade Data'!H8</f>
        <v>1.8710074189599308</v>
      </c>
      <c r="P97" s="127">
        <v>1</v>
      </c>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52"/>
      <c r="BM97" s="352"/>
      <c r="BN97" s="352"/>
      <c r="BO97" s="352"/>
      <c r="BP97" s="352"/>
      <c r="BQ97" s="352"/>
      <c r="BR97" s="352"/>
      <c r="BS97" s="352"/>
      <c r="BT97" s="352"/>
      <c r="BU97" s="352"/>
      <c r="BV97" s="352"/>
      <c r="BW97" s="352"/>
      <c r="BX97" s="352"/>
      <c r="BY97" s="352"/>
      <c r="BZ97" s="352"/>
      <c r="CA97" s="352"/>
      <c r="CB97" s="352"/>
      <c r="CC97" s="352"/>
      <c r="CD97" s="352"/>
      <c r="CE97" s="352"/>
      <c r="CF97" s="352"/>
      <c r="CG97" s="352"/>
      <c r="CH97" s="352"/>
      <c r="CI97" s="352"/>
      <c r="CJ97" s="352"/>
      <c r="CK97" s="352"/>
      <c r="CL97" s="352"/>
      <c r="CM97" s="352"/>
      <c r="CN97" s="352"/>
      <c r="CO97" s="352"/>
      <c r="CP97" s="352"/>
      <c r="CQ97" s="352"/>
      <c r="CR97" s="352"/>
      <c r="CS97" s="352"/>
      <c r="CT97" s="352"/>
      <c r="CU97" s="352"/>
      <c r="CV97" s="352"/>
      <c r="CW97" s="352"/>
      <c r="CX97" s="352"/>
      <c r="CY97" s="352"/>
      <c r="CZ97" s="352"/>
      <c r="DA97" s="352"/>
      <c r="DB97" s="352"/>
      <c r="DC97" s="352"/>
      <c r="DD97" s="352"/>
      <c r="DE97" s="352"/>
      <c r="DF97" s="352"/>
      <c r="DG97" s="352"/>
      <c r="DH97" s="352"/>
      <c r="DI97" s="352"/>
      <c r="DJ97" s="352"/>
      <c r="DK97" s="352"/>
      <c r="DL97" s="352"/>
      <c r="DM97" s="352"/>
      <c r="DN97" s="352"/>
      <c r="DO97" s="352"/>
      <c r="DP97" s="352"/>
      <c r="DQ97" s="352"/>
      <c r="DR97" s="352"/>
      <c r="DS97" s="352"/>
      <c r="DT97" s="352"/>
      <c r="DU97" s="352"/>
      <c r="DV97" s="352"/>
      <c r="DW97" s="352"/>
      <c r="DX97" s="352"/>
      <c r="DY97" s="352"/>
      <c r="DZ97" s="352"/>
      <c r="EA97" s="352"/>
      <c r="EB97" s="352"/>
      <c r="EC97" s="352"/>
      <c r="ED97" s="352"/>
      <c r="EE97" s="352"/>
      <c r="EF97" s="352"/>
      <c r="EG97" s="352"/>
      <c r="EH97" s="352"/>
      <c r="EI97" s="352"/>
      <c r="EJ97" s="352"/>
      <c r="EK97" s="352"/>
      <c r="EL97" s="352"/>
      <c r="EM97" s="352"/>
      <c r="EN97" s="352"/>
    </row>
    <row r="98" spans="1:144" s="169" customFormat="1" ht="20.100000000000001" customHeight="1">
      <c r="A98" s="160" t="s">
        <v>13</v>
      </c>
      <c r="B98" s="160" t="s">
        <v>778</v>
      </c>
      <c r="C98" s="161">
        <v>0</v>
      </c>
      <c r="D98" s="162">
        <f>'Sectors % GDP'!I8</f>
        <v>98100</v>
      </c>
      <c r="E98" s="162">
        <f t="shared" si="2"/>
        <v>0</v>
      </c>
      <c r="F98" s="163">
        <v>0</v>
      </c>
      <c r="G98" s="162">
        <v>0</v>
      </c>
      <c r="H98" s="164">
        <v>21.37</v>
      </c>
      <c r="I98" s="164">
        <v>39.130000000000003</v>
      </c>
      <c r="J98" s="165">
        <v>31.18</v>
      </c>
      <c r="K98" s="165">
        <v>11.76</v>
      </c>
      <c r="L98" s="165">
        <f t="shared" si="3"/>
        <v>-3.5999999999999996</v>
      </c>
      <c r="M98" s="166">
        <v>-3.5999999999999997E-2</v>
      </c>
      <c r="N98" s="166">
        <v>6.25</v>
      </c>
      <c r="O98" s="167">
        <f>'Trade Data'!H8</f>
        <v>1.8710074189599308</v>
      </c>
      <c r="P98" s="168">
        <v>0</v>
      </c>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c r="BB98" s="352"/>
      <c r="BC98" s="352"/>
      <c r="BD98" s="352"/>
      <c r="BE98" s="352"/>
      <c r="BF98" s="352"/>
      <c r="BG98" s="352"/>
      <c r="BH98" s="352"/>
      <c r="BI98" s="352"/>
      <c r="BJ98" s="352"/>
      <c r="BK98" s="352"/>
      <c r="BL98" s="352"/>
      <c r="BM98" s="352"/>
      <c r="BN98" s="352"/>
      <c r="BO98" s="352"/>
      <c r="BP98" s="352"/>
      <c r="BQ98" s="352"/>
      <c r="BR98" s="352"/>
      <c r="BS98" s="352"/>
      <c r="BT98" s="352"/>
      <c r="BU98" s="352"/>
      <c r="BV98" s="352"/>
      <c r="BW98" s="352"/>
      <c r="BX98" s="352"/>
      <c r="BY98" s="352"/>
      <c r="BZ98" s="352"/>
      <c r="CA98" s="352"/>
      <c r="CB98" s="352"/>
      <c r="CC98" s="352"/>
      <c r="CD98" s="352"/>
      <c r="CE98" s="352"/>
      <c r="CF98" s="352"/>
      <c r="CG98" s="352"/>
      <c r="CH98" s="352"/>
      <c r="CI98" s="352"/>
      <c r="CJ98" s="352"/>
      <c r="CK98" s="352"/>
      <c r="CL98" s="352"/>
      <c r="CM98" s="352"/>
      <c r="CN98" s="352"/>
      <c r="CO98" s="352"/>
      <c r="CP98" s="352"/>
      <c r="CQ98" s="352"/>
      <c r="CR98" s="352"/>
      <c r="CS98" s="352"/>
      <c r="CT98" s="352"/>
      <c r="CU98" s="352"/>
      <c r="CV98" s="352"/>
      <c r="CW98" s="352"/>
      <c r="CX98" s="352"/>
      <c r="CY98" s="352"/>
      <c r="CZ98" s="352"/>
      <c r="DA98" s="352"/>
      <c r="DB98" s="352"/>
      <c r="DC98" s="352"/>
      <c r="DD98" s="352"/>
      <c r="DE98" s="352"/>
      <c r="DF98" s="352"/>
      <c r="DG98" s="352"/>
      <c r="DH98" s="352"/>
      <c r="DI98" s="352"/>
      <c r="DJ98" s="352"/>
      <c r="DK98" s="352"/>
      <c r="DL98" s="352"/>
      <c r="DM98" s="352"/>
      <c r="DN98" s="352"/>
      <c r="DO98" s="352"/>
      <c r="DP98" s="352"/>
      <c r="DQ98" s="352"/>
      <c r="DR98" s="352"/>
      <c r="DS98" s="352"/>
      <c r="DT98" s="352"/>
      <c r="DU98" s="352"/>
      <c r="DV98" s="352"/>
      <c r="DW98" s="352"/>
      <c r="DX98" s="352"/>
      <c r="DY98" s="352"/>
      <c r="DZ98" s="352"/>
      <c r="EA98" s="352"/>
      <c r="EB98" s="352"/>
      <c r="EC98" s="352"/>
      <c r="ED98" s="352"/>
      <c r="EE98" s="352"/>
      <c r="EF98" s="352"/>
      <c r="EG98" s="352"/>
      <c r="EH98" s="352"/>
      <c r="EI98" s="352"/>
      <c r="EJ98" s="352"/>
      <c r="EK98" s="352"/>
      <c r="EL98" s="352"/>
      <c r="EM98" s="352"/>
      <c r="EN98" s="352"/>
    </row>
    <row r="99" spans="1:144" s="188" customFormat="1" ht="20.100000000000001" customHeight="1">
      <c r="A99" s="179" t="s">
        <v>13</v>
      </c>
      <c r="B99" s="179" t="s">
        <v>777</v>
      </c>
      <c r="C99" s="180">
        <f>'Thomson Reuters IMA  ($)'!I261+'Thomson Reuters IMA  ($)'!I263+'Thomson Reuters IMA  ($)'!I265+'Thomson Reuters IMA  ($)'!I266+'Thomson Reuters IMA  ($)'!I270+'Thomson Reuters IMA  ($)'!I272+'Thomson Reuters IMA  ($)'!I276</f>
        <v>602.30099999999993</v>
      </c>
      <c r="D99" s="181">
        <f>'Sectors % GDP'!I9</f>
        <v>382320</v>
      </c>
      <c r="E99" s="181">
        <f t="shared" si="2"/>
        <v>1.5753844946641555E-3</v>
      </c>
      <c r="F99" s="182">
        <v>1</v>
      </c>
      <c r="G99" s="181">
        <v>21</v>
      </c>
      <c r="H99" s="183">
        <v>21.37</v>
      </c>
      <c r="I99" s="183">
        <v>39.130000000000003</v>
      </c>
      <c r="J99" s="184">
        <v>31.18</v>
      </c>
      <c r="K99" s="184">
        <v>11.76</v>
      </c>
      <c r="L99" s="184">
        <f t="shared" si="3"/>
        <v>-3.5999999999999996</v>
      </c>
      <c r="M99" s="185">
        <v>-3.5999999999999997E-2</v>
      </c>
      <c r="N99" s="185">
        <v>6.25</v>
      </c>
      <c r="O99" s="186">
        <f>'Trade Data'!H8</f>
        <v>1.8710074189599308</v>
      </c>
      <c r="P99" s="187">
        <v>1</v>
      </c>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c r="BB99" s="352"/>
      <c r="BC99" s="352"/>
      <c r="BD99" s="352"/>
      <c r="BE99" s="352"/>
      <c r="BF99" s="352"/>
      <c r="BG99" s="352"/>
      <c r="BH99" s="352"/>
      <c r="BI99" s="352"/>
      <c r="BJ99" s="352"/>
      <c r="BK99" s="352"/>
      <c r="BL99" s="352"/>
      <c r="BM99" s="352"/>
      <c r="BN99" s="352"/>
      <c r="BO99" s="352"/>
      <c r="BP99" s="352"/>
      <c r="BQ99" s="352"/>
      <c r="BR99" s="352"/>
      <c r="BS99" s="352"/>
      <c r="BT99" s="352"/>
      <c r="BU99" s="352"/>
      <c r="BV99" s="352"/>
      <c r="BW99" s="352"/>
      <c r="BX99" s="352"/>
      <c r="BY99" s="352"/>
      <c r="BZ99" s="352"/>
      <c r="CA99" s="352"/>
      <c r="CB99" s="352"/>
      <c r="CC99" s="352"/>
      <c r="CD99" s="352"/>
      <c r="CE99" s="352"/>
      <c r="CF99" s="352"/>
      <c r="CG99" s="352"/>
      <c r="CH99" s="352"/>
      <c r="CI99" s="352"/>
      <c r="CJ99" s="352"/>
      <c r="CK99" s="352"/>
      <c r="CL99" s="352"/>
      <c r="CM99" s="352"/>
      <c r="CN99" s="352"/>
      <c r="CO99" s="352"/>
      <c r="CP99" s="352"/>
      <c r="CQ99" s="352"/>
      <c r="CR99" s="352"/>
      <c r="CS99" s="352"/>
      <c r="CT99" s="352"/>
      <c r="CU99" s="352"/>
      <c r="CV99" s="352"/>
      <c r="CW99" s="352"/>
      <c r="CX99" s="352"/>
      <c r="CY99" s="352"/>
      <c r="CZ99" s="352"/>
      <c r="DA99" s="352"/>
      <c r="DB99" s="352"/>
      <c r="DC99" s="352"/>
      <c r="DD99" s="352"/>
      <c r="DE99" s="352"/>
      <c r="DF99" s="352"/>
      <c r="DG99" s="352"/>
      <c r="DH99" s="352"/>
      <c r="DI99" s="352"/>
      <c r="DJ99" s="352"/>
      <c r="DK99" s="352"/>
      <c r="DL99" s="352"/>
      <c r="DM99" s="352"/>
      <c r="DN99" s="352"/>
      <c r="DO99" s="352"/>
      <c r="DP99" s="352"/>
      <c r="DQ99" s="352"/>
      <c r="DR99" s="352"/>
      <c r="DS99" s="352"/>
      <c r="DT99" s="352"/>
      <c r="DU99" s="352"/>
      <c r="DV99" s="352"/>
      <c r="DW99" s="352"/>
      <c r="DX99" s="352"/>
      <c r="DY99" s="352"/>
      <c r="DZ99" s="352"/>
      <c r="EA99" s="352"/>
      <c r="EB99" s="352"/>
      <c r="EC99" s="352"/>
      <c r="ED99" s="352"/>
      <c r="EE99" s="352"/>
      <c r="EF99" s="352"/>
      <c r="EG99" s="352"/>
      <c r="EH99" s="352"/>
      <c r="EI99" s="352"/>
      <c r="EJ99" s="352"/>
      <c r="EK99" s="352"/>
      <c r="EL99" s="352"/>
      <c r="EM99" s="352"/>
      <c r="EN99" s="352"/>
    </row>
    <row r="100" spans="1:144" ht="20.100000000000001" customHeight="1">
      <c r="A100" s="118" t="s">
        <v>13</v>
      </c>
      <c r="B100" s="118" t="s">
        <v>776</v>
      </c>
      <c r="C100" s="119">
        <f>'Thomson Reuters IMA  ($)'!I262+'Thomson Reuters IMA  ($)'!I264+'Thomson Reuters IMA  ($)'!I267+'Thomson Reuters IMA  ($)'!I268+'Thomson Reuters IMA  ($)'!I269+'Thomson Reuters IMA  ($)'!I271+'Thomson Reuters IMA  ($)'!I273+'Thomson Reuters IMA  ($)'!I274+'Thomson Reuters IMA  ($)'!I275</f>
        <v>595.88900000000001</v>
      </c>
      <c r="D100" s="120">
        <f>'Sectors % GDP'!I10</f>
        <v>1319400</v>
      </c>
      <c r="E100" s="120">
        <f t="shared" si="2"/>
        <v>4.5163634985599514E-4</v>
      </c>
      <c r="F100" s="121">
        <v>1</v>
      </c>
      <c r="G100" s="120">
        <v>31</v>
      </c>
      <c r="H100" s="122">
        <v>21.37</v>
      </c>
      <c r="I100" s="122">
        <v>39.130000000000003</v>
      </c>
      <c r="J100" s="123">
        <v>31.18</v>
      </c>
      <c r="K100" s="123">
        <v>11.76</v>
      </c>
      <c r="L100" s="123">
        <f t="shared" si="3"/>
        <v>-3.5999999999999996</v>
      </c>
      <c r="M100" s="124">
        <v>-3.5999999999999997E-2</v>
      </c>
      <c r="N100" s="124">
        <v>6.25</v>
      </c>
      <c r="O100" s="125">
        <f>'Trade Data'!H8</f>
        <v>1.8710074189599308</v>
      </c>
      <c r="P100" s="126">
        <v>1</v>
      </c>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c r="BB100" s="352"/>
      <c r="BC100" s="352"/>
      <c r="BD100" s="352"/>
      <c r="BE100" s="352"/>
      <c r="BF100" s="352"/>
      <c r="BG100" s="352"/>
      <c r="BH100" s="352"/>
      <c r="BI100" s="352"/>
      <c r="BJ100" s="352"/>
      <c r="BK100" s="352"/>
      <c r="BL100" s="352"/>
      <c r="BM100" s="352"/>
      <c r="BN100" s="352"/>
      <c r="BO100" s="352"/>
      <c r="BP100" s="352"/>
      <c r="BQ100" s="352"/>
      <c r="BR100" s="352"/>
      <c r="BS100" s="352"/>
      <c r="BT100" s="352"/>
      <c r="BU100" s="352"/>
      <c r="BV100" s="352"/>
      <c r="BW100" s="352"/>
      <c r="BX100" s="352"/>
      <c r="BY100" s="352"/>
      <c r="BZ100" s="352"/>
      <c r="CA100" s="352"/>
      <c r="CB100" s="352"/>
      <c r="CC100" s="352"/>
      <c r="CD100" s="352"/>
      <c r="CE100" s="352"/>
      <c r="CF100" s="352"/>
      <c r="CG100" s="352"/>
      <c r="CH100" s="352"/>
      <c r="CI100" s="352"/>
      <c r="CJ100" s="352"/>
      <c r="CK100" s="352"/>
      <c r="CL100" s="352"/>
      <c r="CM100" s="352"/>
      <c r="CN100" s="352"/>
      <c r="CO100" s="352"/>
      <c r="CP100" s="352"/>
      <c r="CQ100" s="352"/>
      <c r="CR100" s="352"/>
      <c r="CS100" s="352"/>
      <c r="CT100" s="352"/>
      <c r="CU100" s="352"/>
      <c r="CV100" s="352"/>
      <c r="CW100" s="352"/>
      <c r="CX100" s="352"/>
      <c r="CY100" s="352"/>
      <c r="CZ100" s="352"/>
      <c r="DA100" s="352"/>
      <c r="DB100" s="352"/>
      <c r="DC100" s="352"/>
      <c r="DD100" s="352"/>
      <c r="DE100" s="352"/>
      <c r="DF100" s="352"/>
      <c r="DG100" s="352"/>
      <c r="DH100" s="352"/>
      <c r="DI100" s="352"/>
      <c r="DJ100" s="352"/>
      <c r="DK100" s="352"/>
      <c r="DL100" s="352"/>
      <c r="DM100" s="352"/>
      <c r="DN100" s="352"/>
      <c r="DO100" s="352"/>
      <c r="DP100" s="352"/>
      <c r="DQ100" s="352"/>
      <c r="DR100" s="352"/>
      <c r="DS100" s="352"/>
      <c r="DT100" s="352"/>
      <c r="DU100" s="352"/>
      <c r="DV100" s="352"/>
      <c r="DW100" s="352"/>
      <c r="DX100" s="352"/>
      <c r="DY100" s="352"/>
      <c r="DZ100" s="352"/>
      <c r="EA100" s="352"/>
      <c r="EB100" s="352"/>
      <c r="EC100" s="352"/>
      <c r="ED100" s="352"/>
      <c r="EE100" s="352"/>
      <c r="EF100" s="352"/>
      <c r="EG100" s="352"/>
      <c r="EH100" s="352"/>
      <c r="EI100" s="352"/>
      <c r="EJ100" s="352"/>
      <c r="EK100" s="352"/>
      <c r="EL100" s="352"/>
      <c r="EM100" s="352"/>
      <c r="EN100" s="352"/>
    </row>
    <row r="101" spans="1:144" s="169" customFormat="1" ht="20.100000000000001" customHeight="1">
      <c r="A101" s="160" t="s">
        <v>14</v>
      </c>
      <c r="B101" s="160" t="s">
        <v>775</v>
      </c>
      <c r="C101" s="161">
        <v>0</v>
      </c>
      <c r="D101" s="162">
        <f>'Sectors % GDP'!I8</f>
        <v>98100</v>
      </c>
      <c r="E101" s="162">
        <f t="shared" si="2"/>
        <v>0</v>
      </c>
      <c r="F101" s="163">
        <v>0</v>
      </c>
      <c r="G101" s="162">
        <v>0</v>
      </c>
      <c r="H101" s="164">
        <v>28.07</v>
      </c>
      <c r="I101" s="164">
        <v>55.23</v>
      </c>
      <c r="J101" s="165">
        <v>35.74</v>
      </c>
      <c r="K101" s="165">
        <v>11.76</v>
      </c>
      <c r="L101" s="165">
        <f t="shared" si="3"/>
        <v>-3.5999999999999996</v>
      </c>
      <c r="M101" s="166">
        <v>-3.5999999999999997E-2</v>
      </c>
      <c r="N101" s="166">
        <v>6.25</v>
      </c>
      <c r="O101" s="167">
        <f>'Trade Data'!H8</f>
        <v>1.8710074189599308</v>
      </c>
      <c r="P101" s="170">
        <v>0</v>
      </c>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c r="BB101" s="352"/>
      <c r="BC101" s="352"/>
      <c r="BD101" s="352"/>
      <c r="BE101" s="352"/>
      <c r="BF101" s="352"/>
      <c r="BG101" s="352"/>
      <c r="BH101" s="352"/>
      <c r="BI101" s="352"/>
      <c r="BJ101" s="352"/>
      <c r="BK101" s="352"/>
      <c r="BL101" s="352"/>
      <c r="BM101" s="352"/>
      <c r="BN101" s="352"/>
      <c r="BO101" s="352"/>
      <c r="BP101" s="352"/>
      <c r="BQ101" s="352"/>
      <c r="BR101" s="352"/>
      <c r="BS101" s="352"/>
      <c r="BT101" s="352"/>
      <c r="BU101" s="352"/>
      <c r="BV101" s="352"/>
      <c r="BW101" s="352"/>
      <c r="BX101" s="352"/>
      <c r="BY101" s="352"/>
      <c r="BZ101" s="352"/>
      <c r="CA101" s="352"/>
      <c r="CB101" s="352"/>
      <c r="CC101" s="352"/>
      <c r="CD101" s="352"/>
      <c r="CE101" s="352"/>
      <c r="CF101" s="352"/>
      <c r="CG101" s="352"/>
      <c r="CH101" s="352"/>
      <c r="CI101" s="352"/>
      <c r="CJ101" s="352"/>
      <c r="CK101" s="352"/>
      <c r="CL101" s="352"/>
      <c r="CM101" s="352"/>
      <c r="CN101" s="352"/>
      <c r="CO101" s="352"/>
      <c r="CP101" s="352"/>
      <c r="CQ101" s="352"/>
      <c r="CR101" s="352"/>
      <c r="CS101" s="352"/>
      <c r="CT101" s="352"/>
      <c r="CU101" s="352"/>
      <c r="CV101" s="352"/>
      <c r="CW101" s="352"/>
      <c r="CX101" s="352"/>
      <c r="CY101" s="352"/>
      <c r="CZ101" s="352"/>
      <c r="DA101" s="352"/>
      <c r="DB101" s="352"/>
      <c r="DC101" s="352"/>
      <c r="DD101" s="352"/>
      <c r="DE101" s="352"/>
      <c r="DF101" s="352"/>
      <c r="DG101" s="352"/>
      <c r="DH101" s="352"/>
      <c r="DI101" s="352"/>
      <c r="DJ101" s="352"/>
      <c r="DK101" s="352"/>
      <c r="DL101" s="352"/>
      <c r="DM101" s="352"/>
      <c r="DN101" s="352"/>
      <c r="DO101" s="352"/>
      <c r="DP101" s="352"/>
      <c r="DQ101" s="352"/>
      <c r="DR101" s="352"/>
      <c r="DS101" s="352"/>
      <c r="DT101" s="352"/>
      <c r="DU101" s="352"/>
      <c r="DV101" s="352"/>
      <c r="DW101" s="352"/>
      <c r="DX101" s="352"/>
      <c r="DY101" s="352"/>
      <c r="DZ101" s="352"/>
      <c r="EA101" s="352"/>
      <c r="EB101" s="352"/>
      <c r="EC101" s="352"/>
      <c r="ED101" s="352"/>
      <c r="EE101" s="352"/>
      <c r="EF101" s="352"/>
      <c r="EG101" s="352"/>
      <c r="EH101" s="352"/>
      <c r="EI101" s="352"/>
      <c r="EJ101" s="352"/>
      <c r="EK101" s="352"/>
      <c r="EL101" s="352"/>
      <c r="EM101" s="352"/>
      <c r="EN101" s="352"/>
    </row>
    <row r="102" spans="1:144" s="188" customFormat="1" ht="20.100000000000001" customHeight="1">
      <c r="A102" s="179" t="s">
        <v>14</v>
      </c>
      <c r="B102" s="179" t="s">
        <v>774</v>
      </c>
      <c r="C102" s="180">
        <f>'Thomson Reuters IMA  ($)'!I277+'Thomson Reuters IMA  ($)'!I279+'Thomson Reuters IMA  ($)'!I281+'Thomson Reuters IMA  ($)'!I282+'Thomson Reuters IMA  ($)'!I283+'Thomson Reuters IMA  ($)'!I284+'Thomson Reuters IMA  ($)'!I285+'Thomson Reuters IMA  ($)'!I286+'Thomson Reuters IMA  ($)'!I287+'Thomson Reuters IMA  ($)'!I290+'Thomson Reuters IMA  ($)'!I292+'Thomson Reuters IMA  ($)'!I294+'Thomson Reuters IMA  ($)'!I295+'Thomson Reuters IMA  ($)'!I296+'Thomson Reuters IMA  ($)'!I297+'Thomson Reuters IMA  ($)'!I298+'Thomson Reuters IMA  ($)'!I299+'Thomson Reuters IMA  ($)'!I300</f>
        <v>8124.2919999999995</v>
      </c>
      <c r="D102" s="181">
        <f>'Sectors % GDP'!I9</f>
        <v>382320</v>
      </c>
      <c r="E102" s="181">
        <f t="shared" si="2"/>
        <v>2.1249979075120315E-2</v>
      </c>
      <c r="F102" s="182">
        <v>1</v>
      </c>
      <c r="G102" s="181">
        <v>36</v>
      </c>
      <c r="H102" s="183">
        <v>28.07</v>
      </c>
      <c r="I102" s="183">
        <v>55.23</v>
      </c>
      <c r="J102" s="184">
        <v>35.74</v>
      </c>
      <c r="K102" s="184">
        <v>11.76</v>
      </c>
      <c r="L102" s="184">
        <f t="shared" si="3"/>
        <v>-3.5999999999999996</v>
      </c>
      <c r="M102" s="185">
        <v>-3.5999999999999997E-2</v>
      </c>
      <c r="N102" s="185">
        <v>6.25</v>
      </c>
      <c r="O102" s="186">
        <f>'Trade Data'!H8</f>
        <v>1.8710074189599308</v>
      </c>
      <c r="P102" s="189">
        <v>1</v>
      </c>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c r="BB102" s="352"/>
      <c r="BC102" s="352"/>
      <c r="BD102" s="352"/>
      <c r="BE102" s="352"/>
      <c r="BF102" s="352"/>
      <c r="BG102" s="352"/>
      <c r="BH102" s="352"/>
      <c r="BI102" s="352"/>
      <c r="BJ102" s="352"/>
      <c r="BK102" s="352"/>
      <c r="BL102" s="352"/>
      <c r="BM102" s="352"/>
      <c r="BN102" s="352"/>
      <c r="BO102" s="352"/>
      <c r="BP102" s="352"/>
      <c r="BQ102" s="352"/>
      <c r="BR102" s="352"/>
      <c r="BS102" s="352"/>
      <c r="BT102" s="352"/>
      <c r="BU102" s="352"/>
      <c r="BV102" s="352"/>
      <c r="BW102" s="352"/>
      <c r="BX102" s="352"/>
      <c r="BY102" s="352"/>
      <c r="BZ102" s="352"/>
      <c r="CA102" s="352"/>
      <c r="CB102" s="352"/>
      <c r="CC102" s="352"/>
      <c r="CD102" s="352"/>
      <c r="CE102" s="352"/>
      <c r="CF102" s="352"/>
      <c r="CG102" s="352"/>
      <c r="CH102" s="352"/>
      <c r="CI102" s="352"/>
      <c r="CJ102" s="352"/>
      <c r="CK102" s="352"/>
      <c r="CL102" s="352"/>
      <c r="CM102" s="352"/>
      <c r="CN102" s="352"/>
      <c r="CO102" s="352"/>
      <c r="CP102" s="352"/>
      <c r="CQ102" s="352"/>
      <c r="CR102" s="352"/>
      <c r="CS102" s="352"/>
      <c r="CT102" s="352"/>
      <c r="CU102" s="352"/>
      <c r="CV102" s="352"/>
      <c r="CW102" s="352"/>
      <c r="CX102" s="352"/>
      <c r="CY102" s="352"/>
      <c r="CZ102" s="352"/>
      <c r="DA102" s="352"/>
      <c r="DB102" s="352"/>
      <c r="DC102" s="352"/>
      <c r="DD102" s="352"/>
      <c r="DE102" s="352"/>
      <c r="DF102" s="352"/>
      <c r="DG102" s="352"/>
      <c r="DH102" s="352"/>
      <c r="DI102" s="352"/>
      <c r="DJ102" s="352"/>
      <c r="DK102" s="352"/>
      <c r="DL102" s="352"/>
      <c r="DM102" s="352"/>
      <c r="DN102" s="352"/>
      <c r="DO102" s="352"/>
      <c r="DP102" s="352"/>
      <c r="DQ102" s="352"/>
      <c r="DR102" s="352"/>
      <c r="DS102" s="352"/>
      <c r="DT102" s="352"/>
      <c r="DU102" s="352"/>
      <c r="DV102" s="352"/>
      <c r="DW102" s="352"/>
      <c r="DX102" s="352"/>
      <c r="DY102" s="352"/>
      <c r="DZ102" s="352"/>
      <c r="EA102" s="352"/>
      <c r="EB102" s="352"/>
      <c r="EC102" s="352"/>
      <c r="ED102" s="352"/>
      <c r="EE102" s="352"/>
      <c r="EF102" s="352"/>
      <c r="EG102" s="352"/>
      <c r="EH102" s="352"/>
      <c r="EI102" s="352"/>
      <c r="EJ102" s="352"/>
      <c r="EK102" s="352"/>
      <c r="EL102" s="352"/>
      <c r="EM102" s="352"/>
      <c r="EN102" s="352"/>
    </row>
    <row r="103" spans="1:144" ht="20.100000000000001" customHeight="1">
      <c r="A103" s="118" t="s">
        <v>14</v>
      </c>
      <c r="B103" s="118" t="s">
        <v>773</v>
      </c>
      <c r="C103" s="119">
        <f>'Thomson Reuters IMA  ($)'!I278+'Thomson Reuters IMA  ($)'!I280+'Thomson Reuters IMA  ($)'!I288+'Thomson Reuters IMA  ($)'!I289+'Thomson Reuters IMA  ($)'!I291+'Thomson Reuters IMA  ($)'!I293</f>
        <v>552.71699999999998</v>
      </c>
      <c r="D103" s="120">
        <f>'Sectors % GDP'!I10</f>
        <v>1319400</v>
      </c>
      <c r="E103" s="120">
        <f t="shared" si="2"/>
        <v>4.1891541609822647E-4</v>
      </c>
      <c r="F103" s="121">
        <v>1</v>
      </c>
      <c r="G103" s="120">
        <v>34</v>
      </c>
      <c r="H103" s="122">
        <v>28.07</v>
      </c>
      <c r="I103" s="131">
        <v>55.23</v>
      </c>
      <c r="J103" s="123">
        <v>35.74</v>
      </c>
      <c r="K103" s="123">
        <v>11.76</v>
      </c>
      <c r="L103" s="123">
        <f t="shared" si="3"/>
        <v>-3.5999999999999996</v>
      </c>
      <c r="M103" s="124">
        <v>-3.5999999999999997E-2</v>
      </c>
      <c r="N103" s="124">
        <v>6.25</v>
      </c>
      <c r="O103" s="125">
        <f>'Trade Data'!H8</f>
        <v>1.8710074189599308</v>
      </c>
      <c r="P103" s="127">
        <v>1</v>
      </c>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c r="BB103" s="352"/>
      <c r="BC103" s="352"/>
      <c r="BD103" s="352"/>
      <c r="BE103" s="352"/>
      <c r="BF103" s="352"/>
      <c r="BG103" s="352"/>
      <c r="BH103" s="352"/>
      <c r="BI103" s="352"/>
      <c r="BJ103" s="352"/>
      <c r="BK103" s="352"/>
      <c r="BL103" s="352"/>
      <c r="BM103" s="352"/>
      <c r="BN103" s="352"/>
      <c r="BO103" s="352"/>
      <c r="BP103" s="352"/>
      <c r="BQ103" s="352"/>
      <c r="BR103" s="352"/>
      <c r="BS103" s="352"/>
      <c r="BT103" s="352"/>
      <c r="BU103" s="352"/>
      <c r="BV103" s="352"/>
      <c r="BW103" s="352"/>
      <c r="BX103" s="352"/>
      <c r="BY103" s="352"/>
      <c r="BZ103" s="352"/>
      <c r="CA103" s="352"/>
      <c r="CB103" s="352"/>
      <c r="CC103" s="352"/>
      <c r="CD103" s="352"/>
      <c r="CE103" s="352"/>
      <c r="CF103" s="352"/>
      <c r="CG103" s="352"/>
      <c r="CH103" s="352"/>
      <c r="CI103" s="352"/>
      <c r="CJ103" s="352"/>
      <c r="CK103" s="352"/>
      <c r="CL103" s="352"/>
      <c r="CM103" s="352"/>
      <c r="CN103" s="352"/>
      <c r="CO103" s="352"/>
      <c r="CP103" s="352"/>
      <c r="CQ103" s="352"/>
      <c r="CR103" s="352"/>
      <c r="CS103" s="352"/>
      <c r="CT103" s="352"/>
      <c r="CU103" s="352"/>
      <c r="CV103" s="352"/>
      <c r="CW103" s="352"/>
      <c r="CX103" s="352"/>
      <c r="CY103" s="352"/>
      <c r="CZ103" s="352"/>
      <c r="DA103" s="352"/>
      <c r="DB103" s="352"/>
      <c r="DC103" s="352"/>
      <c r="DD103" s="352"/>
      <c r="DE103" s="352"/>
      <c r="DF103" s="352"/>
      <c r="DG103" s="352"/>
      <c r="DH103" s="352"/>
      <c r="DI103" s="352"/>
      <c r="DJ103" s="352"/>
      <c r="DK103" s="352"/>
      <c r="DL103" s="352"/>
      <c r="DM103" s="352"/>
      <c r="DN103" s="352"/>
      <c r="DO103" s="352"/>
      <c r="DP103" s="352"/>
      <c r="DQ103" s="352"/>
      <c r="DR103" s="352"/>
      <c r="DS103" s="352"/>
      <c r="DT103" s="352"/>
      <c r="DU103" s="352"/>
      <c r="DV103" s="352"/>
      <c r="DW103" s="352"/>
      <c r="DX103" s="352"/>
      <c r="DY103" s="352"/>
      <c r="DZ103" s="352"/>
      <c r="EA103" s="352"/>
      <c r="EB103" s="352"/>
      <c r="EC103" s="352"/>
      <c r="ED103" s="352"/>
      <c r="EE103" s="352"/>
      <c r="EF103" s="352"/>
      <c r="EG103" s="352"/>
      <c r="EH103" s="352"/>
      <c r="EI103" s="352"/>
      <c r="EJ103" s="352"/>
      <c r="EK103" s="352"/>
      <c r="EL103" s="352"/>
      <c r="EM103" s="352"/>
      <c r="EN103" s="352"/>
    </row>
    <row r="104" spans="1:144" s="169" customFormat="1" ht="20.100000000000001" customHeight="1">
      <c r="A104" s="160" t="s">
        <v>15</v>
      </c>
      <c r="B104" s="160" t="s">
        <v>772</v>
      </c>
      <c r="C104" s="161">
        <f>'Thomson Reuters IMA  ($)'!I314</f>
        <v>252.88499999999999</v>
      </c>
      <c r="D104" s="162">
        <f>'Sectors % GDP'!K8</f>
        <v>128960</v>
      </c>
      <c r="E104" s="162">
        <f t="shared" si="2"/>
        <v>1.9609568858560793E-3</v>
      </c>
      <c r="F104" s="163">
        <v>1</v>
      </c>
      <c r="G104" s="162">
        <v>2</v>
      </c>
      <c r="H104" s="164">
        <v>15.42</v>
      </c>
      <c r="I104" s="164">
        <v>26.82</v>
      </c>
      <c r="J104" s="165">
        <v>22.16</v>
      </c>
      <c r="K104" s="165">
        <v>11.14</v>
      </c>
      <c r="L104" s="165">
        <f t="shared" si="3"/>
        <v>-3.5999999999999996</v>
      </c>
      <c r="M104" s="166">
        <v>-3.5999999999999997E-2</v>
      </c>
      <c r="N104" s="166">
        <v>6.25</v>
      </c>
      <c r="O104" s="167">
        <f>'Trade Data'!H8</f>
        <v>1.8710074189599308</v>
      </c>
      <c r="P104" s="168">
        <v>0</v>
      </c>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c r="BB104" s="352"/>
      <c r="BC104" s="352"/>
      <c r="BD104" s="352"/>
      <c r="BE104" s="352"/>
      <c r="BF104" s="352"/>
      <c r="BG104" s="352"/>
      <c r="BH104" s="352"/>
      <c r="BI104" s="352"/>
      <c r="BJ104" s="352"/>
      <c r="BK104" s="352"/>
      <c r="BL104" s="352"/>
      <c r="BM104" s="352"/>
      <c r="BN104" s="352"/>
      <c r="BO104" s="352"/>
      <c r="BP104" s="352"/>
      <c r="BQ104" s="352"/>
      <c r="BR104" s="352"/>
      <c r="BS104" s="352"/>
      <c r="BT104" s="352"/>
      <c r="BU104" s="352"/>
      <c r="BV104" s="352"/>
      <c r="BW104" s="352"/>
      <c r="BX104" s="352"/>
      <c r="BY104" s="352"/>
      <c r="BZ104" s="352"/>
      <c r="CA104" s="352"/>
      <c r="CB104" s="352"/>
      <c r="CC104" s="352"/>
      <c r="CD104" s="352"/>
      <c r="CE104" s="352"/>
      <c r="CF104" s="352"/>
      <c r="CG104" s="352"/>
      <c r="CH104" s="352"/>
      <c r="CI104" s="352"/>
      <c r="CJ104" s="352"/>
      <c r="CK104" s="352"/>
      <c r="CL104" s="352"/>
      <c r="CM104" s="352"/>
      <c r="CN104" s="352"/>
      <c r="CO104" s="352"/>
      <c r="CP104" s="352"/>
      <c r="CQ104" s="352"/>
      <c r="CR104" s="352"/>
      <c r="CS104" s="352"/>
      <c r="CT104" s="352"/>
      <c r="CU104" s="352"/>
      <c r="CV104" s="352"/>
      <c r="CW104" s="352"/>
      <c r="CX104" s="352"/>
      <c r="CY104" s="352"/>
      <c r="CZ104" s="352"/>
      <c r="DA104" s="352"/>
      <c r="DB104" s="352"/>
      <c r="DC104" s="352"/>
      <c r="DD104" s="352"/>
      <c r="DE104" s="352"/>
      <c r="DF104" s="352"/>
      <c r="DG104" s="352"/>
      <c r="DH104" s="352"/>
      <c r="DI104" s="352"/>
      <c r="DJ104" s="352"/>
      <c r="DK104" s="352"/>
      <c r="DL104" s="352"/>
      <c r="DM104" s="352"/>
      <c r="DN104" s="352"/>
      <c r="DO104" s="352"/>
      <c r="DP104" s="352"/>
      <c r="DQ104" s="352"/>
      <c r="DR104" s="352"/>
      <c r="DS104" s="352"/>
      <c r="DT104" s="352"/>
      <c r="DU104" s="352"/>
      <c r="DV104" s="352"/>
      <c r="DW104" s="352"/>
      <c r="DX104" s="352"/>
      <c r="DY104" s="352"/>
      <c r="DZ104" s="352"/>
      <c r="EA104" s="352"/>
      <c r="EB104" s="352"/>
      <c r="EC104" s="352"/>
      <c r="ED104" s="352"/>
      <c r="EE104" s="352"/>
      <c r="EF104" s="352"/>
      <c r="EG104" s="352"/>
      <c r="EH104" s="352"/>
      <c r="EI104" s="352"/>
      <c r="EJ104" s="352"/>
      <c r="EK104" s="352"/>
      <c r="EL104" s="352"/>
      <c r="EM104" s="352"/>
      <c r="EN104" s="352"/>
    </row>
    <row r="105" spans="1:144" s="188" customFormat="1" ht="20.100000000000001" customHeight="1">
      <c r="A105" s="179" t="s">
        <v>15</v>
      </c>
      <c r="B105" s="179" t="s">
        <v>771</v>
      </c>
      <c r="C105" s="180">
        <f>'Thomson Reuters IMA  ($)'!I302+'Thomson Reuters IMA  ($)'!I303+'Thomson Reuters IMA  ($)'!I304+'Thomson Reuters IMA  ($)'!I306+'Thomson Reuters IMA  ($)'!I308+'Thomson Reuters IMA  ($)'!I309+'Thomson Reuters IMA  ($)'!I311+'Thomson Reuters IMA  ($)'!I312+'Thomson Reuters IMA  ($)'!I316</f>
        <v>805.48399999999992</v>
      </c>
      <c r="D105" s="181">
        <f>'Sectors % GDP'!K9</f>
        <v>436800</v>
      </c>
      <c r="E105" s="181">
        <f t="shared" si="2"/>
        <v>1.8440567765567763E-3</v>
      </c>
      <c r="F105" s="182">
        <v>1</v>
      </c>
      <c r="G105" s="181">
        <v>16</v>
      </c>
      <c r="H105" s="183">
        <v>15.42</v>
      </c>
      <c r="I105" s="183">
        <v>26.82</v>
      </c>
      <c r="J105" s="184">
        <v>22.16</v>
      </c>
      <c r="K105" s="184">
        <v>11.14</v>
      </c>
      <c r="L105" s="184">
        <f t="shared" si="3"/>
        <v>-3.5999999999999996</v>
      </c>
      <c r="M105" s="185">
        <v>-3.5999999999999997E-2</v>
      </c>
      <c r="N105" s="185">
        <v>6.25</v>
      </c>
      <c r="O105" s="186">
        <f>'Trade Data'!H8</f>
        <v>1.8710074189599308</v>
      </c>
      <c r="P105" s="187">
        <v>1</v>
      </c>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c r="BB105" s="352"/>
      <c r="BC105" s="352"/>
      <c r="BD105" s="352"/>
      <c r="BE105" s="352"/>
      <c r="BF105" s="352"/>
      <c r="BG105" s="352"/>
      <c r="BH105" s="352"/>
      <c r="BI105" s="352"/>
      <c r="BJ105" s="352"/>
      <c r="BK105" s="352"/>
      <c r="BL105" s="352"/>
      <c r="BM105" s="352"/>
      <c r="BN105" s="352"/>
      <c r="BO105" s="352"/>
      <c r="BP105" s="352"/>
      <c r="BQ105" s="352"/>
      <c r="BR105" s="352"/>
      <c r="BS105" s="352"/>
      <c r="BT105" s="352"/>
      <c r="BU105" s="352"/>
      <c r="BV105" s="352"/>
      <c r="BW105" s="352"/>
      <c r="BX105" s="352"/>
      <c r="BY105" s="352"/>
      <c r="BZ105" s="352"/>
      <c r="CA105" s="352"/>
      <c r="CB105" s="352"/>
      <c r="CC105" s="352"/>
      <c r="CD105" s="352"/>
      <c r="CE105" s="352"/>
      <c r="CF105" s="352"/>
      <c r="CG105" s="352"/>
      <c r="CH105" s="352"/>
      <c r="CI105" s="352"/>
      <c r="CJ105" s="352"/>
      <c r="CK105" s="352"/>
      <c r="CL105" s="352"/>
      <c r="CM105" s="352"/>
      <c r="CN105" s="352"/>
      <c r="CO105" s="352"/>
      <c r="CP105" s="352"/>
      <c r="CQ105" s="352"/>
      <c r="CR105" s="352"/>
      <c r="CS105" s="352"/>
      <c r="CT105" s="352"/>
      <c r="CU105" s="352"/>
      <c r="CV105" s="352"/>
      <c r="CW105" s="352"/>
      <c r="CX105" s="352"/>
      <c r="CY105" s="352"/>
      <c r="CZ105" s="352"/>
      <c r="DA105" s="352"/>
      <c r="DB105" s="352"/>
      <c r="DC105" s="352"/>
      <c r="DD105" s="352"/>
      <c r="DE105" s="352"/>
      <c r="DF105" s="352"/>
      <c r="DG105" s="352"/>
      <c r="DH105" s="352"/>
      <c r="DI105" s="352"/>
      <c r="DJ105" s="352"/>
      <c r="DK105" s="352"/>
      <c r="DL105" s="352"/>
      <c r="DM105" s="352"/>
      <c r="DN105" s="352"/>
      <c r="DO105" s="352"/>
      <c r="DP105" s="352"/>
      <c r="DQ105" s="352"/>
      <c r="DR105" s="352"/>
      <c r="DS105" s="352"/>
      <c r="DT105" s="352"/>
      <c r="DU105" s="352"/>
      <c r="DV105" s="352"/>
      <c r="DW105" s="352"/>
      <c r="DX105" s="352"/>
      <c r="DY105" s="352"/>
      <c r="DZ105" s="352"/>
      <c r="EA105" s="352"/>
      <c r="EB105" s="352"/>
      <c r="EC105" s="352"/>
      <c r="ED105" s="352"/>
      <c r="EE105" s="352"/>
      <c r="EF105" s="352"/>
      <c r="EG105" s="352"/>
      <c r="EH105" s="352"/>
      <c r="EI105" s="352"/>
      <c r="EJ105" s="352"/>
      <c r="EK105" s="352"/>
      <c r="EL105" s="352"/>
      <c r="EM105" s="352"/>
      <c r="EN105" s="352"/>
    </row>
    <row r="106" spans="1:144" ht="20.100000000000001" customHeight="1">
      <c r="A106" s="118" t="s">
        <v>15</v>
      </c>
      <c r="B106" s="118" t="s">
        <v>770</v>
      </c>
      <c r="C106" s="119">
        <f>'Thomson Reuters IMA  ($)'!I301+'Thomson Reuters IMA  ($)'!I305+'Thomson Reuters IMA  ($)'!I307+'Thomson Reuters IMA  ($)'!I310+'Thomson Reuters IMA  ($)'!I313+'Thomson Reuters IMA  ($)'!I315+'Thomson Reuters IMA  ($)'!I317+'Thomson Reuters IMA  ($)'!I318</f>
        <v>1627.7449999999999</v>
      </c>
      <c r="D106" s="120">
        <f>'Sectors % GDP'!K10</f>
        <v>1514240</v>
      </c>
      <c r="E106" s="120">
        <f t="shared" si="2"/>
        <v>1.0749583949704142E-3</v>
      </c>
      <c r="F106" s="121">
        <v>1</v>
      </c>
      <c r="G106" s="120">
        <v>26</v>
      </c>
      <c r="H106" s="122">
        <v>15.42</v>
      </c>
      <c r="I106" s="131">
        <v>26.82</v>
      </c>
      <c r="J106" s="123">
        <v>22.16</v>
      </c>
      <c r="K106" s="123">
        <v>11.14</v>
      </c>
      <c r="L106" s="123">
        <f t="shared" si="3"/>
        <v>-3.5999999999999996</v>
      </c>
      <c r="M106" s="124">
        <v>-3.5999999999999997E-2</v>
      </c>
      <c r="N106" s="124">
        <v>6.25</v>
      </c>
      <c r="O106" s="125">
        <f>'Trade Data'!H8</f>
        <v>1.8710074189599308</v>
      </c>
      <c r="P106" s="126">
        <v>1</v>
      </c>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c r="BB106" s="352"/>
      <c r="BC106" s="352"/>
      <c r="BD106" s="352"/>
      <c r="BE106" s="352"/>
      <c r="BF106" s="352"/>
      <c r="BG106" s="352"/>
      <c r="BH106" s="352"/>
      <c r="BI106" s="352"/>
      <c r="BJ106" s="352"/>
      <c r="BK106" s="352"/>
      <c r="BL106" s="352"/>
      <c r="BM106" s="352"/>
      <c r="BN106" s="352"/>
      <c r="BO106" s="352"/>
      <c r="BP106" s="352"/>
      <c r="BQ106" s="352"/>
      <c r="BR106" s="352"/>
      <c r="BS106" s="352"/>
      <c r="BT106" s="352"/>
      <c r="BU106" s="352"/>
      <c r="BV106" s="352"/>
      <c r="BW106" s="352"/>
      <c r="BX106" s="352"/>
      <c r="BY106" s="352"/>
      <c r="BZ106" s="352"/>
      <c r="CA106" s="352"/>
      <c r="CB106" s="352"/>
      <c r="CC106" s="352"/>
      <c r="CD106" s="352"/>
      <c r="CE106" s="352"/>
      <c r="CF106" s="352"/>
      <c r="CG106" s="352"/>
      <c r="CH106" s="352"/>
      <c r="CI106" s="352"/>
      <c r="CJ106" s="352"/>
      <c r="CK106" s="352"/>
      <c r="CL106" s="352"/>
      <c r="CM106" s="352"/>
      <c r="CN106" s="352"/>
      <c r="CO106" s="352"/>
      <c r="CP106" s="352"/>
      <c r="CQ106" s="352"/>
      <c r="CR106" s="352"/>
      <c r="CS106" s="352"/>
      <c r="CT106" s="352"/>
      <c r="CU106" s="352"/>
      <c r="CV106" s="352"/>
      <c r="CW106" s="352"/>
      <c r="CX106" s="352"/>
      <c r="CY106" s="352"/>
      <c r="CZ106" s="352"/>
      <c r="DA106" s="352"/>
      <c r="DB106" s="352"/>
      <c r="DC106" s="352"/>
      <c r="DD106" s="352"/>
      <c r="DE106" s="352"/>
      <c r="DF106" s="352"/>
      <c r="DG106" s="352"/>
      <c r="DH106" s="352"/>
      <c r="DI106" s="352"/>
      <c r="DJ106" s="352"/>
      <c r="DK106" s="352"/>
      <c r="DL106" s="352"/>
      <c r="DM106" s="352"/>
      <c r="DN106" s="352"/>
      <c r="DO106" s="352"/>
      <c r="DP106" s="352"/>
      <c r="DQ106" s="352"/>
      <c r="DR106" s="352"/>
      <c r="DS106" s="352"/>
      <c r="DT106" s="352"/>
      <c r="DU106" s="352"/>
      <c r="DV106" s="352"/>
      <c r="DW106" s="352"/>
      <c r="DX106" s="352"/>
      <c r="DY106" s="352"/>
      <c r="DZ106" s="352"/>
      <c r="EA106" s="352"/>
      <c r="EB106" s="352"/>
      <c r="EC106" s="352"/>
      <c r="ED106" s="352"/>
      <c r="EE106" s="352"/>
      <c r="EF106" s="352"/>
      <c r="EG106" s="352"/>
      <c r="EH106" s="352"/>
      <c r="EI106" s="352"/>
      <c r="EJ106" s="352"/>
      <c r="EK106" s="352"/>
      <c r="EL106" s="352"/>
      <c r="EM106" s="352"/>
      <c r="EN106" s="352"/>
    </row>
    <row r="107" spans="1:144" s="169" customFormat="1" ht="20.100000000000001" customHeight="1">
      <c r="A107" s="160" t="s">
        <v>16</v>
      </c>
      <c r="B107" s="160" t="s">
        <v>769</v>
      </c>
      <c r="C107" s="161">
        <f>'Thomson Reuters IMA  ($)'!I326</f>
        <v>318.60000000000002</v>
      </c>
      <c r="D107" s="162">
        <f>'Sectors % GDP'!K8</f>
        <v>128960</v>
      </c>
      <c r="E107" s="162">
        <f t="shared" si="2"/>
        <v>2.4705334987593056E-3</v>
      </c>
      <c r="F107" s="163">
        <v>1</v>
      </c>
      <c r="G107" s="162">
        <v>2</v>
      </c>
      <c r="H107" s="164">
        <v>26.08</v>
      </c>
      <c r="I107" s="164">
        <v>53</v>
      </c>
      <c r="J107" s="165">
        <v>32.83</v>
      </c>
      <c r="K107" s="165">
        <v>11.14</v>
      </c>
      <c r="L107" s="165">
        <f t="shared" si="3"/>
        <v>0.2</v>
      </c>
      <c r="M107" s="166">
        <v>2E-3</v>
      </c>
      <c r="N107" s="166">
        <v>5.69</v>
      </c>
      <c r="O107" s="167">
        <f>'Trade Data'!J8</f>
        <v>1.9069110390230477</v>
      </c>
      <c r="P107" s="170">
        <v>0</v>
      </c>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c r="BB107" s="352"/>
      <c r="BC107" s="352"/>
      <c r="BD107" s="352"/>
      <c r="BE107" s="352"/>
      <c r="BF107" s="352"/>
      <c r="BG107" s="352"/>
      <c r="BH107" s="352"/>
      <c r="BI107" s="352"/>
      <c r="BJ107" s="352"/>
      <c r="BK107" s="352"/>
      <c r="BL107" s="352"/>
      <c r="BM107" s="352"/>
      <c r="BN107" s="352"/>
      <c r="BO107" s="352"/>
      <c r="BP107" s="352"/>
      <c r="BQ107" s="352"/>
      <c r="BR107" s="352"/>
      <c r="BS107" s="352"/>
      <c r="BT107" s="352"/>
      <c r="BU107" s="352"/>
      <c r="BV107" s="352"/>
      <c r="BW107" s="352"/>
      <c r="BX107" s="352"/>
      <c r="BY107" s="352"/>
      <c r="BZ107" s="352"/>
      <c r="CA107" s="352"/>
      <c r="CB107" s="352"/>
      <c r="CC107" s="352"/>
      <c r="CD107" s="352"/>
      <c r="CE107" s="352"/>
      <c r="CF107" s="352"/>
      <c r="CG107" s="352"/>
      <c r="CH107" s="352"/>
      <c r="CI107" s="352"/>
      <c r="CJ107" s="352"/>
      <c r="CK107" s="352"/>
      <c r="CL107" s="352"/>
      <c r="CM107" s="352"/>
      <c r="CN107" s="352"/>
      <c r="CO107" s="352"/>
      <c r="CP107" s="352"/>
      <c r="CQ107" s="352"/>
      <c r="CR107" s="352"/>
      <c r="CS107" s="352"/>
      <c r="CT107" s="352"/>
      <c r="CU107" s="352"/>
      <c r="CV107" s="352"/>
      <c r="CW107" s="352"/>
      <c r="CX107" s="352"/>
      <c r="CY107" s="352"/>
      <c r="CZ107" s="352"/>
      <c r="DA107" s="352"/>
      <c r="DB107" s="352"/>
      <c r="DC107" s="352"/>
      <c r="DD107" s="352"/>
      <c r="DE107" s="352"/>
      <c r="DF107" s="352"/>
      <c r="DG107" s="352"/>
      <c r="DH107" s="352"/>
      <c r="DI107" s="352"/>
      <c r="DJ107" s="352"/>
      <c r="DK107" s="352"/>
      <c r="DL107" s="352"/>
      <c r="DM107" s="352"/>
      <c r="DN107" s="352"/>
      <c r="DO107" s="352"/>
      <c r="DP107" s="352"/>
      <c r="DQ107" s="352"/>
      <c r="DR107" s="352"/>
      <c r="DS107" s="352"/>
      <c r="DT107" s="352"/>
      <c r="DU107" s="352"/>
      <c r="DV107" s="352"/>
      <c r="DW107" s="352"/>
      <c r="DX107" s="352"/>
      <c r="DY107" s="352"/>
      <c r="DZ107" s="352"/>
      <c r="EA107" s="352"/>
      <c r="EB107" s="352"/>
      <c r="EC107" s="352"/>
      <c r="ED107" s="352"/>
      <c r="EE107" s="352"/>
      <c r="EF107" s="352"/>
      <c r="EG107" s="352"/>
      <c r="EH107" s="352"/>
      <c r="EI107" s="352"/>
      <c r="EJ107" s="352"/>
      <c r="EK107" s="352"/>
      <c r="EL107" s="352"/>
      <c r="EM107" s="352"/>
      <c r="EN107" s="352"/>
    </row>
    <row r="108" spans="1:144" s="188" customFormat="1" ht="20.100000000000001" customHeight="1">
      <c r="A108" s="179" t="s">
        <v>16</v>
      </c>
      <c r="B108" s="179" t="s">
        <v>768</v>
      </c>
      <c r="C108" s="180">
        <f>'Thomson Reuters IMA  ($)'!I320+'Thomson Reuters IMA  ($)'!I321</f>
        <v>8.1</v>
      </c>
      <c r="D108" s="181">
        <f>'Sectors % GDP'!K9</f>
        <v>436800</v>
      </c>
      <c r="E108" s="181">
        <f t="shared" si="2"/>
        <v>1.8543956043956043E-5</v>
      </c>
      <c r="F108" s="182">
        <v>1</v>
      </c>
      <c r="G108" s="181">
        <v>18</v>
      </c>
      <c r="H108" s="183">
        <v>26.08</v>
      </c>
      <c r="I108" s="183">
        <v>53</v>
      </c>
      <c r="J108" s="184">
        <v>32.83</v>
      </c>
      <c r="K108" s="184">
        <v>11.14</v>
      </c>
      <c r="L108" s="184">
        <f t="shared" si="3"/>
        <v>0.2</v>
      </c>
      <c r="M108" s="185">
        <v>2E-3</v>
      </c>
      <c r="N108" s="185">
        <v>5.69</v>
      </c>
      <c r="O108" s="186">
        <f>'Trade Data'!J8</f>
        <v>1.9069110390230477</v>
      </c>
      <c r="P108" s="189">
        <v>1</v>
      </c>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c r="BB108" s="352"/>
      <c r="BC108" s="352"/>
      <c r="BD108" s="352"/>
      <c r="BE108" s="352"/>
      <c r="BF108" s="352"/>
      <c r="BG108" s="352"/>
      <c r="BH108" s="352"/>
      <c r="BI108" s="352"/>
      <c r="BJ108" s="352"/>
      <c r="BK108" s="352"/>
      <c r="BL108" s="352"/>
      <c r="BM108" s="352"/>
      <c r="BN108" s="352"/>
      <c r="BO108" s="352"/>
      <c r="BP108" s="352"/>
      <c r="BQ108" s="352"/>
      <c r="BR108" s="352"/>
      <c r="BS108" s="352"/>
      <c r="BT108" s="352"/>
      <c r="BU108" s="352"/>
      <c r="BV108" s="352"/>
      <c r="BW108" s="352"/>
      <c r="BX108" s="352"/>
      <c r="BY108" s="352"/>
      <c r="BZ108" s="352"/>
      <c r="CA108" s="352"/>
      <c r="CB108" s="352"/>
      <c r="CC108" s="352"/>
      <c r="CD108" s="352"/>
      <c r="CE108" s="352"/>
      <c r="CF108" s="352"/>
      <c r="CG108" s="352"/>
      <c r="CH108" s="352"/>
      <c r="CI108" s="352"/>
      <c r="CJ108" s="352"/>
      <c r="CK108" s="352"/>
      <c r="CL108" s="352"/>
      <c r="CM108" s="352"/>
      <c r="CN108" s="352"/>
      <c r="CO108" s="352"/>
      <c r="CP108" s="352"/>
      <c r="CQ108" s="352"/>
      <c r="CR108" s="352"/>
      <c r="CS108" s="352"/>
      <c r="CT108" s="352"/>
      <c r="CU108" s="352"/>
      <c r="CV108" s="352"/>
      <c r="CW108" s="352"/>
      <c r="CX108" s="352"/>
      <c r="CY108" s="352"/>
      <c r="CZ108" s="352"/>
      <c r="DA108" s="352"/>
      <c r="DB108" s="352"/>
      <c r="DC108" s="352"/>
      <c r="DD108" s="352"/>
      <c r="DE108" s="352"/>
      <c r="DF108" s="352"/>
      <c r="DG108" s="352"/>
      <c r="DH108" s="352"/>
      <c r="DI108" s="352"/>
      <c r="DJ108" s="352"/>
      <c r="DK108" s="352"/>
      <c r="DL108" s="352"/>
      <c r="DM108" s="352"/>
      <c r="DN108" s="352"/>
      <c r="DO108" s="352"/>
      <c r="DP108" s="352"/>
      <c r="DQ108" s="352"/>
      <c r="DR108" s="352"/>
      <c r="DS108" s="352"/>
      <c r="DT108" s="352"/>
      <c r="DU108" s="352"/>
      <c r="DV108" s="352"/>
      <c r="DW108" s="352"/>
      <c r="DX108" s="352"/>
      <c r="DY108" s="352"/>
      <c r="DZ108" s="352"/>
      <c r="EA108" s="352"/>
      <c r="EB108" s="352"/>
      <c r="EC108" s="352"/>
      <c r="ED108" s="352"/>
      <c r="EE108" s="352"/>
      <c r="EF108" s="352"/>
      <c r="EG108" s="352"/>
      <c r="EH108" s="352"/>
      <c r="EI108" s="352"/>
      <c r="EJ108" s="352"/>
      <c r="EK108" s="352"/>
      <c r="EL108" s="352"/>
      <c r="EM108" s="352"/>
      <c r="EN108" s="352"/>
    </row>
    <row r="109" spans="1:144" ht="20.100000000000001" customHeight="1">
      <c r="A109" s="118" t="s">
        <v>16</v>
      </c>
      <c r="B109" s="118" t="s">
        <v>767</v>
      </c>
      <c r="C109" s="119">
        <f>'Thomson Reuters IMA  ($)'!I319+'Thomson Reuters IMA  ($)'!I322+'Thomson Reuters IMA  ($)'!I323+'Thomson Reuters IMA  ($)'!I324+'Thomson Reuters IMA  ($)'!I325+'Thomson Reuters IMA  ($)'!I327+'Thomson Reuters IMA  ($)'!I328</f>
        <v>1519.373</v>
      </c>
      <c r="D109" s="120">
        <f>'Sectors % GDP'!K10</f>
        <v>1514240</v>
      </c>
      <c r="E109" s="120">
        <f t="shared" si="2"/>
        <v>1.0033898193153002E-3</v>
      </c>
      <c r="F109" s="121">
        <v>1</v>
      </c>
      <c r="G109" s="120">
        <v>22</v>
      </c>
      <c r="H109" s="122">
        <v>26.08</v>
      </c>
      <c r="I109" s="122">
        <v>53</v>
      </c>
      <c r="J109" s="123">
        <v>32.83</v>
      </c>
      <c r="K109" s="123">
        <v>11.14</v>
      </c>
      <c r="L109" s="123">
        <f t="shared" si="3"/>
        <v>0.2</v>
      </c>
      <c r="M109" s="124">
        <v>2E-3</v>
      </c>
      <c r="N109" s="124">
        <v>5.69</v>
      </c>
      <c r="O109" s="125">
        <f>'Trade Data'!J8</f>
        <v>1.9069110390230477</v>
      </c>
      <c r="P109" s="127">
        <v>1</v>
      </c>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c r="BB109" s="352"/>
      <c r="BC109" s="352"/>
      <c r="BD109" s="352"/>
      <c r="BE109" s="352"/>
      <c r="BF109" s="352"/>
      <c r="BG109" s="352"/>
      <c r="BH109" s="352"/>
      <c r="BI109" s="352"/>
      <c r="BJ109" s="352"/>
      <c r="BK109" s="352"/>
      <c r="BL109" s="352"/>
      <c r="BM109" s="352"/>
      <c r="BN109" s="352"/>
      <c r="BO109" s="352"/>
      <c r="BP109" s="352"/>
      <c r="BQ109" s="352"/>
      <c r="BR109" s="352"/>
      <c r="BS109" s="352"/>
      <c r="BT109" s="352"/>
      <c r="BU109" s="352"/>
      <c r="BV109" s="352"/>
      <c r="BW109" s="352"/>
      <c r="BX109" s="352"/>
      <c r="BY109" s="352"/>
      <c r="BZ109" s="352"/>
      <c r="CA109" s="352"/>
      <c r="CB109" s="352"/>
      <c r="CC109" s="352"/>
      <c r="CD109" s="352"/>
      <c r="CE109" s="352"/>
      <c r="CF109" s="352"/>
      <c r="CG109" s="352"/>
      <c r="CH109" s="352"/>
      <c r="CI109" s="352"/>
      <c r="CJ109" s="352"/>
      <c r="CK109" s="352"/>
      <c r="CL109" s="352"/>
      <c r="CM109" s="352"/>
      <c r="CN109" s="352"/>
      <c r="CO109" s="352"/>
      <c r="CP109" s="352"/>
      <c r="CQ109" s="352"/>
      <c r="CR109" s="352"/>
      <c r="CS109" s="352"/>
      <c r="CT109" s="352"/>
      <c r="CU109" s="352"/>
      <c r="CV109" s="352"/>
      <c r="CW109" s="352"/>
      <c r="CX109" s="352"/>
      <c r="CY109" s="352"/>
      <c r="CZ109" s="352"/>
      <c r="DA109" s="352"/>
      <c r="DB109" s="352"/>
      <c r="DC109" s="352"/>
      <c r="DD109" s="352"/>
      <c r="DE109" s="352"/>
      <c r="DF109" s="352"/>
      <c r="DG109" s="352"/>
      <c r="DH109" s="352"/>
      <c r="DI109" s="352"/>
      <c r="DJ109" s="352"/>
      <c r="DK109" s="352"/>
      <c r="DL109" s="352"/>
      <c r="DM109" s="352"/>
      <c r="DN109" s="352"/>
      <c r="DO109" s="352"/>
      <c r="DP109" s="352"/>
      <c r="DQ109" s="352"/>
      <c r="DR109" s="352"/>
      <c r="DS109" s="352"/>
      <c r="DT109" s="352"/>
      <c r="DU109" s="352"/>
      <c r="DV109" s="352"/>
      <c r="DW109" s="352"/>
      <c r="DX109" s="352"/>
      <c r="DY109" s="352"/>
      <c r="DZ109" s="352"/>
      <c r="EA109" s="352"/>
      <c r="EB109" s="352"/>
      <c r="EC109" s="352"/>
      <c r="ED109" s="352"/>
      <c r="EE109" s="352"/>
      <c r="EF109" s="352"/>
      <c r="EG109" s="352"/>
      <c r="EH109" s="352"/>
      <c r="EI109" s="352"/>
      <c r="EJ109" s="352"/>
      <c r="EK109" s="352"/>
      <c r="EL109" s="352"/>
      <c r="EM109" s="352"/>
      <c r="EN109" s="352"/>
    </row>
    <row r="110" spans="1:144" s="169" customFormat="1" ht="20.100000000000001" customHeight="1">
      <c r="A110" s="160" t="s">
        <v>17</v>
      </c>
      <c r="B110" s="160" t="s">
        <v>766</v>
      </c>
      <c r="C110" s="161">
        <f>'Thomson Reuters IMA  ($)'!I345+'Thomson Reuters IMA  ($)'!I330</f>
        <v>1105</v>
      </c>
      <c r="D110" s="162">
        <f>'Sectors % GDP'!K8</f>
        <v>128960</v>
      </c>
      <c r="E110" s="162">
        <f t="shared" si="2"/>
        <v>8.5685483870967735E-3</v>
      </c>
      <c r="F110" s="163">
        <v>1</v>
      </c>
      <c r="G110" s="162">
        <v>3</v>
      </c>
      <c r="H110" s="164">
        <v>12.23</v>
      </c>
      <c r="I110" s="164">
        <v>10.26</v>
      </c>
      <c r="J110" s="165">
        <v>29.58</v>
      </c>
      <c r="K110" s="165">
        <v>11.14</v>
      </c>
      <c r="L110" s="165">
        <f t="shared" si="3"/>
        <v>0.2</v>
      </c>
      <c r="M110" s="166">
        <v>2E-3</v>
      </c>
      <c r="N110" s="166">
        <v>5.69</v>
      </c>
      <c r="O110" s="167">
        <f>'Trade Data'!J8</f>
        <v>1.9069110390230477</v>
      </c>
      <c r="P110" s="168">
        <v>0</v>
      </c>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c r="BB110" s="352"/>
      <c r="BC110" s="352"/>
      <c r="BD110" s="352"/>
      <c r="BE110" s="352"/>
      <c r="BF110" s="352"/>
      <c r="BG110" s="352"/>
      <c r="BH110" s="352"/>
      <c r="BI110" s="352"/>
      <c r="BJ110" s="352"/>
      <c r="BK110" s="352"/>
      <c r="BL110" s="352"/>
      <c r="BM110" s="352"/>
      <c r="BN110" s="352"/>
      <c r="BO110" s="352"/>
      <c r="BP110" s="352"/>
      <c r="BQ110" s="352"/>
      <c r="BR110" s="352"/>
      <c r="BS110" s="352"/>
      <c r="BT110" s="352"/>
      <c r="BU110" s="352"/>
      <c r="BV110" s="352"/>
      <c r="BW110" s="352"/>
      <c r="BX110" s="352"/>
      <c r="BY110" s="352"/>
      <c r="BZ110" s="352"/>
      <c r="CA110" s="352"/>
      <c r="CB110" s="352"/>
      <c r="CC110" s="352"/>
      <c r="CD110" s="352"/>
      <c r="CE110" s="352"/>
      <c r="CF110" s="352"/>
      <c r="CG110" s="352"/>
      <c r="CH110" s="352"/>
      <c r="CI110" s="352"/>
      <c r="CJ110" s="352"/>
      <c r="CK110" s="352"/>
      <c r="CL110" s="352"/>
      <c r="CM110" s="352"/>
      <c r="CN110" s="352"/>
      <c r="CO110" s="352"/>
      <c r="CP110" s="352"/>
      <c r="CQ110" s="352"/>
      <c r="CR110" s="352"/>
      <c r="CS110" s="352"/>
      <c r="CT110" s="352"/>
      <c r="CU110" s="352"/>
      <c r="CV110" s="352"/>
      <c r="CW110" s="352"/>
      <c r="CX110" s="352"/>
      <c r="CY110" s="352"/>
      <c r="CZ110" s="352"/>
      <c r="DA110" s="352"/>
      <c r="DB110" s="352"/>
      <c r="DC110" s="352"/>
      <c r="DD110" s="352"/>
      <c r="DE110" s="352"/>
      <c r="DF110" s="352"/>
      <c r="DG110" s="352"/>
      <c r="DH110" s="352"/>
      <c r="DI110" s="352"/>
      <c r="DJ110" s="352"/>
      <c r="DK110" s="352"/>
      <c r="DL110" s="352"/>
      <c r="DM110" s="352"/>
      <c r="DN110" s="352"/>
      <c r="DO110" s="352"/>
      <c r="DP110" s="352"/>
      <c r="DQ110" s="352"/>
      <c r="DR110" s="352"/>
      <c r="DS110" s="352"/>
      <c r="DT110" s="352"/>
      <c r="DU110" s="352"/>
      <c r="DV110" s="352"/>
      <c r="DW110" s="352"/>
      <c r="DX110" s="352"/>
      <c r="DY110" s="352"/>
      <c r="DZ110" s="352"/>
      <c r="EA110" s="352"/>
      <c r="EB110" s="352"/>
      <c r="EC110" s="352"/>
      <c r="ED110" s="352"/>
      <c r="EE110" s="352"/>
      <c r="EF110" s="352"/>
      <c r="EG110" s="352"/>
      <c r="EH110" s="352"/>
      <c r="EI110" s="352"/>
      <c r="EJ110" s="352"/>
      <c r="EK110" s="352"/>
      <c r="EL110" s="352"/>
      <c r="EM110" s="352"/>
      <c r="EN110" s="352"/>
    </row>
    <row r="111" spans="1:144" s="188" customFormat="1" ht="20.100000000000001" customHeight="1">
      <c r="A111" s="179" t="s">
        <v>17</v>
      </c>
      <c r="B111" s="179" t="s">
        <v>765</v>
      </c>
      <c r="C111" s="180">
        <f>'Thomson Reuters IMA  ($)'!I331+'Thomson Reuters IMA  ($)'!I332+'Thomson Reuters IMA  ($)'!I333+'Thomson Reuters IMA  ($)'!I335+'Thomson Reuters IMA  ($)'!I337+'Thomson Reuters IMA  ($)'!I346</f>
        <v>2336.7809999999999</v>
      </c>
      <c r="D111" s="181">
        <f>'Sectors % GDP'!K9</f>
        <v>436800</v>
      </c>
      <c r="E111" s="181">
        <f t="shared" si="2"/>
        <v>5.3497733516483514E-3</v>
      </c>
      <c r="F111" s="182">
        <v>1</v>
      </c>
      <c r="G111" s="181">
        <v>23</v>
      </c>
      <c r="H111" s="183">
        <v>12.23</v>
      </c>
      <c r="I111" s="183">
        <v>10.26</v>
      </c>
      <c r="J111" s="184">
        <v>29.58</v>
      </c>
      <c r="K111" s="184">
        <v>11.14</v>
      </c>
      <c r="L111" s="184">
        <f t="shared" si="3"/>
        <v>0.2</v>
      </c>
      <c r="M111" s="185">
        <v>2E-3</v>
      </c>
      <c r="N111" s="185">
        <v>5.69</v>
      </c>
      <c r="O111" s="186">
        <f>'Trade Data'!J8</f>
        <v>1.9069110390230477</v>
      </c>
      <c r="P111" s="187">
        <v>1</v>
      </c>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c r="BB111" s="352"/>
      <c r="BC111" s="352"/>
      <c r="BD111" s="352"/>
      <c r="BE111" s="352"/>
      <c r="BF111" s="352"/>
      <c r="BG111" s="352"/>
      <c r="BH111" s="352"/>
      <c r="BI111" s="352"/>
      <c r="BJ111" s="352"/>
      <c r="BK111" s="352"/>
      <c r="BL111" s="352"/>
      <c r="BM111" s="352"/>
      <c r="BN111" s="352"/>
      <c r="BO111" s="352"/>
      <c r="BP111" s="352"/>
      <c r="BQ111" s="352"/>
      <c r="BR111" s="352"/>
      <c r="BS111" s="352"/>
      <c r="BT111" s="352"/>
      <c r="BU111" s="352"/>
      <c r="BV111" s="352"/>
      <c r="BW111" s="352"/>
      <c r="BX111" s="352"/>
      <c r="BY111" s="352"/>
      <c r="BZ111" s="352"/>
      <c r="CA111" s="352"/>
      <c r="CB111" s="352"/>
      <c r="CC111" s="352"/>
      <c r="CD111" s="352"/>
      <c r="CE111" s="352"/>
      <c r="CF111" s="352"/>
      <c r="CG111" s="352"/>
      <c r="CH111" s="352"/>
      <c r="CI111" s="352"/>
      <c r="CJ111" s="352"/>
      <c r="CK111" s="352"/>
      <c r="CL111" s="352"/>
      <c r="CM111" s="352"/>
      <c r="CN111" s="352"/>
      <c r="CO111" s="352"/>
      <c r="CP111" s="352"/>
      <c r="CQ111" s="352"/>
      <c r="CR111" s="352"/>
      <c r="CS111" s="352"/>
      <c r="CT111" s="352"/>
      <c r="CU111" s="352"/>
      <c r="CV111" s="352"/>
      <c r="CW111" s="352"/>
      <c r="CX111" s="352"/>
      <c r="CY111" s="352"/>
      <c r="CZ111" s="352"/>
      <c r="DA111" s="352"/>
      <c r="DB111" s="352"/>
      <c r="DC111" s="352"/>
      <c r="DD111" s="352"/>
      <c r="DE111" s="352"/>
      <c r="DF111" s="352"/>
      <c r="DG111" s="352"/>
      <c r="DH111" s="352"/>
      <c r="DI111" s="352"/>
      <c r="DJ111" s="352"/>
      <c r="DK111" s="352"/>
      <c r="DL111" s="352"/>
      <c r="DM111" s="352"/>
      <c r="DN111" s="352"/>
      <c r="DO111" s="352"/>
      <c r="DP111" s="352"/>
      <c r="DQ111" s="352"/>
      <c r="DR111" s="352"/>
      <c r="DS111" s="352"/>
      <c r="DT111" s="352"/>
      <c r="DU111" s="352"/>
      <c r="DV111" s="352"/>
      <c r="DW111" s="352"/>
      <c r="DX111" s="352"/>
      <c r="DY111" s="352"/>
      <c r="DZ111" s="352"/>
      <c r="EA111" s="352"/>
      <c r="EB111" s="352"/>
      <c r="EC111" s="352"/>
      <c r="ED111" s="352"/>
      <c r="EE111" s="352"/>
      <c r="EF111" s="352"/>
      <c r="EG111" s="352"/>
      <c r="EH111" s="352"/>
      <c r="EI111" s="352"/>
      <c r="EJ111" s="352"/>
      <c r="EK111" s="352"/>
      <c r="EL111" s="352"/>
      <c r="EM111" s="352"/>
      <c r="EN111" s="352"/>
    </row>
    <row r="112" spans="1:144" ht="20.100000000000001" customHeight="1">
      <c r="A112" s="118" t="s">
        <v>17</v>
      </c>
      <c r="B112" s="118" t="s">
        <v>764</v>
      </c>
      <c r="C112" s="119">
        <f>'Thomson Reuters IMA  ($)'!I334+'Thomson Reuters IMA  ($)'!I336+'Thomson Reuters IMA  ($)'!I338+'Thomson Reuters IMA  ($)'!I339+'Thomson Reuters IMA  ($)'!I340+'Thomson Reuters IMA  ($)'!I341+'Thomson Reuters IMA  ($)'!I342+'Thomson Reuters IMA  ($)'!I343+'Thomson Reuters IMA  ($)'!I344</f>
        <v>1646.922</v>
      </c>
      <c r="D112" s="120">
        <f>'Sectors % GDP'!K10</f>
        <v>1514240</v>
      </c>
      <c r="E112" s="120">
        <f t="shared" si="2"/>
        <v>1.0876228338968725E-3</v>
      </c>
      <c r="F112" s="121">
        <v>1</v>
      </c>
      <c r="G112" s="120">
        <v>26</v>
      </c>
      <c r="H112" s="122">
        <v>12.23</v>
      </c>
      <c r="I112" s="122">
        <v>10.26</v>
      </c>
      <c r="J112" s="123">
        <v>29.58</v>
      </c>
      <c r="K112" s="123">
        <v>11.14</v>
      </c>
      <c r="L112" s="123">
        <f t="shared" si="3"/>
        <v>0.2</v>
      </c>
      <c r="M112" s="124">
        <v>2E-3</v>
      </c>
      <c r="N112" s="124">
        <v>5.69</v>
      </c>
      <c r="O112" s="125">
        <f>'Trade Data'!J8</f>
        <v>1.9069110390230477</v>
      </c>
      <c r="P112" s="126">
        <v>1</v>
      </c>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c r="BB112" s="352"/>
      <c r="BC112" s="352"/>
      <c r="BD112" s="352"/>
      <c r="BE112" s="352"/>
      <c r="BF112" s="352"/>
      <c r="BG112" s="352"/>
      <c r="BH112" s="352"/>
      <c r="BI112" s="352"/>
      <c r="BJ112" s="352"/>
      <c r="BK112" s="352"/>
      <c r="BL112" s="352"/>
      <c r="BM112" s="352"/>
      <c r="BN112" s="352"/>
      <c r="BO112" s="352"/>
      <c r="BP112" s="352"/>
      <c r="BQ112" s="352"/>
      <c r="BR112" s="352"/>
      <c r="BS112" s="352"/>
      <c r="BT112" s="352"/>
      <c r="BU112" s="352"/>
      <c r="BV112" s="352"/>
      <c r="BW112" s="352"/>
      <c r="BX112" s="352"/>
      <c r="BY112" s="352"/>
      <c r="BZ112" s="352"/>
      <c r="CA112" s="352"/>
      <c r="CB112" s="352"/>
      <c r="CC112" s="352"/>
      <c r="CD112" s="352"/>
      <c r="CE112" s="352"/>
      <c r="CF112" s="352"/>
      <c r="CG112" s="352"/>
      <c r="CH112" s="352"/>
      <c r="CI112" s="352"/>
      <c r="CJ112" s="352"/>
      <c r="CK112" s="352"/>
      <c r="CL112" s="352"/>
      <c r="CM112" s="352"/>
      <c r="CN112" s="352"/>
      <c r="CO112" s="352"/>
      <c r="CP112" s="352"/>
      <c r="CQ112" s="352"/>
      <c r="CR112" s="352"/>
      <c r="CS112" s="352"/>
      <c r="CT112" s="352"/>
      <c r="CU112" s="352"/>
      <c r="CV112" s="352"/>
      <c r="CW112" s="352"/>
      <c r="CX112" s="352"/>
      <c r="CY112" s="352"/>
      <c r="CZ112" s="352"/>
      <c r="DA112" s="352"/>
      <c r="DB112" s="352"/>
      <c r="DC112" s="352"/>
      <c r="DD112" s="352"/>
      <c r="DE112" s="352"/>
      <c r="DF112" s="352"/>
      <c r="DG112" s="352"/>
      <c r="DH112" s="352"/>
      <c r="DI112" s="352"/>
      <c r="DJ112" s="352"/>
      <c r="DK112" s="352"/>
      <c r="DL112" s="352"/>
      <c r="DM112" s="352"/>
      <c r="DN112" s="352"/>
      <c r="DO112" s="352"/>
      <c r="DP112" s="352"/>
      <c r="DQ112" s="352"/>
      <c r="DR112" s="352"/>
      <c r="DS112" s="352"/>
      <c r="DT112" s="352"/>
      <c r="DU112" s="352"/>
      <c r="DV112" s="352"/>
      <c r="DW112" s="352"/>
      <c r="DX112" s="352"/>
      <c r="DY112" s="352"/>
      <c r="DZ112" s="352"/>
      <c r="EA112" s="352"/>
      <c r="EB112" s="352"/>
      <c r="EC112" s="352"/>
      <c r="ED112" s="352"/>
      <c r="EE112" s="352"/>
      <c r="EF112" s="352"/>
      <c r="EG112" s="352"/>
      <c r="EH112" s="352"/>
      <c r="EI112" s="352"/>
      <c r="EJ112" s="352"/>
      <c r="EK112" s="352"/>
      <c r="EL112" s="352"/>
      <c r="EM112" s="352"/>
      <c r="EN112" s="352"/>
    </row>
    <row r="113" spans="1:144" s="169" customFormat="1" ht="20.100000000000001" customHeight="1">
      <c r="A113" s="160" t="s">
        <v>18</v>
      </c>
      <c r="B113" s="160" t="s">
        <v>853</v>
      </c>
      <c r="C113" s="161">
        <v>0</v>
      </c>
      <c r="D113" s="162">
        <f>'Sectors % GDP'!K8</f>
        <v>128960</v>
      </c>
      <c r="E113" s="162">
        <f t="shared" si="2"/>
        <v>0</v>
      </c>
      <c r="F113" s="163">
        <v>1</v>
      </c>
      <c r="G113" s="162">
        <v>1</v>
      </c>
      <c r="H113" s="164">
        <v>33.74</v>
      </c>
      <c r="I113" s="164">
        <v>70.010000000000005</v>
      </c>
      <c r="J113" s="165">
        <v>39.17</v>
      </c>
      <c r="K113" s="165">
        <v>11.14</v>
      </c>
      <c r="L113" s="165">
        <f t="shared" si="3"/>
        <v>0.2</v>
      </c>
      <c r="M113" s="166">
        <v>2E-3</v>
      </c>
      <c r="N113" s="166">
        <v>5.69</v>
      </c>
      <c r="O113" s="167">
        <f>'Trade Data'!J8</f>
        <v>1.9069110390230477</v>
      </c>
      <c r="P113" s="170">
        <v>0</v>
      </c>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c r="BB113" s="352"/>
      <c r="BC113" s="352"/>
      <c r="BD113" s="352"/>
      <c r="BE113" s="352"/>
      <c r="BF113" s="352"/>
      <c r="BG113" s="352"/>
      <c r="BH113" s="352"/>
      <c r="BI113" s="352"/>
      <c r="BJ113" s="352"/>
      <c r="BK113" s="352"/>
      <c r="BL113" s="352"/>
      <c r="BM113" s="352"/>
      <c r="BN113" s="352"/>
      <c r="BO113" s="352"/>
      <c r="BP113" s="352"/>
      <c r="BQ113" s="352"/>
      <c r="BR113" s="352"/>
      <c r="BS113" s="352"/>
      <c r="BT113" s="352"/>
      <c r="BU113" s="352"/>
      <c r="BV113" s="352"/>
      <c r="BW113" s="352"/>
      <c r="BX113" s="352"/>
      <c r="BY113" s="352"/>
      <c r="BZ113" s="352"/>
      <c r="CA113" s="352"/>
      <c r="CB113" s="352"/>
      <c r="CC113" s="352"/>
      <c r="CD113" s="352"/>
      <c r="CE113" s="352"/>
      <c r="CF113" s="352"/>
      <c r="CG113" s="352"/>
      <c r="CH113" s="352"/>
      <c r="CI113" s="352"/>
      <c r="CJ113" s="352"/>
      <c r="CK113" s="352"/>
      <c r="CL113" s="352"/>
      <c r="CM113" s="352"/>
      <c r="CN113" s="352"/>
      <c r="CO113" s="352"/>
      <c r="CP113" s="352"/>
      <c r="CQ113" s="352"/>
      <c r="CR113" s="352"/>
      <c r="CS113" s="352"/>
      <c r="CT113" s="352"/>
      <c r="CU113" s="352"/>
      <c r="CV113" s="352"/>
      <c r="CW113" s="352"/>
      <c r="CX113" s="352"/>
      <c r="CY113" s="352"/>
      <c r="CZ113" s="352"/>
      <c r="DA113" s="352"/>
      <c r="DB113" s="352"/>
      <c r="DC113" s="352"/>
      <c r="DD113" s="352"/>
      <c r="DE113" s="352"/>
      <c r="DF113" s="352"/>
      <c r="DG113" s="352"/>
      <c r="DH113" s="352"/>
      <c r="DI113" s="352"/>
      <c r="DJ113" s="352"/>
      <c r="DK113" s="352"/>
      <c r="DL113" s="352"/>
      <c r="DM113" s="352"/>
      <c r="DN113" s="352"/>
      <c r="DO113" s="352"/>
      <c r="DP113" s="352"/>
      <c r="DQ113" s="352"/>
      <c r="DR113" s="352"/>
      <c r="DS113" s="352"/>
      <c r="DT113" s="352"/>
      <c r="DU113" s="352"/>
      <c r="DV113" s="352"/>
      <c r="DW113" s="352"/>
      <c r="DX113" s="352"/>
      <c r="DY113" s="352"/>
      <c r="DZ113" s="352"/>
      <c r="EA113" s="352"/>
      <c r="EB113" s="352"/>
      <c r="EC113" s="352"/>
      <c r="ED113" s="352"/>
      <c r="EE113" s="352"/>
      <c r="EF113" s="352"/>
      <c r="EG113" s="352"/>
      <c r="EH113" s="352"/>
      <c r="EI113" s="352"/>
      <c r="EJ113" s="352"/>
      <c r="EK113" s="352"/>
      <c r="EL113" s="352"/>
      <c r="EM113" s="352"/>
      <c r="EN113" s="352"/>
    </row>
    <row r="114" spans="1:144" s="188" customFormat="1" ht="20.100000000000001" customHeight="1">
      <c r="A114" s="179" t="s">
        <v>18</v>
      </c>
      <c r="B114" s="179" t="s">
        <v>854</v>
      </c>
      <c r="C114" s="180">
        <f>'Thomson Reuters IMA  ($)'!I347+'Thomson Reuters IMA  ($)'!I348+'Thomson Reuters IMA  ($)'!I349+'Thomson Reuters IMA  ($)'!I352+'Thomson Reuters IMA  ($)'!I353</f>
        <v>3204.308</v>
      </c>
      <c r="D114" s="181">
        <f>'Sectors % GDP'!K9</f>
        <v>436800</v>
      </c>
      <c r="E114" s="181">
        <f t="shared" si="2"/>
        <v>7.3358699633699637E-3</v>
      </c>
      <c r="F114" s="182">
        <v>1</v>
      </c>
      <c r="G114" s="181">
        <v>12</v>
      </c>
      <c r="H114" s="183">
        <v>33.74</v>
      </c>
      <c r="I114" s="183">
        <v>70.010000000000005</v>
      </c>
      <c r="J114" s="184">
        <v>39.17</v>
      </c>
      <c r="K114" s="184">
        <v>11.14</v>
      </c>
      <c r="L114" s="184">
        <f t="shared" si="3"/>
        <v>0.2</v>
      </c>
      <c r="M114" s="185">
        <v>2E-3</v>
      </c>
      <c r="N114" s="185">
        <v>5.69</v>
      </c>
      <c r="O114" s="186">
        <f>'Trade Data'!J8</f>
        <v>1.9069110390230477</v>
      </c>
      <c r="P114" s="189">
        <v>1</v>
      </c>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c r="BB114" s="352"/>
      <c r="BC114" s="352"/>
      <c r="BD114" s="352"/>
      <c r="BE114" s="352"/>
      <c r="BF114" s="352"/>
      <c r="BG114" s="352"/>
      <c r="BH114" s="352"/>
      <c r="BI114" s="352"/>
      <c r="BJ114" s="352"/>
      <c r="BK114" s="352"/>
      <c r="BL114" s="352"/>
      <c r="BM114" s="352"/>
      <c r="BN114" s="352"/>
      <c r="BO114" s="352"/>
      <c r="BP114" s="352"/>
      <c r="BQ114" s="352"/>
      <c r="BR114" s="352"/>
      <c r="BS114" s="352"/>
      <c r="BT114" s="352"/>
      <c r="BU114" s="352"/>
      <c r="BV114" s="352"/>
      <c r="BW114" s="352"/>
      <c r="BX114" s="352"/>
      <c r="BY114" s="352"/>
      <c r="BZ114" s="352"/>
      <c r="CA114" s="352"/>
      <c r="CB114" s="352"/>
      <c r="CC114" s="352"/>
      <c r="CD114" s="352"/>
      <c r="CE114" s="352"/>
      <c r="CF114" s="352"/>
      <c r="CG114" s="352"/>
      <c r="CH114" s="352"/>
      <c r="CI114" s="352"/>
      <c r="CJ114" s="352"/>
      <c r="CK114" s="352"/>
      <c r="CL114" s="352"/>
      <c r="CM114" s="352"/>
      <c r="CN114" s="352"/>
      <c r="CO114" s="352"/>
      <c r="CP114" s="352"/>
      <c r="CQ114" s="352"/>
      <c r="CR114" s="352"/>
      <c r="CS114" s="352"/>
      <c r="CT114" s="352"/>
      <c r="CU114" s="352"/>
      <c r="CV114" s="352"/>
      <c r="CW114" s="352"/>
      <c r="CX114" s="352"/>
      <c r="CY114" s="352"/>
      <c r="CZ114" s="352"/>
      <c r="DA114" s="352"/>
      <c r="DB114" s="352"/>
      <c r="DC114" s="352"/>
      <c r="DD114" s="352"/>
      <c r="DE114" s="352"/>
      <c r="DF114" s="352"/>
      <c r="DG114" s="352"/>
      <c r="DH114" s="352"/>
      <c r="DI114" s="352"/>
      <c r="DJ114" s="352"/>
      <c r="DK114" s="352"/>
      <c r="DL114" s="352"/>
      <c r="DM114" s="352"/>
      <c r="DN114" s="352"/>
      <c r="DO114" s="352"/>
      <c r="DP114" s="352"/>
      <c r="DQ114" s="352"/>
      <c r="DR114" s="352"/>
      <c r="DS114" s="352"/>
      <c r="DT114" s="352"/>
      <c r="DU114" s="352"/>
      <c r="DV114" s="352"/>
      <c r="DW114" s="352"/>
      <c r="DX114" s="352"/>
      <c r="DY114" s="352"/>
      <c r="DZ114" s="352"/>
      <c r="EA114" s="352"/>
      <c r="EB114" s="352"/>
      <c r="EC114" s="352"/>
      <c r="ED114" s="352"/>
      <c r="EE114" s="352"/>
      <c r="EF114" s="352"/>
      <c r="EG114" s="352"/>
      <c r="EH114" s="352"/>
      <c r="EI114" s="352"/>
      <c r="EJ114" s="352"/>
      <c r="EK114" s="352"/>
      <c r="EL114" s="352"/>
      <c r="EM114" s="352"/>
      <c r="EN114" s="352"/>
    </row>
    <row r="115" spans="1:144" ht="20.100000000000001" customHeight="1">
      <c r="A115" s="118" t="s">
        <v>18</v>
      </c>
      <c r="B115" s="118" t="s">
        <v>852</v>
      </c>
      <c r="C115" s="119">
        <f>'Thomson Reuters IMA  ($)'!I350</f>
        <v>73.19</v>
      </c>
      <c r="D115" s="120">
        <f>'Sectors % GDP'!K10</f>
        <v>1514240</v>
      </c>
      <c r="E115" s="120">
        <f t="shared" si="2"/>
        <v>4.8334478021978021E-5</v>
      </c>
      <c r="F115" s="121">
        <v>1</v>
      </c>
      <c r="G115" s="120">
        <v>8</v>
      </c>
      <c r="H115" s="122">
        <v>33.74</v>
      </c>
      <c r="I115" s="122">
        <v>70.010000000000005</v>
      </c>
      <c r="J115" s="123">
        <v>39.17</v>
      </c>
      <c r="K115" s="123">
        <v>11.14</v>
      </c>
      <c r="L115" s="123">
        <f t="shared" si="3"/>
        <v>0.2</v>
      </c>
      <c r="M115" s="124">
        <v>2E-3</v>
      </c>
      <c r="N115" s="124">
        <v>5.69</v>
      </c>
      <c r="O115" s="125">
        <f>'Trade Data'!J8</f>
        <v>1.9069110390230477</v>
      </c>
      <c r="P115" s="127">
        <v>1</v>
      </c>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c r="BB115" s="352"/>
      <c r="BC115" s="352"/>
      <c r="BD115" s="352"/>
      <c r="BE115" s="352"/>
      <c r="BF115" s="352"/>
      <c r="BG115" s="352"/>
      <c r="BH115" s="352"/>
      <c r="BI115" s="352"/>
      <c r="BJ115" s="352"/>
      <c r="BK115" s="352"/>
      <c r="BL115" s="352"/>
      <c r="BM115" s="352"/>
      <c r="BN115" s="352"/>
      <c r="BO115" s="352"/>
      <c r="BP115" s="352"/>
      <c r="BQ115" s="352"/>
      <c r="BR115" s="352"/>
      <c r="BS115" s="352"/>
      <c r="BT115" s="352"/>
      <c r="BU115" s="352"/>
      <c r="BV115" s="352"/>
      <c r="BW115" s="352"/>
      <c r="BX115" s="352"/>
      <c r="BY115" s="352"/>
      <c r="BZ115" s="352"/>
      <c r="CA115" s="352"/>
      <c r="CB115" s="352"/>
      <c r="CC115" s="352"/>
      <c r="CD115" s="352"/>
      <c r="CE115" s="352"/>
      <c r="CF115" s="352"/>
      <c r="CG115" s="352"/>
      <c r="CH115" s="352"/>
      <c r="CI115" s="352"/>
      <c r="CJ115" s="352"/>
      <c r="CK115" s="352"/>
      <c r="CL115" s="352"/>
      <c r="CM115" s="352"/>
      <c r="CN115" s="352"/>
      <c r="CO115" s="352"/>
      <c r="CP115" s="352"/>
      <c r="CQ115" s="352"/>
      <c r="CR115" s="352"/>
      <c r="CS115" s="352"/>
      <c r="CT115" s="352"/>
      <c r="CU115" s="352"/>
      <c r="CV115" s="352"/>
      <c r="CW115" s="352"/>
      <c r="CX115" s="352"/>
      <c r="CY115" s="352"/>
      <c r="CZ115" s="352"/>
      <c r="DA115" s="352"/>
      <c r="DB115" s="352"/>
      <c r="DC115" s="352"/>
      <c r="DD115" s="352"/>
      <c r="DE115" s="352"/>
      <c r="DF115" s="352"/>
      <c r="DG115" s="352"/>
      <c r="DH115" s="352"/>
      <c r="DI115" s="352"/>
      <c r="DJ115" s="352"/>
      <c r="DK115" s="352"/>
      <c r="DL115" s="352"/>
      <c r="DM115" s="352"/>
      <c r="DN115" s="352"/>
      <c r="DO115" s="352"/>
      <c r="DP115" s="352"/>
      <c r="DQ115" s="352"/>
      <c r="DR115" s="352"/>
      <c r="DS115" s="352"/>
      <c r="DT115" s="352"/>
      <c r="DU115" s="352"/>
      <c r="DV115" s="352"/>
      <c r="DW115" s="352"/>
      <c r="DX115" s="352"/>
      <c r="DY115" s="352"/>
      <c r="DZ115" s="352"/>
      <c r="EA115" s="352"/>
      <c r="EB115" s="352"/>
      <c r="EC115" s="352"/>
      <c r="ED115" s="352"/>
      <c r="EE115" s="352"/>
      <c r="EF115" s="352"/>
      <c r="EG115" s="352"/>
      <c r="EH115" s="352"/>
      <c r="EI115" s="352"/>
      <c r="EJ115" s="352"/>
      <c r="EK115" s="352"/>
      <c r="EL115" s="352"/>
      <c r="EM115" s="352"/>
      <c r="EN115" s="352"/>
    </row>
    <row r="116" spans="1:144" s="169" customFormat="1" ht="20.100000000000001" customHeight="1">
      <c r="A116" s="160" t="s">
        <v>37</v>
      </c>
      <c r="B116" s="160" t="s">
        <v>763</v>
      </c>
      <c r="C116" s="161">
        <v>0</v>
      </c>
      <c r="D116" s="162">
        <f>'Sectors % GDP'!C12</f>
        <v>10298.58</v>
      </c>
      <c r="E116" s="162">
        <f t="shared" si="2"/>
        <v>0</v>
      </c>
      <c r="F116" s="163">
        <v>0</v>
      </c>
      <c r="G116" s="162">
        <v>0</v>
      </c>
      <c r="H116" s="164">
        <v>85.85</v>
      </c>
      <c r="I116" s="164">
        <v>78.180000000000007</v>
      </c>
      <c r="J116" s="165">
        <v>78.55</v>
      </c>
      <c r="K116" s="165">
        <v>86.75</v>
      </c>
      <c r="L116" s="165">
        <f t="shared" si="3"/>
        <v>4</v>
      </c>
      <c r="M116" s="166">
        <v>0.04</v>
      </c>
      <c r="N116" s="166">
        <v>5.8</v>
      </c>
      <c r="O116" s="167">
        <f>'Trade Data'!B11</f>
        <v>0.64085335301855728</v>
      </c>
      <c r="P116" s="168">
        <v>0</v>
      </c>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c r="BG116" s="352"/>
      <c r="BH116" s="352"/>
      <c r="BI116" s="352"/>
      <c r="BJ116" s="352"/>
      <c r="BK116" s="352"/>
      <c r="BL116" s="352"/>
      <c r="BM116" s="352"/>
      <c r="BN116" s="352"/>
      <c r="BO116" s="352"/>
      <c r="BP116" s="352"/>
      <c r="BQ116" s="352"/>
      <c r="BR116" s="352"/>
      <c r="BS116" s="352"/>
      <c r="BT116" s="352"/>
      <c r="BU116" s="352"/>
      <c r="BV116" s="352"/>
      <c r="BW116" s="352"/>
      <c r="BX116" s="352"/>
      <c r="BY116" s="352"/>
      <c r="BZ116" s="352"/>
      <c r="CA116" s="352"/>
      <c r="CB116" s="352"/>
      <c r="CC116" s="352"/>
      <c r="CD116" s="352"/>
      <c r="CE116" s="352"/>
      <c r="CF116" s="352"/>
      <c r="CG116" s="352"/>
      <c r="CH116" s="352"/>
      <c r="CI116" s="352"/>
      <c r="CJ116" s="352"/>
      <c r="CK116" s="352"/>
      <c r="CL116" s="352"/>
      <c r="CM116" s="352"/>
      <c r="CN116" s="352"/>
      <c r="CO116" s="352"/>
      <c r="CP116" s="352"/>
      <c r="CQ116" s="352"/>
      <c r="CR116" s="352"/>
      <c r="CS116" s="352"/>
      <c r="CT116" s="352"/>
      <c r="CU116" s="352"/>
      <c r="CV116" s="352"/>
      <c r="CW116" s="352"/>
      <c r="CX116" s="352"/>
      <c r="CY116" s="352"/>
      <c r="CZ116" s="352"/>
      <c r="DA116" s="352"/>
      <c r="DB116" s="352"/>
      <c r="DC116" s="352"/>
      <c r="DD116" s="352"/>
      <c r="DE116" s="352"/>
      <c r="DF116" s="352"/>
      <c r="DG116" s="352"/>
      <c r="DH116" s="352"/>
      <c r="DI116" s="352"/>
      <c r="DJ116" s="352"/>
      <c r="DK116" s="352"/>
      <c r="DL116" s="352"/>
      <c r="DM116" s="352"/>
      <c r="DN116" s="352"/>
      <c r="DO116" s="352"/>
      <c r="DP116" s="352"/>
      <c r="DQ116" s="352"/>
      <c r="DR116" s="352"/>
      <c r="DS116" s="352"/>
      <c r="DT116" s="352"/>
      <c r="DU116" s="352"/>
      <c r="DV116" s="352"/>
      <c r="DW116" s="352"/>
      <c r="DX116" s="352"/>
      <c r="DY116" s="352"/>
      <c r="DZ116" s="352"/>
      <c r="EA116" s="352"/>
      <c r="EB116" s="352"/>
      <c r="EC116" s="352"/>
      <c r="ED116" s="352"/>
      <c r="EE116" s="352"/>
      <c r="EF116" s="352"/>
      <c r="EG116" s="352"/>
      <c r="EH116" s="352"/>
      <c r="EI116" s="352"/>
      <c r="EJ116" s="352"/>
      <c r="EK116" s="352"/>
      <c r="EL116" s="352"/>
      <c r="EM116" s="352"/>
      <c r="EN116" s="352"/>
    </row>
    <row r="117" spans="1:144" s="188" customFormat="1" ht="20.100000000000001" customHeight="1">
      <c r="A117" s="179" t="s">
        <v>37</v>
      </c>
      <c r="B117" s="179" t="s">
        <v>762</v>
      </c>
      <c r="C117" s="180">
        <f>'Thomson Reuters IMA  ($)'!I354+'Thomson Reuters IMA  ($)'!I355+'Thomson Reuters IMA  ($)'!I356+'Thomson Reuters IMA  ($)'!I357+'Thomson Reuters IMA  ($)'!I358</f>
        <v>49.725000000000001</v>
      </c>
      <c r="D117" s="181">
        <f>'Sectors % GDP'!C13</f>
        <v>94858.271999999997</v>
      </c>
      <c r="E117" s="181">
        <f t="shared" si="2"/>
        <v>5.2420309743782809E-4</v>
      </c>
      <c r="F117" s="182">
        <v>1</v>
      </c>
      <c r="G117" s="181">
        <v>6</v>
      </c>
      <c r="H117" s="183">
        <v>85.85</v>
      </c>
      <c r="I117" s="183">
        <v>78.180000000000007</v>
      </c>
      <c r="J117" s="184">
        <v>78.55</v>
      </c>
      <c r="K117" s="184">
        <v>86.75</v>
      </c>
      <c r="L117" s="184">
        <f t="shared" si="3"/>
        <v>4</v>
      </c>
      <c r="M117" s="185">
        <v>0.04</v>
      </c>
      <c r="N117" s="185">
        <v>5.8</v>
      </c>
      <c r="O117" s="186">
        <f>'Trade Data'!B11</f>
        <v>0.64085335301855728</v>
      </c>
      <c r="P117" s="187">
        <v>1</v>
      </c>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c r="BB117" s="352"/>
      <c r="BC117" s="352"/>
      <c r="BD117" s="352"/>
      <c r="BE117" s="352"/>
      <c r="BF117" s="352"/>
      <c r="BG117" s="352"/>
      <c r="BH117" s="352"/>
      <c r="BI117" s="352"/>
      <c r="BJ117" s="352"/>
      <c r="BK117" s="352"/>
      <c r="BL117" s="352"/>
      <c r="BM117" s="352"/>
      <c r="BN117" s="352"/>
      <c r="BO117" s="352"/>
      <c r="BP117" s="352"/>
      <c r="BQ117" s="352"/>
      <c r="BR117" s="352"/>
      <c r="BS117" s="352"/>
      <c r="BT117" s="352"/>
      <c r="BU117" s="352"/>
      <c r="BV117" s="352"/>
      <c r="BW117" s="352"/>
      <c r="BX117" s="352"/>
      <c r="BY117" s="352"/>
      <c r="BZ117" s="352"/>
      <c r="CA117" s="352"/>
      <c r="CB117" s="352"/>
      <c r="CC117" s="352"/>
      <c r="CD117" s="352"/>
      <c r="CE117" s="352"/>
      <c r="CF117" s="352"/>
      <c r="CG117" s="352"/>
      <c r="CH117" s="352"/>
      <c r="CI117" s="352"/>
      <c r="CJ117" s="352"/>
      <c r="CK117" s="352"/>
      <c r="CL117" s="352"/>
      <c r="CM117" s="352"/>
      <c r="CN117" s="352"/>
      <c r="CO117" s="352"/>
      <c r="CP117" s="352"/>
      <c r="CQ117" s="352"/>
      <c r="CR117" s="352"/>
      <c r="CS117" s="352"/>
      <c r="CT117" s="352"/>
      <c r="CU117" s="352"/>
      <c r="CV117" s="352"/>
      <c r="CW117" s="352"/>
      <c r="CX117" s="352"/>
      <c r="CY117" s="352"/>
      <c r="CZ117" s="352"/>
      <c r="DA117" s="352"/>
      <c r="DB117" s="352"/>
      <c r="DC117" s="352"/>
      <c r="DD117" s="352"/>
      <c r="DE117" s="352"/>
      <c r="DF117" s="352"/>
      <c r="DG117" s="352"/>
      <c r="DH117" s="352"/>
      <c r="DI117" s="352"/>
      <c r="DJ117" s="352"/>
      <c r="DK117" s="352"/>
      <c r="DL117" s="352"/>
      <c r="DM117" s="352"/>
      <c r="DN117" s="352"/>
      <c r="DO117" s="352"/>
      <c r="DP117" s="352"/>
      <c r="DQ117" s="352"/>
      <c r="DR117" s="352"/>
      <c r="DS117" s="352"/>
      <c r="DT117" s="352"/>
      <c r="DU117" s="352"/>
      <c r="DV117" s="352"/>
      <c r="DW117" s="352"/>
      <c r="DX117" s="352"/>
      <c r="DY117" s="352"/>
      <c r="DZ117" s="352"/>
      <c r="EA117" s="352"/>
      <c r="EB117" s="352"/>
      <c r="EC117" s="352"/>
      <c r="ED117" s="352"/>
      <c r="EE117" s="352"/>
      <c r="EF117" s="352"/>
      <c r="EG117" s="352"/>
      <c r="EH117" s="352"/>
      <c r="EI117" s="352"/>
      <c r="EJ117" s="352"/>
      <c r="EK117" s="352"/>
      <c r="EL117" s="352"/>
      <c r="EM117" s="352"/>
      <c r="EN117" s="352"/>
    </row>
    <row r="118" spans="1:144" ht="20.100000000000001" customHeight="1">
      <c r="A118" s="118" t="s">
        <v>37</v>
      </c>
      <c r="B118" s="118" t="s">
        <v>761</v>
      </c>
      <c r="C118" s="119">
        <f>'Thomson Reuters IMA  ($)'!I359</f>
        <v>16.495000000000001</v>
      </c>
      <c r="D118" s="120">
        <f>'Sectors % GDP'!C14</f>
        <v>173183.14799999999</v>
      </c>
      <c r="E118" s="120">
        <f t="shared" si="2"/>
        <v>9.5245987790913708E-5</v>
      </c>
      <c r="F118" s="121">
        <v>1</v>
      </c>
      <c r="G118" s="120">
        <v>6</v>
      </c>
      <c r="H118" s="122">
        <v>85.85</v>
      </c>
      <c r="I118" s="131">
        <v>78.180000000000007</v>
      </c>
      <c r="J118" s="123">
        <v>78.55</v>
      </c>
      <c r="K118" s="123">
        <v>86.75</v>
      </c>
      <c r="L118" s="123">
        <f t="shared" si="3"/>
        <v>4</v>
      </c>
      <c r="M118" s="124">
        <v>0.04</v>
      </c>
      <c r="N118" s="124">
        <v>5.8</v>
      </c>
      <c r="O118" s="125">
        <f>'Trade Data'!B11</f>
        <v>0.64085335301855728</v>
      </c>
      <c r="P118" s="126">
        <v>1</v>
      </c>
      <c r="Q118" s="352"/>
      <c r="R118" s="352"/>
      <c r="S118" s="352"/>
      <c r="T118" s="352"/>
      <c r="U118" s="352"/>
      <c r="V118" s="352"/>
      <c r="W118" s="352"/>
      <c r="X118" s="352"/>
      <c r="Y118" s="352"/>
      <c r="Z118" s="352"/>
      <c r="AA118" s="352"/>
      <c r="AB118" s="352"/>
      <c r="AC118" s="352"/>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2"/>
      <c r="BB118" s="352"/>
      <c r="BC118" s="352"/>
      <c r="BD118" s="352"/>
      <c r="BE118" s="352"/>
      <c r="BF118" s="352"/>
      <c r="BG118" s="352"/>
      <c r="BH118" s="352"/>
      <c r="BI118" s="352"/>
      <c r="BJ118" s="352"/>
      <c r="BK118" s="352"/>
      <c r="BL118" s="352"/>
      <c r="BM118" s="352"/>
      <c r="BN118" s="352"/>
      <c r="BO118" s="352"/>
      <c r="BP118" s="352"/>
      <c r="BQ118" s="352"/>
      <c r="BR118" s="352"/>
      <c r="BS118" s="352"/>
      <c r="BT118" s="352"/>
      <c r="BU118" s="352"/>
      <c r="BV118" s="352"/>
      <c r="BW118" s="352"/>
      <c r="BX118" s="352"/>
      <c r="BY118" s="352"/>
      <c r="BZ118" s="352"/>
      <c r="CA118" s="352"/>
      <c r="CB118" s="352"/>
      <c r="CC118" s="352"/>
      <c r="CD118" s="352"/>
      <c r="CE118" s="352"/>
      <c r="CF118" s="352"/>
      <c r="CG118" s="352"/>
      <c r="CH118" s="352"/>
      <c r="CI118" s="352"/>
      <c r="CJ118" s="352"/>
      <c r="CK118" s="352"/>
      <c r="CL118" s="352"/>
      <c r="CM118" s="352"/>
      <c r="CN118" s="352"/>
      <c r="CO118" s="352"/>
      <c r="CP118" s="352"/>
      <c r="CQ118" s="352"/>
      <c r="CR118" s="352"/>
      <c r="CS118" s="352"/>
      <c r="CT118" s="352"/>
      <c r="CU118" s="352"/>
      <c r="CV118" s="352"/>
      <c r="CW118" s="352"/>
      <c r="CX118" s="352"/>
      <c r="CY118" s="352"/>
      <c r="CZ118" s="352"/>
      <c r="DA118" s="352"/>
      <c r="DB118" s="352"/>
      <c r="DC118" s="352"/>
      <c r="DD118" s="352"/>
      <c r="DE118" s="352"/>
      <c r="DF118" s="352"/>
      <c r="DG118" s="352"/>
      <c r="DH118" s="352"/>
      <c r="DI118" s="352"/>
      <c r="DJ118" s="352"/>
      <c r="DK118" s="352"/>
      <c r="DL118" s="352"/>
      <c r="DM118" s="352"/>
      <c r="DN118" s="352"/>
      <c r="DO118" s="352"/>
      <c r="DP118" s="352"/>
      <c r="DQ118" s="352"/>
      <c r="DR118" s="352"/>
      <c r="DS118" s="352"/>
      <c r="DT118" s="352"/>
      <c r="DU118" s="352"/>
      <c r="DV118" s="352"/>
      <c r="DW118" s="352"/>
      <c r="DX118" s="352"/>
      <c r="DY118" s="352"/>
      <c r="DZ118" s="352"/>
      <c r="EA118" s="352"/>
      <c r="EB118" s="352"/>
      <c r="EC118" s="352"/>
      <c r="ED118" s="352"/>
      <c r="EE118" s="352"/>
      <c r="EF118" s="352"/>
      <c r="EG118" s="352"/>
      <c r="EH118" s="352"/>
      <c r="EI118" s="352"/>
      <c r="EJ118" s="352"/>
      <c r="EK118" s="352"/>
      <c r="EL118" s="352"/>
      <c r="EM118" s="352"/>
      <c r="EN118" s="352"/>
    </row>
    <row r="119" spans="1:144" s="169" customFormat="1" ht="20.100000000000001" customHeight="1">
      <c r="A119" s="160" t="s">
        <v>38</v>
      </c>
      <c r="B119" s="160" t="s">
        <v>760</v>
      </c>
      <c r="C119" s="161">
        <v>0</v>
      </c>
      <c r="D119" s="162">
        <f>'Sectors % GDP'!C12</f>
        <v>10298.58</v>
      </c>
      <c r="E119" s="162">
        <f t="shared" si="2"/>
        <v>0</v>
      </c>
      <c r="F119" s="163">
        <v>0</v>
      </c>
      <c r="G119" s="162">
        <v>0</v>
      </c>
      <c r="H119" s="164">
        <v>72.2</v>
      </c>
      <c r="I119" s="164">
        <v>22.75</v>
      </c>
      <c r="J119" s="165">
        <v>83.35</v>
      </c>
      <c r="K119" s="165">
        <v>86.75</v>
      </c>
      <c r="L119" s="165">
        <f t="shared" si="3"/>
        <v>4</v>
      </c>
      <c r="M119" s="166">
        <v>0.04</v>
      </c>
      <c r="N119" s="166">
        <v>5.8</v>
      </c>
      <c r="O119" s="167">
        <f>'Trade Data'!B11</f>
        <v>0.64085335301855728</v>
      </c>
      <c r="P119" s="170">
        <v>0</v>
      </c>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c r="BB119" s="352"/>
      <c r="BC119" s="352"/>
      <c r="BD119" s="352"/>
      <c r="BE119" s="352"/>
      <c r="BF119" s="352"/>
      <c r="BG119" s="352"/>
      <c r="BH119" s="352"/>
      <c r="BI119" s="352"/>
      <c r="BJ119" s="352"/>
      <c r="BK119" s="352"/>
      <c r="BL119" s="352"/>
      <c r="BM119" s="352"/>
      <c r="BN119" s="352"/>
      <c r="BO119" s="352"/>
      <c r="BP119" s="352"/>
      <c r="BQ119" s="352"/>
      <c r="BR119" s="352"/>
      <c r="BS119" s="352"/>
      <c r="BT119" s="352"/>
      <c r="BU119" s="352"/>
      <c r="BV119" s="352"/>
      <c r="BW119" s="352"/>
      <c r="BX119" s="352"/>
      <c r="BY119" s="352"/>
      <c r="BZ119" s="352"/>
      <c r="CA119" s="352"/>
      <c r="CB119" s="352"/>
      <c r="CC119" s="352"/>
      <c r="CD119" s="352"/>
      <c r="CE119" s="352"/>
      <c r="CF119" s="352"/>
      <c r="CG119" s="352"/>
      <c r="CH119" s="352"/>
      <c r="CI119" s="352"/>
      <c r="CJ119" s="352"/>
      <c r="CK119" s="352"/>
      <c r="CL119" s="352"/>
      <c r="CM119" s="352"/>
      <c r="CN119" s="352"/>
      <c r="CO119" s="352"/>
      <c r="CP119" s="352"/>
      <c r="CQ119" s="352"/>
      <c r="CR119" s="352"/>
      <c r="CS119" s="352"/>
      <c r="CT119" s="352"/>
      <c r="CU119" s="352"/>
      <c r="CV119" s="352"/>
      <c r="CW119" s="352"/>
      <c r="CX119" s="352"/>
      <c r="CY119" s="352"/>
      <c r="CZ119" s="352"/>
      <c r="DA119" s="352"/>
      <c r="DB119" s="352"/>
      <c r="DC119" s="352"/>
      <c r="DD119" s="352"/>
      <c r="DE119" s="352"/>
      <c r="DF119" s="352"/>
      <c r="DG119" s="352"/>
      <c r="DH119" s="352"/>
      <c r="DI119" s="352"/>
      <c r="DJ119" s="352"/>
      <c r="DK119" s="352"/>
      <c r="DL119" s="352"/>
      <c r="DM119" s="352"/>
      <c r="DN119" s="352"/>
      <c r="DO119" s="352"/>
      <c r="DP119" s="352"/>
      <c r="DQ119" s="352"/>
      <c r="DR119" s="352"/>
      <c r="DS119" s="352"/>
      <c r="DT119" s="352"/>
      <c r="DU119" s="352"/>
      <c r="DV119" s="352"/>
      <c r="DW119" s="352"/>
      <c r="DX119" s="352"/>
      <c r="DY119" s="352"/>
      <c r="DZ119" s="352"/>
      <c r="EA119" s="352"/>
      <c r="EB119" s="352"/>
      <c r="EC119" s="352"/>
      <c r="ED119" s="352"/>
      <c r="EE119" s="352"/>
      <c r="EF119" s="352"/>
      <c r="EG119" s="352"/>
      <c r="EH119" s="352"/>
      <c r="EI119" s="352"/>
      <c r="EJ119" s="352"/>
      <c r="EK119" s="352"/>
      <c r="EL119" s="352"/>
      <c r="EM119" s="352"/>
      <c r="EN119" s="352"/>
    </row>
    <row r="120" spans="1:144" s="188" customFormat="1" ht="20.100000000000001" customHeight="1">
      <c r="A120" s="179" t="s">
        <v>38</v>
      </c>
      <c r="B120" s="179" t="s">
        <v>759</v>
      </c>
      <c r="C120" s="180">
        <f>'Thomson Reuters IMA  ($)'!I360</f>
        <v>1</v>
      </c>
      <c r="D120" s="181">
        <f>'Sectors % GDP'!C13</f>
        <v>94858.271999999997</v>
      </c>
      <c r="E120" s="181">
        <f t="shared" si="2"/>
        <v>1.0542043186281108E-5</v>
      </c>
      <c r="F120" s="182">
        <v>1</v>
      </c>
      <c r="G120" s="181">
        <v>2</v>
      </c>
      <c r="H120" s="183">
        <v>72.2</v>
      </c>
      <c r="I120" s="183">
        <v>22.75</v>
      </c>
      <c r="J120" s="184">
        <v>83.35</v>
      </c>
      <c r="K120" s="184">
        <v>86.75</v>
      </c>
      <c r="L120" s="184">
        <f t="shared" si="3"/>
        <v>4</v>
      </c>
      <c r="M120" s="185">
        <v>0.04</v>
      </c>
      <c r="N120" s="185">
        <v>5.8</v>
      </c>
      <c r="O120" s="186">
        <f>'Trade Data'!B11</f>
        <v>0.64085335301855728</v>
      </c>
      <c r="P120" s="189">
        <v>1</v>
      </c>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2"/>
      <c r="BB120" s="352"/>
      <c r="BC120" s="352"/>
      <c r="BD120" s="352"/>
      <c r="BE120" s="352"/>
      <c r="BF120" s="352"/>
      <c r="BG120" s="352"/>
      <c r="BH120" s="352"/>
      <c r="BI120" s="352"/>
      <c r="BJ120" s="352"/>
      <c r="BK120" s="352"/>
      <c r="BL120" s="352"/>
      <c r="BM120" s="352"/>
      <c r="BN120" s="352"/>
      <c r="BO120" s="352"/>
      <c r="BP120" s="352"/>
      <c r="BQ120" s="352"/>
      <c r="BR120" s="352"/>
      <c r="BS120" s="352"/>
      <c r="BT120" s="352"/>
      <c r="BU120" s="352"/>
      <c r="BV120" s="352"/>
      <c r="BW120" s="352"/>
      <c r="BX120" s="352"/>
      <c r="BY120" s="352"/>
      <c r="BZ120" s="352"/>
      <c r="CA120" s="352"/>
      <c r="CB120" s="352"/>
      <c r="CC120" s="352"/>
      <c r="CD120" s="352"/>
      <c r="CE120" s="352"/>
      <c r="CF120" s="352"/>
      <c r="CG120" s="352"/>
      <c r="CH120" s="352"/>
      <c r="CI120" s="352"/>
      <c r="CJ120" s="352"/>
      <c r="CK120" s="352"/>
      <c r="CL120" s="352"/>
      <c r="CM120" s="352"/>
      <c r="CN120" s="352"/>
      <c r="CO120" s="352"/>
      <c r="CP120" s="352"/>
      <c r="CQ120" s="352"/>
      <c r="CR120" s="352"/>
      <c r="CS120" s="352"/>
      <c r="CT120" s="352"/>
      <c r="CU120" s="352"/>
      <c r="CV120" s="352"/>
      <c r="CW120" s="352"/>
      <c r="CX120" s="352"/>
      <c r="CY120" s="352"/>
      <c r="CZ120" s="352"/>
      <c r="DA120" s="352"/>
      <c r="DB120" s="352"/>
      <c r="DC120" s="352"/>
      <c r="DD120" s="352"/>
      <c r="DE120" s="352"/>
      <c r="DF120" s="352"/>
      <c r="DG120" s="352"/>
      <c r="DH120" s="352"/>
      <c r="DI120" s="352"/>
      <c r="DJ120" s="352"/>
      <c r="DK120" s="352"/>
      <c r="DL120" s="352"/>
      <c r="DM120" s="352"/>
      <c r="DN120" s="352"/>
      <c r="DO120" s="352"/>
      <c r="DP120" s="352"/>
      <c r="DQ120" s="352"/>
      <c r="DR120" s="352"/>
      <c r="DS120" s="352"/>
      <c r="DT120" s="352"/>
      <c r="DU120" s="352"/>
      <c r="DV120" s="352"/>
      <c r="DW120" s="352"/>
      <c r="DX120" s="352"/>
      <c r="DY120" s="352"/>
      <c r="DZ120" s="352"/>
      <c r="EA120" s="352"/>
      <c r="EB120" s="352"/>
      <c r="EC120" s="352"/>
      <c r="ED120" s="352"/>
      <c r="EE120" s="352"/>
      <c r="EF120" s="352"/>
      <c r="EG120" s="352"/>
      <c r="EH120" s="352"/>
      <c r="EI120" s="352"/>
      <c r="EJ120" s="352"/>
      <c r="EK120" s="352"/>
      <c r="EL120" s="352"/>
      <c r="EM120" s="352"/>
      <c r="EN120" s="352"/>
    </row>
    <row r="121" spans="1:144" ht="20.100000000000001" customHeight="1">
      <c r="A121" s="118" t="s">
        <v>38</v>
      </c>
      <c r="B121" s="118" t="s">
        <v>758</v>
      </c>
      <c r="C121" s="119">
        <f>'Thomson Reuters IMA  ($)'!I361+'Thomson Reuters IMA  ($)'!I362</f>
        <v>9.33</v>
      </c>
      <c r="D121" s="120">
        <f>'Sectors % GDP'!C14</f>
        <v>173183.14799999999</v>
      </c>
      <c r="E121" s="120">
        <f t="shared" si="2"/>
        <v>5.3873602066639881E-5</v>
      </c>
      <c r="F121" s="121">
        <v>1</v>
      </c>
      <c r="G121" s="120">
        <v>4</v>
      </c>
      <c r="H121" s="122">
        <v>72.2</v>
      </c>
      <c r="I121" s="131">
        <v>22.75</v>
      </c>
      <c r="J121" s="123">
        <v>83.35</v>
      </c>
      <c r="K121" s="123">
        <v>86.75</v>
      </c>
      <c r="L121" s="123">
        <f t="shared" si="3"/>
        <v>4</v>
      </c>
      <c r="M121" s="124">
        <v>0.04</v>
      </c>
      <c r="N121" s="124">
        <v>5.8</v>
      </c>
      <c r="O121" s="125">
        <f>'Trade Data'!B11</f>
        <v>0.64085335301855728</v>
      </c>
      <c r="P121" s="127">
        <v>1</v>
      </c>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2"/>
      <c r="BB121" s="352"/>
      <c r="BC121" s="352"/>
      <c r="BD121" s="352"/>
      <c r="BE121" s="352"/>
      <c r="BF121" s="352"/>
      <c r="BG121" s="352"/>
      <c r="BH121" s="352"/>
      <c r="BI121" s="352"/>
      <c r="BJ121" s="352"/>
      <c r="BK121" s="352"/>
      <c r="BL121" s="352"/>
      <c r="BM121" s="352"/>
      <c r="BN121" s="352"/>
      <c r="BO121" s="352"/>
      <c r="BP121" s="352"/>
      <c r="BQ121" s="352"/>
      <c r="BR121" s="352"/>
      <c r="BS121" s="352"/>
      <c r="BT121" s="352"/>
      <c r="BU121" s="352"/>
      <c r="BV121" s="352"/>
      <c r="BW121" s="352"/>
      <c r="BX121" s="352"/>
      <c r="BY121" s="352"/>
      <c r="BZ121" s="352"/>
      <c r="CA121" s="352"/>
      <c r="CB121" s="352"/>
      <c r="CC121" s="352"/>
      <c r="CD121" s="352"/>
      <c r="CE121" s="352"/>
      <c r="CF121" s="352"/>
      <c r="CG121" s="352"/>
      <c r="CH121" s="352"/>
      <c r="CI121" s="352"/>
      <c r="CJ121" s="352"/>
      <c r="CK121" s="352"/>
      <c r="CL121" s="352"/>
      <c r="CM121" s="352"/>
      <c r="CN121" s="352"/>
      <c r="CO121" s="352"/>
      <c r="CP121" s="352"/>
      <c r="CQ121" s="352"/>
      <c r="CR121" s="352"/>
      <c r="CS121" s="352"/>
      <c r="CT121" s="352"/>
      <c r="CU121" s="352"/>
      <c r="CV121" s="352"/>
      <c r="CW121" s="352"/>
      <c r="CX121" s="352"/>
      <c r="CY121" s="352"/>
      <c r="CZ121" s="352"/>
      <c r="DA121" s="352"/>
      <c r="DB121" s="352"/>
      <c r="DC121" s="352"/>
      <c r="DD121" s="352"/>
      <c r="DE121" s="352"/>
      <c r="DF121" s="352"/>
      <c r="DG121" s="352"/>
      <c r="DH121" s="352"/>
      <c r="DI121" s="352"/>
      <c r="DJ121" s="352"/>
      <c r="DK121" s="352"/>
      <c r="DL121" s="352"/>
      <c r="DM121" s="352"/>
      <c r="DN121" s="352"/>
      <c r="DO121" s="352"/>
      <c r="DP121" s="352"/>
      <c r="DQ121" s="352"/>
      <c r="DR121" s="352"/>
      <c r="DS121" s="352"/>
      <c r="DT121" s="352"/>
      <c r="DU121" s="352"/>
      <c r="DV121" s="352"/>
      <c r="DW121" s="352"/>
      <c r="DX121" s="352"/>
      <c r="DY121" s="352"/>
      <c r="DZ121" s="352"/>
      <c r="EA121" s="352"/>
      <c r="EB121" s="352"/>
      <c r="EC121" s="352"/>
      <c r="ED121" s="352"/>
      <c r="EE121" s="352"/>
      <c r="EF121" s="352"/>
      <c r="EG121" s="352"/>
      <c r="EH121" s="352"/>
      <c r="EI121" s="352"/>
      <c r="EJ121" s="352"/>
      <c r="EK121" s="352"/>
      <c r="EL121" s="352"/>
      <c r="EM121" s="352"/>
      <c r="EN121" s="352"/>
    </row>
    <row r="122" spans="1:144" s="169" customFormat="1" ht="20.100000000000001" customHeight="1">
      <c r="A122" s="160" t="s">
        <v>39</v>
      </c>
      <c r="B122" s="160" t="s">
        <v>757</v>
      </c>
      <c r="C122" s="161">
        <v>0</v>
      </c>
      <c r="D122" s="162">
        <f>'Sectors % GDP'!C12</f>
        <v>10298.58</v>
      </c>
      <c r="E122" s="162">
        <f t="shared" si="2"/>
        <v>0</v>
      </c>
      <c r="F122" s="163">
        <v>0</v>
      </c>
      <c r="G122" s="162">
        <v>0</v>
      </c>
      <c r="H122" s="164">
        <v>75.680000000000007</v>
      </c>
      <c r="I122" s="164">
        <v>44.28</v>
      </c>
      <c r="J122" s="165">
        <v>78.790000000000006</v>
      </c>
      <c r="K122" s="165">
        <v>86.75</v>
      </c>
      <c r="L122" s="165">
        <f t="shared" si="3"/>
        <v>4</v>
      </c>
      <c r="M122" s="166">
        <v>0.04</v>
      </c>
      <c r="N122" s="166">
        <v>5.8</v>
      </c>
      <c r="O122" s="167">
        <f>'Trade Data'!B11</f>
        <v>0.64085335301855728</v>
      </c>
      <c r="P122" s="168">
        <v>0</v>
      </c>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c r="BB122" s="352"/>
      <c r="BC122" s="352"/>
      <c r="BD122" s="352"/>
      <c r="BE122" s="352"/>
      <c r="BF122" s="352"/>
      <c r="BG122" s="352"/>
      <c r="BH122" s="352"/>
      <c r="BI122" s="352"/>
      <c r="BJ122" s="352"/>
      <c r="BK122" s="352"/>
      <c r="BL122" s="352"/>
      <c r="BM122" s="352"/>
      <c r="BN122" s="352"/>
      <c r="BO122" s="352"/>
      <c r="BP122" s="352"/>
      <c r="BQ122" s="352"/>
      <c r="BR122" s="352"/>
      <c r="BS122" s="352"/>
      <c r="BT122" s="352"/>
      <c r="BU122" s="352"/>
      <c r="BV122" s="352"/>
      <c r="BW122" s="352"/>
      <c r="BX122" s="352"/>
      <c r="BY122" s="352"/>
      <c r="BZ122" s="352"/>
      <c r="CA122" s="352"/>
      <c r="CB122" s="352"/>
      <c r="CC122" s="352"/>
      <c r="CD122" s="352"/>
      <c r="CE122" s="352"/>
      <c r="CF122" s="352"/>
      <c r="CG122" s="352"/>
      <c r="CH122" s="352"/>
      <c r="CI122" s="352"/>
      <c r="CJ122" s="352"/>
      <c r="CK122" s="352"/>
      <c r="CL122" s="352"/>
      <c r="CM122" s="352"/>
      <c r="CN122" s="352"/>
      <c r="CO122" s="352"/>
      <c r="CP122" s="352"/>
      <c r="CQ122" s="352"/>
      <c r="CR122" s="352"/>
      <c r="CS122" s="352"/>
      <c r="CT122" s="352"/>
      <c r="CU122" s="352"/>
      <c r="CV122" s="352"/>
      <c r="CW122" s="352"/>
      <c r="CX122" s="352"/>
      <c r="CY122" s="352"/>
      <c r="CZ122" s="352"/>
      <c r="DA122" s="352"/>
      <c r="DB122" s="352"/>
      <c r="DC122" s="352"/>
      <c r="DD122" s="352"/>
      <c r="DE122" s="352"/>
      <c r="DF122" s="352"/>
      <c r="DG122" s="352"/>
      <c r="DH122" s="352"/>
      <c r="DI122" s="352"/>
      <c r="DJ122" s="352"/>
      <c r="DK122" s="352"/>
      <c r="DL122" s="352"/>
      <c r="DM122" s="352"/>
      <c r="DN122" s="352"/>
      <c r="DO122" s="352"/>
      <c r="DP122" s="352"/>
      <c r="DQ122" s="352"/>
      <c r="DR122" s="352"/>
      <c r="DS122" s="352"/>
      <c r="DT122" s="352"/>
      <c r="DU122" s="352"/>
      <c r="DV122" s="352"/>
      <c r="DW122" s="352"/>
      <c r="DX122" s="352"/>
      <c r="DY122" s="352"/>
      <c r="DZ122" s="352"/>
      <c r="EA122" s="352"/>
      <c r="EB122" s="352"/>
      <c r="EC122" s="352"/>
      <c r="ED122" s="352"/>
      <c r="EE122" s="352"/>
      <c r="EF122" s="352"/>
      <c r="EG122" s="352"/>
      <c r="EH122" s="352"/>
      <c r="EI122" s="352"/>
      <c r="EJ122" s="352"/>
      <c r="EK122" s="352"/>
      <c r="EL122" s="352"/>
      <c r="EM122" s="352"/>
      <c r="EN122" s="352"/>
    </row>
    <row r="123" spans="1:144" s="188" customFormat="1" ht="20.100000000000001" customHeight="1">
      <c r="A123" s="179" t="s">
        <v>39</v>
      </c>
      <c r="B123" s="179" t="s">
        <v>756</v>
      </c>
      <c r="C123" s="180">
        <f>'Thomson Reuters IMA  ($)'!I364+'Thomson Reuters IMA  ($)'!I365+'Thomson Reuters IMA  ($)'!I366+'Thomson Reuters IMA  ($)'!I367+'Thomson Reuters IMA  ($)'!I368</f>
        <v>24.804000000000002</v>
      </c>
      <c r="D123" s="181">
        <f>'Sectors % GDP'!C13</f>
        <v>94858.271999999997</v>
      </c>
      <c r="E123" s="181">
        <f t="shared" si="2"/>
        <v>2.6148483919251662E-4</v>
      </c>
      <c r="F123" s="182">
        <v>1</v>
      </c>
      <c r="G123" s="181">
        <v>8</v>
      </c>
      <c r="H123" s="183">
        <v>75.680000000000007</v>
      </c>
      <c r="I123" s="183">
        <v>44.28</v>
      </c>
      <c r="J123" s="184">
        <v>78.790000000000006</v>
      </c>
      <c r="K123" s="184">
        <v>86.75</v>
      </c>
      <c r="L123" s="184">
        <f t="shared" si="3"/>
        <v>4</v>
      </c>
      <c r="M123" s="185">
        <v>0.04</v>
      </c>
      <c r="N123" s="185">
        <v>5.8</v>
      </c>
      <c r="O123" s="186">
        <f>'Trade Data'!B11</f>
        <v>0.64085335301855728</v>
      </c>
      <c r="P123" s="187">
        <v>1</v>
      </c>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2"/>
      <c r="BB123" s="352"/>
      <c r="BC123" s="352"/>
      <c r="BD123" s="352"/>
      <c r="BE123" s="352"/>
      <c r="BF123" s="352"/>
      <c r="BG123" s="352"/>
      <c r="BH123" s="352"/>
      <c r="BI123" s="352"/>
      <c r="BJ123" s="352"/>
      <c r="BK123" s="352"/>
      <c r="BL123" s="352"/>
      <c r="BM123" s="352"/>
      <c r="BN123" s="352"/>
      <c r="BO123" s="352"/>
      <c r="BP123" s="352"/>
      <c r="BQ123" s="352"/>
      <c r="BR123" s="352"/>
      <c r="BS123" s="352"/>
      <c r="BT123" s="352"/>
      <c r="BU123" s="352"/>
      <c r="BV123" s="352"/>
      <c r="BW123" s="352"/>
      <c r="BX123" s="352"/>
      <c r="BY123" s="352"/>
      <c r="BZ123" s="352"/>
      <c r="CA123" s="352"/>
      <c r="CB123" s="352"/>
      <c r="CC123" s="352"/>
      <c r="CD123" s="352"/>
      <c r="CE123" s="352"/>
      <c r="CF123" s="352"/>
      <c r="CG123" s="352"/>
      <c r="CH123" s="352"/>
      <c r="CI123" s="352"/>
      <c r="CJ123" s="352"/>
      <c r="CK123" s="352"/>
      <c r="CL123" s="352"/>
      <c r="CM123" s="352"/>
      <c r="CN123" s="352"/>
      <c r="CO123" s="352"/>
      <c r="CP123" s="352"/>
      <c r="CQ123" s="352"/>
      <c r="CR123" s="352"/>
      <c r="CS123" s="352"/>
      <c r="CT123" s="352"/>
      <c r="CU123" s="352"/>
      <c r="CV123" s="352"/>
      <c r="CW123" s="352"/>
      <c r="CX123" s="352"/>
      <c r="CY123" s="352"/>
      <c r="CZ123" s="352"/>
      <c r="DA123" s="352"/>
      <c r="DB123" s="352"/>
      <c r="DC123" s="352"/>
      <c r="DD123" s="352"/>
      <c r="DE123" s="352"/>
      <c r="DF123" s="352"/>
      <c r="DG123" s="352"/>
      <c r="DH123" s="352"/>
      <c r="DI123" s="352"/>
      <c r="DJ123" s="352"/>
      <c r="DK123" s="352"/>
      <c r="DL123" s="352"/>
      <c r="DM123" s="352"/>
      <c r="DN123" s="352"/>
      <c r="DO123" s="352"/>
      <c r="DP123" s="352"/>
      <c r="DQ123" s="352"/>
      <c r="DR123" s="352"/>
      <c r="DS123" s="352"/>
      <c r="DT123" s="352"/>
      <c r="DU123" s="352"/>
      <c r="DV123" s="352"/>
      <c r="DW123" s="352"/>
      <c r="DX123" s="352"/>
      <c r="DY123" s="352"/>
      <c r="DZ123" s="352"/>
      <c r="EA123" s="352"/>
      <c r="EB123" s="352"/>
      <c r="EC123" s="352"/>
      <c r="ED123" s="352"/>
      <c r="EE123" s="352"/>
      <c r="EF123" s="352"/>
      <c r="EG123" s="352"/>
      <c r="EH123" s="352"/>
      <c r="EI123" s="352"/>
      <c r="EJ123" s="352"/>
      <c r="EK123" s="352"/>
      <c r="EL123" s="352"/>
      <c r="EM123" s="352"/>
      <c r="EN123" s="352"/>
    </row>
    <row r="124" spans="1:144" ht="20.100000000000001" customHeight="1">
      <c r="A124" s="118" t="s">
        <v>39</v>
      </c>
      <c r="B124" s="118" t="s">
        <v>755</v>
      </c>
      <c r="C124" s="119">
        <f>'Thomson Reuters IMA  ($)'!I369+'Thomson Reuters IMA  ($)'!I370+'Thomson Reuters IMA  ($)'!I363</f>
        <v>219.80600000000001</v>
      </c>
      <c r="D124" s="120">
        <f>'Sectors % GDP'!C14</f>
        <v>173183.14799999999</v>
      </c>
      <c r="E124" s="120">
        <f t="shared" si="2"/>
        <v>1.2692112514319236E-3</v>
      </c>
      <c r="F124" s="121">
        <v>1</v>
      </c>
      <c r="G124" s="120">
        <v>4</v>
      </c>
      <c r="H124" s="122">
        <v>75.680000000000007</v>
      </c>
      <c r="I124" s="131">
        <v>44.28</v>
      </c>
      <c r="J124" s="123">
        <v>78.790000000000006</v>
      </c>
      <c r="K124" s="123">
        <v>86.75</v>
      </c>
      <c r="L124" s="123">
        <f t="shared" si="3"/>
        <v>4</v>
      </c>
      <c r="M124" s="124">
        <v>0.04</v>
      </c>
      <c r="N124" s="124">
        <v>5.8</v>
      </c>
      <c r="O124" s="125">
        <f>'Trade Data'!B11</f>
        <v>0.64085335301855728</v>
      </c>
      <c r="P124" s="126">
        <v>1</v>
      </c>
      <c r="Q124" s="352"/>
      <c r="R124" s="352"/>
      <c r="S124" s="352"/>
      <c r="T124" s="352"/>
      <c r="U124" s="352"/>
      <c r="V124" s="352"/>
      <c r="W124" s="352"/>
      <c r="X124" s="352"/>
      <c r="Y124" s="352"/>
      <c r="Z124" s="352"/>
      <c r="AA124" s="352"/>
      <c r="AB124" s="352"/>
      <c r="AC124" s="352"/>
      <c r="AD124" s="352"/>
      <c r="AE124" s="352"/>
      <c r="AF124" s="352"/>
      <c r="AG124" s="352"/>
      <c r="AH124" s="352"/>
      <c r="AI124" s="352"/>
      <c r="AJ124" s="352"/>
      <c r="AK124" s="352"/>
      <c r="AL124" s="352"/>
      <c r="AM124" s="352"/>
      <c r="AN124" s="352"/>
      <c r="AO124" s="352"/>
      <c r="AP124" s="352"/>
      <c r="AQ124" s="352"/>
      <c r="AR124" s="352"/>
      <c r="AS124" s="352"/>
      <c r="AT124" s="352"/>
      <c r="AU124" s="352"/>
      <c r="AV124" s="352"/>
      <c r="AW124" s="352"/>
      <c r="AX124" s="352"/>
      <c r="AY124" s="352"/>
      <c r="AZ124" s="352"/>
      <c r="BA124" s="352"/>
      <c r="BB124" s="352"/>
      <c r="BC124" s="352"/>
      <c r="BD124" s="352"/>
      <c r="BE124" s="352"/>
      <c r="BF124" s="352"/>
      <c r="BG124" s="352"/>
      <c r="BH124" s="352"/>
      <c r="BI124" s="352"/>
      <c r="BJ124" s="352"/>
      <c r="BK124" s="352"/>
      <c r="BL124" s="352"/>
      <c r="BM124" s="352"/>
      <c r="BN124" s="352"/>
      <c r="BO124" s="352"/>
      <c r="BP124" s="352"/>
      <c r="BQ124" s="352"/>
      <c r="BR124" s="352"/>
      <c r="BS124" s="352"/>
      <c r="BT124" s="352"/>
      <c r="BU124" s="352"/>
      <c r="BV124" s="352"/>
      <c r="BW124" s="352"/>
      <c r="BX124" s="352"/>
      <c r="BY124" s="352"/>
      <c r="BZ124" s="352"/>
      <c r="CA124" s="352"/>
      <c r="CB124" s="352"/>
      <c r="CC124" s="352"/>
      <c r="CD124" s="352"/>
      <c r="CE124" s="352"/>
      <c r="CF124" s="352"/>
      <c r="CG124" s="352"/>
      <c r="CH124" s="352"/>
      <c r="CI124" s="352"/>
      <c r="CJ124" s="352"/>
      <c r="CK124" s="352"/>
      <c r="CL124" s="352"/>
      <c r="CM124" s="352"/>
      <c r="CN124" s="352"/>
      <c r="CO124" s="352"/>
      <c r="CP124" s="352"/>
      <c r="CQ124" s="352"/>
      <c r="CR124" s="352"/>
      <c r="CS124" s="352"/>
      <c r="CT124" s="352"/>
      <c r="CU124" s="352"/>
      <c r="CV124" s="352"/>
      <c r="CW124" s="352"/>
      <c r="CX124" s="352"/>
      <c r="CY124" s="352"/>
      <c r="CZ124" s="352"/>
      <c r="DA124" s="352"/>
      <c r="DB124" s="352"/>
      <c r="DC124" s="352"/>
      <c r="DD124" s="352"/>
      <c r="DE124" s="352"/>
      <c r="DF124" s="352"/>
      <c r="DG124" s="352"/>
      <c r="DH124" s="352"/>
      <c r="DI124" s="352"/>
      <c r="DJ124" s="352"/>
      <c r="DK124" s="352"/>
      <c r="DL124" s="352"/>
      <c r="DM124" s="352"/>
      <c r="DN124" s="352"/>
      <c r="DO124" s="352"/>
      <c r="DP124" s="352"/>
      <c r="DQ124" s="352"/>
      <c r="DR124" s="352"/>
      <c r="DS124" s="352"/>
      <c r="DT124" s="352"/>
      <c r="DU124" s="352"/>
      <c r="DV124" s="352"/>
      <c r="DW124" s="352"/>
      <c r="DX124" s="352"/>
      <c r="DY124" s="352"/>
      <c r="DZ124" s="352"/>
      <c r="EA124" s="352"/>
      <c r="EB124" s="352"/>
      <c r="EC124" s="352"/>
      <c r="ED124" s="352"/>
      <c r="EE124" s="352"/>
      <c r="EF124" s="352"/>
      <c r="EG124" s="352"/>
      <c r="EH124" s="352"/>
      <c r="EI124" s="352"/>
      <c r="EJ124" s="352"/>
      <c r="EK124" s="352"/>
      <c r="EL124" s="352"/>
      <c r="EM124" s="352"/>
      <c r="EN124" s="352"/>
    </row>
    <row r="125" spans="1:144" s="169" customFormat="1" ht="20.100000000000001" customHeight="1">
      <c r="A125" s="160" t="s">
        <v>40</v>
      </c>
      <c r="B125" s="160" t="s">
        <v>754</v>
      </c>
      <c r="C125" s="161">
        <v>0</v>
      </c>
      <c r="D125" s="162">
        <f>'Sectors % GDP'!E12</f>
        <v>11168.66</v>
      </c>
      <c r="E125" s="162">
        <f t="shared" si="2"/>
        <v>0</v>
      </c>
      <c r="F125" s="163">
        <v>0</v>
      </c>
      <c r="G125" s="162">
        <v>0</v>
      </c>
      <c r="H125" s="164">
        <v>69.489999999999995</v>
      </c>
      <c r="I125" s="164">
        <v>36.65</v>
      </c>
      <c r="J125" s="165">
        <v>67.510000000000005</v>
      </c>
      <c r="K125" s="165">
        <v>86.75</v>
      </c>
      <c r="L125" s="165">
        <f t="shared" si="3"/>
        <v>4</v>
      </c>
      <c r="M125" s="166">
        <v>0.04</v>
      </c>
      <c r="N125" s="166">
        <v>5.8</v>
      </c>
      <c r="O125" s="167">
        <f>'Trade Data'!B11</f>
        <v>0.64085335301855728</v>
      </c>
      <c r="P125" s="170">
        <v>0</v>
      </c>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c r="BB125" s="352"/>
      <c r="BC125" s="352"/>
      <c r="BD125" s="352"/>
      <c r="BE125" s="352"/>
      <c r="BF125" s="352"/>
      <c r="BG125" s="352"/>
      <c r="BH125" s="352"/>
      <c r="BI125" s="352"/>
      <c r="BJ125" s="352"/>
      <c r="BK125" s="352"/>
      <c r="BL125" s="352"/>
      <c r="BM125" s="352"/>
      <c r="BN125" s="352"/>
      <c r="BO125" s="352"/>
      <c r="BP125" s="352"/>
      <c r="BQ125" s="352"/>
      <c r="BR125" s="352"/>
      <c r="BS125" s="352"/>
      <c r="BT125" s="352"/>
      <c r="BU125" s="352"/>
      <c r="BV125" s="352"/>
      <c r="BW125" s="352"/>
      <c r="BX125" s="352"/>
      <c r="BY125" s="352"/>
      <c r="BZ125" s="352"/>
      <c r="CA125" s="352"/>
      <c r="CB125" s="352"/>
      <c r="CC125" s="352"/>
      <c r="CD125" s="352"/>
      <c r="CE125" s="352"/>
      <c r="CF125" s="352"/>
      <c r="CG125" s="352"/>
      <c r="CH125" s="352"/>
      <c r="CI125" s="352"/>
      <c r="CJ125" s="352"/>
      <c r="CK125" s="352"/>
      <c r="CL125" s="352"/>
      <c r="CM125" s="352"/>
      <c r="CN125" s="352"/>
      <c r="CO125" s="352"/>
      <c r="CP125" s="352"/>
      <c r="CQ125" s="352"/>
      <c r="CR125" s="352"/>
      <c r="CS125" s="352"/>
      <c r="CT125" s="352"/>
      <c r="CU125" s="352"/>
      <c r="CV125" s="352"/>
      <c r="CW125" s="352"/>
      <c r="CX125" s="352"/>
      <c r="CY125" s="352"/>
      <c r="CZ125" s="352"/>
      <c r="DA125" s="352"/>
      <c r="DB125" s="352"/>
      <c r="DC125" s="352"/>
      <c r="DD125" s="352"/>
      <c r="DE125" s="352"/>
      <c r="DF125" s="352"/>
      <c r="DG125" s="352"/>
      <c r="DH125" s="352"/>
      <c r="DI125" s="352"/>
      <c r="DJ125" s="352"/>
      <c r="DK125" s="352"/>
      <c r="DL125" s="352"/>
      <c r="DM125" s="352"/>
      <c r="DN125" s="352"/>
      <c r="DO125" s="352"/>
      <c r="DP125" s="352"/>
      <c r="DQ125" s="352"/>
      <c r="DR125" s="352"/>
      <c r="DS125" s="352"/>
      <c r="DT125" s="352"/>
      <c r="DU125" s="352"/>
      <c r="DV125" s="352"/>
      <c r="DW125" s="352"/>
      <c r="DX125" s="352"/>
      <c r="DY125" s="352"/>
      <c r="DZ125" s="352"/>
      <c r="EA125" s="352"/>
      <c r="EB125" s="352"/>
      <c r="EC125" s="352"/>
      <c r="ED125" s="352"/>
      <c r="EE125" s="352"/>
      <c r="EF125" s="352"/>
      <c r="EG125" s="352"/>
      <c r="EH125" s="352"/>
      <c r="EI125" s="352"/>
      <c r="EJ125" s="352"/>
      <c r="EK125" s="352"/>
      <c r="EL125" s="352"/>
      <c r="EM125" s="352"/>
      <c r="EN125" s="352"/>
    </row>
    <row r="126" spans="1:144" s="188" customFormat="1" ht="20.100000000000001" customHeight="1">
      <c r="A126" s="179" t="s">
        <v>40</v>
      </c>
      <c r="B126" s="179" t="s">
        <v>753</v>
      </c>
      <c r="C126" s="180">
        <f>SUM('Thomson Reuters IMA  ($)'!I371:I375)</f>
        <v>6.508</v>
      </c>
      <c r="D126" s="181">
        <f>'Sectors % GDP'!E13</f>
        <v>87992.34</v>
      </c>
      <c r="E126" s="181">
        <f t="shared" si="2"/>
        <v>7.3960983421966057E-5</v>
      </c>
      <c r="F126" s="182">
        <v>1</v>
      </c>
      <c r="G126" s="181">
        <v>5</v>
      </c>
      <c r="H126" s="183">
        <v>69.489999999999995</v>
      </c>
      <c r="I126" s="183">
        <v>36.65</v>
      </c>
      <c r="J126" s="184">
        <v>67.510000000000005</v>
      </c>
      <c r="K126" s="184">
        <v>86.75</v>
      </c>
      <c r="L126" s="184">
        <f t="shared" si="3"/>
        <v>4</v>
      </c>
      <c r="M126" s="185">
        <v>0.04</v>
      </c>
      <c r="N126" s="185">
        <v>5.8</v>
      </c>
      <c r="O126" s="186">
        <f>'Trade Data'!B11</f>
        <v>0.64085335301855728</v>
      </c>
      <c r="P126" s="189">
        <v>1</v>
      </c>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c r="BB126" s="352"/>
      <c r="BC126" s="352"/>
      <c r="BD126" s="352"/>
      <c r="BE126" s="352"/>
      <c r="BF126" s="352"/>
      <c r="BG126" s="352"/>
      <c r="BH126" s="352"/>
      <c r="BI126" s="352"/>
      <c r="BJ126" s="352"/>
      <c r="BK126" s="352"/>
      <c r="BL126" s="352"/>
      <c r="BM126" s="352"/>
      <c r="BN126" s="352"/>
      <c r="BO126" s="352"/>
      <c r="BP126" s="352"/>
      <c r="BQ126" s="352"/>
      <c r="BR126" s="352"/>
      <c r="BS126" s="352"/>
      <c r="BT126" s="352"/>
      <c r="BU126" s="352"/>
      <c r="BV126" s="352"/>
      <c r="BW126" s="352"/>
      <c r="BX126" s="352"/>
      <c r="BY126" s="352"/>
      <c r="BZ126" s="352"/>
      <c r="CA126" s="352"/>
      <c r="CB126" s="352"/>
      <c r="CC126" s="352"/>
      <c r="CD126" s="352"/>
      <c r="CE126" s="352"/>
      <c r="CF126" s="352"/>
      <c r="CG126" s="352"/>
      <c r="CH126" s="352"/>
      <c r="CI126" s="352"/>
      <c r="CJ126" s="352"/>
      <c r="CK126" s="352"/>
      <c r="CL126" s="352"/>
      <c r="CM126" s="352"/>
      <c r="CN126" s="352"/>
      <c r="CO126" s="352"/>
      <c r="CP126" s="352"/>
      <c r="CQ126" s="352"/>
      <c r="CR126" s="352"/>
      <c r="CS126" s="352"/>
      <c r="CT126" s="352"/>
      <c r="CU126" s="352"/>
      <c r="CV126" s="352"/>
      <c r="CW126" s="352"/>
      <c r="CX126" s="352"/>
      <c r="CY126" s="352"/>
      <c r="CZ126" s="352"/>
      <c r="DA126" s="352"/>
      <c r="DB126" s="352"/>
      <c r="DC126" s="352"/>
      <c r="DD126" s="352"/>
      <c r="DE126" s="352"/>
      <c r="DF126" s="352"/>
      <c r="DG126" s="352"/>
      <c r="DH126" s="352"/>
      <c r="DI126" s="352"/>
      <c r="DJ126" s="352"/>
      <c r="DK126" s="352"/>
      <c r="DL126" s="352"/>
      <c r="DM126" s="352"/>
      <c r="DN126" s="352"/>
      <c r="DO126" s="352"/>
      <c r="DP126" s="352"/>
      <c r="DQ126" s="352"/>
      <c r="DR126" s="352"/>
      <c r="DS126" s="352"/>
      <c r="DT126" s="352"/>
      <c r="DU126" s="352"/>
      <c r="DV126" s="352"/>
      <c r="DW126" s="352"/>
      <c r="DX126" s="352"/>
      <c r="DY126" s="352"/>
      <c r="DZ126" s="352"/>
      <c r="EA126" s="352"/>
      <c r="EB126" s="352"/>
      <c r="EC126" s="352"/>
      <c r="ED126" s="352"/>
      <c r="EE126" s="352"/>
      <c r="EF126" s="352"/>
      <c r="EG126" s="352"/>
      <c r="EH126" s="352"/>
      <c r="EI126" s="352"/>
      <c r="EJ126" s="352"/>
      <c r="EK126" s="352"/>
      <c r="EL126" s="352"/>
      <c r="EM126" s="352"/>
      <c r="EN126" s="352"/>
    </row>
    <row r="127" spans="1:144" ht="20.100000000000001" customHeight="1">
      <c r="A127" s="118" t="s">
        <v>40</v>
      </c>
      <c r="B127" s="118" t="s">
        <v>752</v>
      </c>
      <c r="C127" s="119">
        <f>'Thomson Reuters IMA  ($)'!I376</f>
        <v>438.74400000000003</v>
      </c>
      <c r="D127" s="120">
        <f>'Sectors % GDP'!E14</f>
        <v>161789</v>
      </c>
      <c r="E127" s="120">
        <f t="shared" si="2"/>
        <v>2.7118283690485759E-3</v>
      </c>
      <c r="F127" s="121">
        <v>1</v>
      </c>
      <c r="G127" s="120">
        <v>4</v>
      </c>
      <c r="H127" s="122">
        <v>69.489999999999995</v>
      </c>
      <c r="I127" s="131">
        <v>36.65</v>
      </c>
      <c r="J127" s="123">
        <v>67.510000000000005</v>
      </c>
      <c r="K127" s="123">
        <v>86.75</v>
      </c>
      <c r="L127" s="123">
        <f t="shared" si="3"/>
        <v>4</v>
      </c>
      <c r="M127" s="124">
        <v>0.04</v>
      </c>
      <c r="N127" s="124">
        <v>5.8</v>
      </c>
      <c r="O127" s="125">
        <f>'Trade Data'!B11</f>
        <v>0.64085335301855728</v>
      </c>
      <c r="P127" s="127">
        <v>1</v>
      </c>
      <c r="Q127" s="352"/>
      <c r="R127" s="352"/>
      <c r="S127" s="352"/>
      <c r="T127" s="352"/>
      <c r="U127" s="352"/>
      <c r="V127" s="352"/>
      <c r="W127" s="352"/>
      <c r="X127" s="352"/>
      <c r="Y127" s="352"/>
      <c r="Z127" s="352"/>
      <c r="AA127" s="352"/>
      <c r="AB127" s="352"/>
      <c r="AC127" s="352"/>
      <c r="AD127" s="352"/>
      <c r="AE127" s="352"/>
      <c r="AF127" s="352"/>
      <c r="AG127" s="352"/>
      <c r="AH127" s="352"/>
      <c r="AI127" s="352"/>
      <c r="AJ127" s="352"/>
      <c r="AK127" s="352"/>
      <c r="AL127" s="352"/>
      <c r="AM127" s="352"/>
      <c r="AN127" s="352"/>
      <c r="AO127" s="352"/>
      <c r="AP127" s="352"/>
      <c r="AQ127" s="352"/>
      <c r="AR127" s="352"/>
      <c r="AS127" s="352"/>
      <c r="AT127" s="352"/>
      <c r="AU127" s="352"/>
      <c r="AV127" s="352"/>
      <c r="AW127" s="352"/>
      <c r="AX127" s="352"/>
      <c r="AY127" s="352"/>
      <c r="AZ127" s="352"/>
      <c r="BA127" s="352"/>
      <c r="BB127" s="352"/>
      <c r="BC127" s="352"/>
      <c r="BD127" s="352"/>
      <c r="BE127" s="352"/>
      <c r="BF127" s="352"/>
      <c r="BG127" s="352"/>
      <c r="BH127" s="352"/>
      <c r="BI127" s="352"/>
      <c r="BJ127" s="352"/>
      <c r="BK127" s="352"/>
      <c r="BL127" s="352"/>
      <c r="BM127" s="352"/>
      <c r="BN127" s="352"/>
      <c r="BO127" s="352"/>
      <c r="BP127" s="352"/>
      <c r="BQ127" s="352"/>
      <c r="BR127" s="352"/>
      <c r="BS127" s="352"/>
      <c r="BT127" s="352"/>
      <c r="BU127" s="352"/>
      <c r="BV127" s="352"/>
      <c r="BW127" s="352"/>
      <c r="BX127" s="352"/>
      <c r="BY127" s="352"/>
      <c r="BZ127" s="352"/>
      <c r="CA127" s="352"/>
      <c r="CB127" s="352"/>
      <c r="CC127" s="352"/>
      <c r="CD127" s="352"/>
      <c r="CE127" s="352"/>
      <c r="CF127" s="352"/>
      <c r="CG127" s="352"/>
      <c r="CH127" s="352"/>
      <c r="CI127" s="352"/>
      <c r="CJ127" s="352"/>
      <c r="CK127" s="352"/>
      <c r="CL127" s="352"/>
      <c r="CM127" s="352"/>
      <c r="CN127" s="352"/>
      <c r="CO127" s="352"/>
      <c r="CP127" s="352"/>
      <c r="CQ127" s="352"/>
      <c r="CR127" s="352"/>
      <c r="CS127" s="352"/>
      <c r="CT127" s="352"/>
      <c r="CU127" s="352"/>
      <c r="CV127" s="352"/>
      <c r="CW127" s="352"/>
      <c r="CX127" s="352"/>
      <c r="CY127" s="352"/>
      <c r="CZ127" s="352"/>
      <c r="DA127" s="352"/>
      <c r="DB127" s="352"/>
      <c r="DC127" s="352"/>
      <c r="DD127" s="352"/>
      <c r="DE127" s="352"/>
      <c r="DF127" s="352"/>
      <c r="DG127" s="352"/>
      <c r="DH127" s="352"/>
      <c r="DI127" s="352"/>
      <c r="DJ127" s="352"/>
      <c r="DK127" s="352"/>
      <c r="DL127" s="352"/>
      <c r="DM127" s="352"/>
      <c r="DN127" s="352"/>
      <c r="DO127" s="352"/>
      <c r="DP127" s="352"/>
      <c r="DQ127" s="352"/>
      <c r="DR127" s="352"/>
      <c r="DS127" s="352"/>
      <c r="DT127" s="352"/>
      <c r="DU127" s="352"/>
      <c r="DV127" s="352"/>
      <c r="DW127" s="352"/>
      <c r="DX127" s="352"/>
      <c r="DY127" s="352"/>
      <c r="DZ127" s="352"/>
      <c r="EA127" s="352"/>
      <c r="EB127" s="352"/>
      <c r="EC127" s="352"/>
      <c r="ED127" s="352"/>
      <c r="EE127" s="352"/>
      <c r="EF127" s="352"/>
      <c r="EG127" s="352"/>
      <c r="EH127" s="352"/>
      <c r="EI127" s="352"/>
      <c r="EJ127" s="352"/>
      <c r="EK127" s="352"/>
      <c r="EL127" s="352"/>
      <c r="EM127" s="352"/>
      <c r="EN127" s="352"/>
    </row>
    <row r="128" spans="1:144" s="169" customFormat="1" ht="20.100000000000001" customHeight="1">
      <c r="A128" s="160" t="s">
        <v>883</v>
      </c>
      <c r="B128" s="160" t="s">
        <v>751</v>
      </c>
      <c r="C128" s="161">
        <f>'Thomson Reuters IMA  ($)'!I379</f>
        <v>204.46</v>
      </c>
      <c r="D128" s="162">
        <f>'Sectors % GDP'!E12</f>
        <v>11168.66</v>
      </c>
      <c r="E128" s="162">
        <f t="shared" si="2"/>
        <v>1.8306582884607465E-2</v>
      </c>
      <c r="F128" s="163">
        <v>1</v>
      </c>
      <c r="G128" s="162">
        <v>1</v>
      </c>
      <c r="H128" s="164">
        <v>72.33</v>
      </c>
      <c r="I128" s="164">
        <v>41.49</v>
      </c>
      <c r="J128" s="165">
        <v>70.95</v>
      </c>
      <c r="K128" s="165">
        <v>86.75</v>
      </c>
      <c r="L128" s="165">
        <f t="shared" si="3"/>
        <v>1.9</v>
      </c>
      <c r="M128" s="166">
        <v>1.9E-2</v>
      </c>
      <c r="N128" s="166">
        <v>5</v>
      </c>
      <c r="O128" s="167">
        <f>'Trade Data'!D11</f>
        <v>0.61322126255178466</v>
      </c>
      <c r="P128" s="168">
        <v>0</v>
      </c>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c r="BB128" s="352"/>
      <c r="BC128" s="352"/>
      <c r="BD128" s="352"/>
      <c r="BE128" s="352"/>
      <c r="BF128" s="352"/>
      <c r="BG128" s="352"/>
      <c r="BH128" s="352"/>
      <c r="BI128" s="352"/>
      <c r="BJ128" s="352"/>
      <c r="BK128" s="352"/>
      <c r="BL128" s="352"/>
      <c r="BM128" s="352"/>
      <c r="BN128" s="352"/>
      <c r="BO128" s="352"/>
      <c r="BP128" s="352"/>
      <c r="BQ128" s="352"/>
      <c r="BR128" s="352"/>
      <c r="BS128" s="352"/>
      <c r="BT128" s="352"/>
      <c r="BU128" s="352"/>
      <c r="BV128" s="352"/>
      <c r="BW128" s="352"/>
      <c r="BX128" s="352"/>
      <c r="BY128" s="352"/>
      <c r="BZ128" s="352"/>
      <c r="CA128" s="352"/>
      <c r="CB128" s="352"/>
      <c r="CC128" s="352"/>
      <c r="CD128" s="352"/>
      <c r="CE128" s="352"/>
      <c r="CF128" s="352"/>
      <c r="CG128" s="352"/>
      <c r="CH128" s="352"/>
      <c r="CI128" s="352"/>
      <c r="CJ128" s="352"/>
      <c r="CK128" s="352"/>
      <c r="CL128" s="352"/>
      <c r="CM128" s="352"/>
      <c r="CN128" s="352"/>
      <c r="CO128" s="352"/>
      <c r="CP128" s="352"/>
      <c r="CQ128" s="352"/>
      <c r="CR128" s="352"/>
      <c r="CS128" s="352"/>
      <c r="CT128" s="352"/>
      <c r="CU128" s="352"/>
      <c r="CV128" s="352"/>
      <c r="CW128" s="352"/>
      <c r="CX128" s="352"/>
      <c r="CY128" s="352"/>
      <c r="CZ128" s="352"/>
      <c r="DA128" s="352"/>
      <c r="DB128" s="352"/>
      <c r="DC128" s="352"/>
      <c r="DD128" s="352"/>
      <c r="DE128" s="352"/>
      <c r="DF128" s="352"/>
      <c r="DG128" s="352"/>
      <c r="DH128" s="352"/>
      <c r="DI128" s="352"/>
      <c r="DJ128" s="352"/>
      <c r="DK128" s="352"/>
      <c r="DL128" s="352"/>
      <c r="DM128" s="352"/>
      <c r="DN128" s="352"/>
      <c r="DO128" s="352"/>
      <c r="DP128" s="352"/>
      <c r="DQ128" s="352"/>
      <c r="DR128" s="352"/>
      <c r="DS128" s="352"/>
      <c r="DT128" s="352"/>
      <c r="DU128" s="352"/>
      <c r="DV128" s="352"/>
      <c r="DW128" s="352"/>
      <c r="DX128" s="352"/>
      <c r="DY128" s="352"/>
      <c r="DZ128" s="352"/>
      <c r="EA128" s="352"/>
      <c r="EB128" s="352"/>
      <c r="EC128" s="352"/>
      <c r="ED128" s="352"/>
      <c r="EE128" s="352"/>
      <c r="EF128" s="352"/>
      <c r="EG128" s="352"/>
      <c r="EH128" s="352"/>
      <c r="EI128" s="352"/>
      <c r="EJ128" s="352"/>
      <c r="EK128" s="352"/>
      <c r="EL128" s="352"/>
      <c r="EM128" s="352"/>
      <c r="EN128" s="352"/>
    </row>
    <row r="129" spans="1:144" s="188" customFormat="1" ht="20.100000000000001" customHeight="1">
      <c r="A129" s="179" t="s">
        <v>41</v>
      </c>
      <c r="B129" s="179" t="s">
        <v>750</v>
      </c>
      <c r="C129" s="180">
        <f>'Thomson Reuters IMA  ($)'!I377+'Thomson Reuters IMA  ($)'!I378+'Thomson Reuters IMA  ($)'!I381</f>
        <v>3381.3119999999999</v>
      </c>
      <c r="D129" s="181">
        <f>'Sectors % GDP'!E13</f>
        <v>87992.34</v>
      </c>
      <c r="E129" s="181">
        <f t="shared" si="2"/>
        <v>3.8427344925706035E-2</v>
      </c>
      <c r="F129" s="182">
        <v>1</v>
      </c>
      <c r="G129" s="181">
        <v>5</v>
      </c>
      <c r="H129" s="183">
        <v>72.33</v>
      </c>
      <c r="I129" s="183">
        <v>41.49</v>
      </c>
      <c r="J129" s="184">
        <v>70.95</v>
      </c>
      <c r="K129" s="184">
        <v>86.75</v>
      </c>
      <c r="L129" s="184">
        <f t="shared" si="3"/>
        <v>1.9</v>
      </c>
      <c r="M129" s="185">
        <v>1.9E-2</v>
      </c>
      <c r="N129" s="185">
        <v>5</v>
      </c>
      <c r="O129" s="186">
        <f>'Trade Data'!D11</f>
        <v>0.61322126255178466</v>
      </c>
      <c r="P129" s="187">
        <v>1</v>
      </c>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2"/>
      <c r="BB129" s="352"/>
      <c r="BC129" s="352"/>
      <c r="BD129" s="352"/>
      <c r="BE129" s="352"/>
      <c r="BF129" s="352"/>
      <c r="BG129" s="352"/>
      <c r="BH129" s="352"/>
      <c r="BI129" s="352"/>
      <c r="BJ129" s="352"/>
      <c r="BK129" s="352"/>
      <c r="BL129" s="352"/>
      <c r="BM129" s="352"/>
      <c r="BN129" s="352"/>
      <c r="BO129" s="352"/>
      <c r="BP129" s="352"/>
      <c r="BQ129" s="352"/>
      <c r="BR129" s="352"/>
      <c r="BS129" s="352"/>
      <c r="BT129" s="352"/>
      <c r="BU129" s="352"/>
      <c r="BV129" s="352"/>
      <c r="BW129" s="352"/>
      <c r="BX129" s="352"/>
      <c r="BY129" s="352"/>
      <c r="BZ129" s="352"/>
      <c r="CA129" s="352"/>
      <c r="CB129" s="352"/>
      <c r="CC129" s="352"/>
      <c r="CD129" s="352"/>
      <c r="CE129" s="352"/>
      <c r="CF129" s="352"/>
      <c r="CG129" s="352"/>
      <c r="CH129" s="352"/>
      <c r="CI129" s="352"/>
      <c r="CJ129" s="352"/>
      <c r="CK129" s="352"/>
      <c r="CL129" s="352"/>
      <c r="CM129" s="352"/>
      <c r="CN129" s="352"/>
      <c r="CO129" s="352"/>
      <c r="CP129" s="352"/>
      <c r="CQ129" s="352"/>
      <c r="CR129" s="352"/>
      <c r="CS129" s="352"/>
      <c r="CT129" s="352"/>
      <c r="CU129" s="352"/>
      <c r="CV129" s="352"/>
      <c r="CW129" s="352"/>
      <c r="CX129" s="352"/>
      <c r="CY129" s="352"/>
      <c r="CZ129" s="352"/>
      <c r="DA129" s="352"/>
      <c r="DB129" s="352"/>
      <c r="DC129" s="352"/>
      <c r="DD129" s="352"/>
      <c r="DE129" s="352"/>
      <c r="DF129" s="352"/>
      <c r="DG129" s="352"/>
      <c r="DH129" s="352"/>
      <c r="DI129" s="352"/>
      <c r="DJ129" s="352"/>
      <c r="DK129" s="352"/>
      <c r="DL129" s="352"/>
      <c r="DM129" s="352"/>
      <c r="DN129" s="352"/>
      <c r="DO129" s="352"/>
      <c r="DP129" s="352"/>
      <c r="DQ129" s="352"/>
      <c r="DR129" s="352"/>
      <c r="DS129" s="352"/>
      <c r="DT129" s="352"/>
      <c r="DU129" s="352"/>
      <c r="DV129" s="352"/>
      <c r="DW129" s="352"/>
      <c r="DX129" s="352"/>
      <c r="DY129" s="352"/>
      <c r="DZ129" s="352"/>
      <c r="EA129" s="352"/>
      <c r="EB129" s="352"/>
      <c r="EC129" s="352"/>
      <c r="ED129" s="352"/>
      <c r="EE129" s="352"/>
      <c r="EF129" s="352"/>
      <c r="EG129" s="352"/>
      <c r="EH129" s="352"/>
      <c r="EI129" s="352"/>
      <c r="EJ129" s="352"/>
      <c r="EK129" s="352"/>
      <c r="EL129" s="352"/>
      <c r="EM129" s="352"/>
      <c r="EN129" s="352"/>
    </row>
    <row r="130" spans="1:144" ht="20.100000000000001" customHeight="1">
      <c r="A130" s="118" t="s">
        <v>883</v>
      </c>
      <c r="B130" s="118" t="s">
        <v>749</v>
      </c>
      <c r="C130" s="119">
        <f>'Thomson Reuters IMA  ($)'!I380</f>
        <v>280</v>
      </c>
      <c r="D130" s="120">
        <f>'Sectors % GDP'!E14</f>
        <v>161789</v>
      </c>
      <c r="E130" s="120">
        <f t="shared" ref="E130:E193" si="4">C130/D130</f>
        <v>1.7306491788687734E-3</v>
      </c>
      <c r="F130" s="121">
        <v>1</v>
      </c>
      <c r="G130" s="120">
        <v>3</v>
      </c>
      <c r="H130" s="122">
        <v>72.33</v>
      </c>
      <c r="I130" s="131">
        <v>41.49</v>
      </c>
      <c r="J130" s="123">
        <v>70.95</v>
      </c>
      <c r="K130" s="123">
        <v>86.75</v>
      </c>
      <c r="L130" s="123">
        <f t="shared" si="3"/>
        <v>1.9</v>
      </c>
      <c r="M130" s="124">
        <v>1.9E-2</v>
      </c>
      <c r="N130" s="124">
        <v>5</v>
      </c>
      <c r="O130" s="125">
        <f>'Trade Data'!D11</f>
        <v>0.61322126255178466</v>
      </c>
      <c r="P130" s="126">
        <v>1</v>
      </c>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c r="BB130" s="352"/>
      <c r="BC130" s="352"/>
      <c r="BD130" s="352"/>
      <c r="BE130" s="352"/>
      <c r="BF130" s="352"/>
      <c r="BG130" s="352"/>
      <c r="BH130" s="352"/>
      <c r="BI130" s="352"/>
      <c r="BJ130" s="352"/>
      <c r="BK130" s="352"/>
      <c r="BL130" s="352"/>
      <c r="BM130" s="352"/>
      <c r="BN130" s="352"/>
      <c r="BO130" s="352"/>
      <c r="BP130" s="352"/>
      <c r="BQ130" s="352"/>
      <c r="BR130" s="352"/>
      <c r="BS130" s="352"/>
      <c r="BT130" s="352"/>
      <c r="BU130" s="352"/>
      <c r="BV130" s="352"/>
      <c r="BW130" s="352"/>
      <c r="BX130" s="352"/>
      <c r="BY130" s="352"/>
      <c r="BZ130" s="352"/>
      <c r="CA130" s="352"/>
      <c r="CB130" s="352"/>
      <c r="CC130" s="352"/>
      <c r="CD130" s="352"/>
      <c r="CE130" s="352"/>
      <c r="CF130" s="352"/>
      <c r="CG130" s="352"/>
      <c r="CH130" s="352"/>
      <c r="CI130" s="352"/>
      <c r="CJ130" s="352"/>
      <c r="CK130" s="352"/>
      <c r="CL130" s="352"/>
      <c r="CM130" s="352"/>
      <c r="CN130" s="352"/>
      <c r="CO130" s="352"/>
      <c r="CP130" s="352"/>
      <c r="CQ130" s="352"/>
      <c r="CR130" s="352"/>
      <c r="CS130" s="352"/>
      <c r="CT130" s="352"/>
      <c r="CU130" s="352"/>
      <c r="CV130" s="352"/>
      <c r="CW130" s="352"/>
      <c r="CX130" s="352"/>
      <c r="CY130" s="352"/>
      <c r="CZ130" s="352"/>
      <c r="DA130" s="352"/>
      <c r="DB130" s="352"/>
      <c r="DC130" s="352"/>
      <c r="DD130" s="352"/>
      <c r="DE130" s="352"/>
      <c r="DF130" s="352"/>
      <c r="DG130" s="352"/>
      <c r="DH130" s="352"/>
      <c r="DI130" s="352"/>
      <c r="DJ130" s="352"/>
      <c r="DK130" s="352"/>
      <c r="DL130" s="352"/>
      <c r="DM130" s="352"/>
      <c r="DN130" s="352"/>
      <c r="DO130" s="352"/>
      <c r="DP130" s="352"/>
      <c r="DQ130" s="352"/>
      <c r="DR130" s="352"/>
      <c r="DS130" s="352"/>
      <c r="DT130" s="352"/>
      <c r="DU130" s="352"/>
      <c r="DV130" s="352"/>
      <c r="DW130" s="352"/>
      <c r="DX130" s="352"/>
      <c r="DY130" s="352"/>
      <c r="DZ130" s="352"/>
      <c r="EA130" s="352"/>
      <c r="EB130" s="352"/>
      <c r="EC130" s="352"/>
      <c r="ED130" s="352"/>
      <c r="EE130" s="352"/>
      <c r="EF130" s="352"/>
      <c r="EG130" s="352"/>
      <c r="EH130" s="352"/>
      <c r="EI130" s="352"/>
      <c r="EJ130" s="352"/>
      <c r="EK130" s="352"/>
      <c r="EL130" s="352"/>
      <c r="EM130" s="352"/>
      <c r="EN130" s="352"/>
    </row>
    <row r="131" spans="1:144" s="169" customFormat="1" ht="20.100000000000001" customHeight="1">
      <c r="A131" s="160" t="s">
        <v>42</v>
      </c>
      <c r="B131" s="160" t="s">
        <v>748</v>
      </c>
      <c r="C131" s="161">
        <f>'Thomson Reuters IMA  ($)'!I383+'Thomson Reuters IMA  ($)'!I385</f>
        <v>300</v>
      </c>
      <c r="D131" s="162">
        <f>'Sectors % GDP'!E12</f>
        <v>11168.66</v>
      </c>
      <c r="E131" s="162">
        <f t="shared" si="4"/>
        <v>2.6860876774832433E-2</v>
      </c>
      <c r="F131" s="163">
        <v>1</v>
      </c>
      <c r="G131" s="162">
        <v>2</v>
      </c>
      <c r="H131" s="164">
        <v>72.83</v>
      </c>
      <c r="I131" s="164">
        <v>48.71</v>
      </c>
      <c r="J131" s="165">
        <v>65.739999999999995</v>
      </c>
      <c r="K131" s="165">
        <v>86.75</v>
      </c>
      <c r="L131" s="165">
        <f t="shared" ref="L131:L194" si="5">M131*100</f>
        <v>1.9</v>
      </c>
      <c r="M131" s="166">
        <v>1.9E-2</v>
      </c>
      <c r="N131" s="166">
        <v>5</v>
      </c>
      <c r="O131" s="167">
        <f>'Trade Data'!D11</f>
        <v>0.61322126255178466</v>
      </c>
      <c r="P131" s="170">
        <v>0</v>
      </c>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2"/>
      <c r="BB131" s="352"/>
      <c r="BC131" s="352"/>
      <c r="BD131" s="352"/>
      <c r="BE131" s="352"/>
      <c r="BF131" s="352"/>
      <c r="BG131" s="352"/>
      <c r="BH131" s="352"/>
      <c r="BI131" s="352"/>
      <c r="BJ131" s="352"/>
      <c r="BK131" s="352"/>
      <c r="BL131" s="352"/>
      <c r="BM131" s="352"/>
      <c r="BN131" s="352"/>
      <c r="BO131" s="352"/>
      <c r="BP131" s="352"/>
      <c r="BQ131" s="352"/>
      <c r="BR131" s="352"/>
      <c r="BS131" s="352"/>
      <c r="BT131" s="352"/>
      <c r="BU131" s="352"/>
      <c r="BV131" s="352"/>
      <c r="BW131" s="352"/>
      <c r="BX131" s="352"/>
      <c r="BY131" s="352"/>
      <c r="BZ131" s="352"/>
      <c r="CA131" s="352"/>
      <c r="CB131" s="352"/>
      <c r="CC131" s="352"/>
      <c r="CD131" s="352"/>
      <c r="CE131" s="352"/>
      <c r="CF131" s="352"/>
      <c r="CG131" s="352"/>
      <c r="CH131" s="352"/>
      <c r="CI131" s="352"/>
      <c r="CJ131" s="352"/>
      <c r="CK131" s="352"/>
      <c r="CL131" s="352"/>
      <c r="CM131" s="352"/>
      <c r="CN131" s="352"/>
      <c r="CO131" s="352"/>
      <c r="CP131" s="352"/>
      <c r="CQ131" s="352"/>
      <c r="CR131" s="352"/>
      <c r="CS131" s="352"/>
      <c r="CT131" s="352"/>
      <c r="CU131" s="352"/>
      <c r="CV131" s="352"/>
      <c r="CW131" s="352"/>
      <c r="CX131" s="352"/>
      <c r="CY131" s="352"/>
      <c r="CZ131" s="352"/>
      <c r="DA131" s="352"/>
      <c r="DB131" s="352"/>
      <c r="DC131" s="352"/>
      <c r="DD131" s="352"/>
      <c r="DE131" s="352"/>
      <c r="DF131" s="352"/>
      <c r="DG131" s="352"/>
      <c r="DH131" s="352"/>
      <c r="DI131" s="352"/>
      <c r="DJ131" s="352"/>
      <c r="DK131" s="352"/>
      <c r="DL131" s="352"/>
      <c r="DM131" s="352"/>
      <c r="DN131" s="352"/>
      <c r="DO131" s="352"/>
      <c r="DP131" s="352"/>
      <c r="DQ131" s="352"/>
      <c r="DR131" s="352"/>
      <c r="DS131" s="352"/>
      <c r="DT131" s="352"/>
      <c r="DU131" s="352"/>
      <c r="DV131" s="352"/>
      <c r="DW131" s="352"/>
      <c r="DX131" s="352"/>
      <c r="DY131" s="352"/>
      <c r="DZ131" s="352"/>
      <c r="EA131" s="352"/>
      <c r="EB131" s="352"/>
      <c r="EC131" s="352"/>
      <c r="ED131" s="352"/>
      <c r="EE131" s="352"/>
      <c r="EF131" s="352"/>
      <c r="EG131" s="352"/>
      <c r="EH131" s="352"/>
      <c r="EI131" s="352"/>
      <c r="EJ131" s="352"/>
      <c r="EK131" s="352"/>
      <c r="EL131" s="352"/>
      <c r="EM131" s="352"/>
      <c r="EN131" s="352"/>
    </row>
    <row r="132" spans="1:144" s="188" customFormat="1" ht="20.100000000000001" customHeight="1">
      <c r="A132" s="179" t="s">
        <v>42</v>
      </c>
      <c r="B132" s="179" t="s">
        <v>747</v>
      </c>
      <c r="C132" s="180">
        <f>'Thomson Reuters IMA  ($)'!I382</f>
        <v>0.13700000000000001</v>
      </c>
      <c r="D132" s="181">
        <f>'Sectors % GDP'!E13</f>
        <v>87992.34</v>
      </c>
      <c r="E132" s="181">
        <f t="shared" si="4"/>
        <v>1.556953707561363E-6</v>
      </c>
      <c r="F132" s="182">
        <v>1</v>
      </c>
      <c r="G132" s="181">
        <v>4</v>
      </c>
      <c r="H132" s="183">
        <v>72.83</v>
      </c>
      <c r="I132" s="183">
        <v>48.71</v>
      </c>
      <c r="J132" s="184">
        <v>65.739999999999995</v>
      </c>
      <c r="K132" s="184">
        <v>86.75</v>
      </c>
      <c r="L132" s="184">
        <f t="shared" si="5"/>
        <v>1.9</v>
      </c>
      <c r="M132" s="185">
        <v>1.9E-2</v>
      </c>
      <c r="N132" s="185">
        <v>5</v>
      </c>
      <c r="O132" s="186">
        <f>'Trade Data'!D11</f>
        <v>0.61322126255178466</v>
      </c>
      <c r="P132" s="189">
        <v>1</v>
      </c>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c r="BB132" s="352"/>
      <c r="BC132" s="352"/>
      <c r="BD132" s="352"/>
      <c r="BE132" s="352"/>
      <c r="BF132" s="352"/>
      <c r="BG132" s="352"/>
      <c r="BH132" s="352"/>
      <c r="BI132" s="352"/>
      <c r="BJ132" s="352"/>
      <c r="BK132" s="352"/>
      <c r="BL132" s="352"/>
      <c r="BM132" s="352"/>
      <c r="BN132" s="352"/>
      <c r="BO132" s="352"/>
      <c r="BP132" s="352"/>
      <c r="BQ132" s="352"/>
      <c r="BR132" s="352"/>
      <c r="BS132" s="352"/>
      <c r="BT132" s="352"/>
      <c r="BU132" s="352"/>
      <c r="BV132" s="352"/>
      <c r="BW132" s="352"/>
      <c r="BX132" s="352"/>
      <c r="BY132" s="352"/>
      <c r="BZ132" s="352"/>
      <c r="CA132" s="352"/>
      <c r="CB132" s="352"/>
      <c r="CC132" s="352"/>
      <c r="CD132" s="352"/>
      <c r="CE132" s="352"/>
      <c r="CF132" s="352"/>
      <c r="CG132" s="352"/>
      <c r="CH132" s="352"/>
      <c r="CI132" s="352"/>
      <c r="CJ132" s="352"/>
      <c r="CK132" s="352"/>
      <c r="CL132" s="352"/>
      <c r="CM132" s="352"/>
      <c r="CN132" s="352"/>
      <c r="CO132" s="352"/>
      <c r="CP132" s="352"/>
      <c r="CQ132" s="352"/>
      <c r="CR132" s="352"/>
      <c r="CS132" s="352"/>
      <c r="CT132" s="352"/>
      <c r="CU132" s="352"/>
      <c r="CV132" s="352"/>
      <c r="CW132" s="352"/>
      <c r="CX132" s="352"/>
      <c r="CY132" s="352"/>
      <c r="CZ132" s="352"/>
      <c r="DA132" s="352"/>
      <c r="DB132" s="352"/>
      <c r="DC132" s="352"/>
      <c r="DD132" s="352"/>
      <c r="DE132" s="352"/>
      <c r="DF132" s="352"/>
      <c r="DG132" s="352"/>
      <c r="DH132" s="352"/>
      <c r="DI132" s="352"/>
      <c r="DJ132" s="352"/>
      <c r="DK132" s="352"/>
      <c r="DL132" s="352"/>
      <c r="DM132" s="352"/>
      <c r="DN132" s="352"/>
      <c r="DO132" s="352"/>
      <c r="DP132" s="352"/>
      <c r="DQ132" s="352"/>
      <c r="DR132" s="352"/>
      <c r="DS132" s="352"/>
      <c r="DT132" s="352"/>
      <c r="DU132" s="352"/>
      <c r="DV132" s="352"/>
      <c r="DW132" s="352"/>
      <c r="DX132" s="352"/>
      <c r="DY132" s="352"/>
      <c r="DZ132" s="352"/>
      <c r="EA132" s="352"/>
      <c r="EB132" s="352"/>
      <c r="EC132" s="352"/>
      <c r="ED132" s="352"/>
      <c r="EE132" s="352"/>
      <c r="EF132" s="352"/>
      <c r="EG132" s="352"/>
      <c r="EH132" s="352"/>
      <c r="EI132" s="352"/>
      <c r="EJ132" s="352"/>
      <c r="EK132" s="352"/>
      <c r="EL132" s="352"/>
      <c r="EM132" s="352"/>
      <c r="EN132" s="352"/>
    </row>
    <row r="133" spans="1:144" ht="20.100000000000001" customHeight="1">
      <c r="A133" s="118" t="s">
        <v>42</v>
      </c>
      <c r="B133" s="118" t="s">
        <v>746</v>
      </c>
      <c r="C133" s="119">
        <f>'Thomson Reuters IMA  ($)'!I384+'Thomson Reuters IMA  ($)'!I386</f>
        <v>624</v>
      </c>
      <c r="D133" s="120">
        <f>'Sectors % GDP'!E14</f>
        <v>161789</v>
      </c>
      <c r="E133" s="120">
        <f t="shared" si="4"/>
        <v>3.8568753129075524E-3</v>
      </c>
      <c r="F133" s="121">
        <v>1</v>
      </c>
      <c r="G133" s="120">
        <v>2</v>
      </c>
      <c r="H133" s="122">
        <v>72.83</v>
      </c>
      <c r="I133" s="131">
        <v>48.71</v>
      </c>
      <c r="J133" s="123">
        <v>65.739999999999995</v>
      </c>
      <c r="K133" s="123">
        <v>86.75</v>
      </c>
      <c r="L133" s="123">
        <f t="shared" si="5"/>
        <v>1.9</v>
      </c>
      <c r="M133" s="124">
        <v>1.9E-2</v>
      </c>
      <c r="N133" s="124">
        <v>5</v>
      </c>
      <c r="O133" s="125">
        <f>'Trade Data'!D11</f>
        <v>0.61322126255178466</v>
      </c>
      <c r="P133" s="127">
        <v>1</v>
      </c>
      <c r="Q133" s="352"/>
      <c r="R133" s="352"/>
      <c r="S133" s="352"/>
      <c r="T133" s="352"/>
      <c r="U133" s="352"/>
      <c r="V133" s="352"/>
      <c r="W133" s="352"/>
      <c r="X133" s="352"/>
      <c r="Y133" s="352"/>
      <c r="Z133" s="352"/>
      <c r="AA133" s="352"/>
      <c r="AB133" s="352"/>
      <c r="AC133" s="352"/>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c r="BB133" s="352"/>
      <c r="BC133" s="352"/>
      <c r="BD133" s="352"/>
      <c r="BE133" s="352"/>
      <c r="BF133" s="352"/>
      <c r="BG133" s="352"/>
      <c r="BH133" s="352"/>
      <c r="BI133" s="352"/>
      <c r="BJ133" s="352"/>
      <c r="BK133" s="352"/>
      <c r="BL133" s="352"/>
      <c r="BM133" s="352"/>
      <c r="BN133" s="352"/>
      <c r="BO133" s="352"/>
      <c r="BP133" s="352"/>
      <c r="BQ133" s="352"/>
      <c r="BR133" s="352"/>
      <c r="BS133" s="352"/>
      <c r="BT133" s="352"/>
      <c r="BU133" s="352"/>
      <c r="BV133" s="352"/>
      <c r="BW133" s="352"/>
      <c r="BX133" s="352"/>
      <c r="BY133" s="352"/>
      <c r="BZ133" s="352"/>
      <c r="CA133" s="352"/>
      <c r="CB133" s="352"/>
      <c r="CC133" s="352"/>
      <c r="CD133" s="352"/>
      <c r="CE133" s="352"/>
      <c r="CF133" s="352"/>
      <c r="CG133" s="352"/>
      <c r="CH133" s="352"/>
      <c r="CI133" s="352"/>
      <c r="CJ133" s="352"/>
      <c r="CK133" s="352"/>
      <c r="CL133" s="352"/>
      <c r="CM133" s="352"/>
      <c r="CN133" s="352"/>
      <c r="CO133" s="352"/>
      <c r="CP133" s="352"/>
      <c r="CQ133" s="352"/>
      <c r="CR133" s="352"/>
      <c r="CS133" s="352"/>
      <c r="CT133" s="352"/>
      <c r="CU133" s="352"/>
      <c r="CV133" s="352"/>
      <c r="CW133" s="352"/>
      <c r="CX133" s="352"/>
      <c r="CY133" s="352"/>
      <c r="CZ133" s="352"/>
      <c r="DA133" s="352"/>
      <c r="DB133" s="352"/>
      <c r="DC133" s="352"/>
      <c r="DD133" s="352"/>
      <c r="DE133" s="352"/>
      <c r="DF133" s="352"/>
      <c r="DG133" s="352"/>
      <c r="DH133" s="352"/>
      <c r="DI133" s="352"/>
      <c r="DJ133" s="352"/>
      <c r="DK133" s="352"/>
      <c r="DL133" s="352"/>
      <c r="DM133" s="352"/>
      <c r="DN133" s="352"/>
      <c r="DO133" s="352"/>
      <c r="DP133" s="352"/>
      <c r="DQ133" s="352"/>
      <c r="DR133" s="352"/>
      <c r="DS133" s="352"/>
      <c r="DT133" s="352"/>
      <c r="DU133" s="352"/>
      <c r="DV133" s="352"/>
      <c r="DW133" s="352"/>
      <c r="DX133" s="352"/>
      <c r="DY133" s="352"/>
      <c r="DZ133" s="352"/>
      <c r="EA133" s="352"/>
      <c r="EB133" s="352"/>
      <c r="EC133" s="352"/>
      <c r="ED133" s="352"/>
      <c r="EE133" s="352"/>
      <c r="EF133" s="352"/>
      <c r="EG133" s="352"/>
      <c r="EH133" s="352"/>
      <c r="EI133" s="352"/>
      <c r="EJ133" s="352"/>
      <c r="EK133" s="352"/>
      <c r="EL133" s="352"/>
      <c r="EM133" s="352"/>
      <c r="EN133" s="352"/>
    </row>
    <row r="134" spans="1:144" s="169" customFormat="1" ht="20.100000000000001" customHeight="1">
      <c r="A134" s="160" t="s">
        <v>43</v>
      </c>
      <c r="B134" s="160" t="s">
        <v>745</v>
      </c>
      <c r="C134" s="161">
        <v>0</v>
      </c>
      <c r="D134" s="162">
        <f>'Sectors % GDP'!E12</f>
        <v>11168.66</v>
      </c>
      <c r="E134" s="162">
        <f t="shared" si="4"/>
        <v>0</v>
      </c>
      <c r="F134" s="163">
        <v>0</v>
      </c>
      <c r="G134" s="162">
        <v>0</v>
      </c>
      <c r="H134" s="164">
        <v>71.650000000000006</v>
      </c>
      <c r="I134" s="164">
        <v>46.32</v>
      </c>
      <c r="J134" s="165">
        <v>62.98</v>
      </c>
      <c r="K134" s="165">
        <v>86.75</v>
      </c>
      <c r="L134" s="165">
        <f t="shared" si="5"/>
        <v>1.9</v>
      </c>
      <c r="M134" s="166">
        <v>1.9E-2</v>
      </c>
      <c r="N134" s="166">
        <v>5</v>
      </c>
      <c r="O134" s="167">
        <f>'Trade Data'!D11</f>
        <v>0.61322126255178466</v>
      </c>
      <c r="P134" s="168">
        <v>0</v>
      </c>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c r="BB134" s="352"/>
      <c r="BC134" s="352"/>
      <c r="BD134" s="352"/>
      <c r="BE134" s="352"/>
      <c r="BF134" s="352"/>
      <c r="BG134" s="352"/>
      <c r="BH134" s="352"/>
      <c r="BI134" s="352"/>
      <c r="BJ134" s="352"/>
      <c r="BK134" s="352"/>
      <c r="BL134" s="352"/>
      <c r="BM134" s="352"/>
      <c r="BN134" s="352"/>
      <c r="BO134" s="352"/>
      <c r="BP134" s="352"/>
      <c r="BQ134" s="352"/>
      <c r="BR134" s="352"/>
      <c r="BS134" s="352"/>
      <c r="BT134" s="352"/>
      <c r="BU134" s="352"/>
      <c r="BV134" s="352"/>
      <c r="BW134" s="352"/>
      <c r="BX134" s="352"/>
      <c r="BY134" s="352"/>
      <c r="BZ134" s="352"/>
      <c r="CA134" s="352"/>
      <c r="CB134" s="352"/>
      <c r="CC134" s="352"/>
      <c r="CD134" s="352"/>
      <c r="CE134" s="352"/>
      <c r="CF134" s="352"/>
      <c r="CG134" s="352"/>
      <c r="CH134" s="352"/>
      <c r="CI134" s="352"/>
      <c r="CJ134" s="352"/>
      <c r="CK134" s="352"/>
      <c r="CL134" s="352"/>
      <c r="CM134" s="352"/>
      <c r="CN134" s="352"/>
      <c r="CO134" s="352"/>
      <c r="CP134" s="352"/>
      <c r="CQ134" s="352"/>
      <c r="CR134" s="352"/>
      <c r="CS134" s="352"/>
      <c r="CT134" s="352"/>
      <c r="CU134" s="352"/>
      <c r="CV134" s="352"/>
      <c r="CW134" s="352"/>
      <c r="CX134" s="352"/>
      <c r="CY134" s="352"/>
      <c r="CZ134" s="352"/>
      <c r="DA134" s="352"/>
      <c r="DB134" s="352"/>
      <c r="DC134" s="352"/>
      <c r="DD134" s="352"/>
      <c r="DE134" s="352"/>
      <c r="DF134" s="352"/>
      <c r="DG134" s="352"/>
      <c r="DH134" s="352"/>
      <c r="DI134" s="352"/>
      <c r="DJ134" s="352"/>
      <c r="DK134" s="352"/>
      <c r="DL134" s="352"/>
      <c r="DM134" s="352"/>
      <c r="DN134" s="352"/>
      <c r="DO134" s="352"/>
      <c r="DP134" s="352"/>
      <c r="DQ134" s="352"/>
      <c r="DR134" s="352"/>
      <c r="DS134" s="352"/>
      <c r="DT134" s="352"/>
      <c r="DU134" s="352"/>
      <c r="DV134" s="352"/>
      <c r="DW134" s="352"/>
      <c r="DX134" s="352"/>
      <c r="DY134" s="352"/>
      <c r="DZ134" s="352"/>
      <c r="EA134" s="352"/>
      <c r="EB134" s="352"/>
      <c r="EC134" s="352"/>
      <c r="ED134" s="352"/>
      <c r="EE134" s="352"/>
      <c r="EF134" s="352"/>
      <c r="EG134" s="352"/>
      <c r="EH134" s="352"/>
      <c r="EI134" s="352"/>
      <c r="EJ134" s="352"/>
      <c r="EK134" s="352"/>
      <c r="EL134" s="352"/>
      <c r="EM134" s="352"/>
      <c r="EN134" s="352"/>
    </row>
    <row r="135" spans="1:144" s="188" customFormat="1" ht="20.100000000000001" customHeight="1">
      <c r="A135" s="179" t="s">
        <v>43</v>
      </c>
      <c r="B135" s="179" t="s">
        <v>744</v>
      </c>
      <c r="C135" s="180">
        <f>'Thomson Reuters IMA  ($)'!I389</f>
        <v>2000</v>
      </c>
      <c r="D135" s="181">
        <f>'Sectors % GDP'!E13</f>
        <v>87992.34</v>
      </c>
      <c r="E135" s="181">
        <f t="shared" si="4"/>
        <v>2.2729251205275369E-2</v>
      </c>
      <c r="F135" s="182">
        <v>1</v>
      </c>
      <c r="G135" s="181">
        <v>4</v>
      </c>
      <c r="H135" s="183">
        <v>71.650000000000006</v>
      </c>
      <c r="I135" s="183">
        <v>46.32</v>
      </c>
      <c r="J135" s="184">
        <v>62.98</v>
      </c>
      <c r="K135" s="184">
        <v>86.75</v>
      </c>
      <c r="L135" s="184">
        <f t="shared" si="5"/>
        <v>1.9</v>
      </c>
      <c r="M135" s="185">
        <v>1.9E-2</v>
      </c>
      <c r="N135" s="185">
        <v>5</v>
      </c>
      <c r="O135" s="186">
        <f>'Trade Data'!D11</f>
        <v>0.61322126255178466</v>
      </c>
      <c r="P135" s="187">
        <v>1</v>
      </c>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2"/>
      <c r="BB135" s="352"/>
      <c r="BC135" s="352"/>
      <c r="BD135" s="352"/>
      <c r="BE135" s="352"/>
      <c r="BF135" s="352"/>
      <c r="BG135" s="352"/>
      <c r="BH135" s="352"/>
      <c r="BI135" s="352"/>
      <c r="BJ135" s="352"/>
      <c r="BK135" s="352"/>
      <c r="BL135" s="352"/>
      <c r="BM135" s="352"/>
      <c r="BN135" s="352"/>
      <c r="BO135" s="352"/>
      <c r="BP135" s="352"/>
      <c r="BQ135" s="352"/>
      <c r="BR135" s="352"/>
      <c r="BS135" s="352"/>
      <c r="BT135" s="352"/>
      <c r="BU135" s="352"/>
      <c r="BV135" s="352"/>
      <c r="BW135" s="352"/>
      <c r="BX135" s="352"/>
      <c r="BY135" s="352"/>
      <c r="BZ135" s="352"/>
      <c r="CA135" s="352"/>
      <c r="CB135" s="352"/>
      <c r="CC135" s="352"/>
      <c r="CD135" s="352"/>
      <c r="CE135" s="352"/>
      <c r="CF135" s="352"/>
      <c r="CG135" s="352"/>
      <c r="CH135" s="352"/>
      <c r="CI135" s="352"/>
      <c r="CJ135" s="352"/>
      <c r="CK135" s="352"/>
      <c r="CL135" s="352"/>
      <c r="CM135" s="352"/>
      <c r="CN135" s="352"/>
      <c r="CO135" s="352"/>
      <c r="CP135" s="352"/>
      <c r="CQ135" s="352"/>
      <c r="CR135" s="352"/>
      <c r="CS135" s="352"/>
      <c r="CT135" s="352"/>
      <c r="CU135" s="352"/>
      <c r="CV135" s="352"/>
      <c r="CW135" s="352"/>
      <c r="CX135" s="352"/>
      <c r="CY135" s="352"/>
      <c r="CZ135" s="352"/>
      <c r="DA135" s="352"/>
      <c r="DB135" s="352"/>
      <c r="DC135" s="352"/>
      <c r="DD135" s="352"/>
      <c r="DE135" s="352"/>
      <c r="DF135" s="352"/>
      <c r="DG135" s="352"/>
      <c r="DH135" s="352"/>
      <c r="DI135" s="352"/>
      <c r="DJ135" s="352"/>
      <c r="DK135" s="352"/>
      <c r="DL135" s="352"/>
      <c r="DM135" s="352"/>
      <c r="DN135" s="352"/>
      <c r="DO135" s="352"/>
      <c r="DP135" s="352"/>
      <c r="DQ135" s="352"/>
      <c r="DR135" s="352"/>
      <c r="DS135" s="352"/>
      <c r="DT135" s="352"/>
      <c r="DU135" s="352"/>
      <c r="DV135" s="352"/>
      <c r="DW135" s="352"/>
      <c r="DX135" s="352"/>
      <c r="DY135" s="352"/>
      <c r="DZ135" s="352"/>
      <c r="EA135" s="352"/>
      <c r="EB135" s="352"/>
      <c r="EC135" s="352"/>
      <c r="ED135" s="352"/>
      <c r="EE135" s="352"/>
      <c r="EF135" s="352"/>
      <c r="EG135" s="352"/>
      <c r="EH135" s="352"/>
      <c r="EI135" s="352"/>
      <c r="EJ135" s="352"/>
      <c r="EK135" s="352"/>
      <c r="EL135" s="352"/>
      <c r="EM135" s="352"/>
      <c r="EN135" s="352"/>
    </row>
    <row r="136" spans="1:144" ht="20.100000000000001" customHeight="1">
      <c r="A136" s="118" t="s">
        <v>43</v>
      </c>
      <c r="B136" s="118" t="s">
        <v>743</v>
      </c>
      <c r="C136" s="119">
        <f>'Thomson Reuters IMA  ($)'!I387+'Thomson Reuters IMA  ($)'!I388</f>
        <v>659.00800000000004</v>
      </c>
      <c r="D136" s="120">
        <f>'Sectors % GDP'!E14</f>
        <v>161789</v>
      </c>
      <c r="E136" s="120">
        <f t="shared" si="4"/>
        <v>4.0732559073855456E-3</v>
      </c>
      <c r="F136" s="121">
        <v>1</v>
      </c>
      <c r="G136" s="120">
        <v>5</v>
      </c>
      <c r="H136" s="122">
        <v>71.650000000000006</v>
      </c>
      <c r="I136" s="131">
        <v>46.32</v>
      </c>
      <c r="J136" s="123">
        <v>62.98</v>
      </c>
      <c r="K136" s="123">
        <v>86.75</v>
      </c>
      <c r="L136" s="123">
        <f t="shared" si="5"/>
        <v>1.9</v>
      </c>
      <c r="M136" s="124">
        <v>1.9E-2</v>
      </c>
      <c r="N136" s="124">
        <v>5</v>
      </c>
      <c r="O136" s="125">
        <f>'Trade Data'!D11</f>
        <v>0.61322126255178466</v>
      </c>
      <c r="P136" s="126">
        <v>1</v>
      </c>
      <c r="Q136" s="352"/>
      <c r="R136" s="352"/>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2"/>
      <c r="BB136" s="352"/>
      <c r="BC136" s="352"/>
      <c r="BD136" s="352"/>
      <c r="BE136" s="352"/>
      <c r="BF136" s="352"/>
      <c r="BG136" s="352"/>
      <c r="BH136" s="352"/>
      <c r="BI136" s="352"/>
      <c r="BJ136" s="352"/>
      <c r="BK136" s="352"/>
      <c r="BL136" s="352"/>
      <c r="BM136" s="352"/>
      <c r="BN136" s="352"/>
      <c r="BO136" s="352"/>
      <c r="BP136" s="352"/>
      <c r="BQ136" s="352"/>
      <c r="BR136" s="352"/>
      <c r="BS136" s="352"/>
      <c r="BT136" s="352"/>
      <c r="BU136" s="352"/>
      <c r="BV136" s="352"/>
      <c r="BW136" s="352"/>
      <c r="BX136" s="352"/>
      <c r="BY136" s="352"/>
      <c r="BZ136" s="352"/>
      <c r="CA136" s="352"/>
      <c r="CB136" s="352"/>
      <c r="CC136" s="352"/>
      <c r="CD136" s="352"/>
      <c r="CE136" s="352"/>
      <c r="CF136" s="352"/>
      <c r="CG136" s="352"/>
      <c r="CH136" s="352"/>
      <c r="CI136" s="352"/>
      <c r="CJ136" s="352"/>
      <c r="CK136" s="352"/>
      <c r="CL136" s="352"/>
      <c r="CM136" s="352"/>
      <c r="CN136" s="352"/>
      <c r="CO136" s="352"/>
      <c r="CP136" s="352"/>
      <c r="CQ136" s="352"/>
      <c r="CR136" s="352"/>
      <c r="CS136" s="352"/>
      <c r="CT136" s="352"/>
      <c r="CU136" s="352"/>
      <c r="CV136" s="352"/>
      <c r="CW136" s="352"/>
      <c r="CX136" s="352"/>
      <c r="CY136" s="352"/>
      <c r="CZ136" s="352"/>
      <c r="DA136" s="352"/>
      <c r="DB136" s="352"/>
      <c r="DC136" s="352"/>
      <c r="DD136" s="352"/>
      <c r="DE136" s="352"/>
      <c r="DF136" s="352"/>
      <c r="DG136" s="352"/>
      <c r="DH136" s="352"/>
      <c r="DI136" s="352"/>
      <c r="DJ136" s="352"/>
      <c r="DK136" s="352"/>
      <c r="DL136" s="352"/>
      <c r="DM136" s="352"/>
      <c r="DN136" s="352"/>
      <c r="DO136" s="352"/>
      <c r="DP136" s="352"/>
      <c r="DQ136" s="352"/>
      <c r="DR136" s="352"/>
      <c r="DS136" s="352"/>
      <c r="DT136" s="352"/>
      <c r="DU136" s="352"/>
      <c r="DV136" s="352"/>
      <c r="DW136" s="352"/>
      <c r="DX136" s="352"/>
      <c r="DY136" s="352"/>
      <c r="DZ136" s="352"/>
      <c r="EA136" s="352"/>
      <c r="EB136" s="352"/>
      <c r="EC136" s="352"/>
      <c r="ED136" s="352"/>
      <c r="EE136" s="352"/>
      <c r="EF136" s="352"/>
      <c r="EG136" s="352"/>
      <c r="EH136" s="352"/>
      <c r="EI136" s="352"/>
      <c r="EJ136" s="352"/>
      <c r="EK136" s="352"/>
      <c r="EL136" s="352"/>
      <c r="EM136" s="352"/>
      <c r="EN136" s="352"/>
    </row>
    <row r="137" spans="1:144" s="169" customFormat="1" ht="20.100000000000001" customHeight="1">
      <c r="A137" s="160" t="s">
        <v>44</v>
      </c>
      <c r="B137" s="160" t="s">
        <v>742</v>
      </c>
      <c r="C137" s="161">
        <v>0</v>
      </c>
      <c r="D137" s="162">
        <f>'Sectors % GDP'!G12</f>
        <v>10453.474</v>
      </c>
      <c r="E137" s="162">
        <f t="shared" si="4"/>
        <v>0</v>
      </c>
      <c r="F137" s="163">
        <v>0</v>
      </c>
      <c r="G137" s="162">
        <v>0</v>
      </c>
      <c r="H137" s="164">
        <v>76.17</v>
      </c>
      <c r="I137" s="164">
        <v>67.02</v>
      </c>
      <c r="J137" s="164">
        <v>68.53</v>
      </c>
      <c r="K137" s="165">
        <v>82.25</v>
      </c>
      <c r="L137" s="165">
        <f t="shared" si="5"/>
        <v>1.9</v>
      </c>
      <c r="M137" s="166">
        <v>1.9E-2</v>
      </c>
      <c r="N137" s="166">
        <v>5</v>
      </c>
      <c r="O137" s="167">
        <f>'Trade Data'!D11</f>
        <v>0.61322126255178466</v>
      </c>
      <c r="P137" s="170">
        <v>0</v>
      </c>
      <c r="Q137" s="352"/>
      <c r="R137" s="352"/>
      <c r="S137" s="352"/>
      <c r="T137" s="352"/>
      <c r="U137" s="352"/>
      <c r="V137" s="352"/>
      <c r="W137" s="352"/>
      <c r="X137" s="352"/>
      <c r="Y137" s="352"/>
      <c r="Z137" s="352"/>
      <c r="AA137" s="352"/>
      <c r="AB137" s="352"/>
      <c r="AC137" s="352"/>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2"/>
      <c r="AZ137" s="352"/>
      <c r="BA137" s="352"/>
      <c r="BB137" s="352"/>
      <c r="BC137" s="352"/>
      <c r="BD137" s="352"/>
      <c r="BE137" s="352"/>
      <c r="BF137" s="352"/>
      <c r="BG137" s="352"/>
      <c r="BH137" s="352"/>
      <c r="BI137" s="352"/>
      <c r="BJ137" s="352"/>
      <c r="BK137" s="352"/>
      <c r="BL137" s="352"/>
      <c r="BM137" s="352"/>
      <c r="BN137" s="352"/>
      <c r="BO137" s="352"/>
      <c r="BP137" s="352"/>
      <c r="BQ137" s="352"/>
      <c r="BR137" s="352"/>
      <c r="BS137" s="352"/>
      <c r="BT137" s="352"/>
      <c r="BU137" s="352"/>
      <c r="BV137" s="352"/>
      <c r="BW137" s="352"/>
      <c r="BX137" s="352"/>
      <c r="BY137" s="352"/>
      <c r="BZ137" s="352"/>
      <c r="CA137" s="352"/>
      <c r="CB137" s="352"/>
      <c r="CC137" s="352"/>
      <c r="CD137" s="352"/>
      <c r="CE137" s="352"/>
      <c r="CF137" s="352"/>
      <c r="CG137" s="352"/>
      <c r="CH137" s="352"/>
      <c r="CI137" s="352"/>
      <c r="CJ137" s="352"/>
      <c r="CK137" s="352"/>
      <c r="CL137" s="352"/>
      <c r="CM137" s="352"/>
      <c r="CN137" s="352"/>
      <c r="CO137" s="352"/>
      <c r="CP137" s="352"/>
      <c r="CQ137" s="352"/>
      <c r="CR137" s="352"/>
      <c r="CS137" s="352"/>
      <c r="CT137" s="352"/>
      <c r="CU137" s="352"/>
      <c r="CV137" s="352"/>
      <c r="CW137" s="352"/>
      <c r="CX137" s="352"/>
      <c r="CY137" s="352"/>
      <c r="CZ137" s="352"/>
      <c r="DA137" s="352"/>
      <c r="DB137" s="352"/>
      <c r="DC137" s="352"/>
      <c r="DD137" s="352"/>
      <c r="DE137" s="352"/>
      <c r="DF137" s="352"/>
      <c r="DG137" s="352"/>
      <c r="DH137" s="352"/>
      <c r="DI137" s="352"/>
      <c r="DJ137" s="352"/>
      <c r="DK137" s="352"/>
      <c r="DL137" s="352"/>
      <c r="DM137" s="352"/>
      <c r="DN137" s="352"/>
      <c r="DO137" s="352"/>
      <c r="DP137" s="352"/>
      <c r="DQ137" s="352"/>
      <c r="DR137" s="352"/>
      <c r="DS137" s="352"/>
      <c r="DT137" s="352"/>
      <c r="DU137" s="352"/>
      <c r="DV137" s="352"/>
      <c r="DW137" s="352"/>
      <c r="DX137" s="352"/>
      <c r="DY137" s="352"/>
      <c r="DZ137" s="352"/>
      <c r="EA137" s="352"/>
      <c r="EB137" s="352"/>
      <c r="EC137" s="352"/>
      <c r="ED137" s="352"/>
      <c r="EE137" s="352"/>
      <c r="EF137" s="352"/>
      <c r="EG137" s="352"/>
      <c r="EH137" s="352"/>
      <c r="EI137" s="352"/>
      <c r="EJ137" s="352"/>
      <c r="EK137" s="352"/>
      <c r="EL137" s="352"/>
      <c r="EM137" s="352"/>
      <c r="EN137" s="352"/>
    </row>
    <row r="138" spans="1:144" s="188" customFormat="1" ht="20.100000000000001" customHeight="1">
      <c r="A138" s="179" t="s">
        <v>44</v>
      </c>
      <c r="B138" s="179" t="s">
        <v>741</v>
      </c>
      <c r="C138" s="180">
        <f>'Thomson Reuters IMA  ($)'!I390+'Thomson Reuters IMA  ($)'!I391+'Thomson Reuters IMA  ($)'!I392</f>
        <v>148.69300000000001</v>
      </c>
      <c r="D138" s="181">
        <f>'Sectors % GDP'!G13</f>
        <v>78607.213999999993</v>
      </c>
      <c r="E138" s="181">
        <f t="shared" si="4"/>
        <v>1.8915948350491092E-3</v>
      </c>
      <c r="F138" s="182">
        <v>1</v>
      </c>
      <c r="G138" s="181">
        <v>4</v>
      </c>
      <c r="H138" s="183">
        <v>76.17</v>
      </c>
      <c r="I138" s="183">
        <v>67.02</v>
      </c>
      <c r="J138" s="183">
        <v>68.53</v>
      </c>
      <c r="K138" s="184">
        <v>82.25</v>
      </c>
      <c r="L138" s="184">
        <f t="shared" si="5"/>
        <v>1.9</v>
      </c>
      <c r="M138" s="185">
        <v>1.9E-2</v>
      </c>
      <c r="N138" s="185">
        <v>5</v>
      </c>
      <c r="O138" s="186">
        <f>'Trade Data'!D11</f>
        <v>0.61322126255178466</v>
      </c>
      <c r="P138" s="189">
        <v>1</v>
      </c>
      <c r="Q138" s="352"/>
      <c r="R138" s="352"/>
      <c r="S138" s="352"/>
      <c r="T138" s="352"/>
      <c r="U138" s="352"/>
      <c r="V138" s="352"/>
      <c r="W138" s="352"/>
      <c r="X138" s="352"/>
      <c r="Y138" s="352"/>
      <c r="Z138" s="352"/>
      <c r="AA138" s="352"/>
      <c r="AB138" s="352"/>
      <c r="AC138" s="352"/>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2"/>
      <c r="AZ138" s="352"/>
      <c r="BA138" s="352"/>
      <c r="BB138" s="352"/>
      <c r="BC138" s="352"/>
      <c r="BD138" s="352"/>
      <c r="BE138" s="352"/>
      <c r="BF138" s="352"/>
      <c r="BG138" s="352"/>
      <c r="BH138" s="352"/>
      <c r="BI138" s="352"/>
      <c r="BJ138" s="352"/>
      <c r="BK138" s="352"/>
      <c r="BL138" s="352"/>
      <c r="BM138" s="352"/>
      <c r="BN138" s="352"/>
      <c r="BO138" s="352"/>
      <c r="BP138" s="352"/>
      <c r="BQ138" s="352"/>
      <c r="BR138" s="352"/>
      <c r="BS138" s="352"/>
      <c r="BT138" s="352"/>
      <c r="BU138" s="352"/>
      <c r="BV138" s="352"/>
      <c r="BW138" s="352"/>
      <c r="BX138" s="352"/>
      <c r="BY138" s="352"/>
      <c r="BZ138" s="352"/>
      <c r="CA138" s="352"/>
      <c r="CB138" s="352"/>
      <c r="CC138" s="352"/>
      <c r="CD138" s="352"/>
      <c r="CE138" s="352"/>
      <c r="CF138" s="352"/>
      <c r="CG138" s="352"/>
      <c r="CH138" s="352"/>
      <c r="CI138" s="352"/>
      <c r="CJ138" s="352"/>
      <c r="CK138" s="352"/>
      <c r="CL138" s="352"/>
      <c r="CM138" s="352"/>
      <c r="CN138" s="352"/>
      <c r="CO138" s="352"/>
      <c r="CP138" s="352"/>
      <c r="CQ138" s="352"/>
      <c r="CR138" s="352"/>
      <c r="CS138" s="352"/>
      <c r="CT138" s="352"/>
      <c r="CU138" s="352"/>
      <c r="CV138" s="352"/>
      <c r="CW138" s="352"/>
      <c r="CX138" s="352"/>
      <c r="CY138" s="352"/>
      <c r="CZ138" s="352"/>
      <c r="DA138" s="352"/>
      <c r="DB138" s="352"/>
      <c r="DC138" s="352"/>
      <c r="DD138" s="352"/>
      <c r="DE138" s="352"/>
      <c r="DF138" s="352"/>
      <c r="DG138" s="352"/>
      <c r="DH138" s="352"/>
      <c r="DI138" s="352"/>
      <c r="DJ138" s="352"/>
      <c r="DK138" s="352"/>
      <c r="DL138" s="352"/>
      <c r="DM138" s="352"/>
      <c r="DN138" s="352"/>
      <c r="DO138" s="352"/>
      <c r="DP138" s="352"/>
      <c r="DQ138" s="352"/>
      <c r="DR138" s="352"/>
      <c r="DS138" s="352"/>
      <c r="DT138" s="352"/>
      <c r="DU138" s="352"/>
      <c r="DV138" s="352"/>
      <c r="DW138" s="352"/>
      <c r="DX138" s="352"/>
      <c r="DY138" s="352"/>
      <c r="DZ138" s="352"/>
      <c r="EA138" s="352"/>
      <c r="EB138" s="352"/>
      <c r="EC138" s="352"/>
      <c r="ED138" s="352"/>
      <c r="EE138" s="352"/>
      <c r="EF138" s="352"/>
      <c r="EG138" s="352"/>
      <c r="EH138" s="352"/>
      <c r="EI138" s="352"/>
      <c r="EJ138" s="352"/>
      <c r="EK138" s="352"/>
      <c r="EL138" s="352"/>
      <c r="EM138" s="352"/>
      <c r="EN138" s="352"/>
    </row>
    <row r="139" spans="1:144" ht="20.100000000000001" customHeight="1">
      <c r="A139" s="118" t="s">
        <v>44</v>
      </c>
      <c r="B139" s="118" t="s">
        <v>740</v>
      </c>
      <c r="C139" s="119">
        <v>0</v>
      </c>
      <c r="D139" s="120">
        <f>'Sectors % GDP'!G14</f>
        <v>153455.05800000002</v>
      </c>
      <c r="E139" s="120">
        <f t="shared" si="4"/>
        <v>0</v>
      </c>
      <c r="F139" s="121">
        <v>1</v>
      </c>
      <c r="G139" s="120">
        <v>10</v>
      </c>
      <c r="H139" s="122">
        <v>76.17</v>
      </c>
      <c r="I139" s="122">
        <v>67.02</v>
      </c>
      <c r="J139" s="122">
        <v>68.53</v>
      </c>
      <c r="K139" s="123">
        <v>82.25</v>
      </c>
      <c r="L139" s="123">
        <f t="shared" si="5"/>
        <v>1.9</v>
      </c>
      <c r="M139" s="124">
        <v>1.9E-2</v>
      </c>
      <c r="N139" s="124">
        <v>5</v>
      </c>
      <c r="O139" s="125">
        <f>'Trade Data'!D11</f>
        <v>0.61322126255178466</v>
      </c>
      <c r="P139" s="127">
        <v>1</v>
      </c>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352"/>
      <c r="AM139" s="352"/>
      <c r="AN139" s="352"/>
      <c r="AO139" s="352"/>
      <c r="AP139" s="352"/>
      <c r="AQ139" s="352"/>
      <c r="AR139" s="352"/>
      <c r="AS139" s="352"/>
      <c r="AT139" s="352"/>
      <c r="AU139" s="352"/>
      <c r="AV139" s="352"/>
      <c r="AW139" s="352"/>
      <c r="AX139" s="352"/>
      <c r="AY139" s="352"/>
      <c r="AZ139" s="352"/>
      <c r="BA139" s="352"/>
      <c r="BB139" s="352"/>
      <c r="BC139" s="352"/>
      <c r="BD139" s="352"/>
      <c r="BE139" s="352"/>
      <c r="BF139" s="352"/>
      <c r="BG139" s="352"/>
      <c r="BH139" s="352"/>
      <c r="BI139" s="352"/>
      <c r="BJ139" s="352"/>
      <c r="BK139" s="352"/>
      <c r="BL139" s="352"/>
      <c r="BM139" s="352"/>
      <c r="BN139" s="352"/>
      <c r="BO139" s="352"/>
      <c r="BP139" s="352"/>
      <c r="BQ139" s="352"/>
      <c r="BR139" s="352"/>
      <c r="BS139" s="352"/>
      <c r="BT139" s="352"/>
      <c r="BU139" s="352"/>
      <c r="BV139" s="352"/>
      <c r="BW139" s="352"/>
      <c r="BX139" s="352"/>
      <c r="BY139" s="352"/>
      <c r="BZ139" s="352"/>
      <c r="CA139" s="352"/>
      <c r="CB139" s="352"/>
      <c r="CC139" s="352"/>
      <c r="CD139" s="352"/>
      <c r="CE139" s="352"/>
      <c r="CF139" s="352"/>
      <c r="CG139" s="352"/>
      <c r="CH139" s="352"/>
      <c r="CI139" s="352"/>
      <c r="CJ139" s="352"/>
      <c r="CK139" s="352"/>
      <c r="CL139" s="352"/>
      <c r="CM139" s="352"/>
      <c r="CN139" s="352"/>
      <c r="CO139" s="352"/>
      <c r="CP139" s="352"/>
      <c r="CQ139" s="352"/>
      <c r="CR139" s="352"/>
      <c r="CS139" s="352"/>
      <c r="CT139" s="352"/>
      <c r="CU139" s="352"/>
      <c r="CV139" s="352"/>
      <c r="CW139" s="352"/>
      <c r="CX139" s="352"/>
      <c r="CY139" s="352"/>
      <c r="CZ139" s="352"/>
      <c r="DA139" s="352"/>
      <c r="DB139" s="352"/>
      <c r="DC139" s="352"/>
      <c r="DD139" s="352"/>
      <c r="DE139" s="352"/>
      <c r="DF139" s="352"/>
      <c r="DG139" s="352"/>
      <c r="DH139" s="352"/>
      <c r="DI139" s="352"/>
      <c r="DJ139" s="352"/>
      <c r="DK139" s="352"/>
      <c r="DL139" s="352"/>
      <c r="DM139" s="352"/>
      <c r="DN139" s="352"/>
      <c r="DO139" s="352"/>
      <c r="DP139" s="352"/>
      <c r="DQ139" s="352"/>
      <c r="DR139" s="352"/>
      <c r="DS139" s="352"/>
      <c r="DT139" s="352"/>
      <c r="DU139" s="352"/>
      <c r="DV139" s="352"/>
      <c r="DW139" s="352"/>
      <c r="DX139" s="352"/>
      <c r="DY139" s="352"/>
      <c r="DZ139" s="352"/>
      <c r="EA139" s="352"/>
      <c r="EB139" s="352"/>
      <c r="EC139" s="352"/>
      <c r="ED139" s="352"/>
      <c r="EE139" s="352"/>
      <c r="EF139" s="352"/>
      <c r="EG139" s="352"/>
      <c r="EH139" s="352"/>
      <c r="EI139" s="352"/>
      <c r="EJ139" s="352"/>
      <c r="EK139" s="352"/>
      <c r="EL139" s="352"/>
      <c r="EM139" s="352"/>
      <c r="EN139" s="352"/>
    </row>
    <row r="140" spans="1:144" s="169" customFormat="1" ht="20.100000000000001" customHeight="1">
      <c r="A140" s="160" t="s">
        <v>45</v>
      </c>
      <c r="B140" s="160" t="s">
        <v>739</v>
      </c>
      <c r="C140" s="161">
        <v>0</v>
      </c>
      <c r="D140" s="162">
        <f>'Sectors % GDP'!G12</f>
        <v>10453.474</v>
      </c>
      <c r="E140" s="162">
        <f t="shared" si="4"/>
        <v>0</v>
      </c>
      <c r="F140" s="163">
        <v>0</v>
      </c>
      <c r="G140" s="162">
        <v>0</v>
      </c>
      <c r="H140" s="164">
        <v>75.290000000000006</v>
      </c>
      <c r="I140" s="164">
        <v>61.6</v>
      </c>
      <c r="J140" s="164">
        <v>71.38</v>
      </c>
      <c r="K140" s="165">
        <v>82.25</v>
      </c>
      <c r="L140" s="165">
        <f t="shared" si="5"/>
        <v>2.2999999999999998</v>
      </c>
      <c r="M140" s="166">
        <v>2.3E-2</v>
      </c>
      <c r="N140" s="166">
        <v>5.75</v>
      </c>
      <c r="O140" s="167">
        <f>'Trade Data'!F11</f>
        <v>0.59940791688720507</v>
      </c>
      <c r="P140" s="168">
        <v>0</v>
      </c>
      <c r="Q140" s="352"/>
      <c r="R140" s="352"/>
      <c r="S140" s="352"/>
      <c r="T140" s="352"/>
      <c r="U140" s="352"/>
      <c r="V140" s="352"/>
      <c r="W140" s="352"/>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c r="BB140" s="352"/>
      <c r="BC140" s="352"/>
      <c r="BD140" s="352"/>
      <c r="BE140" s="352"/>
      <c r="BF140" s="352"/>
      <c r="BG140" s="352"/>
      <c r="BH140" s="352"/>
      <c r="BI140" s="352"/>
      <c r="BJ140" s="352"/>
      <c r="BK140" s="352"/>
      <c r="BL140" s="352"/>
      <c r="BM140" s="352"/>
      <c r="BN140" s="352"/>
      <c r="BO140" s="352"/>
      <c r="BP140" s="352"/>
      <c r="BQ140" s="352"/>
      <c r="BR140" s="352"/>
      <c r="BS140" s="352"/>
      <c r="BT140" s="352"/>
      <c r="BU140" s="352"/>
      <c r="BV140" s="352"/>
      <c r="BW140" s="352"/>
      <c r="BX140" s="352"/>
      <c r="BY140" s="352"/>
      <c r="BZ140" s="352"/>
      <c r="CA140" s="352"/>
      <c r="CB140" s="352"/>
      <c r="CC140" s="352"/>
      <c r="CD140" s="352"/>
      <c r="CE140" s="352"/>
      <c r="CF140" s="352"/>
      <c r="CG140" s="352"/>
      <c r="CH140" s="352"/>
      <c r="CI140" s="352"/>
      <c r="CJ140" s="352"/>
      <c r="CK140" s="352"/>
      <c r="CL140" s="352"/>
      <c r="CM140" s="352"/>
      <c r="CN140" s="352"/>
      <c r="CO140" s="352"/>
      <c r="CP140" s="352"/>
      <c r="CQ140" s="352"/>
      <c r="CR140" s="352"/>
      <c r="CS140" s="352"/>
      <c r="CT140" s="352"/>
      <c r="CU140" s="352"/>
      <c r="CV140" s="352"/>
      <c r="CW140" s="352"/>
      <c r="CX140" s="352"/>
      <c r="CY140" s="352"/>
      <c r="CZ140" s="352"/>
      <c r="DA140" s="352"/>
      <c r="DB140" s="352"/>
      <c r="DC140" s="352"/>
      <c r="DD140" s="352"/>
      <c r="DE140" s="352"/>
      <c r="DF140" s="352"/>
      <c r="DG140" s="352"/>
      <c r="DH140" s="352"/>
      <c r="DI140" s="352"/>
      <c r="DJ140" s="352"/>
      <c r="DK140" s="352"/>
      <c r="DL140" s="352"/>
      <c r="DM140" s="352"/>
      <c r="DN140" s="352"/>
      <c r="DO140" s="352"/>
      <c r="DP140" s="352"/>
      <c r="DQ140" s="352"/>
      <c r="DR140" s="352"/>
      <c r="DS140" s="352"/>
      <c r="DT140" s="352"/>
      <c r="DU140" s="352"/>
      <c r="DV140" s="352"/>
      <c r="DW140" s="352"/>
      <c r="DX140" s="352"/>
      <c r="DY140" s="352"/>
      <c r="DZ140" s="352"/>
      <c r="EA140" s="352"/>
      <c r="EB140" s="352"/>
      <c r="EC140" s="352"/>
      <c r="ED140" s="352"/>
      <c r="EE140" s="352"/>
      <c r="EF140" s="352"/>
      <c r="EG140" s="352"/>
      <c r="EH140" s="352"/>
      <c r="EI140" s="352"/>
      <c r="EJ140" s="352"/>
      <c r="EK140" s="352"/>
      <c r="EL140" s="352"/>
      <c r="EM140" s="352"/>
      <c r="EN140" s="352"/>
    </row>
    <row r="141" spans="1:144" s="188" customFormat="1" ht="20.100000000000001" customHeight="1">
      <c r="A141" s="179" t="s">
        <v>45</v>
      </c>
      <c r="B141" s="179" t="s">
        <v>738</v>
      </c>
      <c r="C141" s="180">
        <v>0</v>
      </c>
      <c r="D141" s="181">
        <f>'Sectors % GDP'!G13</f>
        <v>78607.213999999993</v>
      </c>
      <c r="E141" s="181">
        <f t="shared" si="4"/>
        <v>0</v>
      </c>
      <c r="F141" s="182">
        <v>1</v>
      </c>
      <c r="G141" s="181">
        <v>2</v>
      </c>
      <c r="H141" s="183">
        <v>75.290000000000006</v>
      </c>
      <c r="I141" s="183">
        <v>61.6</v>
      </c>
      <c r="J141" s="183">
        <v>71.38</v>
      </c>
      <c r="K141" s="184">
        <v>82.25</v>
      </c>
      <c r="L141" s="184">
        <f t="shared" si="5"/>
        <v>2.2999999999999998</v>
      </c>
      <c r="M141" s="185">
        <v>2.3E-2</v>
      </c>
      <c r="N141" s="185">
        <v>5.75</v>
      </c>
      <c r="O141" s="186">
        <f>'Trade Data'!F11</f>
        <v>0.59940791688720507</v>
      </c>
      <c r="P141" s="187">
        <v>1</v>
      </c>
      <c r="Q141" s="352"/>
      <c r="R141" s="352"/>
      <c r="S141" s="352"/>
      <c r="T141" s="352"/>
      <c r="U141" s="352"/>
      <c r="V141" s="352"/>
      <c r="W141" s="352"/>
      <c r="X141" s="352"/>
      <c r="Y141" s="352"/>
      <c r="Z141" s="352"/>
      <c r="AA141" s="352"/>
      <c r="AB141" s="352"/>
      <c r="AC141" s="352"/>
      <c r="AD141" s="352"/>
      <c r="AE141" s="352"/>
      <c r="AF141" s="352"/>
      <c r="AG141" s="352"/>
      <c r="AH141" s="352"/>
      <c r="AI141" s="352"/>
      <c r="AJ141" s="352"/>
      <c r="AK141" s="352"/>
      <c r="AL141" s="352"/>
      <c r="AM141" s="352"/>
      <c r="AN141" s="352"/>
      <c r="AO141" s="352"/>
      <c r="AP141" s="352"/>
      <c r="AQ141" s="352"/>
      <c r="AR141" s="352"/>
      <c r="AS141" s="352"/>
      <c r="AT141" s="352"/>
      <c r="AU141" s="352"/>
      <c r="AV141" s="352"/>
      <c r="AW141" s="352"/>
      <c r="AX141" s="352"/>
      <c r="AY141" s="352"/>
      <c r="AZ141" s="352"/>
      <c r="BA141" s="352"/>
      <c r="BB141" s="352"/>
      <c r="BC141" s="352"/>
      <c r="BD141" s="352"/>
      <c r="BE141" s="352"/>
      <c r="BF141" s="352"/>
      <c r="BG141" s="352"/>
      <c r="BH141" s="352"/>
      <c r="BI141" s="352"/>
      <c r="BJ141" s="352"/>
      <c r="BK141" s="352"/>
      <c r="BL141" s="352"/>
      <c r="BM141" s="352"/>
      <c r="BN141" s="352"/>
      <c r="BO141" s="352"/>
      <c r="BP141" s="352"/>
      <c r="BQ141" s="352"/>
      <c r="BR141" s="352"/>
      <c r="BS141" s="352"/>
      <c r="BT141" s="352"/>
      <c r="BU141" s="352"/>
      <c r="BV141" s="352"/>
      <c r="BW141" s="352"/>
      <c r="BX141" s="352"/>
      <c r="BY141" s="352"/>
      <c r="BZ141" s="352"/>
      <c r="CA141" s="352"/>
      <c r="CB141" s="352"/>
      <c r="CC141" s="352"/>
      <c r="CD141" s="352"/>
      <c r="CE141" s="352"/>
      <c r="CF141" s="352"/>
      <c r="CG141" s="352"/>
      <c r="CH141" s="352"/>
      <c r="CI141" s="352"/>
      <c r="CJ141" s="352"/>
      <c r="CK141" s="352"/>
      <c r="CL141" s="352"/>
      <c r="CM141" s="352"/>
      <c r="CN141" s="352"/>
      <c r="CO141" s="352"/>
      <c r="CP141" s="352"/>
      <c r="CQ141" s="352"/>
      <c r="CR141" s="352"/>
      <c r="CS141" s="352"/>
      <c r="CT141" s="352"/>
      <c r="CU141" s="352"/>
      <c r="CV141" s="352"/>
      <c r="CW141" s="352"/>
      <c r="CX141" s="352"/>
      <c r="CY141" s="352"/>
      <c r="CZ141" s="352"/>
      <c r="DA141" s="352"/>
      <c r="DB141" s="352"/>
      <c r="DC141" s="352"/>
      <c r="DD141" s="352"/>
      <c r="DE141" s="352"/>
      <c r="DF141" s="352"/>
      <c r="DG141" s="352"/>
      <c r="DH141" s="352"/>
      <c r="DI141" s="352"/>
      <c r="DJ141" s="352"/>
      <c r="DK141" s="352"/>
      <c r="DL141" s="352"/>
      <c r="DM141" s="352"/>
      <c r="DN141" s="352"/>
      <c r="DO141" s="352"/>
      <c r="DP141" s="352"/>
      <c r="DQ141" s="352"/>
      <c r="DR141" s="352"/>
      <c r="DS141" s="352"/>
      <c r="DT141" s="352"/>
      <c r="DU141" s="352"/>
      <c r="DV141" s="352"/>
      <c r="DW141" s="352"/>
      <c r="DX141" s="352"/>
      <c r="DY141" s="352"/>
      <c r="DZ141" s="352"/>
      <c r="EA141" s="352"/>
      <c r="EB141" s="352"/>
      <c r="EC141" s="352"/>
      <c r="ED141" s="352"/>
      <c r="EE141" s="352"/>
      <c r="EF141" s="352"/>
      <c r="EG141" s="352"/>
      <c r="EH141" s="352"/>
      <c r="EI141" s="352"/>
      <c r="EJ141" s="352"/>
      <c r="EK141" s="352"/>
      <c r="EL141" s="352"/>
      <c r="EM141" s="352"/>
      <c r="EN141" s="352"/>
    </row>
    <row r="142" spans="1:144" ht="20.100000000000001" customHeight="1">
      <c r="A142" s="118" t="s">
        <v>45</v>
      </c>
      <c r="B142" s="118" t="s">
        <v>737</v>
      </c>
      <c r="C142" s="119">
        <f>'Thomson Reuters IMA  ($)'!I393</f>
        <v>14.407999999999999</v>
      </c>
      <c r="D142" s="120">
        <f>'Sectors % GDP'!G14</f>
        <v>153455.05800000002</v>
      </c>
      <c r="E142" s="120">
        <f t="shared" si="4"/>
        <v>9.3890681661336952E-5</v>
      </c>
      <c r="F142" s="121">
        <v>1</v>
      </c>
      <c r="G142" s="120">
        <v>6</v>
      </c>
      <c r="H142" s="122">
        <v>75.290000000000006</v>
      </c>
      <c r="I142" s="122">
        <v>61.6</v>
      </c>
      <c r="J142" s="122">
        <v>71.38</v>
      </c>
      <c r="K142" s="123">
        <v>82.25</v>
      </c>
      <c r="L142" s="123">
        <f t="shared" si="5"/>
        <v>2.2999999999999998</v>
      </c>
      <c r="M142" s="124">
        <v>2.3E-2</v>
      </c>
      <c r="N142" s="124">
        <v>5.75</v>
      </c>
      <c r="O142" s="125">
        <f>'Trade Data'!F11</f>
        <v>0.59940791688720507</v>
      </c>
      <c r="P142" s="126">
        <v>1</v>
      </c>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c r="BB142" s="352"/>
      <c r="BC142" s="352"/>
      <c r="BD142" s="352"/>
      <c r="BE142" s="352"/>
      <c r="BF142" s="352"/>
      <c r="BG142" s="352"/>
      <c r="BH142" s="352"/>
      <c r="BI142" s="352"/>
      <c r="BJ142" s="352"/>
      <c r="BK142" s="352"/>
      <c r="BL142" s="352"/>
      <c r="BM142" s="352"/>
      <c r="BN142" s="352"/>
      <c r="BO142" s="352"/>
      <c r="BP142" s="352"/>
      <c r="BQ142" s="352"/>
      <c r="BR142" s="352"/>
      <c r="BS142" s="352"/>
      <c r="BT142" s="352"/>
      <c r="BU142" s="352"/>
      <c r="BV142" s="352"/>
      <c r="BW142" s="352"/>
      <c r="BX142" s="352"/>
      <c r="BY142" s="352"/>
      <c r="BZ142" s="352"/>
      <c r="CA142" s="352"/>
      <c r="CB142" s="352"/>
      <c r="CC142" s="352"/>
      <c r="CD142" s="352"/>
      <c r="CE142" s="352"/>
      <c r="CF142" s="352"/>
      <c r="CG142" s="352"/>
      <c r="CH142" s="352"/>
      <c r="CI142" s="352"/>
      <c r="CJ142" s="352"/>
      <c r="CK142" s="352"/>
      <c r="CL142" s="352"/>
      <c r="CM142" s="352"/>
      <c r="CN142" s="352"/>
      <c r="CO142" s="352"/>
      <c r="CP142" s="352"/>
      <c r="CQ142" s="352"/>
      <c r="CR142" s="352"/>
      <c r="CS142" s="352"/>
      <c r="CT142" s="352"/>
      <c r="CU142" s="352"/>
      <c r="CV142" s="352"/>
      <c r="CW142" s="352"/>
      <c r="CX142" s="352"/>
      <c r="CY142" s="352"/>
      <c r="CZ142" s="352"/>
      <c r="DA142" s="352"/>
      <c r="DB142" s="352"/>
      <c r="DC142" s="352"/>
      <c r="DD142" s="352"/>
      <c r="DE142" s="352"/>
      <c r="DF142" s="352"/>
      <c r="DG142" s="352"/>
      <c r="DH142" s="352"/>
      <c r="DI142" s="352"/>
      <c r="DJ142" s="352"/>
      <c r="DK142" s="352"/>
      <c r="DL142" s="352"/>
      <c r="DM142" s="352"/>
      <c r="DN142" s="352"/>
      <c r="DO142" s="352"/>
      <c r="DP142" s="352"/>
      <c r="DQ142" s="352"/>
      <c r="DR142" s="352"/>
      <c r="DS142" s="352"/>
      <c r="DT142" s="352"/>
      <c r="DU142" s="352"/>
      <c r="DV142" s="352"/>
      <c r="DW142" s="352"/>
      <c r="DX142" s="352"/>
      <c r="DY142" s="352"/>
      <c r="DZ142" s="352"/>
      <c r="EA142" s="352"/>
      <c r="EB142" s="352"/>
      <c r="EC142" s="352"/>
      <c r="ED142" s="352"/>
      <c r="EE142" s="352"/>
      <c r="EF142" s="352"/>
      <c r="EG142" s="352"/>
      <c r="EH142" s="352"/>
      <c r="EI142" s="352"/>
      <c r="EJ142" s="352"/>
      <c r="EK142" s="352"/>
      <c r="EL142" s="352"/>
      <c r="EM142" s="352"/>
      <c r="EN142" s="352"/>
    </row>
    <row r="143" spans="1:144" s="169" customFormat="1" ht="20.100000000000001" customHeight="1">
      <c r="A143" s="160" t="s">
        <v>46</v>
      </c>
      <c r="B143" s="160" t="s">
        <v>736</v>
      </c>
      <c r="C143" s="161">
        <v>0</v>
      </c>
      <c r="D143" s="162">
        <f>'Sectors % GDP'!G12</f>
        <v>10453.474</v>
      </c>
      <c r="E143" s="162">
        <f t="shared" si="4"/>
        <v>0</v>
      </c>
      <c r="F143" s="163">
        <v>0</v>
      </c>
      <c r="G143" s="162">
        <v>0</v>
      </c>
      <c r="H143" s="164">
        <v>80.14</v>
      </c>
      <c r="I143" s="164">
        <v>74.81</v>
      </c>
      <c r="J143" s="164">
        <v>70.84</v>
      </c>
      <c r="K143" s="165">
        <v>82.25</v>
      </c>
      <c r="L143" s="165">
        <f t="shared" si="5"/>
        <v>2.2999999999999998</v>
      </c>
      <c r="M143" s="166">
        <v>2.3E-2</v>
      </c>
      <c r="N143" s="166">
        <v>5.75</v>
      </c>
      <c r="O143" s="167">
        <f>'Trade Data'!F11</f>
        <v>0.59940791688720507</v>
      </c>
      <c r="P143" s="170">
        <v>0</v>
      </c>
      <c r="Q143" s="352"/>
      <c r="R143" s="352"/>
      <c r="S143" s="352"/>
      <c r="T143" s="352"/>
      <c r="U143" s="352"/>
      <c r="V143" s="352"/>
      <c r="W143" s="352"/>
      <c r="X143" s="352"/>
      <c r="Y143" s="352"/>
      <c r="Z143" s="352"/>
      <c r="AA143" s="352"/>
      <c r="AB143" s="352"/>
      <c r="AC143" s="352"/>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2"/>
      <c r="BB143" s="352"/>
      <c r="BC143" s="352"/>
      <c r="BD143" s="352"/>
      <c r="BE143" s="352"/>
      <c r="BF143" s="352"/>
      <c r="BG143" s="352"/>
      <c r="BH143" s="352"/>
      <c r="BI143" s="352"/>
      <c r="BJ143" s="352"/>
      <c r="BK143" s="352"/>
      <c r="BL143" s="352"/>
      <c r="BM143" s="352"/>
      <c r="BN143" s="352"/>
      <c r="BO143" s="352"/>
      <c r="BP143" s="352"/>
      <c r="BQ143" s="352"/>
      <c r="BR143" s="352"/>
      <c r="BS143" s="352"/>
      <c r="BT143" s="352"/>
      <c r="BU143" s="352"/>
      <c r="BV143" s="352"/>
      <c r="BW143" s="352"/>
      <c r="BX143" s="352"/>
      <c r="BY143" s="352"/>
      <c r="BZ143" s="352"/>
      <c r="CA143" s="352"/>
      <c r="CB143" s="352"/>
      <c r="CC143" s="352"/>
      <c r="CD143" s="352"/>
      <c r="CE143" s="352"/>
      <c r="CF143" s="352"/>
      <c r="CG143" s="352"/>
      <c r="CH143" s="352"/>
      <c r="CI143" s="352"/>
      <c r="CJ143" s="352"/>
      <c r="CK143" s="352"/>
      <c r="CL143" s="352"/>
      <c r="CM143" s="352"/>
      <c r="CN143" s="352"/>
      <c r="CO143" s="352"/>
      <c r="CP143" s="352"/>
      <c r="CQ143" s="352"/>
      <c r="CR143" s="352"/>
      <c r="CS143" s="352"/>
      <c r="CT143" s="352"/>
      <c r="CU143" s="352"/>
      <c r="CV143" s="352"/>
      <c r="CW143" s="352"/>
      <c r="CX143" s="352"/>
      <c r="CY143" s="352"/>
      <c r="CZ143" s="352"/>
      <c r="DA143" s="352"/>
      <c r="DB143" s="352"/>
      <c r="DC143" s="352"/>
      <c r="DD143" s="352"/>
      <c r="DE143" s="352"/>
      <c r="DF143" s="352"/>
      <c r="DG143" s="352"/>
      <c r="DH143" s="352"/>
      <c r="DI143" s="352"/>
      <c r="DJ143" s="352"/>
      <c r="DK143" s="352"/>
      <c r="DL143" s="352"/>
      <c r="DM143" s="352"/>
      <c r="DN143" s="352"/>
      <c r="DO143" s="352"/>
      <c r="DP143" s="352"/>
      <c r="DQ143" s="352"/>
      <c r="DR143" s="352"/>
      <c r="DS143" s="352"/>
      <c r="DT143" s="352"/>
      <c r="DU143" s="352"/>
      <c r="DV143" s="352"/>
      <c r="DW143" s="352"/>
      <c r="DX143" s="352"/>
      <c r="DY143" s="352"/>
      <c r="DZ143" s="352"/>
      <c r="EA143" s="352"/>
      <c r="EB143" s="352"/>
      <c r="EC143" s="352"/>
      <c r="ED143" s="352"/>
      <c r="EE143" s="352"/>
      <c r="EF143" s="352"/>
      <c r="EG143" s="352"/>
      <c r="EH143" s="352"/>
      <c r="EI143" s="352"/>
      <c r="EJ143" s="352"/>
      <c r="EK143" s="352"/>
      <c r="EL143" s="352"/>
      <c r="EM143" s="352"/>
      <c r="EN143" s="352"/>
    </row>
    <row r="144" spans="1:144" s="188" customFormat="1" ht="20.100000000000001" customHeight="1">
      <c r="A144" s="179" t="s">
        <v>46</v>
      </c>
      <c r="B144" s="179" t="s">
        <v>735</v>
      </c>
      <c r="C144" s="180">
        <f>'Thomson Reuters IMA  ($)'!I395+'Thomson Reuters IMA  ($)'!I397+'Thomson Reuters IMA  ($)'!I398</f>
        <v>1595</v>
      </c>
      <c r="D144" s="181">
        <f>'Sectors % GDP'!G13</f>
        <v>78607.213999999993</v>
      </c>
      <c r="E144" s="181">
        <f t="shared" si="4"/>
        <v>2.0290758555569725E-2</v>
      </c>
      <c r="F144" s="182">
        <v>1</v>
      </c>
      <c r="G144" s="181">
        <v>6</v>
      </c>
      <c r="H144" s="183">
        <v>80.14</v>
      </c>
      <c r="I144" s="183">
        <v>74.81</v>
      </c>
      <c r="J144" s="183">
        <v>70.84</v>
      </c>
      <c r="K144" s="184">
        <v>82.25</v>
      </c>
      <c r="L144" s="184">
        <f t="shared" si="5"/>
        <v>2.2999999999999998</v>
      </c>
      <c r="M144" s="185">
        <v>2.3E-2</v>
      </c>
      <c r="N144" s="185">
        <v>5.75</v>
      </c>
      <c r="O144" s="186">
        <f>'Trade Data'!F11</f>
        <v>0.59940791688720507</v>
      </c>
      <c r="P144" s="189">
        <v>1</v>
      </c>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c r="BB144" s="352"/>
      <c r="BC144" s="352"/>
      <c r="BD144" s="352"/>
      <c r="BE144" s="352"/>
      <c r="BF144" s="352"/>
      <c r="BG144" s="352"/>
      <c r="BH144" s="352"/>
      <c r="BI144" s="352"/>
      <c r="BJ144" s="352"/>
      <c r="BK144" s="352"/>
      <c r="BL144" s="352"/>
      <c r="BM144" s="352"/>
      <c r="BN144" s="352"/>
      <c r="BO144" s="352"/>
      <c r="BP144" s="352"/>
      <c r="BQ144" s="352"/>
      <c r="BR144" s="352"/>
      <c r="BS144" s="352"/>
      <c r="BT144" s="352"/>
      <c r="BU144" s="352"/>
      <c r="BV144" s="352"/>
      <c r="BW144" s="352"/>
      <c r="BX144" s="352"/>
      <c r="BY144" s="352"/>
      <c r="BZ144" s="352"/>
      <c r="CA144" s="352"/>
      <c r="CB144" s="352"/>
      <c r="CC144" s="352"/>
      <c r="CD144" s="352"/>
      <c r="CE144" s="352"/>
      <c r="CF144" s="352"/>
      <c r="CG144" s="352"/>
      <c r="CH144" s="352"/>
      <c r="CI144" s="352"/>
      <c r="CJ144" s="352"/>
      <c r="CK144" s="352"/>
      <c r="CL144" s="352"/>
      <c r="CM144" s="352"/>
      <c r="CN144" s="352"/>
      <c r="CO144" s="352"/>
      <c r="CP144" s="352"/>
      <c r="CQ144" s="352"/>
      <c r="CR144" s="352"/>
      <c r="CS144" s="352"/>
      <c r="CT144" s="352"/>
      <c r="CU144" s="352"/>
      <c r="CV144" s="352"/>
      <c r="CW144" s="352"/>
      <c r="CX144" s="352"/>
      <c r="CY144" s="352"/>
      <c r="CZ144" s="352"/>
      <c r="DA144" s="352"/>
      <c r="DB144" s="352"/>
      <c r="DC144" s="352"/>
      <c r="DD144" s="352"/>
      <c r="DE144" s="352"/>
      <c r="DF144" s="352"/>
      <c r="DG144" s="352"/>
      <c r="DH144" s="352"/>
      <c r="DI144" s="352"/>
      <c r="DJ144" s="352"/>
      <c r="DK144" s="352"/>
      <c r="DL144" s="352"/>
      <c r="DM144" s="352"/>
      <c r="DN144" s="352"/>
      <c r="DO144" s="352"/>
      <c r="DP144" s="352"/>
      <c r="DQ144" s="352"/>
      <c r="DR144" s="352"/>
      <c r="DS144" s="352"/>
      <c r="DT144" s="352"/>
      <c r="DU144" s="352"/>
      <c r="DV144" s="352"/>
      <c r="DW144" s="352"/>
      <c r="DX144" s="352"/>
      <c r="DY144" s="352"/>
      <c r="DZ144" s="352"/>
      <c r="EA144" s="352"/>
      <c r="EB144" s="352"/>
      <c r="EC144" s="352"/>
      <c r="ED144" s="352"/>
      <c r="EE144" s="352"/>
      <c r="EF144" s="352"/>
      <c r="EG144" s="352"/>
      <c r="EH144" s="352"/>
      <c r="EI144" s="352"/>
      <c r="EJ144" s="352"/>
      <c r="EK144" s="352"/>
      <c r="EL144" s="352"/>
      <c r="EM144" s="352"/>
      <c r="EN144" s="352"/>
    </row>
    <row r="145" spans="1:144" ht="20.100000000000001" customHeight="1">
      <c r="A145" s="118" t="s">
        <v>46</v>
      </c>
      <c r="B145" s="118" t="s">
        <v>734</v>
      </c>
      <c r="C145" s="119">
        <f>'Thomson Reuters IMA  ($)'!I394+'Thomson Reuters IMA  ($)'!I396</f>
        <v>197.55500000000001</v>
      </c>
      <c r="D145" s="120">
        <f>'Sectors % GDP'!G14</f>
        <v>153455.05800000002</v>
      </c>
      <c r="E145" s="120">
        <f t="shared" si="4"/>
        <v>1.2873801787621753E-3</v>
      </c>
      <c r="F145" s="121">
        <v>1</v>
      </c>
      <c r="G145" s="120">
        <v>4</v>
      </c>
      <c r="H145" s="122">
        <v>80.14</v>
      </c>
      <c r="I145" s="122">
        <v>74.81</v>
      </c>
      <c r="J145" s="122">
        <v>70.84</v>
      </c>
      <c r="K145" s="123">
        <v>82.25</v>
      </c>
      <c r="L145" s="123">
        <f t="shared" si="5"/>
        <v>2.2999999999999998</v>
      </c>
      <c r="M145" s="124">
        <v>2.3E-2</v>
      </c>
      <c r="N145" s="124">
        <v>5.75</v>
      </c>
      <c r="O145" s="125">
        <f>'Trade Data'!F11</f>
        <v>0.59940791688720507</v>
      </c>
      <c r="P145" s="127">
        <v>1</v>
      </c>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M145" s="352"/>
      <c r="AN145" s="352"/>
      <c r="AO145" s="352"/>
      <c r="AP145" s="352"/>
      <c r="AQ145" s="352"/>
      <c r="AR145" s="352"/>
      <c r="AS145" s="352"/>
      <c r="AT145" s="352"/>
      <c r="AU145" s="352"/>
      <c r="AV145" s="352"/>
      <c r="AW145" s="352"/>
      <c r="AX145" s="352"/>
      <c r="AY145" s="352"/>
      <c r="AZ145" s="352"/>
      <c r="BA145" s="352"/>
      <c r="BB145" s="352"/>
      <c r="BC145" s="352"/>
      <c r="BD145" s="352"/>
      <c r="BE145" s="352"/>
      <c r="BF145" s="352"/>
      <c r="BG145" s="352"/>
      <c r="BH145" s="352"/>
      <c r="BI145" s="352"/>
      <c r="BJ145" s="352"/>
      <c r="BK145" s="352"/>
      <c r="BL145" s="352"/>
      <c r="BM145" s="352"/>
      <c r="BN145" s="352"/>
      <c r="BO145" s="352"/>
      <c r="BP145" s="352"/>
      <c r="BQ145" s="352"/>
      <c r="BR145" s="352"/>
      <c r="BS145" s="352"/>
      <c r="BT145" s="352"/>
      <c r="BU145" s="352"/>
      <c r="BV145" s="352"/>
      <c r="BW145" s="352"/>
      <c r="BX145" s="352"/>
      <c r="BY145" s="352"/>
      <c r="BZ145" s="352"/>
      <c r="CA145" s="352"/>
      <c r="CB145" s="352"/>
      <c r="CC145" s="352"/>
      <c r="CD145" s="352"/>
      <c r="CE145" s="352"/>
      <c r="CF145" s="352"/>
      <c r="CG145" s="352"/>
      <c r="CH145" s="352"/>
      <c r="CI145" s="352"/>
      <c r="CJ145" s="352"/>
      <c r="CK145" s="352"/>
      <c r="CL145" s="352"/>
      <c r="CM145" s="352"/>
      <c r="CN145" s="352"/>
      <c r="CO145" s="352"/>
      <c r="CP145" s="352"/>
      <c r="CQ145" s="352"/>
      <c r="CR145" s="352"/>
      <c r="CS145" s="352"/>
      <c r="CT145" s="352"/>
      <c r="CU145" s="352"/>
      <c r="CV145" s="352"/>
      <c r="CW145" s="352"/>
      <c r="CX145" s="352"/>
      <c r="CY145" s="352"/>
      <c r="CZ145" s="352"/>
      <c r="DA145" s="352"/>
      <c r="DB145" s="352"/>
      <c r="DC145" s="352"/>
      <c r="DD145" s="352"/>
      <c r="DE145" s="352"/>
      <c r="DF145" s="352"/>
      <c r="DG145" s="352"/>
      <c r="DH145" s="352"/>
      <c r="DI145" s="352"/>
      <c r="DJ145" s="352"/>
      <c r="DK145" s="352"/>
      <c r="DL145" s="352"/>
      <c r="DM145" s="352"/>
      <c r="DN145" s="352"/>
      <c r="DO145" s="352"/>
      <c r="DP145" s="352"/>
      <c r="DQ145" s="352"/>
      <c r="DR145" s="352"/>
      <c r="DS145" s="352"/>
      <c r="DT145" s="352"/>
      <c r="DU145" s="352"/>
      <c r="DV145" s="352"/>
      <c r="DW145" s="352"/>
      <c r="DX145" s="352"/>
      <c r="DY145" s="352"/>
      <c r="DZ145" s="352"/>
      <c r="EA145" s="352"/>
      <c r="EB145" s="352"/>
      <c r="EC145" s="352"/>
      <c r="ED145" s="352"/>
      <c r="EE145" s="352"/>
      <c r="EF145" s="352"/>
      <c r="EG145" s="352"/>
      <c r="EH145" s="352"/>
      <c r="EI145" s="352"/>
      <c r="EJ145" s="352"/>
      <c r="EK145" s="352"/>
      <c r="EL145" s="352"/>
      <c r="EM145" s="352"/>
      <c r="EN145" s="352"/>
    </row>
    <row r="146" spans="1:144" s="169" customFormat="1" ht="20.100000000000001" customHeight="1">
      <c r="A146" s="160" t="s">
        <v>47</v>
      </c>
      <c r="B146" s="160" t="s">
        <v>733</v>
      </c>
      <c r="C146" s="161">
        <v>0</v>
      </c>
      <c r="D146" s="162">
        <f>'Sectors % GDP'!G12</f>
        <v>10453.474</v>
      </c>
      <c r="E146" s="162">
        <f t="shared" si="4"/>
        <v>0</v>
      </c>
      <c r="F146" s="163">
        <v>0</v>
      </c>
      <c r="G146" s="162">
        <v>0</v>
      </c>
      <c r="H146" s="164">
        <v>76.36</v>
      </c>
      <c r="I146" s="164">
        <v>64.930000000000007</v>
      </c>
      <c r="J146" s="164">
        <v>70.14</v>
      </c>
      <c r="K146" s="165">
        <v>82.25</v>
      </c>
      <c r="L146" s="165">
        <f t="shared" si="5"/>
        <v>2.2999999999999998</v>
      </c>
      <c r="M146" s="166">
        <v>2.3E-2</v>
      </c>
      <c r="N146" s="166">
        <v>5.75</v>
      </c>
      <c r="O146" s="167">
        <f>'Trade Data'!F11</f>
        <v>0.59940791688720507</v>
      </c>
      <c r="P146" s="168">
        <v>0</v>
      </c>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c r="BB146" s="352"/>
      <c r="BC146" s="352"/>
      <c r="BD146" s="352"/>
      <c r="BE146" s="352"/>
      <c r="BF146" s="352"/>
      <c r="BG146" s="352"/>
      <c r="BH146" s="352"/>
      <c r="BI146" s="352"/>
      <c r="BJ146" s="352"/>
      <c r="BK146" s="352"/>
      <c r="BL146" s="352"/>
      <c r="BM146" s="352"/>
      <c r="BN146" s="352"/>
      <c r="BO146" s="352"/>
      <c r="BP146" s="352"/>
      <c r="BQ146" s="352"/>
      <c r="BR146" s="352"/>
      <c r="BS146" s="352"/>
      <c r="BT146" s="352"/>
      <c r="BU146" s="352"/>
      <c r="BV146" s="352"/>
      <c r="BW146" s="352"/>
      <c r="BX146" s="352"/>
      <c r="BY146" s="352"/>
      <c r="BZ146" s="352"/>
      <c r="CA146" s="352"/>
      <c r="CB146" s="352"/>
      <c r="CC146" s="352"/>
      <c r="CD146" s="352"/>
      <c r="CE146" s="352"/>
      <c r="CF146" s="352"/>
      <c r="CG146" s="352"/>
      <c r="CH146" s="352"/>
      <c r="CI146" s="352"/>
      <c r="CJ146" s="352"/>
      <c r="CK146" s="352"/>
      <c r="CL146" s="352"/>
      <c r="CM146" s="352"/>
      <c r="CN146" s="352"/>
      <c r="CO146" s="352"/>
      <c r="CP146" s="352"/>
      <c r="CQ146" s="352"/>
      <c r="CR146" s="352"/>
      <c r="CS146" s="352"/>
      <c r="CT146" s="352"/>
      <c r="CU146" s="352"/>
      <c r="CV146" s="352"/>
      <c r="CW146" s="352"/>
      <c r="CX146" s="352"/>
      <c r="CY146" s="352"/>
      <c r="CZ146" s="352"/>
      <c r="DA146" s="352"/>
      <c r="DB146" s="352"/>
      <c r="DC146" s="352"/>
      <c r="DD146" s="352"/>
      <c r="DE146" s="352"/>
      <c r="DF146" s="352"/>
      <c r="DG146" s="352"/>
      <c r="DH146" s="352"/>
      <c r="DI146" s="352"/>
      <c r="DJ146" s="352"/>
      <c r="DK146" s="352"/>
      <c r="DL146" s="352"/>
      <c r="DM146" s="352"/>
      <c r="DN146" s="352"/>
      <c r="DO146" s="352"/>
      <c r="DP146" s="352"/>
      <c r="DQ146" s="352"/>
      <c r="DR146" s="352"/>
      <c r="DS146" s="352"/>
      <c r="DT146" s="352"/>
      <c r="DU146" s="352"/>
      <c r="DV146" s="352"/>
      <c r="DW146" s="352"/>
      <c r="DX146" s="352"/>
      <c r="DY146" s="352"/>
      <c r="DZ146" s="352"/>
      <c r="EA146" s="352"/>
      <c r="EB146" s="352"/>
      <c r="EC146" s="352"/>
      <c r="ED146" s="352"/>
      <c r="EE146" s="352"/>
      <c r="EF146" s="352"/>
      <c r="EG146" s="352"/>
      <c r="EH146" s="352"/>
      <c r="EI146" s="352"/>
      <c r="EJ146" s="352"/>
      <c r="EK146" s="352"/>
      <c r="EL146" s="352"/>
      <c r="EM146" s="352"/>
      <c r="EN146" s="352"/>
    </row>
    <row r="147" spans="1:144" s="188" customFormat="1" ht="20.100000000000001" customHeight="1">
      <c r="A147" s="179" t="s">
        <v>47</v>
      </c>
      <c r="B147" s="179" t="s">
        <v>732</v>
      </c>
      <c r="C147" s="180">
        <f>'Thomson Reuters IMA  ($)'!I399+'Thomson Reuters IMA  ($)'!I400</f>
        <v>1.67</v>
      </c>
      <c r="D147" s="181">
        <f>'Sectors % GDP'!G13</f>
        <v>78607.213999999993</v>
      </c>
      <c r="E147" s="181">
        <f t="shared" si="4"/>
        <v>2.1244869459436636E-5</v>
      </c>
      <c r="F147" s="182">
        <v>1</v>
      </c>
      <c r="G147" s="181">
        <v>5</v>
      </c>
      <c r="H147" s="183">
        <v>76.36</v>
      </c>
      <c r="I147" s="183">
        <v>64.930000000000007</v>
      </c>
      <c r="J147" s="183">
        <v>70.14</v>
      </c>
      <c r="K147" s="184">
        <v>82.25</v>
      </c>
      <c r="L147" s="184">
        <f t="shared" si="5"/>
        <v>2.2999999999999998</v>
      </c>
      <c r="M147" s="185">
        <v>2.3E-2</v>
      </c>
      <c r="N147" s="185">
        <v>5.75</v>
      </c>
      <c r="O147" s="186">
        <f>'Trade Data'!F11</f>
        <v>0.59940791688720507</v>
      </c>
      <c r="P147" s="187">
        <v>1</v>
      </c>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2"/>
      <c r="AL147" s="352"/>
      <c r="AM147" s="352"/>
      <c r="AN147" s="352"/>
      <c r="AO147" s="352"/>
      <c r="AP147" s="352"/>
      <c r="AQ147" s="352"/>
      <c r="AR147" s="352"/>
      <c r="AS147" s="352"/>
      <c r="AT147" s="352"/>
      <c r="AU147" s="352"/>
      <c r="AV147" s="352"/>
      <c r="AW147" s="352"/>
      <c r="AX147" s="352"/>
      <c r="AY147" s="352"/>
      <c r="AZ147" s="352"/>
      <c r="BA147" s="352"/>
      <c r="BB147" s="352"/>
      <c r="BC147" s="352"/>
      <c r="BD147" s="352"/>
      <c r="BE147" s="352"/>
      <c r="BF147" s="352"/>
      <c r="BG147" s="352"/>
      <c r="BH147" s="352"/>
      <c r="BI147" s="352"/>
      <c r="BJ147" s="352"/>
      <c r="BK147" s="352"/>
      <c r="BL147" s="352"/>
      <c r="BM147" s="352"/>
      <c r="BN147" s="352"/>
      <c r="BO147" s="352"/>
      <c r="BP147" s="352"/>
      <c r="BQ147" s="352"/>
      <c r="BR147" s="352"/>
      <c r="BS147" s="352"/>
      <c r="BT147" s="352"/>
      <c r="BU147" s="352"/>
      <c r="BV147" s="352"/>
      <c r="BW147" s="352"/>
      <c r="BX147" s="352"/>
      <c r="BY147" s="352"/>
      <c r="BZ147" s="352"/>
      <c r="CA147" s="352"/>
      <c r="CB147" s="352"/>
      <c r="CC147" s="352"/>
      <c r="CD147" s="352"/>
      <c r="CE147" s="352"/>
      <c r="CF147" s="352"/>
      <c r="CG147" s="352"/>
      <c r="CH147" s="352"/>
      <c r="CI147" s="352"/>
      <c r="CJ147" s="352"/>
      <c r="CK147" s="352"/>
      <c r="CL147" s="352"/>
      <c r="CM147" s="352"/>
      <c r="CN147" s="352"/>
      <c r="CO147" s="352"/>
      <c r="CP147" s="352"/>
      <c r="CQ147" s="352"/>
      <c r="CR147" s="352"/>
      <c r="CS147" s="352"/>
      <c r="CT147" s="352"/>
      <c r="CU147" s="352"/>
      <c r="CV147" s="352"/>
      <c r="CW147" s="352"/>
      <c r="CX147" s="352"/>
      <c r="CY147" s="352"/>
      <c r="CZ147" s="352"/>
      <c r="DA147" s="352"/>
      <c r="DB147" s="352"/>
      <c r="DC147" s="352"/>
      <c r="DD147" s="352"/>
      <c r="DE147" s="352"/>
      <c r="DF147" s="352"/>
      <c r="DG147" s="352"/>
      <c r="DH147" s="352"/>
      <c r="DI147" s="352"/>
      <c r="DJ147" s="352"/>
      <c r="DK147" s="352"/>
      <c r="DL147" s="352"/>
      <c r="DM147" s="352"/>
      <c r="DN147" s="352"/>
      <c r="DO147" s="352"/>
      <c r="DP147" s="352"/>
      <c r="DQ147" s="352"/>
      <c r="DR147" s="352"/>
      <c r="DS147" s="352"/>
      <c r="DT147" s="352"/>
      <c r="DU147" s="352"/>
      <c r="DV147" s="352"/>
      <c r="DW147" s="352"/>
      <c r="DX147" s="352"/>
      <c r="DY147" s="352"/>
      <c r="DZ147" s="352"/>
      <c r="EA147" s="352"/>
      <c r="EB147" s="352"/>
      <c r="EC147" s="352"/>
      <c r="ED147" s="352"/>
      <c r="EE147" s="352"/>
      <c r="EF147" s="352"/>
      <c r="EG147" s="352"/>
      <c r="EH147" s="352"/>
      <c r="EI147" s="352"/>
      <c r="EJ147" s="352"/>
      <c r="EK147" s="352"/>
      <c r="EL147" s="352"/>
      <c r="EM147" s="352"/>
      <c r="EN147" s="352"/>
    </row>
    <row r="148" spans="1:144" ht="20.100000000000001" customHeight="1">
      <c r="A148" s="118" t="s">
        <v>47</v>
      </c>
      <c r="B148" s="118" t="s">
        <v>731</v>
      </c>
      <c r="C148" s="119">
        <f>'Thomson Reuters IMA  ($)'!I401</f>
        <v>224.32</v>
      </c>
      <c r="D148" s="120">
        <f>'Sectors % GDP'!G14</f>
        <v>153455.05800000002</v>
      </c>
      <c r="E148" s="120">
        <f t="shared" si="4"/>
        <v>1.4617960653991605E-3</v>
      </c>
      <c r="F148" s="121">
        <v>1</v>
      </c>
      <c r="G148" s="120">
        <v>5</v>
      </c>
      <c r="H148" s="122">
        <v>76.36</v>
      </c>
      <c r="I148" s="122">
        <v>64.930000000000007</v>
      </c>
      <c r="J148" s="122">
        <v>70.14</v>
      </c>
      <c r="K148" s="123">
        <v>82.25</v>
      </c>
      <c r="L148" s="123">
        <f t="shared" si="5"/>
        <v>2.2999999999999998</v>
      </c>
      <c r="M148" s="124">
        <v>2.3E-2</v>
      </c>
      <c r="N148" s="124">
        <v>5.75</v>
      </c>
      <c r="O148" s="125">
        <f>'Trade Data'!F11</f>
        <v>0.59940791688720507</v>
      </c>
      <c r="P148" s="126">
        <v>1</v>
      </c>
      <c r="Q148" s="352"/>
      <c r="R148" s="352"/>
      <c r="S148" s="352"/>
      <c r="T148" s="352"/>
      <c r="U148" s="352"/>
      <c r="V148" s="352"/>
      <c r="W148" s="352"/>
      <c r="X148" s="352"/>
      <c r="Y148" s="352"/>
      <c r="Z148" s="352"/>
      <c r="AA148" s="352"/>
      <c r="AB148" s="352"/>
      <c r="AC148" s="352"/>
      <c r="AD148" s="352"/>
      <c r="AE148" s="352"/>
      <c r="AF148" s="352"/>
      <c r="AG148" s="352"/>
      <c r="AH148" s="352"/>
      <c r="AI148" s="352"/>
      <c r="AJ148" s="352"/>
      <c r="AK148" s="352"/>
      <c r="AL148" s="352"/>
      <c r="AM148" s="352"/>
      <c r="AN148" s="352"/>
      <c r="AO148" s="352"/>
      <c r="AP148" s="352"/>
      <c r="AQ148" s="352"/>
      <c r="AR148" s="352"/>
      <c r="AS148" s="352"/>
      <c r="AT148" s="352"/>
      <c r="AU148" s="352"/>
      <c r="AV148" s="352"/>
      <c r="AW148" s="352"/>
      <c r="AX148" s="352"/>
      <c r="AY148" s="352"/>
      <c r="AZ148" s="352"/>
      <c r="BA148" s="352"/>
      <c r="BB148" s="352"/>
      <c r="BC148" s="352"/>
      <c r="BD148" s="352"/>
      <c r="BE148" s="352"/>
      <c r="BF148" s="352"/>
      <c r="BG148" s="352"/>
      <c r="BH148" s="352"/>
      <c r="BI148" s="352"/>
      <c r="BJ148" s="352"/>
      <c r="BK148" s="352"/>
      <c r="BL148" s="352"/>
      <c r="BM148" s="352"/>
      <c r="BN148" s="352"/>
      <c r="BO148" s="352"/>
      <c r="BP148" s="352"/>
      <c r="BQ148" s="352"/>
      <c r="BR148" s="352"/>
      <c r="BS148" s="352"/>
      <c r="BT148" s="352"/>
      <c r="BU148" s="352"/>
      <c r="BV148" s="352"/>
      <c r="BW148" s="352"/>
      <c r="BX148" s="352"/>
      <c r="BY148" s="352"/>
      <c r="BZ148" s="352"/>
      <c r="CA148" s="352"/>
      <c r="CB148" s="352"/>
      <c r="CC148" s="352"/>
      <c r="CD148" s="352"/>
      <c r="CE148" s="352"/>
      <c r="CF148" s="352"/>
      <c r="CG148" s="352"/>
      <c r="CH148" s="352"/>
      <c r="CI148" s="352"/>
      <c r="CJ148" s="352"/>
      <c r="CK148" s="352"/>
      <c r="CL148" s="352"/>
      <c r="CM148" s="352"/>
      <c r="CN148" s="352"/>
      <c r="CO148" s="352"/>
      <c r="CP148" s="352"/>
      <c r="CQ148" s="352"/>
      <c r="CR148" s="352"/>
      <c r="CS148" s="352"/>
      <c r="CT148" s="352"/>
      <c r="CU148" s="352"/>
      <c r="CV148" s="352"/>
      <c r="CW148" s="352"/>
      <c r="CX148" s="352"/>
      <c r="CY148" s="352"/>
      <c r="CZ148" s="352"/>
      <c r="DA148" s="352"/>
      <c r="DB148" s="352"/>
      <c r="DC148" s="352"/>
      <c r="DD148" s="352"/>
      <c r="DE148" s="352"/>
      <c r="DF148" s="352"/>
      <c r="DG148" s="352"/>
      <c r="DH148" s="352"/>
      <c r="DI148" s="352"/>
      <c r="DJ148" s="352"/>
      <c r="DK148" s="352"/>
      <c r="DL148" s="352"/>
      <c r="DM148" s="352"/>
      <c r="DN148" s="352"/>
      <c r="DO148" s="352"/>
      <c r="DP148" s="352"/>
      <c r="DQ148" s="352"/>
      <c r="DR148" s="352"/>
      <c r="DS148" s="352"/>
      <c r="DT148" s="352"/>
      <c r="DU148" s="352"/>
      <c r="DV148" s="352"/>
      <c r="DW148" s="352"/>
      <c r="DX148" s="352"/>
      <c r="DY148" s="352"/>
      <c r="DZ148" s="352"/>
      <c r="EA148" s="352"/>
      <c r="EB148" s="352"/>
      <c r="EC148" s="352"/>
      <c r="ED148" s="352"/>
      <c r="EE148" s="352"/>
      <c r="EF148" s="352"/>
      <c r="EG148" s="352"/>
      <c r="EH148" s="352"/>
      <c r="EI148" s="352"/>
      <c r="EJ148" s="352"/>
      <c r="EK148" s="352"/>
      <c r="EL148" s="352"/>
      <c r="EM148" s="352"/>
      <c r="EN148" s="352"/>
    </row>
    <row r="149" spans="1:144" s="169" customFormat="1" ht="20.100000000000001" customHeight="1">
      <c r="A149" s="160" t="s">
        <v>48</v>
      </c>
      <c r="B149" s="160" t="s">
        <v>730</v>
      </c>
      <c r="C149" s="161">
        <v>0</v>
      </c>
      <c r="D149" s="162">
        <f>'Sectors % GDP'!I12</f>
        <v>10622.289999999999</v>
      </c>
      <c r="E149" s="162">
        <f t="shared" si="4"/>
        <v>0</v>
      </c>
      <c r="F149" s="163">
        <v>0</v>
      </c>
      <c r="G149" s="162">
        <v>0</v>
      </c>
      <c r="H149" s="164">
        <v>77.31</v>
      </c>
      <c r="I149" s="163">
        <v>58.98</v>
      </c>
      <c r="J149" s="164">
        <v>83.17</v>
      </c>
      <c r="K149" s="165">
        <v>78.150000000000006</v>
      </c>
      <c r="L149" s="165">
        <f t="shared" si="5"/>
        <v>2.2999999999999998</v>
      </c>
      <c r="M149" s="166">
        <v>2.3E-2</v>
      </c>
      <c r="N149" s="166">
        <v>5.75</v>
      </c>
      <c r="O149" s="167">
        <f>'Trade Data'!F11</f>
        <v>0.59940791688720507</v>
      </c>
      <c r="P149" s="170">
        <v>0</v>
      </c>
      <c r="Q149" s="352"/>
      <c r="R149" s="352"/>
      <c r="S149" s="352"/>
      <c r="T149" s="352"/>
      <c r="U149" s="352"/>
      <c r="V149" s="352"/>
      <c r="W149" s="352"/>
      <c r="X149" s="352"/>
      <c r="Y149" s="352"/>
      <c r="Z149" s="352"/>
      <c r="AA149" s="352"/>
      <c r="AB149" s="352"/>
      <c r="AC149" s="352"/>
      <c r="AD149" s="352"/>
      <c r="AE149" s="352"/>
      <c r="AF149" s="352"/>
      <c r="AG149" s="352"/>
      <c r="AH149" s="352"/>
      <c r="AI149" s="352"/>
      <c r="AJ149" s="352"/>
      <c r="AK149" s="352"/>
      <c r="AL149" s="352"/>
      <c r="AM149" s="352"/>
      <c r="AN149" s="352"/>
      <c r="AO149" s="352"/>
      <c r="AP149" s="352"/>
      <c r="AQ149" s="352"/>
      <c r="AR149" s="352"/>
      <c r="AS149" s="352"/>
      <c r="AT149" s="352"/>
      <c r="AU149" s="352"/>
      <c r="AV149" s="352"/>
      <c r="AW149" s="352"/>
      <c r="AX149" s="352"/>
      <c r="AY149" s="352"/>
      <c r="AZ149" s="352"/>
      <c r="BA149" s="352"/>
      <c r="BB149" s="352"/>
      <c r="BC149" s="352"/>
      <c r="BD149" s="352"/>
      <c r="BE149" s="352"/>
      <c r="BF149" s="352"/>
      <c r="BG149" s="352"/>
      <c r="BH149" s="352"/>
      <c r="BI149" s="352"/>
      <c r="BJ149" s="352"/>
      <c r="BK149" s="352"/>
      <c r="BL149" s="352"/>
      <c r="BM149" s="352"/>
      <c r="BN149" s="352"/>
      <c r="BO149" s="352"/>
      <c r="BP149" s="352"/>
      <c r="BQ149" s="352"/>
      <c r="BR149" s="352"/>
      <c r="BS149" s="352"/>
      <c r="BT149" s="352"/>
      <c r="BU149" s="352"/>
      <c r="BV149" s="352"/>
      <c r="BW149" s="352"/>
      <c r="BX149" s="352"/>
      <c r="BY149" s="352"/>
      <c r="BZ149" s="352"/>
      <c r="CA149" s="352"/>
      <c r="CB149" s="352"/>
      <c r="CC149" s="352"/>
      <c r="CD149" s="352"/>
      <c r="CE149" s="352"/>
      <c r="CF149" s="352"/>
      <c r="CG149" s="352"/>
      <c r="CH149" s="352"/>
      <c r="CI149" s="352"/>
      <c r="CJ149" s="352"/>
      <c r="CK149" s="352"/>
      <c r="CL149" s="352"/>
      <c r="CM149" s="352"/>
      <c r="CN149" s="352"/>
      <c r="CO149" s="352"/>
      <c r="CP149" s="352"/>
      <c r="CQ149" s="352"/>
      <c r="CR149" s="352"/>
      <c r="CS149" s="352"/>
      <c r="CT149" s="352"/>
      <c r="CU149" s="352"/>
      <c r="CV149" s="352"/>
      <c r="CW149" s="352"/>
      <c r="CX149" s="352"/>
      <c r="CY149" s="352"/>
      <c r="CZ149" s="352"/>
      <c r="DA149" s="352"/>
      <c r="DB149" s="352"/>
      <c r="DC149" s="352"/>
      <c r="DD149" s="352"/>
      <c r="DE149" s="352"/>
      <c r="DF149" s="352"/>
      <c r="DG149" s="352"/>
      <c r="DH149" s="352"/>
      <c r="DI149" s="352"/>
      <c r="DJ149" s="352"/>
      <c r="DK149" s="352"/>
      <c r="DL149" s="352"/>
      <c r="DM149" s="352"/>
      <c r="DN149" s="352"/>
      <c r="DO149" s="352"/>
      <c r="DP149" s="352"/>
      <c r="DQ149" s="352"/>
      <c r="DR149" s="352"/>
      <c r="DS149" s="352"/>
      <c r="DT149" s="352"/>
      <c r="DU149" s="352"/>
      <c r="DV149" s="352"/>
      <c r="DW149" s="352"/>
      <c r="DX149" s="352"/>
      <c r="DY149" s="352"/>
      <c r="DZ149" s="352"/>
      <c r="EA149" s="352"/>
      <c r="EB149" s="352"/>
      <c r="EC149" s="352"/>
      <c r="ED149" s="352"/>
      <c r="EE149" s="352"/>
      <c r="EF149" s="352"/>
      <c r="EG149" s="352"/>
      <c r="EH149" s="352"/>
      <c r="EI149" s="352"/>
      <c r="EJ149" s="352"/>
      <c r="EK149" s="352"/>
      <c r="EL149" s="352"/>
      <c r="EM149" s="352"/>
      <c r="EN149" s="352"/>
    </row>
    <row r="150" spans="1:144" s="188" customFormat="1" ht="20.100000000000001" customHeight="1">
      <c r="A150" s="179" t="s">
        <v>48</v>
      </c>
      <c r="B150" s="179" t="s">
        <v>729</v>
      </c>
      <c r="C150" s="180">
        <f>'Thomson Reuters IMA  ($)'!I402</f>
        <v>3</v>
      </c>
      <c r="D150" s="181">
        <f>'Sectors % GDP'!I13</f>
        <v>77295.687000000005</v>
      </c>
      <c r="E150" s="181">
        <f t="shared" si="4"/>
        <v>3.8811997362802398E-5</v>
      </c>
      <c r="F150" s="182">
        <v>1</v>
      </c>
      <c r="G150" s="181">
        <v>4</v>
      </c>
      <c r="H150" s="183">
        <v>77.31</v>
      </c>
      <c r="I150" s="182">
        <v>58.98</v>
      </c>
      <c r="J150" s="183">
        <v>83.17</v>
      </c>
      <c r="K150" s="184">
        <v>78.150000000000006</v>
      </c>
      <c r="L150" s="184">
        <f t="shared" si="5"/>
        <v>2.2999999999999998</v>
      </c>
      <c r="M150" s="185">
        <v>2.3E-2</v>
      </c>
      <c r="N150" s="185">
        <v>5.75</v>
      </c>
      <c r="O150" s="186">
        <f>'Trade Data'!F11</f>
        <v>0.59940791688720507</v>
      </c>
      <c r="P150" s="189">
        <v>1</v>
      </c>
      <c r="Q150" s="352"/>
      <c r="R150" s="352"/>
      <c r="S150" s="352"/>
      <c r="T150" s="352"/>
      <c r="U150" s="352"/>
      <c r="V150" s="352"/>
      <c r="W150" s="352"/>
      <c r="X150" s="352"/>
      <c r="Y150" s="352"/>
      <c r="Z150" s="352"/>
      <c r="AA150" s="352"/>
      <c r="AB150" s="352"/>
      <c r="AC150" s="352"/>
      <c r="AD150" s="352"/>
      <c r="AE150" s="352"/>
      <c r="AF150" s="352"/>
      <c r="AG150" s="352"/>
      <c r="AH150" s="352"/>
      <c r="AI150" s="352"/>
      <c r="AJ150" s="352"/>
      <c r="AK150" s="352"/>
      <c r="AL150" s="352"/>
      <c r="AM150" s="352"/>
      <c r="AN150" s="352"/>
      <c r="AO150" s="352"/>
      <c r="AP150" s="352"/>
      <c r="AQ150" s="352"/>
      <c r="AR150" s="352"/>
      <c r="AS150" s="352"/>
      <c r="AT150" s="352"/>
      <c r="AU150" s="352"/>
      <c r="AV150" s="352"/>
      <c r="AW150" s="352"/>
      <c r="AX150" s="352"/>
      <c r="AY150" s="352"/>
      <c r="AZ150" s="352"/>
      <c r="BA150" s="352"/>
      <c r="BB150" s="352"/>
      <c r="BC150" s="352"/>
      <c r="BD150" s="352"/>
      <c r="BE150" s="352"/>
      <c r="BF150" s="352"/>
      <c r="BG150" s="352"/>
      <c r="BH150" s="352"/>
      <c r="BI150" s="352"/>
      <c r="BJ150" s="352"/>
      <c r="BK150" s="352"/>
      <c r="BL150" s="352"/>
      <c r="BM150" s="352"/>
      <c r="BN150" s="352"/>
      <c r="BO150" s="352"/>
      <c r="BP150" s="352"/>
      <c r="BQ150" s="352"/>
      <c r="BR150" s="352"/>
      <c r="BS150" s="352"/>
      <c r="BT150" s="352"/>
      <c r="BU150" s="352"/>
      <c r="BV150" s="352"/>
      <c r="BW150" s="352"/>
      <c r="BX150" s="352"/>
      <c r="BY150" s="352"/>
      <c r="BZ150" s="352"/>
      <c r="CA150" s="352"/>
      <c r="CB150" s="352"/>
      <c r="CC150" s="352"/>
      <c r="CD150" s="352"/>
      <c r="CE150" s="352"/>
      <c r="CF150" s="352"/>
      <c r="CG150" s="352"/>
      <c r="CH150" s="352"/>
      <c r="CI150" s="352"/>
      <c r="CJ150" s="352"/>
      <c r="CK150" s="352"/>
      <c r="CL150" s="352"/>
      <c r="CM150" s="352"/>
      <c r="CN150" s="352"/>
      <c r="CO150" s="352"/>
      <c r="CP150" s="352"/>
      <c r="CQ150" s="352"/>
      <c r="CR150" s="352"/>
      <c r="CS150" s="352"/>
      <c r="CT150" s="352"/>
      <c r="CU150" s="352"/>
      <c r="CV150" s="352"/>
      <c r="CW150" s="352"/>
      <c r="CX150" s="352"/>
      <c r="CY150" s="352"/>
      <c r="CZ150" s="352"/>
      <c r="DA150" s="352"/>
      <c r="DB150" s="352"/>
      <c r="DC150" s="352"/>
      <c r="DD150" s="352"/>
      <c r="DE150" s="352"/>
      <c r="DF150" s="352"/>
      <c r="DG150" s="352"/>
      <c r="DH150" s="352"/>
      <c r="DI150" s="352"/>
      <c r="DJ150" s="352"/>
      <c r="DK150" s="352"/>
      <c r="DL150" s="352"/>
      <c r="DM150" s="352"/>
      <c r="DN150" s="352"/>
      <c r="DO150" s="352"/>
      <c r="DP150" s="352"/>
      <c r="DQ150" s="352"/>
      <c r="DR150" s="352"/>
      <c r="DS150" s="352"/>
      <c r="DT150" s="352"/>
      <c r="DU150" s="352"/>
      <c r="DV150" s="352"/>
      <c r="DW150" s="352"/>
      <c r="DX150" s="352"/>
      <c r="DY150" s="352"/>
      <c r="DZ150" s="352"/>
      <c r="EA150" s="352"/>
      <c r="EB150" s="352"/>
      <c r="EC150" s="352"/>
      <c r="ED150" s="352"/>
      <c r="EE150" s="352"/>
      <c r="EF150" s="352"/>
      <c r="EG150" s="352"/>
      <c r="EH150" s="352"/>
      <c r="EI150" s="352"/>
      <c r="EJ150" s="352"/>
      <c r="EK150" s="352"/>
      <c r="EL150" s="352"/>
      <c r="EM150" s="352"/>
      <c r="EN150" s="352"/>
    </row>
    <row r="151" spans="1:144" ht="20.100000000000001" customHeight="1">
      <c r="A151" s="118" t="s">
        <v>48</v>
      </c>
      <c r="B151" s="118" t="s">
        <v>728</v>
      </c>
      <c r="C151" s="119">
        <f>'Thomson Reuters IMA  ($)'!I403+'Thomson Reuters IMA  ($)'!I404+'Thomson Reuters IMA  ($)'!I405</f>
        <v>1187.83</v>
      </c>
      <c r="D151" s="120">
        <f>'Sectors % GDP'!I14</f>
        <v>159087.32</v>
      </c>
      <c r="E151" s="120">
        <f t="shared" si="4"/>
        <v>7.4665284448817157E-3</v>
      </c>
      <c r="F151" s="123">
        <v>1</v>
      </c>
      <c r="G151" s="120">
        <v>6</v>
      </c>
      <c r="H151" s="122">
        <v>77.31</v>
      </c>
      <c r="I151" s="121">
        <v>58.98</v>
      </c>
      <c r="J151" s="122">
        <v>83.17</v>
      </c>
      <c r="K151" s="123">
        <v>78.150000000000006</v>
      </c>
      <c r="L151" s="123">
        <f t="shared" si="5"/>
        <v>2.2999999999999998</v>
      </c>
      <c r="M151" s="124">
        <v>2.3E-2</v>
      </c>
      <c r="N151" s="124">
        <v>5.75</v>
      </c>
      <c r="O151" s="125">
        <f>'Trade Data'!F11</f>
        <v>0.59940791688720507</v>
      </c>
      <c r="P151" s="127">
        <v>1</v>
      </c>
      <c r="Q151" s="352"/>
      <c r="R151" s="352"/>
      <c r="S151" s="352"/>
      <c r="T151" s="352"/>
      <c r="U151" s="352"/>
      <c r="V151" s="352"/>
      <c r="W151" s="352"/>
      <c r="X151" s="352"/>
      <c r="Y151" s="352"/>
      <c r="Z151" s="352"/>
      <c r="AA151" s="352"/>
      <c r="AB151" s="352"/>
      <c r="AC151" s="352"/>
      <c r="AD151" s="352"/>
      <c r="AE151" s="352"/>
      <c r="AF151" s="352"/>
      <c r="AG151" s="352"/>
      <c r="AH151" s="352"/>
      <c r="AI151" s="352"/>
      <c r="AJ151" s="352"/>
      <c r="AK151" s="352"/>
      <c r="AL151" s="352"/>
      <c r="AM151" s="352"/>
      <c r="AN151" s="352"/>
      <c r="AO151" s="352"/>
      <c r="AP151" s="352"/>
      <c r="AQ151" s="352"/>
      <c r="AR151" s="352"/>
      <c r="AS151" s="352"/>
      <c r="AT151" s="352"/>
      <c r="AU151" s="352"/>
      <c r="AV151" s="352"/>
      <c r="AW151" s="352"/>
      <c r="AX151" s="352"/>
      <c r="AY151" s="352"/>
      <c r="AZ151" s="352"/>
      <c r="BA151" s="352"/>
      <c r="BB151" s="352"/>
      <c r="BC151" s="352"/>
      <c r="BD151" s="352"/>
      <c r="BE151" s="352"/>
      <c r="BF151" s="352"/>
      <c r="BG151" s="352"/>
      <c r="BH151" s="352"/>
      <c r="BI151" s="352"/>
      <c r="BJ151" s="352"/>
      <c r="BK151" s="352"/>
      <c r="BL151" s="352"/>
      <c r="BM151" s="352"/>
      <c r="BN151" s="352"/>
      <c r="BO151" s="352"/>
      <c r="BP151" s="352"/>
      <c r="BQ151" s="352"/>
      <c r="BR151" s="352"/>
      <c r="BS151" s="352"/>
      <c r="BT151" s="352"/>
      <c r="BU151" s="352"/>
      <c r="BV151" s="352"/>
      <c r="BW151" s="352"/>
      <c r="BX151" s="352"/>
      <c r="BY151" s="352"/>
      <c r="BZ151" s="352"/>
      <c r="CA151" s="352"/>
      <c r="CB151" s="352"/>
      <c r="CC151" s="352"/>
      <c r="CD151" s="352"/>
      <c r="CE151" s="352"/>
      <c r="CF151" s="352"/>
      <c r="CG151" s="352"/>
      <c r="CH151" s="352"/>
      <c r="CI151" s="352"/>
      <c r="CJ151" s="352"/>
      <c r="CK151" s="352"/>
      <c r="CL151" s="352"/>
      <c r="CM151" s="352"/>
      <c r="CN151" s="352"/>
      <c r="CO151" s="352"/>
      <c r="CP151" s="352"/>
      <c r="CQ151" s="352"/>
      <c r="CR151" s="352"/>
      <c r="CS151" s="352"/>
      <c r="CT151" s="352"/>
      <c r="CU151" s="352"/>
      <c r="CV151" s="352"/>
      <c r="CW151" s="352"/>
      <c r="CX151" s="352"/>
      <c r="CY151" s="352"/>
      <c r="CZ151" s="352"/>
      <c r="DA151" s="352"/>
      <c r="DB151" s="352"/>
      <c r="DC151" s="352"/>
      <c r="DD151" s="352"/>
      <c r="DE151" s="352"/>
      <c r="DF151" s="352"/>
      <c r="DG151" s="352"/>
      <c r="DH151" s="352"/>
      <c r="DI151" s="352"/>
      <c r="DJ151" s="352"/>
      <c r="DK151" s="352"/>
      <c r="DL151" s="352"/>
      <c r="DM151" s="352"/>
      <c r="DN151" s="352"/>
      <c r="DO151" s="352"/>
      <c r="DP151" s="352"/>
      <c r="DQ151" s="352"/>
      <c r="DR151" s="352"/>
      <c r="DS151" s="352"/>
      <c r="DT151" s="352"/>
      <c r="DU151" s="352"/>
      <c r="DV151" s="352"/>
      <c r="DW151" s="352"/>
      <c r="DX151" s="352"/>
      <c r="DY151" s="352"/>
      <c r="DZ151" s="352"/>
      <c r="EA151" s="352"/>
      <c r="EB151" s="352"/>
      <c r="EC151" s="352"/>
      <c r="ED151" s="352"/>
      <c r="EE151" s="352"/>
      <c r="EF151" s="352"/>
      <c r="EG151" s="352"/>
      <c r="EH151" s="352"/>
      <c r="EI151" s="352"/>
      <c r="EJ151" s="352"/>
      <c r="EK151" s="352"/>
      <c r="EL151" s="352"/>
      <c r="EM151" s="352"/>
      <c r="EN151" s="352"/>
    </row>
    <row r="152" spans="1:144" s="169" customFormat="1" ht="20.100000000000001" customHeight="1">
      <c r="A152" s="160" t="s">
        <v>49</v>
      </c>
      <c r="B152" s="160" t="s">
        <v>727</v>
      </c>
      <c r="C152" s="161">
        <f>'Thomson Reuters IMA  ($)'!I408</f>
        <v>9.1660000000000004</v>
      </c>
      <c r="D152" s="162">
        <f>'Sectors % GDP'!I12</f>
        <v>10622.289999999999</v>
      </c>
      <c r="E152" s="162">
        <f t="shared" si="4"/>
        <v>8.6290244382331883E-4</v>
      </c>
      <c r="F152" s="165">
        <v>1</v>
      </c>
      <c r="G152" s="162">
        <v>2</v>
      </c>
      <c r="H152" s="164">
        <v>81.180000000000007</v>
      </c>
      <c r="I152" s="163">
        <v>84.1</v>
      </c>
      <c r="J152" s="164">
        <v>70.430000000000007</v>
      </c>
      <c r="K152" s="165">
        <v>78.150000000000006</v>
      </c>
      <c r="L152" s="165">
        <f t="shared" si="5"/>
        <v>1.6</v>
      </c>
      <c r="M152" s="166">
        <v>1.6E-2</v>
      </c>
      <c r="N152" s="166">
        <v>6.25</v>
      </c>
      <c r="O152" s="167">
        <f>'Trade Data'!H11</f>
        <v>0.61376183531780448</v>
      </c>
      <c r="P152" s="168">
        <v>0</v>
      </c>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2"/>
      <c r="BB152" s="352"/>
      <c r="BC152" s="352"/>
      <c r="BD152" s="352"/>
      <c r="BE152" s="352"/>
      <c r="BF152" s="352"/>
      <c r="BG152" s="352"/>
      <c r="BH152" s="352"/>
      <c r="BI152" s="352"/>
      <c r="BJ152" s="352"/>
      <c r="BK152" s="352"/>
      <c r="BL152" s="352"/>
      <c r="BM152" s="352"/>
      <c r="BN152" s="352"/>
      <c r="BO152" s="352"/>
      <c r="BP152" s="352"/>
      <c r="BQ152" s="352"/>
      <c r="BR152" s="352"/>
      <c r="BS152" s="352"/>
      <c r="BT152" s="352"/>
      <c r="BU152" s="352"/>
      <c r="BV152" s="352"/>
      <c r="BW152" s="352"/>
      <c r="BX152" s="352"/>
      <c r="BY152" s="352"/>
      <c r="BZ152" s="352"/>
      <c r="CA152" s="352"/>
      <c r="CB152" s="352"/>
      <c r="CC152" s="352"/>
      <c r="CD152" s="352"/>
      <c r="CE152" s="352"/>
      <c r="CF152" s="352"/>
      <c r="CG152" s="352"/>
      <c r="CH152" s="352"/>
      <c r="CI152" s="352"/>
      <c r="CJ152" s="352"/>
      <c r="CK152" s="352"/>
      <c r="CL152" s="352"/>
      <c r="CM152" s="352"/>
      <c r="CN152" s="352"/>
      <c r="CO152" s="352"/>
      <c r="CP152" s="352"/>
      <c r="CQ152" s="352"/>
      <c r="CR152" s="352"/>
      <c r="CS152" s="352"/>
      <c r="CT152" s="352"/>
      <c r="CU152" s="352"/>
      <c r="CV152" s="352"/>
      <c r="CW152" s="352"/>
      <c r="CX152" s="352"/>
      <c r="CY152" s="352"/>
      <c r="CZ152" s="352"/>
      <c r="DA152" s="352"/>
      <c r="DB152" s="352"/>
      <c r="DC152" s="352"/>
      <c r="DD152" s="352"/>
      <c r="DE152" s="352"/>
      <c r="DF152" s="352"/>
      <c r="DG152" s="352"/>
      <c r="DH152" s="352"/>
      <c r="DI152" s="352"/>
      <c r="DJ152" s="352"/>
      <c r="DK152" s="352"/>
      <c r="DL152" s="352"/>
      <c r="DM152" s="352"/>
      <c r="DN152" s="352"/>
      <c r="DO152" s="352"/>
      <c r="DP152" s="352"/>
      <c r="DQ152" s="352"/>
      <c r="DR152" s="352"/>
      <c r="DS152" s="352"/>
      <c r="DT152" s="352"/>
      <c r="DU152" s="352"/>
      <c r="DV152" s="352"/>
      <c r="DW152" s="352"/>
      <c r="DX152" s="352"/>
      <c r="DY152" s="352"/>
      <c r="DZ152" s="352"/>
      <c r="EA152" s="352"/>
      <c r="EB152" s="352"/>
      <c r="EC152" s="352"/>
      <c r="ED152" s="352"/>
      <c r="EE152" s="352"/>
      <c r="EF152" s="352"/>
      <c r="EG152" s="352"/>
      <c r="EH152" s="352"/>
      <c r="EI152" s="352"/>
      <c r="EJ152" s="352"/>
      <c r="EK152" s="352"/>
      <c r="EL152" s="352"/>
      <c r="EM152" s="352"/>
      <c r="EN152" s="352"/>
    </row>
    <row r="153" spans="1:144" s="188" customFormat="1" ht="20.100000000000001" customHeight="1">
      <c r="A153" s="179" t="s">
        <v>49</v>
      </c>
      <c r="B153" s="179" t="s">
        <v>726</v>
      </c>
      <c r="C153" s="180">
        <f>'Thomson Reuters IMA  ($)'!I407+'Thomson Reuters IMA  ($)'!I409+'Thomson Reuters IMA  ($)'!I410</f>
        <v>464.4</v>
      </c>
      <c r="D153" s="181">
        <f>'Sectors % GDP'!I13</f>
        <v>77295.687000000005</v>
      </c>
      <c r="E153" s="181">
        <f t="shared" si="4"/>
        <v>6.0080971917618117E-3</v>
      </c>
      <c r="F153" s="184">
        <v>1</v>
      </c>
      <c r="G153" s="181">
        <v>5</v>
      </c>
      <c r="H153" s="183">
        <v>81.180000000000007</v>
      </c>
      <c r="I153" s="182">
        <v>84.1</v>
      </c>
      <c r="J153" s="183">
        <v>70.430000000000007</v>
      </c>
      <c r="K153" s="184">
        <v>78.150000000000006</v>
      </c>
      <c r="L153" s="184">
        <f t="shared" si="5"/>
        <v>1.6</v>
      </c>
      <c r="M153" s="185">
        <v>1.6E-2</v>
      </c>
      <c r="N153" s="185">
        <v>6.25</v>
      </c>
      <c r="O153" s="186">
        <f>'Trade Data'!H11</f>
        <v>0.61376183531780448</v>
      </c>
      <c r="P153" s="187">
        <v>1</v>
      </c>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c r="BL153" s="352"/>
      <c r="BM153" s="352"/>
      <c r="BN153" s="352"/>
      <c r="BO153" s="352"/>
      <c r="BP153" s="352"/>
      <c r="BQ153" s="352"/>
      <c r="BR153" s="352"/>
      <c r="BS153" s="352"/>
      <c r="BT153" s="352"/>
      <c r="BU153" s="352"/>
      <c r="BV153" s="352"/>
      <c r="BW153" s="352"/>
      <c r="BX153" s="352"/>
      <c r="BY153" s="352"/>
      <c r="BZ153" s="352"/>
      <c r="CA153" s="352"/>
      <c r="CB153" s="352"/>
      <c r="CC153" s="352"/>
      <c r="CD153" s="352"/>
      <c r="CE153" s="352"/>
      <c r="CF153" s="352"/>
      <c r="CG153" s="352"/>
      <c r="CH153" s="352"/>
      <c r="CI153" s="352"/>
      <c r="CJ153" s="352"/>
      <c r="CK153" s="352"/>
      <c r="CL153" s="352"/>
      <c r="CM153" s="352"/>
      <c r="CN153" s="352"/>
      <c r="CO153" s="352"/>
      <c r="CP153" s="352"/>
      <c r="CQ153" s="352"/>
      <c r="CR153" s="352"/>
      <c r="CS153" s="352"/>
      <c r="CT153" s="352"/>
      <c r="CU153" s="352"/>
      <c r="CV153" s="352"/>
      <c r="CW153" s="352"/>
      <c r="CX153" s="352"/>
      <c r="CY153" s="352"/>
      <c r="CZ153" s="352"/>
      <c r="DA153" s="352"/>
      <c r="DB153" s="352"/>
      <c r="DC153" s="352"/>
      <c r="DD153" s="352"/>
      <c r="DE153" s="352"/>
      <c r="DF153" s="352"/>
      <c r="DG153" s="352"/>
      <c r="DH153" s="352"/>
      <c r="DI153" s="352"/>
      <c r="DJ153" s="352"/>
      <c r="DK153" s="352"/>
      <c r="DL153" s="352"/>
      <c r="DM153" s="352"/>
      <c r="DN153" s="352"/>
      <c r="DO153" s="352"/>
      <c r="DP153" s="352"/>
      <c r="DQ153" s="352"/>
      <c r="DR153" s="352"/>
      <c r="DS153" s="352"/>
      <c r="DT153" s="352"/>
      <c r="DU153" s="352"/>
      <c r="DV153" s="352"/>
      <c r="DW153" s="352"/>
      <c r="DX153" s="352"/>
      <c r="DY153" s="352"/>
      <c r="DZ153" s="352"/>
      <c r="EA153" s="352"/>
      <c r="EB153" s="352"/>
      <c r="EC153" s="352"/>
      <c r="ED153" s="352"/>
      <c r="EE153" s="352"/>
      <c r="EF153" s="352"/>
      <c r="EG153" s="352"/>
      <c r="EH153" s="352"/>
      <c r="EI153" s="352"/>
      <c r="EJ153" s="352"/>
      <c r="EK153" s="352"/>
      <c r="EL153" s="352"/>
      <c r="EM153" s="352"/>
      <c r="EN153" s="352"/>
    </row>
    <row r="154" spans="1:144" ht="20.100000000000001" customHeight="1">
      <c r="A154" s="129" t="s">
        <v>49</v>
      </c>
      <c r="B154" s="118" t="s">
        <v>725</v>
      </c>
      <c r="C154" s="133">
        <f>'Thomson Reuters IMA  ($)'!I406</f>
        <v>0.93700000000000006</v>
      </c>
      <c r="D154" s="120">
        <f>'Sectors % GDP'!I14</f>
        <v>159087.32</v>
      </c>
      <c r="E154" s="120">
        <f t="shared" si="4"/>
        <v>5.8898471606662303E-6</v>
      </c>
      <c r="F154" s="123">
        <v>1</v>
      </c>
      <c r="G154" s="120">
        <v>5</v>
      </c>
      <c r="H154" s="122">
        <v>81.180000000000007</v>
      </c>
      <c r="I154" s="121">
        <v>84.1</v>
      </c>
      <c r="J154" s="122">
        <v>70.430000000000007</v>
      </c>
      <c r="K154" s="123">
        <v>78.150000000000006</v>
      </c>
      <c r="L154" s="123">
        <f t="shared" si="5"/>
        <v>1.6</v>
      </c>
      <c r="M154" s="124">
        <v>1.6E-2</v>
      </c>
      <c r="N154" s="124">
        <v>6.25</v>
      </c>
      <c r="O154" s="125">
        <f>'Trade Data'!H11</f>
        <v>0.61376183531780448</v>
      </c>
      <c r="P154" s="126">
        <v>1</v>
      </c>
      <c r="Q154" s="352"/>
      <c r="R154" s="352"/>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2"/>
      <c r="BB154" s="352"/>
      <c r="BC154" s="352"/>
      <c r="BD154" s="352"/>
      <c r="BE154" s="352"/>
      <c r="BF154" s="352"/>
      <c r="BG154" s="352"/>
      <c r="BH154" s="352"/>
      <c r="BI154" s="352"/>
      <c r="BJ154" s="352"/>
      <c r="BK154" s="352"/>
      <c r="BL154" s="352"/>
      <c r="BM154" s="352"/>
      <c r="BN154" s="352"/>
      <c r="BO154" s="352"/>
      <c r="BP154" s="352"/>
      <c r="BQ154" s="352"/>
      <c r="BR154" s="352"/>
      <c r="BS154" s="352"/>
      <c r="BT154" s="352"/>
      <c r="BU154" s="352"/>
      <c r="BV154" s="352"/>
      <c r="BW154" s="352"/>
      <c r="BX154" s="352"/>
      <c r="BY154" s="352"/>
      <c r="BZ154" s="352"/>
      <c r="CA154" s="352"/>
      <c r="CB154" s="352"/>
      <c r="CC154" s="352"/>
      <c r="CD154" s="352"/>
      <c r="CE154" s="352"/>
      <c r="CF154" s="352"/>
      <c r="CG154" s="352"/>
      <c r="CH154" s="352"/>
      <c r="CI154" s="352"/>
      <c r="CJ154" s="352"/>
      <c r="CK154" s="352"/>
      <c r="CL154" s="352"/>
      <c r="CM154" s="352"/>
      <c r="CN154" s="352"/>
      <c r="CO154" s="352"/>
      <c r="CP154" s="352"/>
      <c r="CQ154" s="352"/>
      <c r="CR154" s="352"/>
      <c r="CS154" s="352"/>
      <c r="CT154" s="352"/>
      <c r="CU154" s="352"/>
      <c r="CV154" s="352"/>
      <c r="CW154" s="352"/>
      <c r="CX154" s="352"/>
      <c r="CY154" s="352"/>
      <c r="CZ154" s="352"/>
      <c r="DA154" s="352"/>
      <c r="DB154" s="352"/>
      <c r="DC154" s="352"/>
      <c r="DD154" s="352"/>
      <c r="DE154" s="352"/>
      <c r="DF154" s="352"/>
      <c r="DG154" s="352"/>
      <c r="DH154" s="352"/>
      <c r="DI154" s="352"/>
      <c r="DJ154" s="352"/>
      <c r="DK154" s="352"/>
      <c r="DL154" s="352"/>
      <c r="DM154" s="352"/>
      <c r="DN154" s="352"/>
      <c r="DO154" s="352"/>
      <c r="DP154" s="352"/>
      <c r="DQ154" s="352"/>
      <c r="DR154" s="352"/>
      <c r="DS154" s="352"/>
      <c r="DT154" s="352"/>
      <c r="DU154" s="352"/>
      <c r="DV154" s="352"/>
      <c r="DW154" s="352"/>
      <c r="DX154" s="352"/>
      <c r="DY154" s="352"/>
      <c r="DZ154" s="352"/>
      <c r="EA154" s="352"/>
      <c r="EB154" s="352"/>
      <c r="EC154" s="352"/>
      <c r="ED154" s="352"/>
      <c r="EE154" s="352"/>
      <c r="EF154" s="352"/>
      <c r="EG154" s="352"/>
      <c r="EH154" s="352"/>
      <c r="EI154" s="352"/>
      <c r="EJ154" s="352"/>
      <c r="EK154" s="352"/>
      <c r="EL154" s="352"/>
      <c r="EM154" s="352"/>
      <c r="EN154" s="352"/>
    </row>
    <row r="155" spans="1:144" s="169" customFormat="1" ht="20.100000000000001" customHeight="1">
      <c r="A155" s="175" t="s">
        <v>50</v>
      </c>
      <c r="B155" s="160" t="s">
        <v>724</v>
      </c>
      <c r="C155" s="176">
        <v>0</v>
      </c>
      <c r="D155" s="162">
        <f>'Sectors % GDP'!I12</f>
        <v>10622.289999999999</v>
      </c>
      <c r="E155" s="162">
        <f t="shared" si="4"/>
        <v>0</v>
      </c>
      <c r="F155" s="165">
        <v>0</v>
      </c>
      <c r="G155" s="162">
        <v>0</v>
      </c>
      <c r="H155" s="164">
        <v>77.42</v>
      </c>
      <c r="I155" s="163">
        <v>73.06</v>
      </c>
      <c r="J155" s="164">
        <v>69.45</v>
      </c>
      <c r="K155" s="165">
        <v>78.150000000000006</v>
      </c>
      <c r="L155" s="165">
        <f t="shared" si="5"/>
        <v>1.6</v>
      </c>
      <c r="M155" s="166">
        <v>1.6E-2</v>
      </c>
      <c r="N155" s="166">
        <v>6.25</v>
      </c>
      <c r="O155" s="167">
        <f>'Trade Data'!H11</f>
        <v>0.61376183531780448</v>
      </c>
      <c r="P155" s="170">
        <v>0</v>
      </c>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c r="BB155" s="352"/>
      <c r="BC155" s="352"/>
      <c r="BD155" s="352"/>
      <c r="BE155" s="352"/>
      <c r="BF155" s="352"/>
      <c r="BG155" s="352"/>
      <c r="BH155" s="352"/>
      <c r="BI155" s="352"/>
      <c r="BJ155" s="352"/>
      <c r="BK155" s="352"/>
      <c r="BL155" s="352"/>
      <c r="BM155" s="352"/>
      <c r="BN155" s="352"/>
      <c r="BO155" s="352"/>
      <c r="BP155" s="352"/>
      <c r="BQ155" s="352"/>
      <c r="BR155" s="352"/>
      <c r="BS155" s="352"/>
      <c r="BT155" s="352"/>
      <c r="BU155" s="352"/>
      <c r="BV155" s="352"/>
      <c r="BW155" s="352"/>
      <c r="BX155" s="352"/>
      <c r="BY155" s="352"/>
      <c r="BZ155" s="352"/>
      <c r="CA155" s="352"/>
      <c r="CB155" s="352"/>
      <c r="CC155" s="352"/>
      <c r="CD155" s="352"/>
      <c r="CE155" s="352"/>
      <c r="CF155" s="352"/>
      <c r="CG155" s="352"/>
      <c r="CH155" s="352"/>
      <c r="CI155" s="352"/>
      <c r="CJ155" s="352"/>
      <c r="CK155" s="352"/>
      <c r="CL155" s="352"/>
      <c r="CM155" s="352"/>
      <c r="CN155" s="352"/>
      <c r="CO155" s="352"/>
      <c r="CP155" s="352"/>
      <c r="CQ155" s="352"/>
      <c r="CR155" s="352"/>
      <c r="CS155" s="352"/>
      <c r="CT155" s="352"/>
      <c r="CU155" s="352"/>
      <c r="CV155" s="352"/>
      <c r="CW155" s="352"/>
      <c r="CX155" s="352"/>
      <c r="CY155" s="352"/>
      <c r="CZ155" s="352"/>
      <c r="DA155" s="352"/>
      <c r="DB155" s="352"/>
      <c r="DC155" s="352"/>
      <c r="DD155" s="352"/>
      <c r="DE155" s="352"/>
      <c r="DF155" s="352"/>
      <c r="DG155" s="352"/>
      <c r="DH155" s="352"/>
      <c r="DI155" s="352"/>
      <c r="DJ155" s="352"/>
      <c r="DK155" s="352"/>
      <c r="DL155" s="352"/>
      <c r="DM155" s="352"/>
      <c r="DN155" s="352"/>
      <c r="DO155" s="352"/>
      <c r="DP155" s="352"/>
      <c r="DQ155" s="352"/>
      <c r="DR155" s="352"/>
      <c r="DS155" s="352"/>
      <c r="DT155" s="352"/>
      <c r="DU155" s="352"/>
      <c r="DV155" s="352"/>
      <c r="DW155" s="352"/>
      <c r="DX155" s="352"/>
      <c r="DY155" s="352"/>
      <c r="DZ155" s="352"/>
      <c r="EA155" s="352"/>
      <c r="EB155" s="352"/>
      <c r="EC155" s="352"/>
      <c r="ED155" s="352"/>
      <c r="EE155" s="352"/>
      <c r="EF155" s="352"/>
      <c r="EG155" s="352"/>
      <c r="EH155" s="352"/>
      <c r="EI155" s="352"/>
      <c r="EJ155" s="352"/>
      <c r="EK155" s="352"/>
      <c r="EL155" s="352"/>
      <c r="EM155" s="352"/>
      <c r="EN155" s="352"/>
    </row>
    <row r="156" spans="1:144" s="188" customFormat="1" ht="20.100000000000001" customHeight="1">
      <c r="A156" s="190" t="s">
        <v>50</v>
      </c>
      <c r="B156" s="179" t="s">
        <v>723</v>
      </c>
      <c r="C156" s="193">
        <f>'Thomson Reuters IMA  ($)'!I412+'Thomson Reuters IMA  ($)'!I413</f>
        <v>55.754999999999995</v>
      </c>
      <c r="D156" s="181">
        <f>'Sectors % GDP'!I13</f>
        <v>77295.687000000005</v>
      </c>
      <c r="E156" s="181">
        <f t="shared" si="4"/>
        <v>7.2132097098768252E-4</v>
      </c>
      <c r="F156" s="184">
        <v>1</v>
      </c>
      <c r="G156" s="181">
        <v>4</v>
      </c>
      <c r="H156" s="183">
        <v>77.42</v>
      </c>
      <c r="I156" s="182">
        <v>73.06</v>
      </c>
      <c r="J156" s="183">
        <v>69.45</v>
      </c>
      <c r="K156" s="184">
        <v>78.150000000000006</v>
      </c>
      <c r="L156" s="184">
        <f t="shared" si="5"/>
        <v>1.6</v>
      </c>
      <c r="M156" s="185">
        <v>1.6E-2</v>
      </c>
      <c r="N156" s="185">
        <v>6.25</v>
      </c>
      <c r="O156" s="186">
        <f>'Trade Data'!H11</f>
        <v>0.61376183531780448</v>
      </c>
      <c r="P156" s="189">
        <v>1</v>
      </c>
      <c r="Q156" s="352"/>
      <c r="R156" s="352"/>
      <c r="S156" s="352"/>
      <c r="T156" s="352"/>
      <c r="U156" s="352"/>
      <c r="V156" s="352"/>
      <c r="W156" s="352"/>
      <c r="X156" s="352"/>
      <c r="Y156" s="352"/>
      <c r="Z156" s="352"/>
      <c r="AA156" s="352"/>
      <c r="AB156" s="352"/>
      <c r="AC156" s="352"/>
      <c r="AD156" s="352"/>
      <c r="AE156" s="352"/>
      <c r="AF156" s="352"/>
      <c r="AG156" s="352"/>
      <c r="AH156" s="352"/>
      <c r="AI156" s="352"/>
      <c r="AJ156" s="352"/>
      <c r="AK156" s="352"/>
      <c r="AL156" s="352"/>
      <c r="AM156" s="352"/>
      <c r="AN156" s="352"/>
      <c r="AO156" s="352"/>
      <c r="AP156" s="352"/>
      <c r="AQ156" s="352"/>
      <c r="AR156" s="352"/>
      <c r="AS156" s="352"/>
      <c r="AT156" s="352"/>
      <c r="AU156" s="352"/>
      <c r="AV156" s="352"/>
      <c r="AW156" s="352"/>
      <c r="AX156" s="352"/>
      <c r="AY156" s="352"/>
      <c r="AZ156" s="352"/>
      <c r="BA156" s="352"/>
      <c r="BB156" s="352"/>
      <c r="BC156" s="352"/>
      <c r="BD156" s="352"/>
      <c r="BE156" s="352"/>
      <c r="BF156" s="352"/>
      <c r="BG156" s="352"/>
      <c r="BH156" s="352"/>
      <c r="BI156" s="352"/>
      <c r="BJ156" s="352"/>
      <c r="BK156" s="352"/>
      <c r="BL156" s="352"/>
      <c r="BM156" s="352"/>
      <c r="BN156" s="352"/>
      <c r="BO156" s="352"/>
      <c r="BP156" s="352"/>
      <c r="BQ156" s="352"/>
      <c r="BR156" s="352"/>
      <c r="BS156" s="352"/>
      <c r="BT156" s="352"/>
      <c r="BU156" s="352"/>
      <c r="BV156" s="352"/>
      <c r="BW156" s="352"/>
      <c r="BX156" s="352"/>
      <c r="BY156" s="352"/>
      <c r="BZ156" s="352"/>
      <c r="CA156" s="352"/>
      <c r="CB156" s="352"/>
      <c r="CC156" s="352"/>
      <c r="CD156" s="352"/>
      <c r="CE156" s="352"/>
      <c r="CF156" s="352"/>
      <c r="CG156" s="352"/>
      <c r="CH156" s="352"/>
      <c r="CI156" s="352"/>
      <c r="CJ156" s="352"/>
      <c r="CK156" s="352"/>
      <c r="CL156" s="352"/>
      <c r="CM156" s="352"/>
      <c r="CN156" s="352"/>
      <c r="CO156" s="352"/>
      <c r="CP156" s="352"/>
      <c r="CQ156" s="352"/>
      <c r="CR156" s="352"/>
      <c r="CS156" s="352"/>
      <c r="CT156" s="352"/>
      <c r="CU156" s="352"/>
      <c r="CV156" s="352"/>
      <c r="CW156" s="352"/>
      <c r="CX156" s="352"/>
      <c r="CY156" s="352"/>
      <c r="CZ156" s="352"/>
      <c r="DA156" s="352"/>
      <c r="DB156" s="352"/>
      <c r="DC156" s="352"/>
      <c r="DD156" s="352"/>
      <c r="DE156" s="352"/>
      <c r="DF156" s="352"/>
      <c r="DG156" s="352"/>
      <c r="DH156" s="352"/>
      <c r="DI156" s="352"/>
      <c r="DJ156" s="352"/>
      <c r="DK156" s="352"/>
      <c r="DL156" s="352"/>
      <c r="DM156" s="352"/>
      <c r="DN156" s="352"/>
      <c r="DO156" s="352"/>
      <c r="DP156" s="352"/>
      <c r="DQ156" s="352"/>
      <c r="DR156" s="352"/>
      <c r="DS156" s="352"/>
      <c r="DT156" s="352"/>
      <c r="DU156" s="352"/>
      <c r="DV156" s="352"/>
      <c r="DW156" s="352"/>
      <c r="DX156" s="352"/>
      <c r="DY156" s="352"/>
      <c r="DZ156" s="352"/>
      <c r="EA156" s="352"/>
      <c r="EB156" s="352"/>
      <c r="EC156" s="352"/>
      <c r="ED156" s="352"/>
      <c r="EE156" s="352"/>
      <c r="EF156" s="352"/>
      <c r="EG156" s="352"/>
      <c r="EH156" s="352"/>
      <c r="EI156" s="352"/>
      <c r="EJ156" s="352"/>
      <c r="EK156" s="352"/>
      <c r="EL156" s="352"/>
      <c r="EM156" s="352"/>
      <c r="EN156" s="352"/>
    </row>
    <row r="157" spans="1:144" ht="20.100000000000001" customHeight="1">
      <c r="A157" s="118" t="s">
        <v>50</v>
      </c>
      <c r="B157" s="118" t="s">
        <v>722</v>
      </c>
      <c r="C157" s="133">
        <f>'Thomson Reuters IMA  ($)'!I411+'Thomson Reuters IMA  ($)'!I414+'Thomson Reuters IMA  ($)'!I415</f>
        <v>697.25199999999995</v>
      </c>
      <c r="D157" s="120">
        <f>'Sectors % GDP'!I14</f>
        <v>159087.32</v>
      </c>
      <c r="E157" s="120">
        <f t="shared" si="4"/>
        <v>4.3828257336914088E-3</v>
      </c>
      <c r="F157" s="123">
        <v>1</v>
      </c>
      <c r="G157" s="120">
        <v>9</v>
      </c>
      <c r="H157" s="122">
        <v>77.42</v>
      </c>
      <c r="I157" s="121">
        <v>73.06</v>
      </c>
      <c r="J157" s="122">
        <v>69.45</v>
      </c>
      <c r="K157" s="123">
        <v>78.150000000000006</v>
      </c>
      <c r="L157" s="123">
        <f t="shared" si="5"/>
        <v>1.6</v>
      </c>
      <c r="M157" s="124">
        <v>1.6E-2</v>
      </c>
      <c r="N157" s="124">
        <v>6.25</v>
      </c>
      <c r="O157" s="125">
        <f>'Trade Data'!H11</f>
        <v>0.61376183531780448</v>
      </c>
      <c r="P157" s="127">
        <v>1</v>
      </c>
      <c r="Q157" s="352"/>
      <c r="R157" s="352"/>
      <c r="S157" s="352"/>
      <c r="T157" s="352"/>
      <c r="U157" s="352"/>
      <c r="V157" s="352"/>
      <c r="W157" s="352"/>
      <c r="X157" s="352"/>
      <c r="Y157" s="352"/>
      <c r="Z157" s="352"/>
      <c r="AA157" s="352"/>
      <c r="AB157" s="352"/>
      <c r="AC157" s="352"/>
      <c r="AD157" s="352"/>
      <c r="AE157" s="352"/>
      <c r="AF157" s="352"/>
      <c r="AG157" s="352"/>
      <c r="AH157" s="352"/>
      <c r="AI157" s="352"/>
      <c r="AJ157" s="352"/>
      <c r="AK157" s="352"/>
      <c r="AL157" s="352"/>
      <c r="AM157" s="352"/>
      <c r="AN157" s="352"/>
      <c r="AO157" s="352"/>
      <c r="AP157" s="352"/>
      <c r="AQ157" s="352"/>
      <c r="AR157" s="352"/>
      <c r="AS157" s="352"/>
      <c r="AT157" s="352"/>
      <c r="AU157" s="352"/>
      <c r="AV157" s="352"/>
      <c r="AW157" s="352"/>
      <c r="AX157" s="352"/>
      <c r="AY157" s="352"/>
      <c r="AZ157" s="352"/>
      <c r="BA157" s="352"/>
      <c r="BB157" s="352"/>
      <c r="BC157" s="352"/>
      <c r="BD157" s="352"/>
      <c r="BE157" s="352"/>
      <c r="BF157" s="352"/>
      <c r="BG157" s="352"/>
      <c r="BH157" s="352"/>
      <c r="BI157" s="352"/>
      <c r="BJ157" s="352"/>
      <c r="BK157" s="352"/>
      <c r="BL157" s="352"/>
      <c r="BM157" s="352"/>
      <c r="BN157" s="352"/>
      <c r="BO157" s="352"/>
      <c r="BP157" s="352"/>
      <c r="BQ157" s="352"/>
      <c r="BR157" s="352"/>
      <c r="BS157" s="352"/>
      <c r="BT157" s="352"/>
      <c r="BU157" s="352"/>
      <c r="BV157" s="352"/>
      <c r="BW157" s="352"/>
      <c r="BX157" s="352"/>
      <c r="BY157" s="352"/>
      <c r="BZ157" s="352"/>
      <c r="CA157" s="352"/>
      <c r="CB157" s="352"/>
      <c r="CC157" s="352"/>
      <c r="CD157" s="352"/>
      <c r="CE157" s="352"/>
      <c r="CF157" s="352"/>
      <c r="CG157" s="352"/>
      <c r="CH157" s="352"/>
      <c r="CI157" s="352"/>
      <c r="CJ157" s="352"/>
      <c r="CK157" s="352"/>
      <c r="CL157" s="352"/>
      <c r="CM157" s="352"/>
      <c r="CN157" s="352"/>
      <c r="CO157" s="352"/>
      <c r="CP157" s="352"/>
      <c r="CQ157" s="352"/>
      <c r="CR157" s="352"/>
      <c r="CS157" s="352"/>
      <c r="CT157" s="352"/>
      <c r="CU157" s="352"/>
      <c r="CV157" s="352"/>
      <c r="CW157" s="352"/>
      <c r="CX157" s="352"/>
      <c r="CY157" s="352"/>
      <c r="CZ157" s="352"/>
      <c r="DA157" s="352"/>
      <c r="DB157" s="352"/>
      <c r="DC157" s="352"/>
      <c r="DD157" s="352"/>
      <c r="DE157" s="352"/>
      <c r="DF157" s="352"/>
      <c r="DG157" s="352"/>
      <c r="DH157" s="352"/>
      <c r="DI157" s="352"/>
      <c r="DJ157" s="352"/>
      <c r="DK157" s="352"/>
      <c r="DL157" s="352"/>
      <c r="DM157" s="352"/>
      <c r="DN157" s="352"/>
      <c r="DO157" s="352"/>
      <c r="DP157" s="352"/>
      <c r="DQ157" s="352"/>
      <c r="DR157" s="352"/>
      <c r="DS157" s="352"/>
      <c r="DT157" s="352"/>
      <c r="DU157" s="352"/>
      <c r="DV157" s="352"/>
      <c r="DW157" s="352"/>
      <c r="DX157" s="352"/>
      <c r="DY157" s="352"/>
      <c r="DZ157" s="352"/>
      <c r="EA157" s="352"/>
      <c r="EB157" s="352"/>
      <c r="EC157" s="352"/>
      <c r="ED157" s="352"/>
      <c r="EE157" s="352"/>
      <c r="EF157" s="352"/>
      <c r="EG157" s="352"/>
      <c r="EH157" s="352"/>
      <c r="EI157" s="352"/>
      <c r="EJ157" s="352"/>
      <c r="EK157" s="352"/>
      <c r="EL157" s="352"/>
      <c r="EM157" s="352"/>
      <c r="EN157" s="352"/>
    </row>
    <row r="158" spans="1:144" s="169" customFormat="1" ht="20.100000000000001" customHeight="1">
      <c r="A158" s="160" t="s">
        <v>51</v>
      </c>
      <c r="B158" s="160" t="s">
        <v>721</v>
      </c>
      <c r="C158" s="176">
        <v>0</v>
      </c>
      <c r="D158" s="162">
        <f>'Sectors % GDP'!I12</f>
        <v>10622.289999999999</v>
      </c>
      <c r="E158" s="162">
        <f t="shared" si="4"/>
        <v>0</v>
      </c>
      <c r="F158" s="165">
        <v>1</v>
      </c>
      <c r="G158" s="162">
        <v>1</v>
      </c>
      <c r="H158" s="164">
        <v>70.5</v>
      </c>
      <c r="I158" s="164">
        <v>53.44</v>
      </c>
      <c r="J158" s="164">
        <v>68.510000000000005</v>
      </c>
      <c r="K158" s="165">
        <v>78.150000000000006</v>
      </c>
      <c r="L158" s="165">
        <f t="shared" si="5"/>
        <v>1.6</v>
      </c>
      <c r="M158" s="166">
        <v>1.6E-2</v>
      </c>
      <c r="N158" s="166">
        <v>6.25</v>
      </c>
      <c r="O158" s="167">
        <f>'Trade Data'!H11</f>
        <v>0.61376183531780448</v>
      </c>
      <c r="P158" s="168">
        <v>0</v>
      </c>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c r="BG158" s="352"/>
      <c r="BH158" s="352"/>
      <c r="BI158" s="352"/>
      <c r="BJ158" s="352"/>
      <c r="BK158" s="352"/>
      <c r="BL158" s="352"/>
      <c r="BM158" s="352"/>
      <c r="BN158" s="352"/>
      <c r="BO158" s="352"/>
      <c r="BP158" s="352"/>
      <c r="BQ158" s="352"/>
      <c r="BR158" s="352"/>
      <c r="BS158" s="352"/>
      <c r="BT158" s="352"/>
      <c r="BU158" s="352"/>
      <c r="BV158" s="352"/>
      <c r="BW158" s="352"/>
      <c r="BX158" s="352"/>
      <c r="BY158" s="352"/>
      <c r="BZ158" s="352"/>
      <c r="CA158" s="352"/>
      <c r="CB158" s="352"/>
      <c r="CC158" s="352"/>
      <c r="CD158" s="352"/>
      <c r="CE158" s="352"/>
      <c r="CF158" s="352"/>
      <c r="CG158" s="352"/>
      <c r="CH158" s="352"/>
      <c r="CI158" s="352"/>
      <c r="CJ158" s="352"/>
      <c r="CK158" s="352"/>
      <c r="CL158" s="352"/>
      <c r="CM158" s="352"/>
      <c r="CN158" s="352"/>
      <c r="CO158" s="352"/>
      <c r="CP158" s="352"/>
      <c r="CQ158" s="352"/>
      <c r="CR158" s="352"/>
      <c r="CS158" s="352"/>
      <c r="CT158" s="352"/>
      <c r="CU158" s="352"/>
      <c r="CV158" s="352"/>
      <c r="CW158" s="352"/>
      <c r="CX158" s="352"/>
      <c r="CY158" s="352"/>
      <c r="CZ158" s="352"/>
      <c r="DA158" s="352"/>
      <c r="DB158" s="352"/>
      <c r="DC158" s="352"/>
      <c r="DD158" s="352"/>
      <c r="DE158" s="352"/>
      <c r="DF158" s="352"/>
      <c r="DG158" s="352"/>
      <c r="DH158" s="352"/>
      <c r="DI158" s="352"/>
      <c r="DJ158" s="352"/>
      <c r="DK158" s="352"/>
      <c r="DL158" s="352"/>
      <c r="DM158" s="352"/>
      <c r="DN158" s="352"/>
      <c r="DO158" s="352"/>
      <c r="DP158" s="352"/>
      <c r="DQ158" s="352"/>
      <c r="DR158" s="352"/>
      <c r="DS158" s="352"/>
      <c r="DT158" s="352"/>
      <c r="DU158" s="352"/>
      <c r="DV158" s="352"/>
      <c r="DW158" s="352"/>
      <c r="DX158" s="352"/>
      <c r="DY158" s="352"/>
      <c r="DZ158" s="352"/>
      <c r="EA158" s="352"/>
      <c r="EB158" s="352"/>
      <c r="EC158" s="352"/>
      <c r="ED158" s="352"/>
      <c r="EE158" s="352"/>
      <c r="EF158" s="352"/>
      <c r="EG158" s="352"/>
      <c r="EH158" s="352"/>
      <c r="EI158" s="352"/>
      <c r="EJ158" s="352"/>
      <c r="EK158" s="352"/>
      <c r="EL158" s="352"/>
      <c r="EM158" s="352"/>
      <c r="EN158" s="352"/>
    </row>
    <row r="159" spans="1:144" s="188" customFormat="1" ht="20.100000000000001" customHeight="1">
      <c r="A159" s="179" t="s">
        <v>51</v>
      </c>
      <c r="B159" s="179" t="s">
        <v>720</v>
      </c>
      <c r="C159" s="193">
        <f>'Thomson Reuters IMA  ($)'!I416+'Thomson Reuters IMA  ($)'!I417+'Thomson Reuters IMA  ($)'!I418+'Thomson Reuters IMA  ($)'!I419+'Thomson Reuters IMA  ($)'!I422</f>
        <v>1466.6680000000001</v>
      </c>
      <c r="D159" s="181">
        <f>'Sectors % GDP'!I13</f>
        <v>77295.687000000005</v>
      </c>
      <c r="E159" s="181">
        <f t="shared" si="4"/>
        <v>1.8974771516035559E-2</v>
      </c>
      <c r="F159" s="184">
        <v>1</v>
      </c>
      <c r="G159" s="181">
        <v>6</v>
      </c>
      <c r="H159" s="183">
        <v>70.5</v>
      </c>
      <c r="I159" s="183">
        <v>53.44</v>
      </c>
      <c r="J159" s="183">
        <v>68.510000000000005</v>
      </c>
      <c r="K159" s="184">
        <v>78.150000000000006</v>
      </c>
      <c r="L159" s="184">
        <f t="shared" si="5"/>
        <v>1.6</v>
      </c>
      <c r="M159" s="185">
        <v>1.6E-2</v>
      </c>
      <c r="N159" s="185">
        <v>6.25</v>
      </c>
      <c r="O159" s="186">
        <f>'Trade Data'!H11</f>
        <v>0.61376183531780448</v>
      </c>
      <c r="P159" s="187">
        <v>1</v>
      </c>
      <c r="Q159" s="352"/>
      <c r="R159" s="352"/>
      <c r="S159" s="352"/>
      <c r="T159" s="352"/>
      <c r="U159" s="352"/>
      <c r="V159" s="352"/>
      <c r="W159" s="352"/>
      <c r="X159" s="352"/>
      <c r="Y159" s="352"/>
      <c r="Z159" s="352"/>
      <c r="AA159" s="352"/>
      <c r="AB159" s="352"/>
      <c r="AC159" s="352"/>
      <c r="AD159" s="352"/>
      <c r="AE159" s="352"/>
      <c r="AF159" s="352"/>
      <c r="AG159" s="352"/>
      <c r="AH159" s="352"/>
      <c r="AI159" s="352"/>
      <c r="AJ159" s="352"/>
      <c r="AK159" s="352"/>
      <c r="AL159" s="352"/>
      <c r="AM159" s="352"/>
      <c r="AN159" s="352"/>
      <c r="AO159" s="352"/>
      <c r="AP159" s="352"/>
      <c r="AQ159" s="352"/>
      <c r="AR159" s="352"/>
      <c r="AS159" s="352"/>
      <c r="AT159" s="352"/>
      <c r="AU159" s="352"/>
      <c r="AV159" s="352"/>
      <c r="AW159" s="352"/>
      <c r="AX159" s="352"/>
      <c r="AY159" s="352"/>
      <c r="AZ159" s="352"/>
      <c r="BA159" s="352"/>
      <c r="BB159" s="352"/>
      <c r="BC159" s="352"/>
      <c r="BD159" s="352"/>
      <c r="BE159" s="352"/>
      <c r="BF159" s="352"/>
      <c r="BG159" s="352"/>
      <c r="BH159" s="352"/>
      <c r="BI159" s="352"/>
      <c r="BJ159" s="352"/>
      <c r="BK159" s="352"/>
      <c r="BL159" s="352"/>
      <c r="BM159" s="352"/>
      <c r="BN159" s="352"/>
      <c r="BO159" s="352"/>
      <c r="BP159" s="352"/>
      <c r="BQ159" s="352"/>
      <c r="BR159" s="352"/>
      <c r="BS159" s="352"/>
      <c r="BT159" s="352"/>
      <c r="BU159" s="352"/>
      <c r="BV159" s="352"/>
      <c r="BW159" s="352"/>
      <c r="BX159" s="352"/>
      <c r="BY159" s="352"/>
      <c r="BZ159" s="352"/>
      <c r="CA159" s="352"/>
      <c r="CB159" s="352"/>
      <c r="CC159" s="352"/>
      <c r="CD159" s="352"/>
      <c r="CE159" s="352"/>
      <c r="CF159" s="352"/>
      <c r="CG159" s="352"/>
      <c r="CH159" s="352"/>
      <c r="CI159" s="352"/>
      <c r="CJ159" s="352"/>
      <c r="CK159" s="352"/>
      <c r="CL159" s="352"/>
      <c r="CM159" s="352"/>
      <c r="CN159" s="352"/>
      <c r="CO159" s="352"/>
      <c r="CP159" s="352"/>
      <c r="CQ159" s="352"/>
      <c r="CR159" s="352"/>
      <c r="CS159" s="352"/>
      <c r="CT159" s="352"/>
      <c r="CU159" s="352"/>
      <c r="CV159" s="352"/>
      <c r="CW159" s="352"/>
      <c r="CX159" s="352"/>
      <c r="CY159" s="352"/>
      <c r="CZ159" s="352"/>
      <c r="DA159" s="352"/>
      <c r="DB159" s="352"/>
      <c r="DC159" s="352"/>
      <c r="DD159" s="352"/>
      <c r="DE159" s="352"/>
      <c r="DF159" s="352"/>
      <c r="DG159" s="352"/>
      <c r="DH159" s="352"/>
      <c r="DI159" s="352"/>
      <c r="DJ159" s="352"/>
      <c r="DK159" s="352"/>
      <c r="DL159" s="352"/>
      <c r="DM159" s="352"/>
      <c r="DN159" s="352"/>
      <c r="DO159" s="352"/>
      <c r="DP159" s="352"/>
      <c r="DQ159" s="352"/>
      <c r="DR159" s="352"/>
      <c r="DS159" s="352"/>
      <c r="DT159" s="352"/>
      <c r="DU159" s="352"/>
      <c r="DV159" s="352"/>
      <c r="DW159" s="352"/>
      <c r="DX159" s="352"/>
      <c r="DY159" s="352"/>
      <c r="DZ159" s="352"/>
      <c r="EA159" s="352"/>
      <c r="EB159" s="352"/>
      <c r="EC159" s="352"/>
      <c r="ED159" s="352"/>
      <c r="EE159" s="352"/>
      <c r="EF159" s="352"/>
      <c r="EG159" s="352"/>
      <c r="EH159" s="352"/>
      <c r="EI159" s="352"/>
      <c r="EJ159" s="352"/>
      <c r="EK159" s="352"/>
      <c r="EL159" s="352"/>
      <c r="EM159" s="352"/>
      <c r="EN159" s="352"/>
    </row>
    <row r="160" spans="1:144" ht="20.100000000000001" customHeight="1">
      <c r="A160" s="118" t="s">
        <v>51</v>
      </c>
      <c r="B160" s="118" t="s">
        <v>719</v>
      </c>
      <c r="C160" s="133">
        <f>'Thomson Reuters IMA  ($)'!I420+'Thomson Reuters IMA  ($)'!I421</f>
        <v>843.10799999999995</v>
      </c>
      <c r="D160" s="120">
        <f>'Sectors % GDP'!I14</f>
        <v>159087.32</v>
      </c>
      <c r="E160" s="120">
        <f t="shared" si="4"/>
        <v>5.2996555602294378E-3</v>
      </c>
      <c r="F160" s="123">
        <v>1</v>
      </c>
      <c r="G160" s="120">
        <v>10</v>
      </c>
      <c r="H160" s="122">
        <v>70.5</v>
      </c>
      <c r="I160" s="122">
        <v>53.44</v>
      </c>
      <c r="J160" s="122">
        <v>68.510000000000005</v>
      </c>
      <c r="K160" s="123">
        <v>78.150000000000006</v>
      </c>
      <c r="L160" s="123">
        <f t="shared" si="5"/>
        <v>1.6</v>
      </c>
      <c r="M160" s="124">
        <v>1.6E-2</v>
      </c>
      <c r="N160" s="124">
        <v>6.25</v>
      </c>
      <c r="O160" s="125">
        <f>'Trade Data'!H11</f>
        <v>0.61376183531780448</v>
      </c>
      <c r="P160" s="126">
        <v>1</v>
      </c>
      <c r="Q160" s="352"/>
      <c r="R160" s="352"/>
      <c r="S160" s="352"/>
      <c r="T160" s="352"/>
      <c r="U160" s="352"/>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2"/>
      <c r="AT160" s="352"/>
      <c r="AU160" s="352"/>
      <c r="AV160" s="352"/>
      <c r="AW160" s="352"/>
      <c r="AX160" s="352"/>
      <c r="AY160" s="352"/>
      <c r="AZ160" s="352"/>
      <c r="BA160" s="352"/>
      <c r="BB160" s="352"/>
      <c r="BC160" s="352"/>
      <c r="BD160" s="352"/>
      <c r="BE160" s="352"/>
      <c r="BF160" s="352"/>
      <c r="BG160" s="352"/>
      <c r="BH160" s="352"/>
      <c r="BI160" s="352"/>
      <c r="BJ160" s="352"/>
      <c r="BK160" s="352"/>
      <c r="BL160" s="352"/>
      <c r="BM160" s="352"/>
      <c r="BN160" s="352"/>
      <c r="BO160" s="352"/>
      <c r="BP160" s="352"/>
      <c r="BQ160" s="352"/>
      <c r="BR160" s="352"/>
      <c r="BS160" s="352"/>
      <c r="BT160" s="352"/>
      <c r="BU160" s="352"/>
      <c r="BV160" s="352"/>
      <c r="BW160" s="352"/>
      <c r="BX160" s="352"/>
      <c r="BY160" s="352"/>
      <c r="BZ160" s="352"/>
      <c r="CA160" s="352"/>
      <c r="CB160" s="352"/>
      <c r="CC160" s="352"/>
      <c r="CD160" s="352"/>
      <c r="CE160" s="352"/>
      <c r="CF160" s="352"/>
      <c r="CG160" s="352"/>
      <c r="CH160" s="352"/>
      <c r="CI160" s="352"/>
      <c r="CJ160" s="352"/>
      <c r="CK160" s="352"/>
      <c r="CL160" s="352"/>
      <c r="CM160" s="352"/>
      <c r="CN160" s="352"/>
      <c r="CO160" s="352"/>
      <c r="CP160" s="352"/>
      <c r="CQ160" s="352"/>
      <c r="CR160" s="352"/>
      <c r="CS160" s="352"/>
      <c r="CT160" s="352"/>
      <c r="CU160" s="352"/>
      <c r="CV160" s="352"/>
      <c r="CW160" s="352"/>
      <c r="CX160" s="352"/>
      <c r="CY160" s="352"/>
      <c r="CZ160" s="352"/>
      <c r="DA160" s="352"/>
      <c r="DB160" s="352"/>
      <c r="DC160" s="352"/>
      <c r="DD160" s="352"/>
      <c r="DE160" s="352"/>
      <c r="DF160" s="352"/>
      <c r="DG160" s="352"/>
      <c r="DH160" s="352"/>
      <c r="DI160" s="352"/>
      <c r="DJ160" s="352"/>
      <c r="DK160" s="352"/>
      <c r="DL160" s="352"/>
      <c r="DM160" s="352"/>
      <c r="DN160" s="352"/>
      <c r="DO160" s="352"/>
      <c r="DP160" s="352"/>
      <c r="DQ160" s="352"/>
      <c r="DR160" s="352"/>
      <c r="DS160" s="352"/>
      <c r="DT160" s="352"/>
      <c r="DU160" s="352"/>
      <c r="DV160" s="352"/>
      <c r="DW160" s="352"/>
      <c r="DX160" s="352"/>
      <c r="DY160" s="352"/>
      <c r="DZ160" s="352"/>
      <c r="EA160" s="352"/>
      <c r="EB160" s="352"/>
      <c r="EC160" s="352"/>
      <c r="ED160" s="352"/>
      <c r="EE160" s="352"/>
      <c r="EF160" s="352"/>
      <c r="EG160" s="352"/>
      <c r="EH160" s="352"/>
      <c r="EI160" s="352"/>
      <c r="EJ160" s="352"/>
      <c r="EK160" s="352"/>
      <c r="EL160" s="352"/>
      <c r="EM160" s="352"/>
      <c r="EN160" s="352"/>
    </row>
    <row r="161" spans="1:144" s="169" customFormat="1" ht="20.100000000000001" customHeight="1">
      <c r="A161" s="160" t="s">
        <v>52</v>
      </c>
      <c r="B161" s="160" t="s">
        <v>718</v>
      </c>
      <c r="C161" s="176">
        <v>0</v>
      </c>
      <c r="D161" s="162">
        <f>'Sectors % GDP'!K12</f>
        <v>11581.24</v>
      </c>
      <c r="E161" s="162">
        <f t="shared" si="4"/>
        <v>0</v>
      </c>
      <c r="F161" s="165">
        <v>0</v>
      </c>
      <c r="G161" s="162">
        <v>0</v>
      </c>
      <c r="H161" s="164">
        <v>75.86</v>
      </c>
      <c r="I161" s="164">
        <v>69.19</v>
      </c>
      <c r="J161" s="164">
        <v>73.36</v>
      </c>
      <c r="K161" s="165">
        <v>75.34</v>
      </c>
      <c r="L161" s="165">
        <f t="shared" si="5"/>
        <v>1.6</v>
      </c>
      <c r="M161" s="166">
        <v>1.6E-2</v>
      </c>
      <c r="N161" s="166">
        <v>6.25</v>
      </c>
      <c r="O161" s="167">
        <f>'Trade Data'!H11</f>
        <v>0.61376183531780448</v>
      </c>
      <c r="P161" s="170">
        <v>0</v>
      </c>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352"/>
      <c r="AO161" s="352"/>
      <c r="AP161" s="352"/>
      <c r="AQ161" s="352"/>
      <c r="AR161" s="352"/>
      <c r="AS161" s="352"/>
      <c r="AT161" s="352"/>
      <c r="AU161" s="352"/>
      <c r="AV161" s="352"/>
      <c r="AW161" s="352"/>
      <c r="AX161" s="352"/>
      <c r="AY161" s="352"/>
      <c r="AZ161" s="352"/>
      <c r="BA161" s="352"/>
      <c r="BB161" s="352"/>
      <c r="BC161" s="352"/>
      <c r="BD161" s="352"/>
      <c r="BE161" s="352"/>
      <c r="BF161" s="352"/>
      <c r="BG161" s="352"/>
      <c r="BH161" s="352"/>
      <c r="BI161" s="352"/>
      <c r="BJ161" s="352"/>
      <c r="BK161" s="352"/>
      <c r="BL161" s="352"/>
      <c r="BM161" s="352"/>
      <c r="BN161" s="352"/>
      <c r="BO161" s="352"/>
      <c r="BP161" s="352"/>
      <c r="BQ161" s="352"/>
      <c r="BR161" s="352"/>
      <c r="BS161" s="352"/>
      <c r="BT161" s="352"/>
      <c r="BU161" s="352"/>
      <c r="BV161" s="352"/>
      <c r="BW161" s="352"/>
      <c r="BX161" s="352"/>
      <c r="BY161" s="352"/>
      <c r="BZ161" s="352"/>
      <c r="CA161" s="352"/>
      <c r="CB161" s="352"/>
      <c r="CC161" s="352"/>
      <c r="CD161" s="352"/>
      <c r="CE161" s="352"/>
      <c r="CF161" s="352"/>
      <c r="CG161" s="352"/>
      <c r="CH161" s="352"/>
      <c r="CI161" s="352"/>
      <c r="CJ161" s="352"/>
      <c r="CK161" s="352"/>
      <c r="CL161" s="352"/>
      <c r="CM161" s="352"/>
      <c r="CN161" s="352"/>
      <c r="CO161" s="352"/>
      <c r="CP161" s="352"/>
      <c r="CQ161" s="352"/>
      <c r="CR161" s="352"/>
      <c r="CS161" s="352"/>
      <c r="CT161" s="352"/>
      <c r="CU161" s="352"/>
      <c r="CV161" s="352"/>
      <c r="CW161" s="352"/>
      <c r="CX161" s="352"/>
      <c r="CY161" s="352"/>
      <c r="CZ161" s="352"/>
      <c r="DA161" s="352"/>
      <c r="DB161" s="352"/>
      <c r="DC161" s="352"/>
      <c r="DD161" s="352"/>
      <c r="DE161" s="352"/>
      <c r="DF161" s="352"/>
      <c r="DG161" s="352"/>
      <c r="DH161" s="352"/>
      <c r="DI161" s="352"/>
      <c r="DJ161" s="352"/>
      <c r="DK161" s="352"/>
      <c r="DL161" s="352"/>
      <c r="DM161" s="352"/>
      <c r="DN161" s="352"/>
      <c r="DO161" s="352"/>
      <c r="DP161" s="352"/>
      <c r="DQ161" s="352"/>
      <c r="DR161" s="352"/>
      <c r="DS161" s="352"/>
      <c r="DT161" s="352"/>
      <c r="DU161" s="352"/>
      <c r="DV161" s="352"/>
      <c r="DW161" s="352"/>
      <c r="DX161" s="352"/>
      <c r="DY161" s="352"/>
      <c r="DZ161" s="352"/>
      <c r="EA161" s="352"/>
      <c r="EB161" s="352"/>
      <c r="EC161" s="352"/>
      <c r="ED161" s="352"/>
      <c r="EE161" s="352"/>
      <c r="EF161" s="352"/>
      <c r="EG161" s="352"/>
      <c r="EH161" s="352"/>
      <c r="EI161" s="352"/>
      <c r="EJ161" s="352"/>
      <c r="EK161" s="352"/>
      <c r="EL161" s="352"/>
      <c r="EM161" s="352"/>
      <c r="EN161" s="352"/>
    </row>
    <row r="162" spans="1:144" s="188" customFormat="1" ht="20.100000000000001" customHeight="1">
      <c r="A162" s="179" t="s">
        <v>52</v>
      </c>
      <c r="B162" s="179" t="s">
        <v>717</v>
      </c>
      <c r="C162" s="193">
        <f>SUM('Thomson Reuters IMA  ($)'!I423:I426)</f>
        <v>664</v>
      </c>
      <c r="D162" s="181">
        <f>'Sectors % GDP'!K13</f>
        <v>82647.94</v>
      </c>
      <c r="E162" s="181">
        <f t="shared" si="4"/>
        <v>8.0340780423565298E-3</v>
      </c>
      <c r="F162" s="184">
        <v>1</v>
      </c>
      <c r="G162" s="181">
        <v>5</v>
      </c>
      <c r="H162" s="183">
        <v>75.86</v>
      </c>
      <c r="I162" s="183">
        <v>69.19</v>
      </c>
      <c r="J162" s="183">
        <v>73.36</v>
      </c>
      <c r="K162" s="184">
        <v>75.34</v>
      </c>
      <c r="L162" s="184">
        <f t="shared" si="5"/>
        <v>1.6</v>
      </c>
      <c r="M162" s="185">
        <v>1.6E-2</v>
      </c>
      <c r="N162" s="185">
        <v>6.25</v>
      </c>
      <c r="O162" s="186">
        <f>'Trade Data'!H11</f>
        <v>0.61376183531780448</v>
      </c>
      <c r="P162" s="189">
        <v>1</v>
      </c>
      <c r="Q162" s="352"/>
      <c r="R162" s="352"/>
      <c r="S162" s="352"/>
      <c r="T162" s="352"/>
      <c r="U162" s="352"/>
      <c r="V162" s="352"/>
      <c r="W162" s="352"/>
      <c r="X162" s="352"/>
      <c r="Y162" s="352"/>
      <c r="Z162" s="352"/>
      <c r="AA162" s="352"/>
      <c r="AB162" s="352"/>
      <c r="AC162" s="352"/>
      <c r="AD162" s="352"/>
      <c r="AE162" s="352"/>
      <c r="AF162" s="352"/>
      <c r="AG162" s="352"/>
      <c r="AH162" s="352"/>
      <c r="AI162" s="352"/>
      <c r="AJ162" s="352"/>
      <c r="AK162" s="352"/>
      <c r="AL162" s="352"/>
      <c r="AM162" s="352"/>
      <c r="AN162" s="352"/>
      <c r="AO162" s="352"/>
      <c r="AP162" s="352"/>
      <c r="AQ162" s="352"/>
      <c r="AR162" s="352"/>
      <c r="AS162" s="352"/>
      <c r="AT162" s="352"/>
      <c r="AU162" s="352"/>
      <c r="AV162" s="352"/>
      <c r="AW162" s="352"/>
      <c r="AX162" s="352"/>
      <c r="AY162" s="352"/>
      <c r="AZ162" s="352"/>
      <c r="BA162" s="352"/>
      <c r="BB162" s="352"/>
      <c r="BC162" s="352"/>
      <c r="BD162" s="352"/>
      <c r="BE162" s="352"/>
      <c r="BF162" s="352"/>
      <c r="BG162" s="352"/>
      <c r="BH162" s="352"/>
      <c r="BI162" s="352"/>
      <c r="BJ162" s="352"/>
      <c r="BK162" s="352"/>
      <c r="BL162" s="352"/>
      <c r="BM162" s="352"/>
      <c r="BN162" s="352"/>
      <c r="BO162" s="352"/>
      <c r="BP162" s="352"/>
      <c r="BQ162" s="352"/>
      <c r="BR162" s="352"/>
      <c r="BS162" s="352"/>
      <c r="BT162" s="352"/>
      <c r="BU162" s="352"/>
      <c r="BV162" s="352"/>
      <c r="BW162" s="352"/>
      <c r="BX162" s="352"/>
      <c r="BY162" s="352"/>
      <c r="BZ162" s="352"/>
      <c r="CA162" s="352"/>
      <c r="CB162" s="352"/>
      <c r="CC162" s="352"/>
      <c r="CD162" s="352"/>
      <c r="CE162" s="352"/>
      <c r="CF162" s="352"/>
      <c r="CG162" s="352"/>
      <c r="CH162" s="352"/>
      <c r="CI162" s="352"/>
      <c r="CJ162" s="352"/>
      <c r="CK162" s="352"/>
      <c r="CL162" s="352"/>
      <c r="CM162" s="352"/>
      <c r="CN162" s="352"/>
      <c r="CO162" s="352"/>
      <c r="CP162" s="352"/>
      <c r="CQ162" s="352"/>
      <c r="CR162" s="352"/>
      <c r="CS162" s="352"/>
      <c r="CT162" s="352"/>
      <c r="CU162" s="352"/>
      <c r="CV162" s="352"/>
      <c r="CW162" s="352"/>
      <c r="CX162" s="352"/>
      <c r="CY162" s="352"/>
      <c r="CZ162" s="352"/>
      <c r="DA162" s="352"/>
      <c r="DB162" s="352"/>
      <c r="DC162" s="352"/>
      <c r="DD162" s="352"/>
      <c r="DE162" s="352"/>
      <c r="DF162" s="352"/>
      <c r="DG162" s="352"/>
      <c r="DH162" s="352"/>
      <c r="DI162" s="352"/>
      <c r="DJ162" s="352"/>
      <c r="DK162" s="352"/>
      <c r="DL162" s="352"/>
      <c r="DM162" s="352"/>
      <c r="DN162" s="352"/>
      <c r="DO162" s="352"/>
      <c r="DP162" s="352"/>
      <c r="DQ162" s="352"/>
      <c r="DR162" s="352"/>
      <c r="DS162" s="352"/>
      <c r="DT162" s="352"/>
      <c r="DU162" s="352"/>
      <c r="DV162" s="352"/>
      <c r="DW162" s="352"/>
      <c r="DX162" s="352"/>
      <c r="DY162" s="352"/>
      <c r="DZ162" s="352"/>
      <c r="EA162" s="352"/>
      <c r="EB162" s="352"/>
      <c r="EC162" s="352"/>
      <c r="ED162" s="352"/>
      <c r="EE162" s="352"/>
      <c r="EF162" s="352"/>
      <c r="EG162" s="352"/>
      <c r="EH162" s="352"/>
      <c r="EI162" s="352"/>
      <c r="EJ162" s="352"/>
      <c r="EK162" s="352"/>
      <c r="EL162" s="352"/>
      <c r="EM162" s="352"/>
      <c r="EN162" s="352"/>
    </row>
    <row r="163" spans="1:144" ht="20.100000000000001" customHeight="1">
      <c r="A163" s="118" t="s">
        <v>52</v>
      </c>
      <c r="B163" s="118" t="s">
        <v>716</v>
      </c>
      <c r="C163" s="119">
        <v>0</v>
      </c>
      <c r="D163" s="120">
        <f>'Sectors % GDP'!K14</f>
        <v>169244.03</v>
      </c>
      <c r="E163" s="120">
        <f t="shared" si="4"/>
        <v>0</v>
      </c>
      <c r="F163" s="123">
        <v>1</v>
      </c>
      <c r="G163" s="120">
        <v>5</v>
      </c>
      <c r="H163" s="122">
        <v>75.86</v>
      </c>
      <c r="I163" s="122">
        <v>69.19</v>
      </c>
      <c r="J163" s="122">
        <v>73.36</v>
      </c>
      <c r="K163" s="123">
        <v>75.34</v>
      </c>
      <c r="L163" s="123">
        <f t="shared" si="5"/>
        <v>1.6</v>
      </c>
      <c r="M163" s="124">
        <v>1.6E-2</v>
      </c>
      <c r="N163" s="124">
        <v>6.25</v>
      </c>
      <c r="O163" s="125">
        <f>'Trade Data'!H11</f>
        <v>0.61376183531780448</v>
      </c>
      <c r="P163" s="127">
        <v>1</v>
      </c>
      <c r="Q163" s="352"/>
      <c r="R163" s="352"/>
      <c r="S163" s="352"/>
      <c r="T163" s="352"/>
      <c r="U163" s="352"/>
      <c r="V163" s="352"/>
      <c r="W163" s="352"/>
      <c r="X163" s="352"/>
      <c r="Y163" s="352"/>
      <c r="Z163" s="352"/>
      <c r="AA163" s="352"/>
      <c r="AB163" s="352"/>
      <c r="AC163" s="352"/>
      <c r="AD163" s="352"/>
      <c r="AE163" s="352"/>
      <c r="AF163" s="352"/>
      <c r="AG163" s="352"/>
      <c r="AH163" s="352"/>
      <c r="AI163" s="352"/>
      <c r="AJ163" s="352"/>
      <c r="AK163" s="352"/>
      <c r="AL163" s="352"/>
      <c r="AM163" s="352"/>
      <c r="AN163" s="352"/>
      <c r="AO163" s="352"/>
      <c r="AP163" s="352"/>
      <c r="AQ163" s="352"/>
      <c r="AR163" s="352"/>
      <c r="AS163" s="352"/>
      <c r="AT163" s="352"/>
      <c r="AU163" s="352"/>
      <c r="AV163" s="352"/>
      <c r="AW163" s="352"/>
      <c r="AX163" s="352"/>
      <c r="AY163" s="352"/>
      <c r="AZ163" s="352"/>
      <c r="BA163" s="352"/>
      <c r="BB163" s="352"/>
      <c r="BC163" s="352"/>
      <c r="BD163" s="352"/>
      <c r="BE163" s="352"/>
      <c r="BF163" s="352"/>
      <c r="BG163" s="352"/>
      <c r="BH163" s="352"/>
      <c r="BI163" s="352"/>
      <c r="BJ163" s="352"/>
      <c r="BK163" s="352"/>
      <c r="BL163" s="352"/>
      <c r="BM163" s="352"/>
      <c r="BN163" s="352"/>
      <c r="BO163" s="352"/>
      <c r="BP163" s="352"/>
      <c r="BQ163" s="352"/>
      <c r="BR163" s="352"/>
      <c r="BS163" s="352"/>
      <c r="BT163" s="352"/>
      <c r="BU163" s="352"/>
      <c r="BV163" s="352"/>
      <c r="BW163" s="352"/>
      <c r="BX163" s="352"/>
      <c r="BY163" s="352"/>
      <c r="BZ163" s="352"/>
      <c r="CA163" s="352"/>
      <c r="CB163" s="352"/>
      <c r="CC163" s="352"/>
      <c r="CD163" s="352"/>
      <c r="CE163" s="352"/>
      <c r="CF163" s="352"/>
      <c r="CG163" s="352"/>
      <c r="CH163" s="352"/>
      <c r="CI163" s="352"/>
      <c r="CJ163" s="352"/>
      <c r="CK163" s="352"/>
      <c r="CL163" s="352"/>
      <c r="CM163" s="352"/>
      <c r="CN163" s="352"/>
      <c r="CO163" s="352"/>
      <c r="CP163" s="352"/>
      <c r="CQ163" s="352"/>
      <c r="CR163" s="352"/>
      <c r="CS163" s="352"/>
      <c r="CT163" s="352"/>
      <c r="CU163" s="352"/>
      <c r="CV163" s="352"/>
      <c r="CW163" s="352"/>
      <c r="CX163" s="352"/>
      <c r="CY163" s="352"/>
      <c r="CZ163" s="352"/>
      <c r="DA163" s="352"/>
      <c r="DB163" s="352"/>
      <c r="DC163" s="352"/>
      <c r="DD163" s="352"/>
      <c r="DE163" s="352"/>
      <c r="DF163" s="352"/>
      <c r="DG163" s="352"/>
      <c r="DH163" s="352"/>
      <c r="DI163" s="352"/>
      <c r="DJ163" s="352"/>
      <c r="DK163" s="352"/>
      <c r="DL163" s="352"/>
      <c r="DM163" s="352"/>
      <c r="DN163" s="352"/>
      <c r="DO163" s="352"/>
      <c r="DP163" s="352"/>
      <c r="DQ163" s="352"/>
      <c r="DR163" s="352"/>
      <c r="DS163" s="352"/>
      <c r="DT163" s="352"/>
      <c r="DU163" s="352"/>
      <c r="DV163" s="352"/>
      <c r="DW163" s="352"/>
      <c r="DX163" s="352"/>
      <c r="DY163" s="352"/>
      <c r="DZ163" s="352"/>
      <c r="EA163" s="352"/>
      <c r="EB163" s="352"/>
      <c r="EC163" s="352"/>
      <c r="ED163" s="352"/>
      <c r="EE163" s="352"/>
      <c r="EF163" s="352"/>
      <c r="EG163" s="352"/>
      <c r="EH163" s="352"/>
      <c r="EI163" s="352"/>
      <c r="EJ163" s="352"/>
      <c r="EK163" s="352"/>
      <c r="EL163" s="352"/>
      <c r="EM163" s="352"/>
      <c r="EN163" s="352"/>
    </row>
    <row r="164" spans="1:144" s="169" customFormat="1" ht="20.100000000000001" customHeight="1">
      <c r="A164" s="160" t="s">
        <v>53</v>
      </c>
      <c r="B164" s="160" t="s">
        <v>715</v>
      </c>
      <c r="C164" s="161">
        <f>'Thomson Reuters IMA  ($)'!I428</f>
        <v>2.8</v>
      </c>
      <c r="D164" s="162">
        <f>'Sectors % GDP'!K12</f>
        <v>11581.24</v>
      </c>
      <c r="E164" s="162">
        <f t="shared" si="4"/>
        <v>2.4177031129654508E-4</v>
      </c>
      <c r="F164" s="165">
        <v>1</v>
      </c>
      <c r="G164" s="162">
        <v>1</v>
      </c>
      <c r="H164" s="164">
        <v>77.739999999999995</v>
      </c>
      <c r="I164" s="164">
        <v>88.81</v>
      </c>
      <c r="J164" s="164">
        <v>54.52</v>
      </c>
      <c r="K164" s="165">
        <v>75.34</v>
      </c>
      <c r="L164" s="165">
        <f t="shared" si="5"/>
        <v>1.7000000000000002</v>
      </c>
      <c r="M164" s="166">
        <v>1.7000000000000001E-2</v>
      </c>
      <c r="N164" s="166">
        <v>5.69</v>
      </c>
      <c r="O164" s="167">
        <f>'Trade Data'!J11</f>
        <v>0.61966902795142798</v>
      </c>
      <c r="P164" s="168">
        <v>0</v>
      </c>
      <c r="Q164" s="352"/>
      <c r="R164" s="352"/>
      <c r="S164" s="352"/>
      <c r="T164" s="352"/>
      <c r="U164" s="352"/>
      <c r="V164" s="352"/>
      <c r="W164" s="352"/>
      <c r="X164" s="352"/>
      <c r="Y164" s="352"/>
      <c r="Z164" s="352"/>
      <c r="AA164" s="352"/>
      <c r="AB164" s="352"/>
      <c r="AC164" s="352"/>
      <c r="AD164" s="352"/>
      <c r="AE164" s="352"/>
      <c r="AF164" s="352"/>
      <c r="AG164" s="352"/>
      <c r="AH164" s="352"/>
      <c r="AI164" s="352"/>
      <c r="AJ164" s="352"/>
      <c r="AK164" s="352"/>
      <c r="AL164" s="352"/>
      <c r="AM164" s="352"/>
      <c r="AN164" s="352"/>
      <c r="AO164" s="352"/>
      <c r="AP164" s="352"/>
      <c r="AQ164" s="352"/>
      <c r="AR164" s="352"/>
      <c r="AS164" s="352"/>
      <c r="AT164" s="352"/>
      <c r="AU164" s="352"/>
      <c r="AV164" s="352"/>
      <c r="AW164" s="352"/>
      <c r="AX164" s="352"/>
      <c r="AY164" s="352"/>
      <c r="AZ164" s="352"/>
      <c r="BA164" s="352"/>
      <c r="BB164" s="352"/>
      <c r="BC164" s="352"/>
      <c r="BD164" s="352"/>
      <c r="BE164" s="352"/>
      <c r="BF164" s="352"/>
      <c r="BG164" s="352"/>
      <c r="BH164" s="352"/>
      <c r="BI164" s="352"/>
      <c r="BJ164" s="352"/>
      <c r="BK164" s="352"/>
      <c r="BL164" s="352"/>
      <c r="BM164" s="352"/>
      <c r="BN164" s="352"/>
      <c r="BO164" s="352"/>
      <c r="BP164" s="352"/>
      <c r="BQ164" s="352"/>
      <c r="BR164" s="352"/>
      <c r="BS164" s="352"/>
      <c r="BT164" s="352"/>
      <c r="BU164" s="352"/>
      <c r="BV164" s="352"/>
      <c r="BW164" s="352"/>
      <c r="BX164" s="352"/>
      <c r="BY164" s="352"/>
      <c r="BZ164" s="352"/>
      <c r="CA164" s="352"/>
      <c r="CB164" s="352"/>
      <c r="CC164" s="352"/>
      <c r="CD164" s="352"/>
      <c r="CE164" s="352"/>
      <c r="CF164" s="352"/>
      <c r="CG164" s="352"/>
      <c r="CH164" s="352"/>
      <c r="CI164" s="352"/>
      <c r="CJ164" s="352"/>
      <c r="CK164" s="352"/>
      <c r="CL164" s="352"/>
      <c r="CM164" s="352"/>
      <c r="CN164" s="352"/>
      <c r="CO164" s="352"/>
      <c r="CP164" s="352"/>
      <c r="CQ164" s="352"/>
      <c r="CR164" s="352"/>
      <c r="CS164" s="352"/>
      <c r="CT164" s="352"/>
      <c r="CU164" s="352"/>
      <c r="CV164" s="352"/>
      <c r="CW164" s="352"/>
      <c r="CX164" s="352"/>
      <c r="CY164" s="352"/>
      <c r="CZ164" s="352"/>
      <c r="DA164" s="352"/>
      <c r="DB164" s="352"/>
      <c r="DC164" s="352"/>
      <c r="DD164" s="352"/>
      <c r="DE164" s="352"/>
      <c r="DF164" s="352"/>
      <c r="DG164" s="352"/>
      <c r="DH164" s="352"/>
      <c r="DI164" s="352"/>
      <c r="DJ164" s="352"/>
      <c r="DK164" s="352"/>
      <c r="DL164" s="352"/>
      <c r="DM164" s="352"/>
      <c r="DN164" s="352"/>
      <c r="DO164" s="352"/>
      <c r="DP164" s="352"/>
      <c r="DQ164" s="352"/>
      <c r="DR164" s="352"/>
      <c r="DS164" s="352"/>
      <c r="DT164" s="352"/>
      <c r="DU164" s="352"/>
      <c r="DV164" s="352"/>
      <c r="DW164" s="352"/>
      <c r="DX164" s="352"/>
      <c r="DY164" s="352"/>
      <c r="DZ164" s="352"/>
      <c r="EA164" s="352"/>
      <c r="EB164" s="352"/>
      <c r="EC164" s="352"/>
      <c r="ED164" s="352"/>
      <c r="EE164" s="352"/>
      <c r="EF164" s="352"/>
      <c r="EG164" s="352"/>
      <c r="EH164" s="352"/>
      <c r="EI164" s="352"/>
      <c r="EJ164" s="352"/>
      <c r="EK164" s="352"/>
      <c r="EL164" s="352"/>
      <c r="EM164" s="352"/>
      <c r="EN164" s="352"/>
    </row>
    <row r="165" spans="1:144" s="188" customFormat="1" ht="20.100000000000001" customHeight="1">
      <c r="A165" s="179" t="s">
        <v>53</v>
      </c>
      <c r="B165" s="179" t="s">
        <v>714</v>
      </c>
      <c r="C165" s="180">
        <f>'Thomson Reuters IMA  ($)'!I429</f>
        <v>341</v>
      </c>
      <c r="D165" s="181">
        <f>'Sectors % GDP'!K13</f>
        <v>82647.94</v>
      </c>
      <c r="E165" s="181">
        <f t="shared" si="4"/>
        <v>4.1259346572945438E-3</v>
      </c>
      <c r="F165" s="184">
        <v>1</v>
      </c>
      <c r="G165" s="181">
        <v>4</v>
      </c>
      <c r="H165" s="183">
        <v>77.739999999999995</v>
      </c>
      <c r="I165" s="183">
        <v>88.81</v>
      </c>
      <c r="J165" s="183">
        <v>54.52</v>
      </c>
      <c r="K165" s="184">
        <v>75.34</v>
      </c>
      <c r="L165" s="184">
        <f t="shared" si="5"/>
        <v>1.7000000000000002</v>
      </c>
      <c r="M165" s="185">
        <v>1.7000000000000001E-2</v>
      </c>
      <c r="N165" s="185">
        <v>5.69</v>
      </c>
      <c r="O165" s="186">
        <f>'Trade Data'!J11</f>
        <v>0.61966902795142798</v>
      </c>
      <c r="P165" s="187">
        <v>1</v>
      </c>
      <c r="Q165" s="352"/>
      <c r="R165" s="352"/>
      <c r="S165" s="352"/>
      <c r="T165" s="352"/>
      <c r="U165" s="352"/>
      <c r="V165" s="352"/>
      <c r="W165" s="352"/>
      <c r="X165" s="352"/>
      <c r="Y165" s="352"/>
      <c r="Z165" s="352"/>
      <c r="AA165" s="352"/>
      <c r="AB165" s="352"/>
      <c r="AC165" s="352"/>
      <c r="AD165" s="352"/>
      <c r="AE165" s="352"/>
      <c r="AF165" s="352"/>
      <c r="AG165" s="352"/>
      <c r="AH165" s="352"/>
      <c r="AI165" s="352"/>
      <c r="AJ165" s="352"/>
      <c r="AK165" s="352"/>
      <c r="AL165" s="352"/>
      <c r="AM165" s="352"/>
      <c r="AN165" s="352"/>
      <c r="AO165" s="352"/>
      <c r="AP165" s="352"/>
      <c r="AQ165" s="352"/>
      <c r="AR165" s="352"/>
      <c r="AS165" s="352"/>
      <c r="AT165" s="352"/>
      <c r="AU165" s="352"/>
      <c r="AV165" s="352"/>
      <c r="AW165" s="352"/>
      <c r="AX165" s="352"/>
      <c r="AY165" s="352"/>
      <c r="AZ165" s="352"/>
      <c r="BA165" s="352"/>
      <c r="BB165" s="352"/>
      <c r="BC165" s="352"/>
      <c r="BD165" s="352"/>
      <c r="BE165" s="352"/>
      <c r="BF165" s="352"/>
      <c r="BG165" s="352"/>
      <c r="BH165" s="352"/>
      <c r="BI165" s="352"/>
      <c r="BJ165" s="352"/>
      <c r="BK165" s="352"/>
      <c r="BL165" s="352"/>
      <c r="BM165" s="352"/>
      <c r="BN165" s="352"/>
      <c r="BO165" s="352"/>
      <c r="BP165" s="352"/>
      <c r="BQ165" s="352"/>
      <c r="BR165" s="352"/>
      <c r="BS165" s="352"/>
      <c r="BT165" s="352"/>
      <c r="BU165" s="352"/>
      <c r="BV165" s="352"/>
      <c r="BW165" s="352"/>
      <c r="BX165" s="352"/>
      <c r="BY165" s="352"/>
      <c r="BZ165" s="352"/>
      <c r="CA165" s="352"/>
      <c r="CB165" s="352"/>
      <c r="CC165" s="352"/>
      <c r="CD165" s="352"/>
      <c r="CE165" s="352"/>
      <c r="CF165" s="352"/>
      <c r="CG165" s="352"/>
      <c r="CH165" s="352"/>
      <c r="CI165" s="352"/>
      <c r="CJ165" s="352"/>
      <c r="CK165" s="352"/>
      <c r="CL165" s="352"/>
      <c r="CM165" s="352"/>
      <c r="CN165" s="352"/>
      <c r="CO165" s="352"/>
      <c r="CP165" s="352"/>
      <c r="CQ165" s="352"/>
      <c r="CR165" s="352"/>
      <c r="CS165" s="352"/>
      <c r="CT165" s="352"/>
      <c r="CU165" s="352"/>
      <c r="CV165" s="352"/>
      <c r="CW165" s="352"/>
      <c r="CX165" s="352"/>
      <c r="CY165" s="352"/>
      <c r="CZ165" s="352"/>
      <c r="DA165" s="352"/>
      <c r="DB165" s="352"/>
      <c r="DC165" s="352"/>
      <c r="DD165" s="352"/>
      <c r="DE165" s="352"/>
      <c r="DF165" s="352"/>
      <c r="DG165" s="352"/>
      <c r="DH165" s="352"/>
      <c r="DI165" s="352"/>
      <c r="DJ165" s="352"/>
      <c r="DK165" s="352"/>
      <c r="DL165" s="352"/>
      <c r="DM165" s="352"/>
      <c r="DN165" s="352"/>
      <c r="DO165" s="352"/>
      <c r="DP165" s="352"/>
      <c r="DQ165" s="352"/>
      <c r="DR165" s="352"/>
      <c r="DS165" s="352"/>
      <c r="DT165" s="352"/>
      <c r="DU165" s="352"/>
      <c r="DV165" s="352"/>
      <c r="DW165" s="352"/>
      <c r="DX165" s="352"/>
      <c r="DY165" s="352"/>
      <c r="DZ165" s="352"/>
      <c r="EA165" s="352"/>
      <c r="EB165" s="352"/>
      <c r="EC165" s="352"/>
      <c r="ED165" s="352"/>
      <c r="EE165" s="352"/>
      <c r="EF165" s="352"/>
      <c r="EG165" s="352"/>
      <c r="EH165" s="352"/>
      <c r="EI165" s="352"/>
      <c r="EJ165" s="352"/>
      <c r="EK165" s="352"/>
      <c r="EL165" s="352"/>
      <c r="EM165" s="352"/>
      <c r="EN165" s="352"/>
    </row>
    <row r="166" spans="1:144" ht="20.100000000000001" customHeight="1">
      <c r="A166" s="118" t="s">
        <v>53</v>
      </c>
      <c r="B166" s="118" t="s">
        <v>713</v>
      </c>
      <c r="C166" s="119">
        <f>'Thomson Reuters IMA  ($)'!I427</f>
        <v>9.1999999999999998E-2</v>
      </c>
      <c r="D166" s="120">
        <f>'Sectors % GDP'!K14</f>
        <v>169244.03</v>
      </c>
      <c r="E166" s="120">
        <f t="shared" si="4"/>
        <v>5.4359376812286967E-7</v>
      </c>
      <c r="F166" s="123">
        <v>1</v>
      </c>
      <c r="G166" s="120">
        <v>3</v>
      </c>
      <c r="H166" s="122">
        <v>77.739999999999995</v>
      </c>
      <c r="I166" s="122">
        <v>88.81</v>
      </c>
      <c r="J166" s="122">
        <v>54.52</v>
      </c>
      <c r="K166" s="123">
        <v>75.34</v>
      </c>
      <c r="L166" s="123">
        <f t="shared" si="5"/>
        <v>1.7000000000000002</v>
      </c>
      <c r="M166" s="124">
        <v>1.7000000000000001E-2</v>
      </c>
      <c r="N166" s="124">
        <v>5.69</v>
      </c>
      <c r="O166" s="125">
        <f>'Trade Data'!J11</f>
        <v>0.61966902795142798</v>
      </c>
      <c r="P166" s="126">
        <v>1</v>
      </c>
      <c r="Q166" s="352"/>
      <c r="R166" s="352"/>
      <c r="S166" s="352"/>
      <c r="T166" s="352"/>
      <c r="U166" s="352"/>
      <c r="V166" s="352"/>
      <c r="W166" s="352"/>
      <c r="X166" s="352"/>
      <c r="Y166" s="352"/>
      <c r="Z166" s="352"/>
      <c r="AA166" s="352"/>
      <c r="AB166" s="352"/>
      <c r="AC166" s="352"/>
      <c r="AD166" s="352"/>
      <c r="AE166" s="352"/>
      <c r="AF166" s="352"/>
      <c r="AG166" s="352"/>
      <c r="AH166" s="352"/>
      <c r="AI166" s="352"/>
      <c r="AJ166" s="352"/>
      <c r="AK166" s="352"/>
      <c r="AL166" s="352"/>
      <c r="AM166" s="352"/>
      <c r="AN166" s="352"/>
      <c r="AO166" s="352"/>
      <c r="AP166" s="352"/>
      <c r="AQ166" s="352"/>
      <c r="AR166" s="352"/>
      <c r="AS166" s="352"/>
      <c r="AT166" s="352"/>
      <c r="AU166" s="352"/>
      <c r="AV166" s="352"/>
      <c r="AW166" s="352"/>
      <c r="AX166" s="352"/>
      <c r="AY166" s="352"/>
      <c r="AZ166" s="352"/>
      <c r="BA166" s="352"/>
      <c r="BB166" s="352"/>
      <c r="BC166" s="352"/>
      <c r="BD166" s="352"/>
      <c r="BE166" s="352"/>
      <c r="BF166" s="352"/>
      <c r="BG166" s="352"/>
      <c r="BH166" s="352"/>
      <c r="BI166" s="352"/>
      <c r="BJ166" s="352"/>
      <c r="BK166" s="352"/>
      <c r="BL166" s="352"/>
      <c r="BM166" s="352"/>
      <c r="BN166" s="352"/>
      <c r="BO166" s="352"/>
      <c r="BP166" s="352"/>
      <c r="BQ166" s="352"/>
      <c r="BR166" s="352"/>
      <c r="BS166" s="352"/>
      <c r="BT166" s="352"/>
      <c r="BU166" s="352"/>
      <c r="BV166" s="352"/>
      <c r="BW166" s="352"/>
      <c r="BX166" s="352"/>
      <c r="BY166" s="352"/>
      <c r="BZ166" s="352"/>
      <c r="CA166" s="352"/>
      <c r="CB166" s="352"/>
      <c r="CC166" s="352"/>
      <c r="CD166" s="352"/>
      <c r="CE166" s="352"/>
      <c r="CF166" s="352"/>
      <c r="CG166" s="352"/>
      <c r="CH166" s="352"/>
      <c r="CI166" s="352"/>
      <c r="CJ166" s="352"/>
      <c r="CK166" s="352"/>
      <c r="CL166" s="352"/>
      <c r="CM166" s="352"/>
      <c r="CN166" s="352"/>
      <c r="CO166" s="352"/>
      <c r="CP166" s="352"/>
      <c r="CQ166" s="352"/>
      <c r="CR166" s="352"/>
      <c r="CS166" s="352"/>
      <c r="CT166" s="352"/>
      <c r="CU166" s="352"/>
      <c r="CV166" s="352"/>
      <c r="CW166" s="352"/>
      <c r="CX166" s="352"/>
      <c r="CY166" s="352"/>
      <c r="CZ166" s="352"/>
      <c r="DA166" s="352"/>
      <c r="DB166" s="352"/>
      <c r="DC166" s="352"/>
      <c r="DD166" s="352"/>
      <c r="DE166" s="352"/>
      <c r="DF166" s="352"/>
      <c r="DG166" s="352"/>
      <c r="DH166" s="352"/>
      <c r="DI166" s="352"/>
      <c r="DJ166" s="352"/>
      <c r="DK166" s="352"/>
      <c r="DL166" s="352"/>
      <c r="DM166" s="352"/>
      <c r="DN166" s="352"/>
      <c r="DO166" s="352"/>
      <c r="DP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row>
    <row r="167" spans="1:144" s="169" customFormat="1" ht="20.100000000000001" customHeight="1">
      <c r="A167" s="160" t="s">
        <v>54</v>
      </c>
      <c r="B167" s="160" t="s">
        <v>712</v>
      </c>
      <c r="C167" s="161"/>
      <c r="D167" s="162">
        <f>'Sectors % GDP'!K12</f>
        <v>11581.24</v>
      </c>
      <c r="E167" s="162">
        <f t="shared" si="4"/>
        <v>0</v>
      </c>
      <c r="F167" s="165">
        <v>0</v>
      </c>
      <c r="G167" s="162">
        <v>0</v>
      </c>
      <c r="H167" s="164">
        <v>66.8</v>
      </c>
      <c r="I167" s="164">
        <v>59.21</v>
      </c>
      <c r="J167" s="164">
        <v>57.21</v>
      </c>
      <c r="K167" s="165">
        <v>75.34</v>
      </c>
      <c r="L167" s="165">
        <f t="shared" si="5"/>
        <v>1.7000000000000002</v>
      </c>
      <c r="M167" s="166">
        <v>1.7000000000000001E-2</v>
      </c>
      <c r="N167" s="166">
        <v>5.69</v>
      </c>
      <c r="O167" s="167">
        <f>'Trade Data'!J11</f>
        <v>0.61966902795142798</v>
      </c>
      <c r="P167" s="170">
        <v>0</v>
      </c>
      <c r="Q167" s="352"/>
      <c r="R167" s="352"/>
      <c r="S167" s="352"/>
      <c r="T167" s="352"/>
      <c r="U167" s="352"/>
      <c r="V167" s="352"/>
      <c r="W167" s="352"/>
      <c r="X167" s="352"/>
      <c r="Y167" s="352"/>
      <c r="Z167" s="352"/>
      <c r="AA167" s="352"/>
      <c r="AB167" s="352"/>
      <c r="AC167" s="352"/>
      <c r="AD167" s="352"/>
      <c r="AE167" s="352"/>
      <c r="AF167" s="352"/>
      <c r="AG167" s="352"/>
      <c r="AH167" s="352"/>
      <c r="AI167" s="352"/>
      <c r="AJ167" s="352"/>
      <c r="AK167" s="352"/>
      <c r="AL167" s="352"/>
      <c r="AM167" s="352"/>
      <c r="AN167" s="352"/>
      <c r="AO167" s="352"/>
      <c r="AP167" s="352"/>
      <c r="AQ167" s="352"/>
      <c r="AR167" s="352"/>
      <c r="AS167" s="352"/>
      <c r="AT167" s="352"/>
      <c r="AU167" s="352"/>
      <c r="AV167" s="352"/>
      <c r="AW167" s="352"/>
      <c r="AX167" s="352"/>
      <c r="AY167" s="352"/>
      <c r="AZ167" s="352"/>
      <c r="BA167" s="352"/>
      <c r="BB167" s="352"/>
      <c r="BC167" s="352"/>
      <c r="BD167" s="352"/>
      <c r="BE167" s="352"/>
      <c r="BF167" s="352"/>
      <c r="BG167" s="352"/>
      <c r="BH167" s="352"/>
      <c r="BI167" s="352"/>
      <c r="BJ167" s="352"/>
      <c r="BK167" s="352"/>
      <c r="BL167" s="352"/>
      <c r="BM167" s="352"/>
      <c r="BN167" s="352"/>
      <c r="BO167" s="352"/>
      <c r="BP167" s="352"/>
      <c r="BQ167" s="352"/>
      <c r="BR167" s="352"/>
      <c r="BS167" s="352"/>
      <c r="BT167" s="352"/>
      <c r="BU167" s="352"/>
      <c r="BV167" s="352"/>
      <c r="BW167" s="352"/>
      <c r="BX167" s="352"/>
      <c r="BY167" s="352"/>
      <c r="BZ167" s="352"/>
      <c r="CA167" s="352"/>
      <c r="CB167" s="352"/>
      <c r="CC167" s="352"/>
      <c r="CD167" s="352"/>
      <c r="CE167" s="352"/>
      <c r="CF167" s="352"/>
      <c r="CG167" s="352"/>
      <c r="CH167" s="352"/>
      <c r="CI167" s="352"/>
      <c r="CJ167" s="352"/>
      <c r="CK167" s="352"/>
      <c r="CL167" s="352"/>
      <c r="CM167" s="352"/>
      <c r="CN167" s="352"/>
      <c r="CO167" s="352"/>
      <c r="CP167" s="352"/>
      <c r="CQ167" s="352"/>
      <c r="CR167" s="352"/>
      <c r="CS167" s="352"/>
      <c r="CT167" s="352"/>
      <c r="CU167" s="352"/>
      <c r="CV167" s="352"/>
      <c r="CW167" s="352"/>
      <c r="CX167" s="352"/>
      <c r="CY167" s="352"/>
      <c r="CZ167" s="352"/>
      <c r="DA167" s="352"/>
      <c r="DB167" s="352"/>
      <c r="DC167" s="352"/>
      <c r="DD167" s="352"/>
      <c r="DE167" s="352"/>
      <c r="DF167" s="352"/>
      <c r="DG167" s="352"/>
      <c r="DH167" s="352"/>
      <c r="DI167" s="352"/>
      <c r="DJ167" s="352"/>
      <c r="DK167" s="352"/>
      <c r="DL167" s="352"/>
      <c r="DM167" s="352"/>
      <c r="DN167" s="352"/>
      <c r="DO167" s="352"/>
      <c r="DP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row>
    <row r="168" spans="1:144" s="188" customFormat="1" ht="20.100000000000001" customHeight="1">
      <c r="A168" s="179" t="s">
        <v>54</v>
      </c>
      <c r="B168" s="179" t="s">
        <v>711</v>
      </c>
      <c r="C168" s="180">
        <f>'Thomson Reuters IMA  ($)'!I430+'Thomson Reuters IMA  ($)'!I431+'Thomson Reuters IMA  ($)'!I432+'Thomson Reuters IMA  ($)'!I433</f>
        <v>74.861999999999995</v>
      </c>
      <c r="D168" s="181">
        <f>'Sectors % GDP'!K13</f>
        <v>82647.94</v>
      </c>
      <c r="E168" s="181">
        <f t="shared" si="4"/>
        <v>9.0579390121520262E-4</v>
      </c>
      <c r="F168" s="184">
        <v>1</v>
      </c>
      <c r="G168" s="181">
        <v>7</v>
      </c>
      <c r="H168" s="183">
        <v>66.8</v>
      </c>
      <c r="I168" s="183">
        <v>59.21</v>
      </c>
      <c r="J168" s="183">
        <v>57.21</v>
      </c>
      <c r="K168" s="184">
        <v>75.34</v>
      </c>
      <c r="L168" s="184">
        <f t="shared" si="5"/>
        <v>1.7000000000000002</v>
      </c>
      <c r="M168" s="185">
        <v>1.7000000000000001E-2</v>
      </c>
      <c r="N168" s="185">
        <v>5.69</v>
      </c>
      <c r="O168" s="186">
        <f>'Trade Data'!J11</f>
        <v>0.61966902795142798</v>
      </c>
      <c r="P168" s="189">
        <v>1</v>
      </c>
      <c r="Q168" s="352"/>
      <c r="R168" s="352"/>
      <c r="S168" s="352"/>
      <c r="T168" s="352"/>
      <c r="U168" s="352"/>
      <c r="V168" s="352"/>
      <c r="W168" s="352"/>
      <c r="X168" s="352"/>
      <c r="Y168" s="352"/>
      <c r="Z168" s="352"/>
      <c r="AA168" s="352"/>
      <c r="AB168" s="352"/>
      <c r="AC168" s="352"/>
      <c r="AD168" s="352"/>
      <c r="AE168" s="352"/>
      <c r="AF168" s="352"/>
      <c r="AG168" s="352"/>
      <c r="AH168" s="352"/>
      <c r="AI168" s="352"/>
      <c r="AJ168" s="352"/>
      <c r="AK168" s="352"/>
      <c r="AL168" s="352"/>
      <c r="AM168" s="352"/>
      <c r="AN168" s="352"/>
      <c r="AO168" s="352"/>
      <c r="AP168" s="352"/>
      <c r="AQ168" s="352"/>
      <c r="AR168" s="352"/>
      <c r="AS168" s="352"/>
      <c r="AT168" s="352"/>
      <c r="AU168" s="352"/>
      <c r="AV168" s="352"/>
      <c r="AW168" s="352"/>
      <c r="AX168" s="352"/>
      <c r="AY168" s="352"/>
      <c r="AZ168" s="352"/>
      <c r="BA168" s="352"/>
      <c r="BB168" s="352"/>
      <c r="BC168" s="352"/>
      <c r="BD168" s="352"/>
      <c r="BE168" s="352"/>
      <c r="BF168" s="352"/>
      <c r="BG168" s="352"/>
      <c r="BH168" s="352"/>
      <c r="BI168" s="352"/>
      <c r="BJ168" s="352"/>
      <c r="BK168" s="352"/>
      <c r="BL168" s="352"/>
      <c r="BM168" s="352"/>
      <c r="BN168" s="352"/>
      <c r="BO168" s="352"/>
      <c r="BP168" s="352"/>
      <c r="BQ168" s="352"/>
      <c r="BR168" s="352"/>
      <c r="BS168" s="352"/>
      <c r="BT168" s="352"/>
      <c r="BU168" s="352"/>
      <c r="BV168" s="352"/>
      <c r="BW168" s="352"/>
      <c r="BX168" s="352"/>
      <c r="BY168" s="352"/>
      <c r="BZ168" s="352"/>
      <c r="CA168" s="352"/>
      <c r="CB168" s="352"/>
      <c r="CC168" s="352"/>
      <c r="CD168" s="352"/>
      <c r="CE168" s="352"/>
      <c r="CF168" s="352"/>
      <c r="CG168" s="352"/>
      <c r="CH168" s="352"/>
      <c r="CI168" s="352"/>
      <c r="CJ168" s="352"/>
      <c r="CK168" s="352"/>
      <c r="CL168" s="352"/>
      <c r="CM168" s="352"/>
      <c r="CN168" s="352"/>
      <c r="CO168" s="352"/>
      <c r="CP168" s="352"/>
      <c r="CQ168" s="352"/>
      <c r="CR168" s="352"/>
      <c r="CS168" s="352"/>
      <c r="CT168" s="352"/>
      <c r="CU168" s="352"/>
      <c r="CV168" s="352"/>
      <c r="CW168" s="352"/>
      <c r="CX168" s="352"/>
      <c r="CY168" s="352"/>
      <c r="CZ168" s="352"/>
      <c r="DA168" s="352"/>
      <c r="DB168" s="352"/>
      <c r="DC168" s="352"/>
      <c r="DD168" s="352"/>
      <c r="DE168" s="352"/>
      <c r="DF168" s="352"/>
      <c r="DG168" s="352"/>
      <c r="DH168" s="352"/>
      <c r="DI168" s="352"/>
      <c r="DJ168" s="352"/>
      <c r="DK168" s="352"/>
      <c r="DL168" s="352"/>
      <c r="DM168" s="352"/>
      <c r="DN168" s="352"/>
      <c r="DO168" s="352"/>
      <c r="DP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row>
    <row r="169" spans="1:144" ht="20.100000000000001" customHeight="1">
      <c r="A169" s="118" t="s">
        <v>54</v>
      </c>
      <c r="B169" s="118" t="s">
        <v>710</v>
      </c>
      <c r="C169" s="119">
        <f>'Thomson Reuters IMA  ($)'!I434+'Thomson Reuters IMA  ($)'!I435</f>
        <v>2594.442</v>
      </c>
      <c r="D169" s="120">
        <f>'Sectors % GDP'!K14</f>
        <v>169244.03</v>
      </c>
      <c r="E169" s="120">
        <f t="shared" si="4"/>
        <v>1.532959242343733E-2</v>
      </c>
      <c r="F169" s="123">
        <v>1</v>
      </c>
      <c r="G169" s="120">
        <v>5</v>
      </c>
      <c r="H169" s="122">
        <v>66.8</v>
      </c>
      <c r="I169" s="122">
        <v>59.21</v>
      </c>
      <c r="J169" s="122">
        <v>57.21</v>
      </c>
      <c r="K169" s="123">
        <v>75.34</v>
      </c>
      <c r="L169" s="123">
        <f t="shared" si="5"/>
        <v>1.7000000000000002</v>
      </c>
      <c r="M169" s="124">
        <v>1.7000000000000001E-2</v>
      </c>
      <c r="N169" s="124">
        <v>5.69</v>
      </c>
      <c r="O169" s="125">
        <f>'Trade Data'!J11</f>
        <v>0.61966902795142798</v>
      </c>
      <c r="P169" s="127">
        <v>1</v>
      </c>
      <c r="Q169" s="352"/>
      <c r="R169" s="352"/>
      <c r="S169" s="352"/>
      <c r="T169" s="352"/>
      <c r="U169" s="352"/>
      <c r="V169" s="352"/>
      <c r="W169" s="352"/>
      <c r="X169" s="352"/>
      <c r="Y169" s="352"/>
      <c r="Z169" s="352"/>
      <c r="AA169" s="352"/>
      <c r="AB169" s="352"/>
      <c r="AC169" s="352"/>
      <c r="AD169" s="352"/>
      <c r="AE169" s="352"/>
      <c r="AF169" s="352"/>
      <c r="AG169" s="352"/>
      <c r="AH169" s="352"/>
      <c r="AI169" s="352"/>
      <c r="AJ169" s="352"/>
      <c r="AK169" s="352"/>
      <c r="AL169" s="352"/>
      <c r="AM169" s="352"/>
      <c r="AN169" s="352"/>
      <c r="AO169" s="352"/>
      <c r="AP169" s="352"/>
      <c r="AQ169" s="352"/>
      <c r="AR169" s="352"/>
      <c r="AS169" s="352"/>
      <c r="AT169" s="352"/>
      <c r="AU169" s="352"/>
      <c r="AV169" s="352"/>
      <c r="AW169" s="352"/>
      <c r="AX169" s="352"/>
      <c r="AY169" s="352"/>
      <c r="AZ169" s="352"/>
      <c r="BA169" s="352"/>
      <c r="BB169" s="352"/>
      <c r="BC169" s="352"/>
      <c r="BD169" s="352"/>
      <c r="BE169" s="352"/>
      <c r="BF169" s="352"/>
      <c r="BG169" s="352"/>
      <c r="BH169" s="352"/>
      <c r="BI169" s="352"/>
      <c r="BJ169" s="352"/>
      <c r="BK169" s="352"/>
      <c r="BL169" s="352"/>
      <c r="BM169" s="352"/>
      <c r="BN169" s="352"/>
      <c r="BO169" s="352"/>
      <c r="BP169" s="352"/>
      <c r="BQ169" s="352"/>
      <c r="BR169" s="352"/>
      <c r="BS169" s="352"/>
      <c r="BT169" s="352"/>
      <c r="BU169" s="352"/>
      <c r="BV169" s="352"/>
      <c r="BW169" s="352"/>
      <c r="BX169" s="352"/>
      <c r="BY169" s="352"/>
      <c r="BZ169" s="352"/>
      <c r="CA169" s="352"/>
      <c r="CB169" s="352"/>
      <c r="CC169" s="352"/>
      <c r="CD169" s="352"/>
      <c r="CE169" s="352"/>
      <c r="CF169" s="352"/>
      <c r="CG169" s="352"/>
      <c r="CH169" s="352"/>
      <c r="CI169" s="352"/>
      <c r="CJ169" s="352"/>
      <c r="CK169" s="352"/>
      <c r="CL169" s="352"/>
      <c r="CM169" s="352"/>
      <c r="CN169" s="352"/>
      <c r="CO169" s="352"/>
      <c r="CP169" s="352"/>
      <c r="CQ169" s="352"/>
      <c r="CR169" s="352"/>
      <c r="CS169" s="352"/>
      <c r="CT169" s="352"/>
      <c r="CU169" s="352"/>
      <c r="CV169" s="352"/>
      <c r="CW169" s="352"/>
      <c r="CX169" s="352"/>
      <c r="CY169" s="352"/>
      <c r="CZ169" s="352"/>
      <c r="DA169" s="352"/>
      <c r="DB169" s="352"/>
      <c r="DC169" s="352"/>
      <c r="DD169" s="352"/>
      <c r="DE169" s="352"/>
      <c r="DF169" s="352"/>
      <c r="DG169" s="352"/>
      <c r="DH169" s="352"/>
      <c r="DI169" s="352"/>
      <c r="DJ169" s="352"/>
      <c r="DK169" s="352"/>
      <c r="DL169" s="352"/>
      <c r="DM169" s="352"/>
      <c r="DN169" s="352"/>
      <c r="DO169" s="352"/>
      <c r="DP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row>
    <row r="170" spans="1:144" s="169" customFormat="1" ht="20.100000000000001" customHeight="1">
      <c r="A170" s="160" t="s">
        <v>55</v>
      </c>
      <c r="B170" s="160" t="s">
        <v>855</v>
      </c>
      <c r="C170" s="161"/>
      <c r="D170" s="162">
        <f>'Sectors % GDP'!K12</f>
        <v>11581.24</v>
      </c>
      <c r="E170" s="162">
        <f t="shared" si="4"/>
        <v>0</v>
      </c>
      <c r="F170" s="165">
        <v>0</v>
      </c>
      <c r="G170" s="162">
        <v>0</v>
      </c>
      <c r="H170" s="164">
        <v>80.5</v>
      </c>
      <c r="I170" s="164">
        <v>90.62</v>
      </c>
      <c r="J170" s="164">
        <v>61.27</v>
      </c>
      <c r="K170" s="165">
        <v>75.34</v>
      </c>
      <c r="L170" s="165">
        <f t="shared" si="5"/>
        <v>1.7000000000000002</v>
      </c>
      <c r="M170" s="166">
        <v>1.7000000000000001E-2</v>
      </c>
      <c r="N170" s="166">
        <v>5.69</v>
      </c>
      <c r="O170" s="167">
        <f>'Trade Data'!J11</f>
        <v>0.61966902795142798</v>
      </c>
      <c r="P170" s="168">
        <v>0</v>
      </c>
      <c r="Q170" s="352"/>
      <c r="R170" s="352"/>
      <c r="S170" s="352"/>
      <c r="T170" s="352"/>
      <c r="U170" s="352"/>
      <c r="V170" s="352"/>
      <c r="W170" s="352"/>
      <c r="X170" s="352"/>
      <c r="Y170" s="352"/>
      <c r="Z170" s="352"/>
      <c r="AA170" s="352"/>
      <c r="AB170" s="352"/>
      <c r="AC170" s="352"/>
      <c r="AD170" s="352"/>
      <c r="AE170" s="352"/>
      <c r="AF170" s="352"/>
      <c r="AG170" s="352"/>
      <c r="AH170" s="352"/>
      <c r="AI170" s="352"/>
      <c r="AJ170" s="352"/>
      <c r="AK170" s="352"/>
      <c r="AL170" s="352"/>
      <c r="AM170" s="352"/>
      <c r="AN170" s="352"/>
      <c r="AO170" s="352"/>
      <c r="AP170" s="352"/>
      <c r="AQ170" s="352"/>
      <c r="AR170" s="352"/>
      <c r="AS170" s="352"/>
      <c r="AT170" s="352"/>
      <c r="AU170" s="352"/>
      <c r="AV170" s="352"/>
      <c r="AW170" s="352"/>
      <c r="AX170" s="352"/>
      <c r="AY170" s="352"/>
      <c r="AZ170" s="352"/>
      <c r="BA170" s="352"/>
      <c r="BB170" s="352"/>
      <c r="BC170" s="352"/>
      <c r="BD170" s="352"/>
      <c r="BE170" s="352"/>
      <c r="BF170" s="352"/>
      <c r="BG170" s="352"/>
      <c r="BH170" s="352"/>
      <c r="BI170" s="352"/>
      <c r="BJ170" s="352"/>
      <c r="BK170" s="352"/>
      <c r="BL170" s="352"/>
      <c r="BM170" s="352"/>
      <c r="BN170" s="352"/>
      <c r="BO170" s="352"/>
      <c r="BP170" s="352"/>
      <c r="BQ170" s="352"/>
      <c r="BR170" s="352"/>
      <c r="BS170" s="352"/>
      <c r="BT170" s="352"/>
      <c r="BU170" s="352"/>
      <c r="BV170" s="352"/>
      <c r="BW170" s="352"/>
      <c r="BX170" s="352"/>
      <c r="BY170" s="352"/>
      <c r="BZ170" s="352"/>
      <c r="CA170" s="352"/>
      <c r="CB170" s="352"/>
      <c r="CC170" s="352"/>
      <c r="CD170" s="352"/>
      <c r="CE170" s="352"/>
      <c r="CF170" s="352"/>
      <c r="CG170" s="352"/>
      <c r="CH170" s="352"/>
      <c r="CI170" s="352"/>
      <c r="CJ170" s="352"/>
      <c r="CK170" s="352"/>
      <c r="CL170" s="352"/>
      <c r="CM170" s="352"/>
      <c r="CN170" s="352"/>
      <c r="CO170" s="352"/>
      <c r="CP170" s="352"/>
      <c r="CQ170" s="352"/>
      <c r="CR170" s="352"/>
      <c r="CS170" s="352"/>
      <c r="CT170" s="352"/>
      <c r="CU170" s="352"/>
      <c r="CV170" s="352"/>
      <c r="CW170" s="352"/>
      <c r="CX170" s="352"/>
      <c r="CY170" s="352"/>
      <c r="CZ170" s="352"/>
      <c r="DA170" s="352"/>
      <c r="DB170" s="352"/>
      <c r="DC170" s="352"/>
      <c r="DD170" s="352"/>
      <c r="DE170" s="352"/>
      <c r="DF170" s="352"/>
      <c r="DG170" s="352"/>
      <c r="DH170" s="352"/>
      <c r="DI170" s="352"/>
      <c r="DJ170" s="352"/>
      <c r="DK170" s="352"/>
      <c r="DL170" s="352"/>
      <c r="DM170" s="352"/>
      <c r="DN170" s="352"/>
      <c r="DO170" s="352"/>
      <c r="DP170" s="352"/>
      <c r="DQ170" s="352"/>
      <c r="DR170" s="352"/>
      <c r="DS170" s="352"/>
      <c r="DT170" s="352"/>
      <c r="DU170" s="352"/>
      <c r="DV170" s="352"/>
      <c r="DW170" s="352"/>
      <c r="DX170" s="352"/>
      <c r="DY170" s="352"/>
      <c r="DZ170" s="352"/>
      <c r="EA170" s="352"/>
      <c r="EB170" s="352"/>
      <c r="EC170" s="352"/>
      <c r="ED170" s="352"/>
      <c r="EE170" s="352"/>
      <c r="EF170" s="352"/>
      <c r="EG170" s="352"/>
      <c r="EH170" s="352"/>
      <c r="EI170" s="352"/>
      <c r="EJ170" s="352"/>
      <c r="EK170" s="352"/>
      <c r="EL170" s="352"/>
      <c r="EM170" s="352"/>
      <c r="EN170" s="352"/>
    </row>
    <row r="171" spans="1:144" s="188" customFormat="1" ht="20.100000000000001" customHeight="1">
      <c r="A171" s="190" t="s">
        <v>55</v>
      </c>
      <c r="B171" s="179" t="s">
        <v>856</v>
      </c>
      <c r="C171" s="180">
        <f>'Thomson Reuters IMA  ($)'!I436+'Thomson Reuters IMA  ($)'!I437</f>
        <v>13.74</v>
      </c>
      <c r="D171" s="181">
        <f>'Sectors % GDP'!K13</f>
        <v>82647.94</v>
      </c>
      <c r="E171" s="181">
        <f t="shared" si="4"/>
        <v>1.6624733780418483E-4</v>
      </c>
      <c r="F171" s="184">
        <v>1</v>
      </c>
      <c r="G171" s="181">
        <v>4</v>
      </c>
      <c r="H171" s="183">
        <v>80.5</v>
      </c>
      <c r="I171" s="183">
        <v>90.62</v>
      </c>
      <c r="J171" s="183">
        <v>61.27</v>
      </c>
      <c r="K171" s="184">
        <v>75.34</v>
      </c>
      <c r="L171" s="184">
        <f t="shared" si="5"/>
        <v>1.7000000000000002</v>
      </c>
      <c r="M171" s="185">
        <v>1.7000000000000001E-2</v>
      </c>
      <c r="N171" s="185">
        <v>5.69</v>
      </c>
      <c r="O171" s="186">
        <f>'Trade Data'!J11</f>
        <v>0.61966902795142798</v>
      </c>
      <c r="P171" s="187">
        <v>1</v>
      </c>
      <c r="Q171" s="352"/>
      <c r="R171" s="352"/>
      <c r="S171" s="352"/>
      <c r="T171" s="352"/>
      <c r="U171" s="352"/>
      <c r="V171" s="352"/>
      <c r="W171" s="352"/>
      <c r="X171" s="352"/>
      <c r="Y171" s="352"/>
      <c r="Z171" s="352"/>
      <c r="AA171" s="352"/>
      <c r="AB171" s="352"/>
      <c r="AC171" s="352"/>
      <c r="AD171" s="352"/>
      <c r="AE171" s="352"/>
      <c r="AF171" s="352"/>
      <c r="AG171" s="352"/>
      <c r="AH171" s="352"/>
      <c r="AI171" s="352"/>
      <c r="AJ171" s="352"/>
      <c r="AK171" s="352"/>
      <c r="AL171" s="352"/>
      <c r="AM171" s="352"/>
      <c r="AN171" s="352"/>
      <c r="AO171" s="352"/>
      <c r="AP171" s="352"/>
      <c r="AQ171" s="352"/>
      <c r="AR171" s="352"/>
      <c r="AS171" s="352"/>
      <c r="AT171" s="352"/>
      <c r="AU171" s="352"/>
      <c r="AV171" s="352"/>
      <c r="AW171" s="352"/>
      <c r="AX171" s="352"/>
      <c r="AY171" s="352"/>
      <c r="AZ171" s="352"/>
      <c r="BA171" s="352"/>
      <c r="BB171" s="352"/>
      <c r="BC171" s="352"/>
      <c r="BD171" s="352"/>
      <c r="BE171" s="352"/>
      <c r="BF171" s="352"/>
      <c r="BG171" s="352"/>
      <c r="BH171" s="352"/>
      <c r="BI171" s="352"/>
      <c r="BJ171" s="352"/>
      <c r="BK171" s="352"/>
      <c r="BL171" s="352"/>
      <c r="BM171" s="352"/>
      <c r="BN171" s="352"/>
      <c r="BO171" s="352"/>
      <c r="BP171" s="352"/>
      <c r="BQ171" s="352"/>
      <c r="BR171" s="352"/>
      <c r="BS171" s="352"/>
      <c r="BT171" s="352"/>
      <c r="BU171" s="352"/>
      <c r="BV171" s="352"/>
      <c r="BW171" s="352"/>
      <c r="BX171" s="352"/>
      <c r="BY171" s="352"/>
      <c r="BZ171" s="352"/>
      <c r="CA171" s="352"/>
      <c r="CB171" s="352"/>
      <c r="CC171" s="352"/>
      <c r="CD171" s="352"/>
      <c r="CE171" s="352"/>
      <c r="CF171" s="352"/>
      <c r="CG171" s="352"/>
      <c r="CH171" s="352"/>
      <c r="CI171" s="352"/>
      <c r="CJ171" s="352"/>
      <c r="CK171" s="352"/>
      <c r="CL171" s="352"/>
      <c r="CM171" s="352"/>
      <c r="CN171" s="352"/>
      <c r="CO171" s="352"/>
      <c r="CP171" s="352"/>
      <c r="CQ171" s="352"/>
      <c r="CR171" s="352"/>
      <c r="CS171" s="352"/>
      <c r="CT171" s="352"/>
      <c r="CU171" s="352"/>
      <c r="CV171" s="352"/>
      <c r="CW171" s="352"/>
      <c r="CX171" s="352"/>
      <c r="CY171" s="352"/>
      <c r="CZ171" s="352"/>
      <c r="DA171" s="352"/>
      <c r="DB171" s="352"/>
      <c r="DC171" s="352"/>
      <c r="DD171" s="352"/>
      <c r="DE171" s="352"/>
      <c r="DF171" s="352"/>
      <c r="DG171" s="352"/>
      <c r="DH171" s="352"/>
      <c r="DI171" s="352"/>
      <c r="DJ171" s="352"/>
      <c r="DK171" s="352"/>
      <c r="DL171" s="352"/>
      <c r="DM171" s="352"/>
      <c r="DN171" s="352"/>
      <c r="DO171" s="352"/>
      <c r="DP171" s="352"/>
      <c r="DQ171" s="352"/>
      <c r="DR171" s="352"/>
      <c r="DS171" s="352"/>
      <c r="DT171" s="352"/>
      <c r="DU171" s="352"/>
      <c r="DV171" s="352"/>
      <c r="DW171" s="352"/>
      <c r="DX171" s="352"/>
      <c r="DY171" s="352"/>
      <c r="DZ171" s="352"/>
      <c r="EA171" s="352"/>
      <c r="EB171" s="352"/>
      <c r="EC171" s="352"/>
      <c r="ED171" s="352"/>
      <c r="EE171" s="352"/>
      <c r="EF171" s="352"/>
      <c r="EG171" s="352"/>
      <c r="EH171" s="352"/>
      <c r="EI171" s="352"/>
      <c r="EJ171" s="352"/>
      <c r="EK171" s="352"/>
      <c r="EL171" s="352"/>
      <c r="EM171" s="352"/>
      <c r="EN171" s="352"/>
    </row>
    <row r="172" spans="1:144" ht="20.100000000000001" customHeight="1">
      <c r="A172" s="129" t="s">
        <v>55</v>
      </c>
      <c r="B172" s="118" t="s">
        <v>857</v>
      </c>
      <c r="C172" s="119">
        <f>'Thomson Reuters IMA  ($)'!I438</f>
        <v>38.515999999999998</v>
      </c>
      <c r="D172" s="120">
        <f>'Sectors % GDP'!K14</f>
        <v>169244.03</v>
      </c>
      <c r="E172" s="120">
        <f t="shared" si="4"/>
        <v>2.2757671275022226E-4</v>
      </c>
      <c r="F172" s="123">
        <v>1</v>
      </c>
      <c r="G172" s="120">
        <v>1</v>
      </c>
      <c r="H172" s="122">
        <v>80.5</v>
      </c>
      <c r="I172" s="122">
        <v>90.62</v>
      </c>
      <c r="J172" s="122">
        <v>61.27</v>
      </c>
      <c r="K172" s="123">
        <v>75.34</v>
      </c>
      <c r="L172" s="123">
        <f t="shared" si="5"/>
        <v>1.7000000000000002</v>
      </c>
      <c r="M172" s="124">
        <v>1.7000000000000001E-2</v>
      </c>
      <c r="N172" s="124">
        <v>5.69</v>
      </c>
      <c r="O172" s="125">
        <f>'Trade Data'!J11</f>
        <v>0.61966902795142798</v>
      </c>
      <c r="P172" s="126">
        <v>1</v>
      </c>
      <c r="Q172" s="352"/>
      <c r="R172" s="352"/>
      <c r="S172" s="352"/>
      <c r="T172" s="352"/>
      <c r="U172" s="352"/>
      <c r="V172" s="352"/>
      <c r="W172" s="352"/>
      <c r="X172" s="352"/>
      <c r="Y172" s="352"/>
      <c r="Z172" s="352"/>
      <c r="AA172" s="352"/>
      <c r="AB172" s="352"/>
      <c r="AC172" s="352"/>
      <c r="AD172" s="352"/>
      <c r="AE172" s="352"/>
      <c r="AF172" s="352"/>
      <c r="AG172" s="352"/>
      <c r="AH172" s="352"/>
      <c r="AI172" s="352"/>
      <c r="AJ172" s="352"/>
      <c r="AK172" s="352"/>
      <c r="AL172" s="352"/>
      <c r="AM172" s="352"/>
      <c r="AN172" s="352"/>
      <c r="AO172" s="352"/>
      <c r="AP172" s="352"/>
      <c r="AQ172" s="352"/>
      <c r="AR172" s="352"/>
      <c r="AS172" s="352"/>
      <c r="AT172" s="352"/>
      <c r="AU172" s="352"/>
      <c r="AV172" s="352"/>
      <c r="AW172" s="352"/>
      <c r="AX172" s="352"/>
      <c r="AY172" s="352"/>
      <c r="AZ172" s="352"/>
      <c r="BA172" s="352"/>
      <c r="BB172" s="352"/>
      <c r="BC172" s="352"/>
      <c r="BD172" s="352"/>
      <c r="BE172" s="352"/>
      <c r="BF172" s="352"/>
      <c r="BG172" s="352"/>
      <c r="BH172" s="352"/>
      <c r="BI172" s="352"/>
      <c r="BJ172" s="352"/>
      <c r="BK172" s="352"/>
      <c r="BL172" s="352"/>
      <c r="BM172" s="352"/>
      <c r="BN172" s="352"/>
      <c r="BO172" s="352"/>
      <c r="BP172" s="352"/>
      <c r="BQ172" s="352"/>
      <c r="BR172" s="352"/>
      <c r="BS172" s="352"/>
      <c r="BT172" s="352"/>
      <c r="BU172" s="352"/>
      <c r="BV172" s="352"/>
      <c r="BW172" s="352"/>
      <c r="BX172" s="352"/>
      <c r="BY172" s="352"/>
      <c r="BZ172" s="352"/>
      <c r="CA172" s="352"/>
      <c r="CB172" s="352"/>
      <c r="CC172" s="352"/>
      <c r="CD172" s="352"/>
      <c r="CE172" s="352"/>
      <c r="CF172" s="352"/>
      <c r="CG172" s="352"/>
      <c r="CH172" s="352"/>
      <c r="CI172" s="352"/>
      <c r="CJ172" s="352"/>
      <c r="CK172" s="352"/>
      <c r="CL172" s="352"/>
      <c r="CM172" s="352"/>
      <c r="CN172" s="352"/>
      <c r="CO172" s="352"/>
      <c r="CP172" s="352"/>
      <c r="CQ172" s="352"/>
      <c r="CR172" s="352"/>
      <c r="CS172" s="352"/>
      <c r="CT172" s="352"/>
      <c r="CU172" s="352"/>
      <c r="CV172" s="352"/>
      <c r="CW172" s="352"/>
      <c r="CX172" s="352"/>
      <c r="CY172" s="352"/>
      <c r="CZ172" s="352"/>
      <c r="DA172" s="352"/>
      <c r="DB172" s="352"/>
      <c r="DC172" s="352"/>
      <c r="DD172" s="352"/>
      <c r="DE172" s="352"/>
      <c r="DF172" s="352"/>
      <c r="DG172" s="352"/>
      <c r="DH172" s="352"/>
      <c r="DI172" s="352"/>
      <c r="DJ172" s="352"/>
      <c r="DK172" s="352"/>
      <c r="DL172" s="352"/>
      <c r="DM172" s="352"/>
      <c r="DN172" s="352"/>
      <c r="DO172" s="352"/>
      <c r="DP172" s="352"/>
      <c r="DQ172" s="352"/>
      <c r="DR172" s="352"/>
      <c r="DS172" s="352"/>
      <c r="DT172" s="352"/>
      <c r="DU172" s="352"/>
      <c r="DV172" s="352"/>
      <c r="DW172" s="352"/>
      <c r="DX172" s="352"/>
      <c r="DY172" s="352"/>
      <c r="DZ172" s="352"/>
      <c r="EA172" s="352"/>
      <c r="EB172" s="352"/>
      <c r="EC172" s="352"/>
      <c r="ED172" s="352"/>
      <c r="EE172" s="352"/>
      <c r="EF172" s="352"/>
      <c r="EG172" s="352"/>
      <c r="EH172" s="352"/>
      <c r="EI172" s="352"/>
      <c r="EJ172" s="352"/>
      <c r="EK172" s="352"/>
      <c r="EL172" s="352"/>
      <c r="EM172" s="352"/>
      <c r="EN172" s="352"/>
    </row>
    <row r="173" spans="1:144" s="169" customFormat="1" ht="20.100000000000001" customHeight="1">
      <c r="A173" s="160" t="s">
        <v>56</v>
      </c>
      <c r="B173" s="160" t="s">
        <v>709</v>
      </c>
      <c r="C173" s="161">
        <v>0</v>
      </c>
      <c r="D173" s="162">
        <f>'Sectors % GDP'!C16</f>
        <v>23114.335999999999</v>
      </c>
      <c r="E173" s="162">
        <f t="shared" si="4"/>
        <v>0</v>
      </c>
      <c r="F173" s="165">
        <v>0</v>
      </c>
      <c r="G173" s="162">
        <v>0</v>
      </c>
      <c r="H173" s="163">
        <v>56.2</v>
      </c>
      <c r="I173" s="163">
        <v>54.85</v>
      </c>
      <c r="J173" s="165">
        <v>75.819999999999993</v>
      </c>
      <c r="K173" s="165">
        <v>33.43</v>
      </c>
      <c r="L173" s="165">
        <f t="shared" si="5"/>
        <v>4.9000000000000004</v>
      </c>
      <c r="M173" s="166">
        <v>4.9000000000000002E-2</v>
      </c>
      <c r="N173" s="166">
        <v>5.8</v>
      </c>
      <c r="O173" s="167">
        <f>'Trade Data'!B14</f>
        <v>0.49273767380624867</v>
      </c>
      <c r="P173" s="170">
        <v>0</v>
      </c>
      <c r="Q173" s="352"/>
      <c r="R173" s="352"/>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c r="BQ173" s="352"/>
      <c r="BR173" s="352"/>
      <c r="BS173" s="352"/>
      <c r="BT173" s="352"/>
      <c r="BU173" s="352"/>
      <c r="BV173" s="352"/>
      <c r="BW173" s="352"/>
      <c r="BX173" s="352"/>
      <c r="BY173" s="352"/>
      <c r="BZ173" s="352"/>
      <c r="CA173" s="352"/>
      <c r="CB173" s="352"/>
      <c r="CC173" s="352"/>
      <c r="CD173" s="352"/>
      <c r="CE173" s="352"/>
      <c r="CF173" s="352"/>
      <c r="CG173" s="352"/>
      <c r="CH173" s="352"/>
      <c r="CI173" s="352"/>
      <c r="CJ173" s="352"/>
      <c r="CK173" s="352"/>
      <c r="CL173" s="352"/>
      <c r="CM173" s="352"/>
      <c r="CN173" s="352"/>
      <c r="CO173" s="352"/>
      <c r="CP173" s="352"/>
      <c r="CQ173" s="352"/>
      <c r="CR173" s="352"/>
      <c r="CS173" s="352"/>
      <c r="CT173" s="352"/>
      <c r="CU173" s="352"/>
      <c r="CV173" s="352"/>
      <c r="CW173" s="352"/>
      <c r="CX173" s="352"/>
      <c r="CY173" s="352"/>
      <c r="CZ173" s="352"/>
      <c r="DA173" s="352"/>
      <c r="DB173" s="352"/>
      <c r="DC173" s="352"/>
      <c r="DD173" s="352"/>
      <c r="DE173" s="352"/>
      <c r="DF173" s="352"/>
      <c r="DG173" s="352"/>
      <c r="DH173" s="352"/>
      <c r="DI173" s="352"/>
      <c r="DJ173" s="352"/>
      <c r="DK173" s="352"/>
      <c r="DL173" s="352"/>
      <c r="DM173" s="352"/>
      <c r="DN173" s="352"/>
      <c r="DO173" s="352"/>
      <c r="DP173" s="352"/>
      <c r="DQ173" s="352"/>
      <c r="DR173" s="352"/>
      <c r="DS173" s="352"/>
      <c r="DT173" s="352"/>
      <c r="DU173" s="352"/>
      <c r="DV173" s="352"/>
      <c r="DW173" s="352"/>
      <c r="DX173" s="352"/>
      <c r="DY173" s="352"/>
      <c r="DZ173" s="352"/>
      <c r="EA173" s="352"/>
      <c r="EB173" s="352"/>
      <c r="EC173" s="352"/>
      <c r="ED173" s="352"/>
      <c r="EE173" s="352"/>
      <c r="EF173" s="352"/>
      <c r="EG173" s="352"/>
      <c r="EH173" s="352"/>
      <c r="EI173" s="352"/>
      <c r="EJ173" s="352"/>
      <c r="EK173" s="352"/>
      <c r="EL173" s="352"/>
      <c r="EM173" s="352"/>
      <c r="EN173" s="352"/>
    </row>
    <row r="174" spans="1:144" s="188" customFormat="1" ht="20.100000000000001" customHeight="1">
      <c r="A174" s="179" t="s">
        <v>56</v>
      </c>
      <c r="B174" s="179" t="s">
        <v>708</v>
      </c>
      <c r="C174" s="180">
        <f>'Thomson Reuters IMA  ($)'!I439+'Thomson Reuters IMA  ($)'!I440+'Thomson Reuters IMA  ($)'!I441</f>
        <v>16.041999999999998</v>
      </c>
      <c r="D174" s="181">
        <f>'Sectors % GDP'!C17</f>
        <v>141157.12100000001</v>
      </c>
      <c r="E174" s="181">
        <f t="shared" si="4"/>
        <v>1.1364640966288904E-4</v>
      </c>
      <c r="F174" s="184">
        <v>1</v>
      </c>
      <c r="G174" s="181">
        <v>3</v>
      </c>
      <c r="H174" s="182">
        <v>56.2</v>
      </c>
      <c r="I174" s="182">
        <v>54.85</v>
      </c>
      <c r="J174" s="184">
        <v>75.819999999999993</v>
      </c>
      <c r="K174" s="184">
        <v>33.43</v>
      </c>
      <c r="L174" s="184">
        <f t="shared" si="5"/>
        <v>4.9000000000000004</v>
      </c>
      <c r="M174" s="185">
        <v>4.9000000000000002E-2</v>
      </c>
      <c r="N174" s="185">
        <v>5.8</v>
      </c>
      <c r="O174" s="186">
        <f>'Trade Data'!B14</f>
        <v>0.49273767380624867</v>
      </c>
      <c r="P174" s="189">
        <v>1</v>
      </c>
      <c r="Q174" s="352"/>
      <c r="R174" s="352"/>
      <c r="S174" s="352"/>
      <c r="T174" s="352"/>
      <c r="U174" s="352"/>
      <c r="V174" s="352"/>
      <c r="W174" s="352"/>
      <c r="X174" s="352"/>
      <c r="Y174" s="352"/>
      <c r="Z174" s="352"/>
      <c r="AA174" s="352"/>
      <c r="AB174" s="352"/>
      <c r="AC174" s="352"/>
      <c r="AD174" s="352"/>
      <c r="AE174" s="352"/>
      <c r="AF174" s="352"/>
      <c r="AG174" s="352"/>
      <c r="AH174" s="352"/>
      <c r="AI174" s="352"/>
      <c r="AJ174" s="352"/>
      <c r="AK174" s="352"/>
      <c r="AL174" s="352"/>
      <c r="AM174" s="352"/>
      <c r="AN174" s="352"/>
      <c r="AO174" s="352"/>
      <c r="AP174" s="352"/>
      <c r="AQ174" s="352"/>
      <c r="AR174" s="352"/>
      <c r="AS174" s="352"/>
      <c r="AT174" s="352"/>
      <c r="AU174" s="352"/>
      <c r="AV174" s="352"/>
      <c r="AW174" s="352"/>
      <c r="AX174" s="352"/>
      <c r="AY174" s="352"/>
      <c r="AZ174" s="352"/>
      <c r="BA174" s="352"/>
      <c r="BB174" s="352"/>
      <c r="BC174" s="352"/>
      <c r="BD174" s="352"/>
      <c r="BE174" s="352"/>
      <c r="BF174" s="352"/>
      <c r="BG174" s="352"/>
      <c r="BH174" s="352"/>
      <c r="BI174" s="352"/>
      <c r="BJ174" s="352"/>
      <c r="BK174" s="352"/>
      <c r="BL174" s="352"/>
      <c r="BM174" s="352"/>
      <c r="BN174" s="352"/>
      <c r="BO174" s="352"/>
      <c r="BP174" s="352"/>
      <c r="BQ174" s="352"/>
      <c r="BR174" s="352"/>
      <c r="BS174" s="352"/>
      <c r="BT174" s="352"/>
      <c r="BU174" s="352"/>
      <c r="BV174" s="352"/>
      <c r="BW174" s="352"/>
      <c r="BX174" s="352"/>
      <c r="BY174" s="352"/>
      <c r="BZ174" s="352"/>
      <c r="CA174" s="352"/>
      <c r="CB174" s="352"/>
      <c r="CC174" s="352"/>
      <c r="CD174" s="352"/>
      <c r="CE174" s="352"/>
      <c r="CF174" s="352"/>
      <c r="CG174" s="352"/>
      <c r="CH174" s="352"/>
      <c r="CI174" s="352"/>
      <c r="CJ174" s="352"/>
      <c r="CK174" s="352"/>
      <c r="CL174" s="352"/>
      <c r="CM174" s="352"/>
      <c r="CN174" s="352"/>
      <c r="CO174" s="352"/>
      <c r="CP174" s="352"/>
      <c r="CQ174" s="352"/>
      <c r="CR174" s="352"/>
      <c r="CS174" s="352"/>
      <c r="CT174" s="352"/>
      <c r="CU174" s="352"/>
      <c r="CV174" s="352"/>
      <c r="CW174" s="352"/>
      <c r="CX174" s="352"/>
      <c r="CY174" s="352"/>
      <c r="CZ174" s="352"/>
      <c r="DA174" s="352"/>
      <c r="DB174" s="352"/>
      <c r="DC174" s="352"/>
      <c r="DD174" s="352"/>
      <c r="DE174" s="352"/>
      <c r="DF174" s="352"/>
      <c r="DG174" s="352"/>
      <c r="DH174" s="352"/>
      <c r="DI174" s="352"/>
      <c r="DJ174" s="352"/>
      <c r="DK174" s="352"/>
      <c r="DL174" s="352"/>
      <c r="DM174" s="352"/>
      <c r="DN174" s="352"/>
      <c r="DO174" s="352"/>
      <c r="DP174" s="352"/>
      <c r="DQ174" s="352"/>
      <c r="DR174" s="352"/>
      <c r="DS174" s="352"/>
      <c r="DT174" s="352"/>
      <c r="DU174" s="352"/>
      <c r="DV174" s="352"/>
      <c r="DW174" s="352"/>
      <c r="DX174" s="352"/>
      <c r="DY174" s="352"/>
      <c r="DZ174" s="352"/>
      <c r="EA174" s="352"/>
      <c r="EB174" s="352"/>
      <c r="EC174" s="352"/>
      <c r="ED174" s="352"/>
      <c r="EE174" s="352"/>
      <c r="EF174" s="352"/>
      <c r="EG174" s="352"/>
      <c r="EH174" s="352"/>
      <c r="EI174" s="352"/>
      <c r="EJ174" s="352"/>
      <c r="EK174" s="352"/>
      <c r="EL174" s="352"/>
      <c r="EM174" s="352"/>
      <c r="EN174" s="352"/>
    </row>
    <row r="175" spans="1:144" ht="20.100000000000001" customHeight="1">
      <c r="A175" s="118" t="s">
        <v>56</v>
      </c>
      <c r="B175" s="118" t="s">
        <v>707</v>
      </c>
      <c r="C175" s="119">
        <v>0</v>
      </c>
      <c r="D175" s="120">
        <f>'Sectors % GDP'!C18</f>
        <v>215898.54299999998</v>
      </c>
      <c r="E175" s="120">
        <f t="shared" si="4"/>
        <v>0</v>
      </c>
      <c r="F175" s="123">
        <v>1</v>
      </c>
      <c r="G175" s="120">
        <v>8</v>
      </c>
      <c r="H175" s="121">
        <v>56.2</v>
      </c>
      <c r="I175" s="121">
        <v>54.85</v>
      </c>
      <c r="J175" s="123">
        <v>75.819999999999993</v>
      </c>
      <c r="K175" s="123">
        <v>33.43</v>
      </c>
      <c r="L175" s="123">
        <f t="shared" si="5"/>
        <v>4.9000000000000004</v>
      </c>
      <c r="M175" s="124">
        <v>4.9000000000000002E-2</v>
      </c>
      <c r="N175" s="124">
        <v>5.8</v>
      </c>
      <c r="O175" s="125">
        <f>'Trade Data'!B14</f>
        <v>0.49273767380624867</v>
      </c>
      <c r="P175" s="127">
        <v>1</v>
      </c>
      <c r="Q175" s="352"/>
      <c r="R175" s="352"/>
      <c r="S175" s="352"/>
      <c r="T175" s="352"/>
      <c r="U175" s="352"/>
      <c r="V175" s="352"/>
      <c r="W175" s="352"/>
      <c r="X175" s="352"/>
      <c r="Y175" s="352"/>
      <c r="Z175" s="352"/>
      <c r="AA175" s="352"/>
      <c r="AB175" s="352"/>
      <c r="AC175" s="352"/>
      <c r="AD175" s="352"/>
      <c r="AE175" s="352"/>
      <c r="AF175" s="352"/>
      <c r="AG175" s="352"/>
      <c r="AH175" s="352"/>
      <c r="AI175" s="352"/>
      <c r="AJ175" s="352"/>
      <c r="AK175" s="352"/>
      <c r="AL175" s="352"/>
      <c r="AM175" s="352"/>
      <c r="AN175" s="352"/>
      <c r="AO175" s="352"/>
      <c r="AP175" s="352"/>
      <c r="AQ175" s="352"/>
      <c r="AR175" s="352"/>
      <c r="AS175" s="352"/>
      <c r="AT175" s="352"/>
      <c r="AU175" s="352"/>
      <c r="AV175" s="352"/>
      <c r="AW175" s="352"/>
      <c r="AX175" s="352"/>
      <c r="AY175" s="352"/>
      <c r="AZ175" s="352"/>
      <c r="BA175" s="352"/>
      <c r="BB175" s="352"/>
      <c r="BC175" s="352"/>
      <c r="BD175" s="352"/>
      <c r="BE175" s="352"/>
      <c r="BF175" s="352"/>
      <c r="BG175" s="352"/>
      <c r="BH175" s="352"/>
      <c r="BI175" s="352"/>
      <c r="BJ175" s="352"/>
      <c r="BK175" s="352"/>
      <c r="BL175" s="352"/>
      <c r="BM175" s="352"/>
      <c r="BN175" s="352"/>
      <c r="BO175" s="352"/>
      <c r="BP175" s="352"/>
      <c r="BQ175" s="352"/>
      <c r="BR175" s="352"/>
      <c r="BS175" s="352"/>
      <c r="BT175" s="352"/>
      <c r="BU175" s="352"/>
      <c r="BV175" s="352"/>
      <c r="BW175" s="352"/>
      <c r="BX175" s="352"/>
      <c r="BY175" s="352"/>
      <c r="BZ175" s="352"/>
      <c r="CA175" s="352"/>
      <c r="CB175" s="352"/>
      <c r="CC175" s="352"/>
      <c r="CD175" s="352"/>
      <c r="CE175" s="352"/>
      <c r="CF175" s="352"/>
      <c r="CG175" s="352"/>
      <c r="CH175" s="352"/>
      <c r="CI175" s="352"/>
      <c r="CJ175" s="352"/>
      <c r="CK175" s="352"/>
      <c r="CL175" s="352"/>
      <c r="CM175" s="352"/>
      <c r="CN175" s="352"/>
      <c r="CO175" s="352"/>
      <c r="CP175" s="352"/>
      <c r="CQ175" s="352"/>
      <c r="CR175" s="352"/>
      <c r="CS175" s="352"/>
      <c r="CT175" s="352"/>
      <c r="CU175" s="352"/>
      <c r="CV175" s="352"/>
      <c r="CW175" s="352"/>
      <c r="CX175" s="352"/>
      <c r="CY175" s="352"/>
      <c r="CZ175" s="352"/>
      <c r="DA175" s="352"/>
      <c r="DB175" s="352"/>
      <c r="DC175" s="352"/>
      <c r="DD175" s="352"/>
      <c r="DE175" s="352"/>
      <c r="DF175" s="352"/>
      <c r="DG175" s="352"/>
      <c r="DH175" s="352"/>
      <c r="DI175" s="352"/>
      <c r="DJ175" s="352"/>
      <c r="DK175" s="352"/>
      <c r="DL175" s="352"/>
      <c r="DM175" s="352"/>
      <c r="DN175" s="352"/>
      <c r="DO175" s="352"/>
      <c r="DP175" s="352"/>
      <c r="DQ175" s="352"/>
      <c r="DR175" s="352"/>
      <c r="DS175" s="352"/>
      <c r="DT175" s="352"/>
      <c r="DU175" s="352"/>
      <c r="DV175" s="352"/>
      <c r="DW175" s="352"/>
      <c r="DX175" s="352"/>
      <c r="DY175" s="352"/>
      <c r="DZ175" s="352"/>
      <c r="EA175" s="352"/>
      <c r="EB175" s="352"/>
      <c r="EC175" s="352"/>
      <c r="ED175" s="352"/>
      <c r="EE175" s="352"/>
      <c r="EF175" s="352"/>
      <c r="EG175" s="352"/>
      <c r="EH175" s="352"/>
      <c r="EI175" s="352"/>
      <c r="EJ175" s="352"/>
      <c r="EK175" s="352"/>
      <c r="EL175" s="352"/>
      <c r="EM175" s="352"/>
      <c r="EN175" s="352"/>
    </row>
    <row r="176" spans="1:144" s="169" customFormat="1" ht="20.100000000000001" customHeight="1">
      <c r="A176" s="160" t="s">
        <v>57</v>
      </c>
      <c r="B176" s="160" t="s">
        <v>706</v>
      </c>
      <c r="C176" s="161">
        <v>0</v>
      </c>
      <c r="D176" s="162">
        <f>'Sectors % GDP'!C16</f>
        <v>23114.335999999999</v>
      </c>
      <c r="E176" s="162">
        <f t="shared" si="4"/>
        <v>0</v>
      </c>
      <c r="F176" s="165">
        <v>0</v>
      </c>
      <c r="G176" s="162">
        <v>0</v>
      </c>
      <c r="H176" s="163">
        <v>46.21</v>
      </c>
      <c r="I176" s="163">
        <v>25.18</v>
      </c>
      <c r="J176" s="165">
        <v>79.989999999999995</v>
      </c>
      <c r="K176" s="165">
        <v>33.43</v>
      </c>
      <c r="L176" s="165">
        <f t="shared" si="5"/>
        <v>4.9000000000000004</v>
      </c>
      <c r="M176" s="166">
        <v>4.9000000000000002E-2</v>
      </c>
      <c r="N176" s="166">
        <v>5.8</v>
      </c>
      <c r="O176" s="167">
        <f>'Trade Data'!B14</f>
        <v>0.49273767380624867</v>
      </c>
      <c r="P176" s="168">
        <v>0</v>
      </c>
      <c r="Q176" s="352"/>
      <c r="R176" s="352"/>
      <c r="S176" s="352"/>
      <c r="T176" s="352"/>
      <c r="U176" s="352"/>
      <c r="V176" s="352"/>
      <c r="W176" s="352"/>
      <c r="X176" s="352"/>
      <c r="Y176" s="352"/>
      <c r="Z176" s="352"/>
      <c r="AA176" s="352"/>
      <c r="AB176" s="352"/>
      <c r="AC176" s="352"/>
      <c r="AD176" s="352"/>
      <c r="AE176" s="352"/>
      <c r="AF176" s="352"/>
      <c r="AG176" s="352"/>
      <c r="AH176" s="352"/>
      <c r="AI176" s="352"/>
      <c r="AJ176" s="352"/>
      <c r="AK176" s="352"/>
      <c r="AL176" s="352"/>
      <c r="AM176" s="352"/>
      <c r="AN176" s="352"/>
      <c r="AO176" s="352"/>
      <c r="AP176" s="352"/>
      <c r="AQ176" s="352"/>
      <c r="AR176" s="352"/>
      <c r="AS176" s="352"/>
      <c r="AT176" s="352"/>
      <c r="AU176" s="352"/>
      <c r="AV176" s="352"/>
      <c r="AW176" s="352"/>
      <c r="AX176" s="352"/>
      <c r="AY176" s="352"/>
      <c r="AZ176" s="352"/>
      <c r="BA176" s="352"/>
      <c r="BB176" s="352"/>
      <c r="BC176" s="352"/>
      <c r="BD176" s="352"/>
      <c r="BE176" s="352"/>
      <c r="BF176" s="352"/>
      <c r="BG176" s="352"/>
      <c r="BH176" s="352"/>
      <c r="BI176" s="352"/>
      <c r="BJ176" s="352"/>
      <c r="BK176" s="352"/>
      <c r="BL176" s="352"/>
      <c r="BM176" s="352"/>
      <c r="BN176" s="352"/>
      <c r="BO176" s="352"/>
      <c r="BP176" s="352"/>
      <c r="BQ176" s="352"/>
      <c r="BR176" s="352"/>
      <c r="BS176" s="352"/>
      <c r="BT176" s="352"/>
      <c r="BU176" s="352"/>
      <c r="BV176" s="352"/>
      <c r="BW176" s="352"/>
      <c r="BX176" s="352"/>
      <c r="BY176" s="352"/>
      <c r="BZ176" s="352"/>
      <c r="CA176" s="352"/>
      <c r="CB176" s="352"/>
      <c r="CC176" s="352"/>
      <c r="CD176" s="352"/>
      <c r="CE176" s="352"/>
      <c r="CF176" s="352"/>
      <c r="CG176" s="352"/>
      <c r="CH176" s="352"/>
      <c r="CI176" s="352"/>
      <c r="CJ176" s="352"/>
      <c r="CK176" s="352"/>
      <c r="CL176" s="352"/>
      <c r="CM176" s="352"/>
      <c r="CN176" s="352"/>
      <c r="CO176" s="352"/>
      <c r="CP176" s="352"/>
      <c r="CQ176" s="352"/>
      <c r="CR176" s="352"/>
      <c r="CS176" s="352"/>
      <c r="CT176" s="352"/>
      <c r="CU176" s="352"/>
      <c r="CV176" s="352"/>
      <c r="CW176" s="352"/>
      <c r="CX176" s="352"/>
      <c r="CY176" s="352"/>
      <c r="CZ176" s="352"/>
      <c r="DA176" s="352"/>
      <c r="DB176" s="352"/>
      <c r="DC176" s="352"/>
      <c r="DD176" s="352"/>
      <c r="DE176" s="352"/>
      <c r="DF176" s="352"/>
      <c r="DG176" s="352"/>
      <c r="DH176" s="352"/>
      <c r="DI176" s="352"/>
      <c r="DJ176" s="352"/>
      <c r="DK176" s="352"/>
      <c r="DL176" s="352"/>
      <c r="DM176" s="352"/>
      <c r="DN176" s="352"/>
      <c r="DO176" s="352"/>
      <c r="DP176" s="352"/>
      <c r="DQ176" s="352"/>
      <c r="DR176" s="352"/>
      <c r="DS176" s="352"/>
      <c r="DT176" s="352"/>
      <c r="DU176" s="352"/>
      <c r="DV176" s="352"/>
      <c r="DW176" s="352"/>
      <c r="DX176" s="352"/>
      <c r="DY176" s="352"/>
      <c r="DZ176" s="352"/>
      <c r="EA176" s="352"/>
      <c r="EB176" s="352"/>
      <c r="EC176" s="352"/>
      <c r="ED176" s="352"/>
      <c r="EE176" s="352"/>
      <c r="EF176" s="352"/>
      <c r="EG176" s="352"/>
      <c r="EH176" s="352"/>
      <c r="EI176" s="352"/>
      <c r="EJ176" s="352"/>
      <c r="EK176" s="352"/>
      <c r="EL176" s="352"/>
      <c r="EM176" s="352"/>
      <c r="EN176" s="352"/>
    </row>
    <row r="177" spans="1:144" s="188" customFormat="1" ht="20.100000000000001" customHeight="1">
      <c r="A177" s="179" t="s">
        <v>57</v>
      </c>
      <c r="B177" s="179" t="s">
        <v>705</v>
      </c>
      <c r="C177" s="180">
        <f>'Thomson Reuters IMA  ($)'!I445+'Thomson Reuters IMA  ($)'!I446+'Thomson Reuters IMA  ($)'!I447</f>
        <v>595.55200000000002</v>
      </c>
      <c r="D177" s="181">
        <f>'Sectors % GDP'!C17</f>
        <v>141157.12100000001</v>
      </c>
      <c r="E177" s="181">
        <f t="shared" si="4"/>
        <v>4.2190715975285436E-3</v>
      </c>
      <c r="F177" s="184">
        <v>1</v>
      </c>
      <c r="G177" s="181">
        <v>6</v>
      </c>
      <c r="H177" s="182">
        <v>46.21</v>
      </c>
      <c r="I177" s="182">
        <v>25.18</v>
      </c>
      <c r="J177" s="184">
        <v>79.989999999999995</v>
      </c>
      <c r="K177" s="184">
        <v>33.43</v>
      </c>
      <c r="L177" s="184">
        <f t="shared" si="5"/>
        <v>4.9000000000000004</v>
      </c>
      <c r="M177" s="185">
        <v>4.9000000000000002E-2</v>
      </c>
      <c r="N177" s="185">
        <v>5.8</v>
      </c>
      <c r="O177" s="186">
        <f>'Trade Data'!B14</f>
        <v>0.49273767380624867</v>
      </c>
      <c r="P177" s="187">
        <v>1</v>
      </c>
      <c r="Q177" s="352"/>
      <c r="R177" s="352"/>
      <c r="S177" s="352"/>
      <c r="T177" s="352"/>
      <c r="U177" s="352"/>
      <c r="V177" s="352"/>
      <c r="W177" s="352"/>
      <c r="X177" s="352"/>
      <c r="Y177" s="352"/>
      <c r="Z177" s="352"/>
      <c r="AA177" s="352"/>
      <c r="AB177" s="352"/>
      <c r="AC177" s="352"/>
      <c r="AD177" s="352"/>
      <c r="AE177" s="352"/>
      <c r="AF177" s="352"/>
      <c r="AG177" s="352"/>
      <c r="AH177" s="352"/>
      <c r="AI177" s="352"/>
      <c r="AJ177" s="352"/>
      <c r="AK177" s="352"/>
      <c r="AL177" s="352"/>
      <c r="AM177" s="352"/>
      <c r="AN177" s="352"/>
      <c r="AO177" s="352"/>
      <c r="AP177" s="352"/>
      <c r="AQ177" s="352"/>
      <c r="AR177" s="352"/>
      <c r="AS177" s="352"/>
      <c r="AT177" s="352"/>
      <c r="AU177" s="352"/>
      <c r="AV177" s="352"/>
      <c r="AW177" s="352"/>
      <c r="AX177" s="352"/>
      <c r="AY177" s="352"/>
      <c r="AZ177" s="352"/>
      <c r="BA177" s="352"/>
      <c r="BB177" s="352"/>
      <c r="BC177" s="352"/>
      <c r="BD177" s="352"/>
      <c r="BE177" s="352"/>
      <c r="BF177" s="352"/>
      <c r="BG177" s="352"/>
      <c r="BH177" s="352"/>
      <c r="BI177" s="352"/>
      <c r="BJ177" s="352"/>
      <c r="BK177" s="352"/>
      <c r="BL177" s="352"/>
      <c r="BM177" s="352"/>
      <c r="BN177" s="352"/>
      <c r="BO177" s="352"/>
      <c r="BP177" s="352"/>
      <c r="BQ177" s="352"/>
      <c r="BR177" s="352"/>
      <c r="BS177" s="352"/>
      <c r="BT177" s="352"/>
      <c r="BU177" s="352"/>
      <c r="BV177" s="352"/>
      <c r="BW177" s="352"/>
      <c r="BX177" s="352"/>
      <c r="BY177" s="352"/>
      <c r="BZ177" s="352"/>
      <c r="CA177" s="352"/>
      <c r="CB177" s="352"/>
      <c r="CC177" s="352"/>
      <c r="CD177" s="352"/>
      <c r="CE177" s="352"/>
      <c r="CF177" s="352"/>
      <c r="CG177" s="352"/>
      <c r="CH177" s="352"/>
      <c r="CI177" s="352"/>
      <c r="CJ177" s="352"/>
      <c r="CK177" s="352"/>
      <c r="CL177" s="352"/>
      <c r="CM177" s="352"/>
      <c r="CN177" s="352"/>
      <c r="CO177" s="352"/>
      <c r="CP177" s="352"/>
      <c r="CQ177" s="352"/>
      <c r="CR177" s="352"/>
      <c r="CS177" s="352"/>
      <c r="CT177" s="352"/>
      <c r="CU177" s="352"/>
      <c r="CV177" s="352"/>
      <c r="CW177" s="352"/>
      <c r="CX177" s="352"/>
      <c r="CY177" s="352"/>
      <c r="CZ177" s="352"/>
      <c r="DA177" s="352"/>
      <c r="DB177" s="352"/>
      <c r="DC177" s="352"/>
      <c r="DD177" s="352"/>
      <c r="DE177" s="352"/>
      <c r="DF177" s="352"/>
      <c r="DG177" s="352"/>
      <c r="DH177" s="352"/>
      <c r="DI177" s="352"/>
      <c r="DJ177" s="352"/>
      <c r="DK177" s="352"/>
      <c r="DL177" s="352"/>
      <c r="DM177" s="352"/>
      <c r="DN177" s="352"/>
      <c r="DO177" s="352"/>
      <c r="DP177" s="352"/>
      <c r="DQ177" s="352"/>
      <c r="DR177" s="352"/>
      <c r="DS177" s="352"/>
      <c r="DT177" s="352"/>
      <c r="DU177" s="352"/>
      <c r="DV177" s="352"/>
      <c r="DW177" s="352"/>
      <c r="DX177" s="352"/>
      <c r="DY177" s="352"/>
      <c r="DZ177" s="352"/>
      <c r="EA177" s="352"/>
      <c r="EB177" s="352"/>
      <c r="EC177" s="352"/>
      <c r="ED177" s="352"/>
      <c r="EE177" s="352"/>
      <c r="EF177" s="352"/>
      <c r="EG177" s="352"/>
      <c r="EH177" s="352"/>
      <c r="EI177" s="352"/>
      <c r="EJ177" s="352"/>
      <c r="EK177" s="352"/>
      <c r="EL177" s="352"/>
      <c r="EM177" s="352"/>
      <c r="EN177" s="352"/>
    </row>
    <row r="178" spans="1:144" ht="20.100000000000001" customHeight="1">
      <c r="A178" s="118" t="s">
        <v>57</v>
      </c>
      <c r="B178" s="118" t="s">
        <v>704</v>
      </c>
      <c r="C178" s="119">
        <f>'Thomson Reuters IMA  ($)'!I442+'Thomson Reuters IMA  ($)'!I443+'Thomson Reuters IMA  ($)'!I444</f>
        <v>69.31</v>
      </c>
      <c r="D178" s="120">
        <f>'Sectors % GDP'!C18</f>
        <v>215898.54299999998</v>
      </c>
      <c r="E178" s="120">
        <f t="shared" si="4"/>
        <v>3.2103042029329494E-4</v>
      </c>
      <c r="F178" s="123">
        <v>1</v>
      </c>
      <c r="G178" s="120">
        <v>3</v>
      </c>
      <c r="H178" s="121">
        <v>46.21</v>
      </c>
      <c r="I178" s="121">
        <v>25.18</v>
      </c>
      <c r="J178" s="123">
        <v>79.989999999999995</v>
      </c>
      <c r="K178" s="123">
        <v>33.43</v>
      </c>
      <c r="L178" s="123">
        <f t="shared" si="5"/>
        <v>4.9000000000000004</v>
      </c>
      <c r="M178" s="124">
        <v>4.9000000000000002E-2</v>
      </c>
      <c r="N178" s="124">
        <v>5.8</v>
      </c>
      <c r="O178" s="125">
        <f>'Trade Data'!B14</f>
        <v>0.49273767380624867</v>
      </c>
      <c r="P178" s="126">
        <v>1</v>
      </c>
      <c r="Q178" s="352"/>
      <c r="R178" s="352"/>
      <c r="S178" s="352"/>
      <c r="T178" s="352"/>
      <c r="U178" s="352"/>
      <c r="V178" s="352"/>
      <c r="W178" s="352"/>
      <c r="X178" s="352"/>
      <c r="Y178" s="352"/>
      <c r="Z178" s="352"/>
      <c r="AA178" s="352"/>
      <c r="AB178" s="352"/>
      <c r="AC178" s="352"/>
      <c r="AD178" s="352"/>
      <c r="AE178" s="352"/>
      <c r="AF178" s="352"/>
      <c r="AG178" s="352"/>
      <c r="AH178" s="352"/>
      <c r="AI178" s="352"/>
      <c r="AJ178" s="352"/>
      <c r="AK178" s="352"/>
      <c r="AL178" s="352"/>
      <c r="AM178" s="352"/>
      <c r="AN178" s="352"/>
      <c r="AO178" s="352"/>
      <c r="AP178" s="352"/>
      <c r="AQ178" s="352"/>
      <c r="AR178" s="352"/>
      <c r="AS178" s="352"/>
      <c r="AT178" s="352"/>
      <c r="AU178" s="352"/>
      <c r="AV178" s="352"/>
      <c r="AW178" s="352"/>
      <c r="AX178" s="352"/>
      <c r="AY178" s="352"/>
      <c r="AZ178" s="352"/>
      <c r="BA178" s="352"/>
      <c r="BB178" s="352"/>
      <c r="BC178" s="352"/>
      <c r="BD178" s="352"/>
      <c r="BE178" s="352"/>
      <c r="BF178" s="352"/>
      <c r="BG178" s="352"/>
      <c r="BH178" s="352"/>
      <c r="BI178" s="352"/>
      <c r="BJ178" s="352"/>
      <c r="BK178" s="352"/>
      <c r="BL178" s="352"/>
      <c r="BM178" s="352"/>
      <c r="BN178" s="352"/>
      <c r="BO178" s="352"/>
      <c r="BP178" s="352"/>
      <c r="BQ178" s="352"/>
      <c r="BR178" s="352"/>
      <c r="BS178" s="352"/>
      <c r="BT178" s="352"/>
      <c r="BU178" s="352"/>
      <c r="BV178" s="352"/>
      <c r="BW178" s="352"/>
      <c r="BX178" s="352"/>
      <c r="BY178" s="352"/>
      <c r="BZ178" s="352"/>
      <c r="CA178" s="352"/>
      <c r="CB178" s="352"/>
      <c r="CC178" s="352"/>
      <c r="CD178" s="352"/>
      <c r="CE178" s="352"/>
      <c r="CF178" s="352"/>
      <c r="CG178" s="352"/>
      <c r="CH178" s="352"/>
      <c r="CI178" s="352"/>
      <c r="CJ178" s="352"/>
      <c r="CK178" s="352"/>
      <c r="CL178" s="352"/>
      <c r="CM178" s="352"/>
      <c r="CN178" s="352"/>
      <c r="CO178" s="352"/>
      <c r="CP178" s="352"/>
      <c r="CQ178" s="352"/>
      <c r="CR178" s="352"/>
      <c r="CS178" s="352"/>
      <c r="CT178" s="352"/>
      <c r="CU178" s="352"/>
      <c r="CV178" s="352"/>
      <c r="CW178" s="352"/>
      <c r="CX178" s="352"/>
      <c r="CY178" s="352"/>
      <c r="CZ178" s="352"/>
      <c r="DA178" s="352"/>
      <c r="DB178" s="352"/>
      <c r="DC178" s="352"/>
      <c r="DD178" s="352"/>
      <c r="DE178" s="352"/>
      <c r="DF178" s="352"/>
      <c r="DG178" s="352"/>
      <c r="DH178" s="352"/>
      <c r="DI178" s="352"/>
      <c r="DJ178" s="352"/>
      <c r="DK178" s="352"/>
      <c r="DL178" s="352"/>
      <c r="DM178" s="352"/>
      <c r="DN178" s="352"/>
      <c r="DO178" s="352"/>
      <c r="DP178" s="352"/>
      <c r="DQ178" s="352"/>
      <c r="DR178" s="352"/>
      <c r="DS178" s="352"/>
      <c r="DT178" s="352"/>
      <c r="DU178" s="352"/>
      <c r="DV178" s="352"/>
      <c r="DW178" s="352"/>
      <c r="DX178" s="352"/>
      <c r="DY178" s="352"/>
      <c r="DZ178" s="352"/>
      <c r="EA178" s="352"/>
      <c r="EB178" s="352"/>
      <c r="EC178" s="352"/>
      <c r="ED178" s="352"/>
      <c r="EE178" s="352"/>
      <c r="EF178" s="352"/>
      <c r="EG178" s="352"/>
      <c r="EH178" s="352"/>
      <c r="EI178" s="352"/>
      <c r="EJ178" s="352"/>
      <c r="EK178" s="352"/>
      <c r="EL178" s="352"/>
      <c r="EM178" s="352"/>
      <c r="EN178" s="352"/>
    </row>
    <row r="179" spans="1:144" s="169" customFormat="1" ht="20.100000000000001" customHeight="1">
      <c r="A179" s="160" t="s">
        <v>58</v>
      </c>
      <c r="B179" s="160" t="s">
        <v>703</v>
      </c>
      <c r="C179" s="161">
        <v>0</v>
      </c>
      <c r="D179" s="162">
        <f>'Sectors % GDP'!C16</f>
        <v>23114.335999999999</v>
      </c>
      <c r="E179" s="162">
        <f t="shared" si="4"/>
        <v>0</v>
      </c>
      <c r="F179" s="165">
        <v>0</v>
      </c>
      <c r="G179" s="162">
        <v>0</v>
      </c>
      <c r="H179" s="163">
        <v>64.209999999999994</v>
      </c>
      <c r="I179" s="163">
        <v>71.2</v>
      </c>
      <c r="J179" s="165">
        <v>79.13</v>
      </c>
      <c r="K179" s="165">
        <v>33.43</v>
      </c>
      <c r="L179" s="165">
        <f t="shared" si="5"/>
        <v>4.9000000000000004</v>
      </c>
      <c r="M179" s="166">
        <v>4.9000000000000002E-2</v>
      </c>
      <c r="N179" s="166">
        <v>5.8</v>
      </c>
      <c r="O179" s="167">
        <f>'Trade Data'!B14</f>
        <v>0.49273767380624867</v>
      </c>
      <c r="P179" s="170">
        <v>0</v>
      </c>
      <c r="Q179" s="352"/>
      <c r="R179" s="352"/>
      <c r="S179" s="352"/>
      <c r="T179" s="352"/>
      <c r="U179" s="352"/>
      <c r="V179" s="352"/>
      <c r="W179" s="352"/>
      <c r="X179" s="352"/>
      <c r="Y179" s="352"/>
      <c r="Z179" s="352"/>
      <c r="AA179" s="352"/>
      <c r="AB179" s="352"/>
      <c r="AC179" s="352"/>
      <c r="AD179" s="352"/>
      <c r="AE179" s="352"/>
      <c r="AF179" s="352"/>
      <c r="AG179" s="352"/>
      <c r="AH179" s="352"/>
      <c r="AI179" s="352"/>
      <c r="AJ179" s="352"/>
      <c r="AK179" s="352"/>
      <c r="AL179" s="352"/>
      <c r="AM179" s="352"/>
      <c r="AN179" s="352"/>
      <c r="AO179" s="352"/>
      <c r="AP179" s="352"/>
      <c r="AQ179" s="352"/>
      <c r="AR179" s="352"/>
      <c r="AS179" s="352"/>
      <c r="AT179" s="352"/>
      <c r="AU179" s="352"/>
      <c r="AV179" s="352"/>
      <c r="AW179" s="352"/>
      <c r="AX179" s="352"/>
      <c r="AY179" s="352"/>
      <c r="AZ179" s="352"/>
      <c r="BA179" s="352"/>
      <c r="BB179" s="352"/>
      <c r="BC179" s="352"/>
      <c r="BD179" s="352"/>
      <c r="BE179" s="352"/>
      <c r="BF179" s="352"/>
      <c r="BG179" s="352"/>
      <c r="BH179" s="352"/>
      <c r="BI179" s="352"/>
      <c r="BJ179" s="352"/>
      <c r="BK179" s="352"/>
      <c r="BL179" s="352"/>
      <c r="BM179" s="352"/>
      <c r="BN179" s="352"/>
      <c r="BO179" s="352"/>
      <c r="BP179" s="352"/>
      <c r="BQ179" s="352"/>
      <c r="BR179" s="352"/>
      <c r="BS179" s="352"/>
      <c r="BT179" s="352"/>
      <c r="BU179" s="352"/>
      <c r="BV179" s="352"/>
      <c r="BW179" s="352"/>
      <c r="BX179" s="352"/>
      <c r="BY179" s="352"/>
      <c r="BZ179" s="352"/>
      <c r="CA179" s="352"/>
      <c r="CB179" s="352"/>
      <c r="CC179" s="352"/>
      <c r="CD179" s="352"/>
      <c r="CE179" s="352"/>
      <c r="CF179" s="352"/>
      <c r="CG179" s="352"/>
      <c r="CH179" s="352"/>
      <c r="CI179" s="352"/>
      <c r="CJ179" s="352"/>
      <c r="CK179" s="352"/>
      <c r="CL179" s="352"/>
      <c r="CM179" s="352"/>
      <c r="CN179" s="352"/>
      <c r="CO179" s="352"/>
      <c r="CP179" s="352"/>
      <c r="CQ179" s="352"/>
      <c r="CR179" s="352"/>
      <c r="CS179" s="352"/>
      <c r="CT179" s="352"/>
      <c r="CU179" s="352"/>
      <c r="CV179" s="352"/>
      <c r="CW179" s="352"/>
      <c r="CX179" s="352"/>
      <c r="CY179" s="352"/>
      <c r="CZ179" s="352"/>
      <c r="DA179" s="352"/>
      <c r="DB179" s="352"/>
      <c r="DC179" s="352"/>
      <c r="DD179" s="352"/>
      <c r="DE179" s="352"/>
      <c r="DF179" s="352"/>
      <c r="DG179" s="352"/>
      <c r="DH179" s="352"/>
      <c r="DI179" s="352"/>
      <c r="DJ179" s="352"/>
      <c r="DK179" s="352"/>
      <c r="DL179" s="352"/>
      <c r="DM179" s="352"/>
      <c r="DN179" s="352"/>
      <c r="DO179" s="352"/>
      <c r="DP179" s="352"/>
      <c r="DQ179" s="352"/>
      <c r="DR179" s="352"/>
      <c r="DS179" s="352"/>
      <c r="DT179" s="352"/>
      <c r="DU179" s="352"/>
      <c r="DV179" s="352"/>
      <c r="DW179" s="352"/>
      <c r="DX179" s="352"/>
      <c r="DY179" s="352"/>
      <c r="DZ179" s="352"/>
      <c r="EA179" s="352"/>
      <c r="EB179" s="352"/>
      <c r="EC179" s="352"/>
      <c r="ED179" s="352"/>
      <c r="EE179" s="352"/>
      <c r="EF179" s="352"/>
      <c r="EG179" s="352"/>
      <c r="EH179" s="352"/>
      <c r="EI179" s="352"/>
      <c r="EJ179" s="352"/>
      <c r="EK179" s="352"/>
      <c r="EL179" s="352"/>
      <c r="EM179" s="352"/>
      <c r="EN179" s="352"/>
    </row>
    <row r="180" spans="1:144" s="188" customFormat="1" ht="20.100000000000001" customHeight="1">
      <c r="A180" s="179" t="s">
        <v>58</v>
      </c>
      <c r="B180" s="179" t="s">
        <v>702</v>
      </c>
      <c r="C180" s="180">
        <f>'Thomson Reuters IMA  ($)'!I448+'Thomson Reuters IMA  ($)'!I449+'Thomson Reuters IMA  ($)'!I450+'Thomson Reuters IMA  ($)'!I451+'Thomson Reuters IMA  ($)'!I452+'Thomson Reuters IMA  ($)'!I454+'Thomson Reuters IMA  ($)'!I455+'Thomson Reuters IMA  ($)'!I457</f>
        <v>746.26300000000003</v>
      </c>
      <c r="D180" s="181">
        <f>'Sectors % GDP'!C17</f>
        <v>141157.12100000001</v>
      </c>
      <c r="E180" s="181">
        <f t="shared" si="4"/>
        <v>5.2867541836589312E-3</v>
      </c>
      <c r="F180" s="184">
        <v>1</v>
      </c>
      <c r="G180" s="181">
        <v>15</v>
      </c>
      <c r="H180" s="182">
        <v>64.209999999999994</v>
      </c>
      <c r="I180" s="182">
        <v>71.2</v>
      </c>
      <c r="J180" s="184">
        <v>79.13</v>
      </c>
      <c r="K180" s="184">
        <v>33.43</v>
      </c>
      <c r="L180" s="184">
        <f t="shared" si="5"/>
        <v>4.9000000000000004</v>
      </c>
      <c r="M180" s="185">
        <v>4.9000000000000002E-2</v>
      </c>
      <c r="N180" s="185">
        <v>5.8</v>
      </c>
      <c r="O180" s="186">
        <f>'Trade Data'!B14</f>
        <v>0.49273767380624867</v>
      </c>
      <c r="P180" s="189">
        <v>1</v>
      </c>
      <c r="Q180" s="352"/>
      <c r="R180" s="352"/>
      <c r="S180" s="352"/>
      <c r="T180" s="352"/>
      <c r="U180" s="352"/>
      <c r="V180" s="352"/>
      <c r="W180" s="352"/>
      <c r="X180" s="352"/>
      <c r="Y180" s="352"/>
      <c r="Z180" s="352"/>
      <c r="AA180" s="352"/>
      <c r="AB180" s="352"/>
      <c r="AC180" s="352"/>
      <c r="AD180" s="352"/>
      <c r="AE180" s="352"/>
      <c r="AF180" s="352"/>
      <c r="AG180" s="352"/>
      <c r="AH180" s="352"/>
      <c r="AI180" s="352"/>
      <c r="AJ180" s="352"/>
      <c r="AK180" s="352"/>
      <c r="AL180" s="352"/>
      <c r="AM180" s="352"/>
      <c r="AN180" s="352"/>
      <c r="AO180" s="352"/>
      <c r="AP180" s="352"/>
      <c r="AQ180" s="352"/>
      <c r="AR180" s="352"/>
      <c r="AS180" s="352"/>
      <c r="AT180" s="352"/>
      <c r="AU180" s="352"/>
      <c r="AV180" s="352"/>
      <c r="AW180" s="352"/>
      <c r="AX180" s="352"/>
      <c r="AY180" s="352"/>
      <c r="AZ180" s="352"/>
      <c r="BA180" s="352"/>
      <c r="BB180" s="352"/>
      <c r="BC180" s="352"/>
      <c r="BD180" s="352"/>
      <c r="BE180" s="352"/>
      <c r="BF180" s="352"/>
      <c r="BG180" s="352"/>
      <c r="BH180" s="352"/>
      <c r="BI180" s="352"/>
      <c r="BJ180" s="352"/>
      <c r="BK180" s="352"/>
      <c r="BL180" s="352"/>
      <c r="BM180" s="352"/>
      <c r="BN180" s="352"/>
      <c r="BO180" s="352"/>
      <c r="BP180" s="352"/>
      <c r="BQ180" s="352"/>
      <c r="BR180" s="352"/>
      <c r="BS180" s="352"/>
      <c r="BT180" s="352"/>
      <c r="BU180" s="352"/>
      <c r="BV180" s="352"/>
      <c r="BW180" s="352"/>
      <c r="BX180" s="352"/>
      <c r="BY180" s="352"/>
      <c r="BZ180" s="352"/>
      <c r="CA180" s="352"/>
      <c r="CB180" s="352"/>
      <c r="CC180" s="352"/>
      <c r="CD180" s="352"/>
      <c r="CE180" s="352"/>
      <c r="CF180" s="352"/>
      <c r="CG180" s="352"/>
      <c r="CH180" s="352"/>
      <c r="CI180" s="352"/>
      <c r="CJ180" s="352"/>
      <c r="CK180" s="352"/>
      <c r="CL180" s="352"/>
      <c r="CM180" s="352"/>
      <c r="CN180" s="352"/>
      <c r="CO180" s="352"/>
      <c r="CP180" s="352"/>
      <c r="CQ180" s="352"/>
      <c r="CR180" s="352"/>
      <c r="CS180" s="352"/>
      <c r="CT180" s="352"/>
      <c r="CU180" s="352"/>
      <c r="CV180" s="352"/>
      <c r="CW180" s="352"/>
      <c r="CX180" s="352"/>
      <c r="CY180" s="352"/>
      <c r="CZ180" s="352"/>
      <c r="DA180" s="352"/>
      <c r="DB180" s="352"/>
      <c r="DC180" s="352"/>
      <c r="DD180" s="352"/>
      <c r="DE180" s="352"/>
      <c r="DF180" s="352"/>
      <c r="DG180" s="352"/>
      <c r="DH180" s="352"/>
      <c r="DI180" s="352"/>
      <c r="DJ180" s="352"/>
      <c r="DK180" s="352"/>
      <c r="DL180" s="352"/>
      <c r="DM180" s="352"/>
      <c r="DN180" s="352"/>
      <c r="DO180" s="352"/>
      <c r="DP180" s="352"/>
      <c r="DQ180" s="352"/>
      <c r="DR180" s="352"/>
      <c r="DS180" s="352"/>
      <c r="DT180" s="352"/>
      <c r="DU180" s="352"/>
      <c r="DV180" s="352"/>
      <c r="DW180" s="352"/>
      <c r="DX180" s="352"/>
      <c r="DY180" s="352"/>
      <c r="DZ180" s="352"/>
      <c r="EA180" s="352"/>
      <c r="EB180" s="352"/>
      <c r="EC180" s="352"/>
      <c r="ED180" s="352"/>
      <c r="EE180" s="352"/>
      <c r="EF180" s="352"/>
      <c r="EG180" s="352"/>
      <c r="EH180" s="352"/>
      <c r="EI180" s="352"/>
      <c r="EJ180" s="352"/>
      <c r="EK180" s="352"/>
      <c r="EL180" s="352"/>
      <c r="EM180" s="352"/>
      <c r="EN180" s="352"/>
    </row>
    <row r="181" spans="1:144" ht="20.100000000000001" customHeight="1">
      <c r="A181" s="118" t="s">
        <v>58</v>
      </c>
      <c r="B181" s="118" t="s">
        <v>701</v>
      </c>
      <c r="C181" s="119">
        <f>'Thomson Reuters IMA  ($)'!I453+'Thomson Reuters IMA  ($)'!I456</f>
        <v>354.44</v>
      </c>
      <c r="D181" s="120">
        <f>'Sectors % GDP'!C18</f>
        <v>215898.54299999998</v>
      </c>
      <c r="E181" s="120">
        <f t="shared" si="4"/>
        <v>1.6416970447086345E-3</v>
      </c>
      <c r="F181" s="123">
        <v>1</v>
      </c>
      <c r="G181" s="120">
        <v>5</v>
      </c>
      <c r="H181" s="121">
        <v>64.209999999999994</v>
      </c>
      <c r="I181" s="121">
        <v>71.2</v>
      </c>
      <c r="J181" s="123">
        <v>79.13</v>
      </c>
      <c r="K181" s="123">
        <v>33.43</v>
      </c>
      <c r="L181" s="123">
        <f t="shared" si="5"/>
        <v>4.9000000000000004</v>
      </c>
      <c r="M181" s="124">
        <v>4.9000000000000002E-2</v>
      </c>
      <c r="N181" s="124">
        <v>5.8</v>
      </c>
      <c r="O181" s="125">
        <f>'Trade Data'!B14</f>
        <v>0.49273767380624867</v>
      </c>
      <c r="P181" s="127">
        <v>1</v>
      </c>
      <c r="Q181" s="352"/>
      <c r="R181" s="352"/>
      <c r="S181" s="352"/>
      <c r="T181" s="352"/>
      <c r="U181" s="352"/>
      <c r="V181" s="352"/>
      <c r="W181" s="352"/>
      <c r="X181" s="352"/>
      <c r="Y181" s="352"/>
      <c r="Z181" s="352"/>
      <c r="AA181" s="352"/>
      <c r="AB181" s="352"/>
      <c r="AC181" s="352"/>
      <c r="AD181" s="352"/>
      <c r="AE181" s="352"/>
      <c r="AF181" s="352"/>
      <c r="AG181" s="352"/>
      <c r="AH181" s="352"/>
      <c r="AI181" s="352"/>
      <c r="AJ181" s="352"/>
      <c r="AK181" s="352"/>
      <c r="AL181" s="352"/>
      <c r="AM181" s="352"/>
      <c r="AN181" s="352"/>
      <c r="AO181" s="352"/>
      <c r="AP181" s="352"/>
      <c r="AQ181" s="352"/>
      <c r="AR181" s="352"/>
      <c r="AS181" s="352"/>
      <c r="AT181" s="352"/>
      <c r="AU181" s="352"/>
      <c r="AV181" s="352"/>
      <c r="AW181" s="352"/>
      <c r="AX181" s="352"/>
      <c r="AY181" s="352"/>
      <c r="AZ181" s="352"/>
      <c r="BA181" s="352"/>
      <c r="BB181" s="352"/>
      <c r="BC181" s="352"/>
      <c r="BD181" s="352"/>
      <c r="BE181" s="352"/>
      <c r="BF181" s="352"/>
      <c r="BG181" s="352"/>
      <c r="BH181" s="352"/>
      <c r="BI181" s="352"/>
      <c r="BJ181" s="352"/>
      <c r="BK181" s="352"/>
      <c r="BL181" s="352"/>
      <c r="BM181" s="352"/>
      <c r="BN181" s="352"/>
      <c r="BO181" s="352"/>
      <c r="BP181" s="352"/>
      <c r="BQ181" s="352"/>
      <c r="BR181" s="352"/>
      <c r="BS181" s="352"/>
      <c r="BT181" s="352"/>
      <c r="BU181" s="352"/>
      <c r="BV181" s="352"/>
      <c r="BW181" s="352"/>
      <c r="BX181" s="352"/>
      <c r="BY181" s="352"/>
      <c r="BZ181" s="352"/>
      <c r="CA181" s="352"/>
      <c r="CB181" s="352"/>
      <c r="CC181" s="352"/>
      <c r="CD181" s="352"/>
      <c r="CE181" s="352"/>
      <c r="CF181" s="352"/>
      <c r="CG181" s="352"/>
      <c r="CH181" s="352"/>
      <c r="CI181" s="352"/>
      <c r="CJ181" s="352"/>
      <c r="CK181" s="352"/>
      <c r="CL181" s="352"/>
      <c r="CM181" s="352"/>
      <c r="CN181" s="352"/>
      <c r="CO181" s="352"/>
      <c r="CP181" s="352"/>
      <c r="CQ181" s="352"/>
      <c r="CR181" s="352"/>
      <c r="CS181" s="352"/>
      <c r="CT181" s="352"/>
      <c r="CU181" s="352"/>
      <c r="CV181" s="352"/>
      <c r="CW181" s="352"/>
      <c r="CX181" s="352"/>
      <c r="CY181" s="352"/>
      <c r="CZ181" s="352"/>
      <c r="DA181" s="352"/>
      <c r="DB181" s="352"/>
      <c r="DC181" s="352"/>
      <c r="DD181" s="352"/>
      <c r="DE181" s="352"/>
      <c r="DF181" s="352"/>
      <c r="DG181" s="352"/>
      <c r="DH181" s="352"/>
      <c r="DI181" s="352"/>
      <c r="DJ181" s="352"/>
      <c r="DK181" s="352"/>
      <c r="DL181" s="352"/>
      <c r="DM181" s="352"/>
      <c r="DN181" s="352"/>
      <c r="DO181" s="352"/>
      <c r="DP181" s="352"/>
      <c r="DQ181" s="352"/>
      <c r="DR181" s="352"/>
      <c r="DS181" s="352"/>
      <c r="DT181" s="352"/>
      <c r="DU181" s="352"/>
      <c r="DV181" s="352"/>
      <c r="DW181" s="352"/>
      <c r="DX181" s="352"/>
      <c r="DY181" s="352"/>
      <c r="DZ181" s="352"/>
      <c r="EA181" s="352"/>
      <c r="EB181" s="352"/>
      <c r="EC181" s="352"/>
      <c r="ED181" s="352"/>
      <c r="EE181" s="352"/>
      <c r="EF181" s="352"/>
      <c r="EG181" s="352"/>
      <c r="EH181" s="352"/>
      <c r="EI181" s="352"/>
      <c r="EJ181" s="352"/>
      <c r="EK181" s="352"/>
      <c r="EL181" s="352"/>
      <c r="EM181" s="352"/>
      <c r="EN181" s="352"/>
    </row>
    <row r="182" spans="1:144" s="169" customFormat="1" ht="20.100000000000001" customHeight="1">
      <c r="A182" s="160" t="s">
        <v>59</v>
      </c>
      <c r="B182" s="160" t="s">
        <v>700</v>
      </c>
      <c r="C182" s="161">
        <v>0</v>
      </c>
      <c r="D182" s="162">
        <f>'Sectors % GDP'!E16</f>
        <v>23380.175999999999</v>
      </c>
      <c r="E182" s="162">
        <f t="shared" si="4"/>
        <v>0</v>
      </c>
      <c r="F182" s="165">
        <v>0</v>
      </c>
      <c r="G182" s="162">
        <v>0</v>
      </c>
      <c r="H182" s="163">
        <v>49.7</v>
      </c>
      <c r="I182" s="163">
        <v>39.700000000000003</v>
      </c>
      <c r="J182" s="165">
        <v>75.53</v>
      </c>
      <c r="K182" s="165">
        <v>33.43</v>
      </c>
      <c r="L182" s="165">
        <f t="shared" si="5"/>
        <v>4.9000000000000004</v>
      </c>
      <c r="M182" s="166">
        <v>4.9000000000000002E-2</v>
      </c>
      <c r="N182" s="166">
        <v>5.8</v>
      </c>
      <c r="O182" s="167">
        <f>'Trade Data'!B14</f>
        <v>0.49273767380624867</v>
      </c>
      <c r="P182" s="168">
        <v>0</v>
      </c>
      <c r="Q182" s="352"/>
      <c r="R182" s="352"/>
      <c r="S182" s="352"/>
      <c r="T182" s="352"/>
      <c r="U182" s="352"/>
      <c r="V182" s="352"/>
      <c r="W182" s="352"/>
      <c r="X182" s="352"/>
      <c r="Y182" s="352"/>
      <c r="Z182" s="352"/>
      <c r="AA182" s="352"/>
      <c r="AB182" s="352"/>
      <c r="AC182" s="352"/>
      <c r="AD182" s="352"/>
      <c r="AE182" s="352"/>
      <c r="AF182" s="352"/>
      <c r="AG182" s="352"/>
      <c r="AH182" s="352"/>
      <c r="AI182" s="352"/>
      <c r="AJ182" s="352"/>
      <c r="AK182" s="352"/>
      <c r="AL182" s="352"/>
      <c r="AM182" s="352"/>
      <c r="AN182" s="352"/>
      <c r="AO182" s="352"/>
      <c r="AP182" s="352"/>
      <c r="AQ182" s="352"/>
      <c r="AR182" s="352"/>
      <c r="AS182" s="352"/>
      <c r="AT182" s="352"/>
      <c r="AU182" s="352"/>
      <c r="AV182" s="352"/>
      <c r="AW182" s="352"/>
      <c r="AX182" s="352"/>
      <c r="AY182" s="352"/>
      <c r="AZ182" s="352"/>
      <c r="BA182" s="352"/>
      <c r="BB182" s="352"/>
      <c r="BC182" s="352"/>
      <c r="BD182" s="352"/>
      <c r="BE182" s="352"/>
      <c r="BF182" s="352"/>
      <c r="BG182" s="352"/>
      <c r="BH182" s="352"/>
      <c r="BI182" s="352"/>
      <c r="BJ182" s="352"/>
      <c r="BK182" s="352"/>
      <c r="BL182" s="352"/>
      <c r="BM182" s="352"/>
      <c r="BN182" s="352"/>
      <c r="BO182" s="352"/>
      <c r="BP182" s="352"/>
      <c r="BQ182" s="352"/>
      <c r="BR182" s="352"/>
      <c r="BS182" s="352"/>
      <c r="BT182" s="352"/>
      <c r="BU182" s="352"/>
      <c r="BV182" s="352"/>
      <c r="BW182" s="352"/>
      <c r="BX182" s="352"/>
      <c r="BY182" s="352"/>
      <c r="BZ182" s="352"/>
      <c r="CA182" s="352"/>
      <c r="CB182" s="352"/>
      <c r="CC182" s="352"/>
      <c r="CD182" s="352"/>
      <c r="CE182" s="352"/>
      <c r="CF182" s="352"/>
      <c r="CG182" s="352"/>
      <c r="CH182" s="352"/>
      <c r="CI182" s="352"/>
      <c r="CJ182" s="352"/>
      <c r="CK182" s="352"/>
      <c r="CL182" s="352"/>
      <c r="CM182" s="352"/>
      <c r="CN182" s="352"/>
      <c r="CO182" s="352"/>
      <c r="CP182" s="352"/>
      <c r="CQ182" s="352"/>
      <c r="CR182" s="352"/>
      <c r="CS182" s="352"/>
      <c r="CT182" s="352"/>
      <c r="CU182" s="352"/>
      <c r="CV182" s="352"/>
      <c r="CW182" s="352"/>
      <c r="CX182" s="352"/>
      <c r="CY182" s="352"/>
      <c r="CZ182" s="352"/>
      <c r="DA182" s="352"/>
      <c r="DB182" s="352"/>
      <c r="DC182" s="352"/>
      <c r="DD182" s="352"/>
      <c r="DE182" s="352"/>
      <c r="DF182" s="352"/>
      <c r="DG182" s="352"/>
      <c r="DH182" s="352"/>
      <c r="DI182" s="352"/>
      <c r="DJ182" s="352"/>
      <c r="DK182" s="352"/>
      <c r="DL182" s="352"/>
      <c r="DM182" s="352"/>
      <c r="DN182" s="352"/>
      <c r="DO182" s="352"/>
      <c r="DP182" s="352"/>
      <c r="DQ182" s="352"/>
      <c r="DR182" s="352"/>
      <c r="DS182" s="352"/>
      <c r="DT182" s="352"/>
      <c r="DU182" s="352"/>
      <c r="DV182" s="352"/>
      <c r="DW182" s="352"/>
      <c r="DX182" s="352"/>
      <c r="DY182" s="352"/>
      <c r="DZ182" s="352"/>
      <c r="EA182" s="352"/>
      <c r="EB182" s="352"/>
      <c r="EC182" s="352"/>
      <c r="ED182" s="352"/>
      <c r="EE182" s="352"/>
      <c r="EF182" s="352"/>
      <c r="EG182" s="352"/>
      <c r="EH182" s="352"/>
      <c r="EI182" s="352"/>
      <c r="EJ182" s="352"/>
      <c r="EK182" s="352"/>
      <c r="EL182" s="352"/>
      <c r="EM182" s="352"/>
      <c r="EN182" s="352"/>
    </row>
    <row r="183" spans="1:144" s="188" customFormat="1" ht="20.100000000000001" customHeight="1">
      <c r="A183" s="179" t="s">
        <v>59</v>
      </c>
      <c r="B183" s="179" t="s">
        <v>699</v>
      </c>
      <c r="C183" s="180">
        <f>'Thomson Reuters IMA  ($)'!I458+'Thomson Reuters IMA  ($)'!I459+'Thomson Reuters IMA  ($)'!I460</f>
        <v>9.15</v>
      </c>
      <c r="D183" s="181">
        <f>'Sectors % GDP'!E17</f>
        <v>135135.90400000001</v>
      </c>
      <c r="E183" s="181">
        <f t="shared" si="4"/>
        <v>6.7709614759375864E-5</v>
      </c>
      <c r="F183" s="184">
        <v>1</v>
      </c>
      <c r="G183" s="181">
        <v>8</v>
      </c>
      <c r="H183" s="182">
        <v>49.7</v>
      </c>
      <c r="I183" s="182">
        <v>39.700000000000003</v>
      </c>
      <c r="J183" s="184">
        <v>75.53</v>
      </c>
      <c r="K183" s="184">
        <v>33.43</v>
      </c>
      <c r="L183" s="184">
        <f t="shared" si="5"/>
        <v>4.9000000000000004</v>
      </c>
      <c r="M183" s="185">
        <v>4.9000000000000002E-2</v>
      </c>
      <c r="N183" s="185">
        <v>5.8</v>
      </c>
      <c r="O183" s="186">
        <f>'Trade Data'!B14</f>
        <v>0.49273767380624867</v>
      </c>
      <c r="P183" s="187">
        <v>1</v>
      </c>
      <c r="Q183" s="352"/>
      <c r="R183" s="352"/>
      <c r="S183" s="352"/>
      <c r="T183" s="352"/>
      <c r="U183" s="352"/>
      <c r="V183" s="352"/>
      <c r="W183" s="352"/>
      <c r="X183" s="352"/>
      <c r="Y183" s="352"/>
      <c r="Z183" s="352"/>
      <c r="AA183" s="352"/>
      <c r="AB183" s="352"/>
      <c r="AC183" s="352"/>
      <c r="AD183" s="352"/>
      <c r="AE183" s="352"/>
      <c r="AF183" s="352"/>
      <c r="AG183" s="352"/>
      <c r="AH183" s="352"/>
      <c r="AI183" s="352"/>
      <c r="AJ183" s="352"/>
      <c r="AK183" s="352"/>
      <c r="AL183" s="352"/>
      <c r="AM183" s="352"/>
      <c r="AN183" s="352"/>
      <c r="AO183" s="352"/>
      <c r="AP183" s="352"/>
      <c r="AQ183" s="352"/>
      <c r="AR183" s="352"/>
      <c r="AS183" s="352"/>
      <c r="AT183" s="352"/>
      <c r="AU183" s="352"/>
      <c r="AV183" s="352"/>
      <c r="AW183" s="352"/>
      <c r="AX183" s="352"/>
      <c r="AY183" s="352"/>
      <c r="AZ183" s="352"/>
      <c r="BA183" s="352"/>
      <c r="BB183" s="352"/>
      <c r="BC183" s="352"/>
      <c r="BD183" s="352"/>
      <c r="BE183" s="352"/>
      <c r="BF183" s="352"/>
      <c r="BG183" s="352"/>
      <c r="BH183" s="352"/>
      <c r="BI183" s="352"/>
      <c r="BJ183" s="352"/>
      <c r="BK183" s="352"/>
      <c r="BL183" s="352"/>
      <c r="BM183" s="352"/>
      <c r="BN183" s="352"/>
      <c r="BO183" s="352"/>
      <c r="BP183" s="352"/>
      <c r="BQ183" s="352"/>
      <c r="BR183" s="352"/>
      <c r="BS183" s="352"/>
      <c r="BT183" s="352"/>
      <c r="BU183" s="352"/>
      <c r="BV183" s="352"/>
      <c r="BW183" s="352"/>
      <c r="BX183" s="352"/>
      <c r="BY183" s="352"/>
      <c r="BZ183" s="352"/>
      <c r="CA183" s="352"/>
      <c r="CB183" s="352"/>
      <c r="CC183" s="352"/>
      <c r="CD183" s="352"/>
      <c r="CE183" s="352"/>
      <c r="CF183" s="352"/>
      <c r="CG183" s="352"/>
      <c r="CH183" s="352"/>
      <c r="CI183" s="352"/>
      <c r="CJ183" s="352"/>
      <c r="CK183" s="352"/>
      <c r="CL183" s="352"/>
      <c r="CM183" s="352"/>
      <c r="CN183" s="352"/>
      <c r="CO183" s="352"/>
      <c r="CP183" s="352"/>
      <c r="CQ183" s="352"/>
      <c r="CR183" s="352"/>
      <c r="CS183" s="352"/>
      <c r="CT183" s="352"/>
      <c r="CU183" s="352"/>
      <c r="CV183" s="352"/>
      <c r="CW183" s="352"/>
      <c r="CX183" s="352"/>
      <c r="CY183" s="352"/>
      <c r="CZ183" s="352"/>
      <c r="DA183" s="352"/>
      <c r="DB183" s="352"/>
      <c r="DC183" s="352"/>
      <c r="DD183" s="352"/>
      <c r="DE183" s="352"/>
      <c r="DF183" s="352"/>
      <c r="DG183" s="352"/>
      <c r="DH183" s="352"/>
      <c r="DI183" s="352"/>
      <c r="DJ183" s="352"/>
      <c r="DK183" s="352"/>
      <c r="DL183" s="352"/>
      <c r="DM183" s="352"/>
      <c r="DN183" s="352"/>
      <c r="DO183" s="352"/>
      <c r="DP183" s="352"/>
      <c r="DQ183" s="352"/>
      <c r="DR183" s="352"/>
      <c r="DS183" s="352"/>
      <c r="DT183" s="352"/>
      <c r="DU183" s="352"/>
      <c r="DV183" s="352"/>
      <c r="DW183" s="352"/>
      <c r="DX183" s="352"/>
      <c r="DY183" s="352"/>
      <c r="DZ183" s="352"/>
      <c r="EA183" s="352"/>
      <c r="EB183" s="352"/>
      <c r="EC183" s="352"/>
      <c r="ED183" s="352"/>
      <c r="EE183" s="352"/>
      <c r="EF183" s="352"/>
      <c r="EG183" s="352"/>
      <c r="EH183" s="352"/>
      <c r="EI183" s="352"/>
      <c r="EJ183" s="352"/>
      <c r="EK183" s="352"/>
      <c r="EL183" s="352"/>
      <c r="EM183" s="352"/>
      <c r="EN183" s="352"/>
    </row>
    <row r="184" spans="1:144" ht="20.100000000000001" customHeight="1">
      <c r="A184" s="118" t="s">
        <v>59</v>
      </c>
      <c r="B184" s="118" t="s">
        <v>698</v>
      </c>
      <c r="C184" s="119">
        <f>'Thomson Reuters IMA  ($)'!I461</f>
        <v>109</v>
      </c>
      <c r="D184" s="120">
        <f>'Sectors % GDP'!E18</f>
        <v>219766.08799999999</v>
      </c>
      <c r="E184" s="120">
        <f t="shared" si="4"/>
        <v>4.9598189143722671E-4</v>
      </c>
      <c r="F184" s="123">
        <v>1</v>
      </c>
      <c r="G184" s="120">
        <v>5</v>
      </c>
      <c r="H184" s="121">
        <v>49.7</v>
      </c>
      <c r="I184" s="121">
        <v>39.700000000000003</v>
      </c>
      <c r="J184" s="123">
        <v>75.53</v>
      </c>
      <c r="K184" s="123">
        <v>33.43</v>
      </c>
      <c r="L184" s="123">
        <f t="shared" si="5"/>
        <v>4.9000000000000004</v>
      </c>
      <c r="M184" s="124">
        <v>4.9000000000000002E-2</v>
      </c>
      <c r="N184" s="124">
        <v>5.8</v>
      </c>
      <c r="O184" s="125">
        <f>'Trade Data'!B14</f>
        <v>0.49273767380624867</v>
      </c>
      <c r="P184" s="126">
        <v>1</v>
      </c>
      <c r="Q184" s="352"/>
      <c r="R184" s="352"/>
      <c r="S184" s="352"/>
      <c r="T184" s="352"/>
      <c r="U184" s="352"/>
      <c r="V184" s="352"/>
      <c r="W184" s="352"/>
      <c r="X184" s="352"/>
      <c r="Y184" s="352"/>
      <c r="Z184" s="352"/>
      <c r="AA184" s="352"/>
      <c r="AB184" s="352"/>
      <c r="AC184" s="352"/>
      <c r="AD184" s="352"/>
      <c r="AE184" s="352"/>
      <c r="AF184" s="352"/>
      <c r="AG184" s="352"/>
      <c r="AH184" s="352"/>
      <c r="AI184" s="352"/>
      <c r="AJ184" s="352"/>
      <c r="AK184" s="352"/>
      <c r="AL184" s="352"/>
      <c r="AM184" s="352"/>
      <c r="AN184" s="352"/>
      <c r="AO184" s="352"/>
      <c r="AP184" s="352"/>
      <c r="AQ184" s="352"/>
      <c r="AR184" s="352"/>
      <c r="AS184" s="352"/>
      <c r="AT184" s="352"/>
      <c r="AU184" s="352"/>
      <c r="AV184" s="352"/>
      <c r="AW184" s="352"/>
      <c r="AX184" s="352"/>
      <c r="AY184" s="352"/>
      <c r="AZ184" s="352"/>
      <c r="BA184" s="352"/>
      <c r="BB184" s="352"/>
      <c r="BC184" s="352"/>
      <c r="BD184" s="352"/>
      <c r="BE184" s="352"/>
      <c r="BF184" s="352"/>
      <c r="BG184" s="352"/>
      <c r="BH184" s="352"/>
      <c r="BI184" s="352"/>
      <c r="BJ184" s="352"/>
      <c r="BK184" s="352"/>
      <c r="BL184" s="352"/>
      <c r="BM184" s="352"/>
      <c r="BN184" s="352"/>
      <c r="BO184" s="352"/>
      <c r="BP184" s="352"/>
      <c r="BQ184" s="352"/>
      <c r="BR184" s="352"/>
      <c r="BS184" s="352"/>
      <c r="BT184" s="352"/>
      <c r="BU184" s="352"/>
      <c r="BV184" s="352"/>
      <c r="BW184" s="352"/>
      <c r="BX184" s="352"/>
      <c r="BY184" s="352"/>
      <c r="BZ184" s="352"/>
      <c r="CA184" s="352"/>
      <c r="CB184" s="352"/>
      <c r="CC184" s="352"/>
      <c r="CD184" s="352"/>
      <c r="CE184" s="352"/>
      <c r="CF184" s="352"/>
      <c r="CG184" s="352"/>
      <c r="CH184" s="352"/>
      <c r="CI184" s="352"/>
      <c r="CJ184" s="352"/>
      <c r="CK184" s="352"/>
      <c r="CL184" s="352"/>
      <c r="CM184" s="352"/>
      <c r="CN184" s="352"/>
      <c r="CO184" s="352"/>
      <c r="CP184" s="352"/>
      <c r="CQ184" s="352"/>
      <c r="CR184" s="352"/>
      <c r="CS184" s="352"/>
      <c r="CT184" s="352"/>
      <c r="CU184" s="352"/>
      <c r="CV184" s="352"/>
      <c r="CW184" s="352"/>
      <c r="CX184" s="352"/>
      <c r="CY184" s="352"/>
      <c r="CZ184" s="352"/>
      <c r="DA184" s="352"/>
      <c r="DB184" s="352"/>
      <c r="DC184" s="352"/>
      <c r="DD184" s="352"/>
      <c r="DE184" s="352"/>
      <c r="DF184" s="352"/>
      <c r="DG184" s="352"/>
      <c r="DH184" s="352"/>
      <c r="DI184" s="352"/>
      <c r="DJ184" s="352"/>
      <c r="DK184" s="352"/>
      <c r="DL184" s="352"/>
      <c r="DM184" s="352"/>
      <c r="DN184" s="352"/>
      <c r="DO184" s="352"/>
      <c r="DP184" s="352"/>
      <c r="DQ184" s="352"/>
      <c r="DR184" s="352"/>
      <c r="DS184" s="352"/>
      <c r="DT184" s="352"/>
      <c r="DU184" s="352"/>
      <c r="DV184" s="352"/>
      <c r="DW184" s="352"/>
      <c r="DX184" s="352"/>
      <c r="DY184" s="352"/>
      <c r="DZ184" s="352"/>
      <c r="EA184" s="352"/>
      <c r="EB184" s="352"/>
      <c r="EC184" s="352"/>
      <c r="ED184" s="352"/>
      <c r="EE184" s="352"/>
      <c r="EF184" s="352"/>
      <c r="EG184" s="352"/>
      <c r="EH184" s="352"/>
      <c r="EI184" s="352"/>
      <c r="EJ184" s="352"/>
      <c r="EK184" s="352"/>
      <c r="EL184" s="352"/>
      <c r="EM184" s="352"/>
      <c r="EN184" s="352"/>
    </row>
    <row r="185" spans="1:144" s="169" customFormat="1" ht="20.100000000000001" customHeight="1">
      <c r="A185" s="160" t="s">
        <v>60</v>
      </c>
      <c r="B185" s="160" t="s">
        <v>697</v>
      </c>
      <c r="C185" s="161">
        <v>0</v>
      </c>
      <c r="D185" s="162">
        <f>'Sectors % GDP'!E16</f>
        <v>23380.175999999999</v>
      </c>
      <c r="E185" s="162">
        <f t="shared" si="4"/>
        <v>0</v>
      </c>
      <c r="F185" s="165">
        <v>0</v>
      </c>
      <c r="G185" s="162">
        <v>0</v>
      </c>
      <c r="H185" s="163">
        <v>54.41</v>
      </c>
      <c r="I185" s="163">
        <v>53.3</v>
      </c>
      <c r="J185" s="165">
        <v>73.930000000000007</v>
      </c>
      <c r="K185" s="165">
        <v>33.43</v>
      </c>
      <c r="L185" s="165">
        <f t="shared" si="5"/>
        <v>4.3999999999999995</v>
      </c>
      <c r="M185" s="166">
        <v>4.3999999999999997E-2</v>
      </c>
      <c r="N185" s="166">
        <v>5</v>
      </c>
      <c r="O185" s="167">
        <f>'Trade Data'!D14</f>
        <v>0.50852464992768731</v>
      </c>
      <c r="P185" s="170">
        <v>0</v>
      </c>
      <c r="Q185" s="352"/>
      <c r="R185" s="352"/>
      <c r="S185" s="352"/>
      <c r="T185" s="352"/>
      <c r="U185" s="352"/>
      <c r="V185" s="352"/>
      <c r="W185" s="352"/>
      <c r="X185" s="352"/>
      <c r="Y185" s="352"/>
      <c r="Z185" s="352"/>
      <c r="AA185" s="352"/>
      <c r="AB185" s="352"/>
      <c r="AC185" s="352"/>
      <c r="AD185" s="352"/>
      <c r="AE185" s="352"/>
      <c r="AF185" s="352"/>
      <c r="AG185" s="352"/>
      <c r="AH185" s="352"/>
      <c r="AI185" s="352"/>
      <c r="AJ185" s="352"/>
      <c r="AK185" s="352"/>
      <c r="AL185" s="352"/>
      <c r="AM185" s="352"/>
      <c r="AN185" s="352"/>
      <c r="AO185" s="352"/>
      <c r="AP185" s="352"/>
      <c r="AQ185" s="352"/>
      <c r="AR185" s="352"/>
      <c r="AS185" s="352"/>
      <c r="AT185" s="352"/>
      <c r="AU185" s="352"/>
      <c r="AV185" s="352"/>
      <c r="AW185" s="352"/>
      <c r="AX185" s="352"/>
      <c r="AY185" s="352"/>
      <c r="AZ185" s="352"/>
      <c r="BA185" s="352"/>
      <c r="BB185" s="352"/>
      <c r="BC185" s="352"/>
      <c r="BD185" s="352"/>
      <c r="BE185" s="352"/>
      <c r="BF185" s="352"/>
      <c r="BG185" s="352"/>
      <c r="BH185" s="352"/>
      <c r="BI185" s="352"/>
      <c r="BJ185" s="352"/>
      <c r="BK185" s="352"/>
      <c r="BL185" s="352"/>
      <c r="BM185" s="352"/>
      <c r="BN185" s="352"/>
      <c r="BO185" s="352"/>
      <c r="BP185" s="352"/>
      <c r="BQ185" s="352"/>
      <c r="BR185" s="352"/>
      <c r="BS185" s="352"/>
      <c r="BT185" s="352"/>
      <c r="BU185" s="352"/>
      <c r="BV185" s="352"/>
      <c r="BW185" s="352"/>
      <c r="BX185" s="352"/>
      <c r="BY185" s="352"/>
      <c r="BZ185" s="352"/>
      <c r="CA185" s="352"/>
      <c r="CB185" s="352"/>
      <c r="CC185" s="352"/>
      <c r="CD185" s="352"/>
      <c r="CE185" s="352"/>
      <c r="CF185" s="352"/>
      <c r="CG185" s="352"/>
      <c r="CH185" s="352"/>
      <c r="CI185" s="352"/>
      <c r="CJ185" s="352"/>
      <c r="CK185" s="352"/>
      <c r="CL185" s="352"/>
      <c r="CM185" s="352"/>
      <c r="CN185" s="352"/>
      <c r="CO185" s="352"/>
      <c r="CP185" s="352"/>
      <c r="CQ185" s="352"/>
      <c r="CR185" s="352"/>
      <c r="CS185" s="352"/>
      <c r="CT185" s="352"/>
      <c r="CU185" s="352"/>
      <c r="CV185" s="352"/>
      <c r="CW185" s="352"/>
      <c r="CX185" s="352"/>
      <c r="CY185" s="352"/>
      <c r="CZ185" s="352"/>
      <c r="DA185" s="352"/>
      <c r="DB185" s="352"/>
      <c r="DC185" s="352"/>
      <c r="DD185" s="352"/>
      <c r="DE185" s="352"/>
      <c r="DF185" s="352"/>
      <c r="DG185" s="352"/>
      <c r="DH185" s="352"/>
      <c r="DI185" s="352"/>
      <c r="DJ185" s="352"/>
      <c r="DK185" s="352"/>
      <c r="DL185" s="352"/>
      <c r="DM185" s="352"/>
      <c r="DN185" s="352"/>
      <c r="DO185" s="352"/>
      <c r="DP185" s="352"/>
      <c r="DQ185" s="352"/>
      <c r="DR185" s="352"/>
      <c r="DS185" s="352"/>
      <c r="DT185" s="352"/>
      <c r="DU185" s="352"/>
      <c r="DV185" s="352"/>
      <c r="DW185" s="352"/>
      <c r="DX185" s="352"/>
      <c r="DY185" s="352"/>
      <c r="DZ185" s="352"/>
      <c r="EA185" s="352"/>
      <c r="EB185" s="352"/>
      <c r="EC185" s="352"/>
      <c r="ED185" s="352"/>
      <c r="EE185" s="352"/>
      <c r="EF185" s="352"/>
      <c r="EG185" s="352"/>
      <c r="EH185" s="352"/>
      <c r="EI185" s="352"/>
      <c r="EJ185" s="352"/>
      <c r="EK185" s="352"/>
      <c r="EL185" s="352"/>
      <c r="EM185" s="352"/>
      <c r="EN185" s="352"/>
    </row>
    <row r="186" spans="1:144" s="188" customFormat="1" ht="20.100000000000001" customHeight="1">
      <c r="A186" s="179" t="s">
        <v>60</v>
      </c>
      <c r="B186" s="179" t="s">
        <v>696</v>
      </c>
      <c r="C186" s="180">
        <f>'Thomson Reuters IMA  ($)'!I462+'Thomson Reuters IMA  ($)'!I463+'Thomson Reuters IMA  ($)'!I465+'Thomson Reuters IMA  ($)'!I466+'Thomson Reuters IMA  ($)'!I467</f>
        <v>276.56200000000001</v>
      </c>
      <c r="D186" s="181">
        <f>'Sectors % GDP'!E17</f>
        <v>135135.90400000001</v>
      </c>
      <c r="E186" s="181">
        <f t="shared" si="4"/>
        <v>2.0465471559653016E-3</v>
      </c>
      <c r="F186" s="184">
        <v>1</v>
      </c>
      <c r="G186" s="181">
        <v>6</v>
      </c>
      <c r="H186" s="182">
        <v>54.41</v>
      </c>
      <c r="I186" s="182">
        <v>53.3</v>
      </c>
      <c r="J186" s="184">
        <v>73.930000000000007</v>
      </c>
      <c r="K186" s="184">
        <v>33.43</v>
      </c>
      <c r="L186" s="184">
        <f t="shared" si="5"/>
        <v>4.3999999999999995</v>
      </c>
      <c r="M186" s="185">
        <v>4.3999999999999997E-2</v>
      </c>
      <c r="N186" s="185">
        <v>5</v>
      </c>
      <c r="O186" s="186">
        <f>'Trade Data'!D14</f>
        <v>0.50852464992768731</v>
      </c>
      <c r="P186" s="189">
        <v>1</v>
      </c>
      <c r="Q186" s="352"/>
      <c r="R186" s="352"/>
      <c r="S186" s="352"/>
      <c r="T186" s="352"/>
      <c r="U186" s="352"/>
      <c r="V186" s="352"/>
      <c r="W186" s="352"/>
      <c r="X186" s="352"/>
      <c r="Y186" s="352"/>
      <c r="Z186" s="352"/>
      <c r="AA186" s="352"/>
      <c r="AB186" s="352"/>
      <c r="AC186" s="352"/>
      <c r="AD186" s="352"/>
      <c r="AE186" s="352"/>
      <c r="AF186" s="352"/>
      <c r="AG186" s="352"/>
      <c r="AH186" s="352"/>
      <c r="AI186" s="352"/>
      <c r="AJ186" s="352"/>
      <c r="AK186" s="352"/>
      <c r="AL186" s="352"/>
      <c r="AM186" s="352"/>
      <c r="AN186" s="352"/>
      <c r="AO186" s="352"/>
      <c r="AP186" s="352"/>
      <c r="AQ186" s="352"/>
      <c r="AR186" s="352"/>
      <c r="AS186" s="352"/>
      <c r="AT186" s="352"/>
      <c r="AU186" s="352"/>
      <c r="AV186" s="352"/>
      <c r="AW186" s="352"/>
      <c r="AX186" s="352"/>
      <c r="AY186" s="352"/>
      <c r="AZ186" s="352"/>
      <c r="BA186" s="352"/>
      <c r="BB186" s="352"/>
      <c r="BC186" s="352"/>
      <c r="BD186" s="352"/>
      <c r="BE186" s="352"/>
      <c r="BF186" s="352"/>
      <c r="BG186" s="352"/>
      <c r="BH186" s="352"/>
      <c r="BI186" s="352"/>
      <c r="BJ186" s="352"/>
      <c r="BK186" s="352"/>
      <c r="BL186" s="352"/>
      <c r="BM186" s="352"/>
      <c r="BN186" s="352"/>
      <c r="BO186" s="352"/>
      <c r="BP186" s="352"/>
      <c r="BQ186" s="352"/>
      <c r="BR186" s="352"/>
      <c r="BS186" s="352"/>
      <c r="BT186" s="352"/>
      <c r="BU186" s="352"/>
      <c r="BV186" s="352"/>
      <c r="BW186" s="352"/>
      <c r="BX186" s="352"/>
      <c r="BY186" s="352"/>
      <c r="BZ186" s="352"/>
      <c r="CA186" s="352"/>
      <c r="CB186" s="352"/>
      <c r="CC186" s="352"/>
      <c r="CD186" s="352"/>
      <c r="CE186" s="352"/>
      <c r="CF186" s="352"/>
      <c r="CG186" s="352"/>
      <c r="CH186" s="352"/>
      <c r="CI186" s="352"/>
      <c r="CJ186" s="352"/>
      <c r="CK186" s="352"/>
      <c r="CL186" s="352"/>
      <c r="CM186" s="352"/>
      <c r="CN186" s="352"/>
      <c r="CO186" s="352"/>
      <c r="CP186" s="352"/>
      <c r="CQ186" s="352"/>
      <c r="CR186" s="352"/>
      <c r="CS186" s="352"/>
      <c r="CT186" s="352"/>
      <c r="CU186" s="352"/>
      <c r="CV186" s="352"/>
      <c r="CW186" s="352"/>
      <c r="CX186" s="352"/>
      <c r="CY186" s="352"/>
      <c r="CZ186" s="352"/>
      <c r="DA186" s="352"/>
      <c r="DB186" s="352"/>
      <c r="DC186" s="352"/>
      <c r="DD186" s="352"/>
      <c r="DE186" s="352"/>
      <c r="DF186" s="352"/>
      <c r="DG186" s="352"/>
      <c r="DH186" s="352"/>
      <c r="DI186" s="352"/>
      <c r="DJ186" s="352"/>
      <c r="DK186" s="352"/>
      <c r="DL186" s="352"/>
      <c r="DM186" s="352"/>
      <c r="DN186" s="352"/>
      <c r="DO186" s="352"/>
      <c r="DP186" s="352"/>
      <c r="DQ186" s="352"/>
      <c r="DR186" s="352"/>
      <c r="DS186" s="352"/>
      <c r="DT186" s="352"/>
      <c r="DU186" s="352"/>
      <c r="DV186" s="352"/>
      <c r="DW186" s="352"/>
      <c r="DX186" s="352"/>
      <c r="DY186" s="352"/>
      <c r="DZ186" s="352"/>
      <c r="EA186" s="352"/>
      <c r="EB186" s="352"/>
      <c r="EC186" s="352"/>
      <c r="ED186" s="352"/>
      <c r="EE186" s="352"/>
      <c r="EF186" s="352"/>
      <c r="EG186" s="352"/>
      <c r="EH186" s="352"/>
      <c r="EI186" s="352"/>
      <c r="EJ186" s="352"/>
      <c r="EK186" s="352"/>
      <c r="EL186" s="352"/>
      <c r="EM186" s="352"/>
      <c r="EN186" s="352"/>
    </row>
    <row r="187" spans="1:144" ht="20.100000000000001" customHeight="1">
      <c r="A187" s="118" t="s">
        <v>60</v>
      </c>
      <c r="B187" s="118" t="s">
        <v>695</v>
      </c>
      <c r="C187" s="119">
        <f>'Thomson Reuters IMA  ($)'!I464</f>
        <v>1.208</v>
      </c>
      <c r="D187" s="120">
        <f>'Sectors % GDP'!E18</f>
        <v>219766.08799999999</v>
      </c>
      <c r="E187" s="120">
        <f t="shared" si="4"/>
        <v>5.4967534390474294E-6</v>
      </c>
      <c r="F187" s="123">
        <v>1</v>
      </c>
      <c r="G187" s="120">
        <v>2</v>
      </c>
      <c r="H187" s="121">
        <v>54.41</v>
      </c>
      <c r="I187" s="121">
        <v>53.3</v>
      </c>
      <c r="J187" s="123">
        <v>73.930000000000007</v>
      </c>
      <c r="K187" s="123">
        <v>33.43</v>
      </c>
      <c r="L187" s="123">
        <f t="shared" si="5"/>
        <v>4.3999999999999995</v>
      </c>
      <c r="M187" s="124">
        <v>4.3999999999999997E-2</v>
      </c>
      <c r="N187" s="124">
        <v>5</v>
      </c>
      <c r="O187" s="125">
        <f>'Trade Data'!D14</f>
        <v>0.50852464992768731</v>
      </c>
      <c r="P187" s="127">
        <v>1</v>
      </c>
      <c r="Q187" s="352"/>
      <c r="R187" s="352"/>
      <c r="S187" s="352"/>
      <c r="T187" s="352"/>
      <c r="U187" s="352"/>
      <c r="V187" s="352"/>
      <c r="W187" s="352"/>
      <c r="X187" s="352"/>
      <c r="Y187" s="352"/>
      <c r="Z187" s="352"/>
      <c r="AA187" s="352"/>
      <c r="AB187" s="352"/>
      <c r="AC187" s="352"/>
      <c r="AD187" s="352"/>
      <c r="AE187" s="352"/>
      <c r="AF187" s="352"/>
      <c r="AG187" s="352"/>
      <c r="AH187" s="352"/>
      <c r="AI187" s="352"/>
      <c r="AJ187" s="352"/>
      <c r="AK187" s="352"/>
      <c r="AL187" s="352"/>
      <c r="AM187" s="352"/>
      <c r="AN187" s="352"/>
      <c r="AO187" s="352"/>
      <c r="AP187" s="352"/>
      <c r="AQ187" s="352"/>
      <c r="AR187" s="352"/>
      <c r="AS187" s="352"/>
      <c r="AT187" s="352"/>
      <c r="AU187" s="352"/>
      <c r="AV187" s="352"/>
      <c r="AW187" s="352"/>
      <c r="AX187" s="352"/>
      <c r="AY187" s="352"/>
      <c r="AZ187" s="352"/>
      <c r="BA187" s="352"/>
      <c r="BB187" s="352"/>
      <c r="BC187" s="352"/>
      <c r="BD187" s="352"/>
      <c r="BE187" s="352"/>
      <c r="BF187" s="352"/>
      <c r="BG187" s="352"/>
      <c r="BH187" s="352"/>
      <c r="BI187" s="352"/>
      <c r="BJ187" s="352"/>
      <c r="BK187" s="352"/>
      <c r="BL187" s="352"/>
      <c r="BM187" s="352"/>
      <c r="BN187" s="352"/>
      <c r="BO187" s="352"/>
      <c r="BP187" s="352"/>
      <c r="BQ187" s="352"/>
      <c r="BR187" s="352"/>
      <c r="BS187" s="352"/>
      <c r="BT187" s="352"/>
      <c r="BU187" s="352"/>
      <c r="BV187" s="352"/>
      <c r="BW187" s="352"/>
      <c r="BX187" s="352"/>
      <c r="BY187" s="352"/>
      <c r="BZ187" s="352"/>
      <c r="CA187" s="352"/>
      <c r="CB187" s="352"/>
      <c r="CC187" s="352"/>
      <c r="CD187" s="352"/>
      <c r="CE187" s="352"/>
      <c r="CF187" s="352"/>
      <c r="CG187" s="352"/>
      <c r="CH187" s="352"/>
      <c r="CI187" s="352"/>
      <c r="CJ187" s="352"/>
      <c r="CK187" s="352"/>
      <c r="CL187" s="352"/>
      <c r="CM187" s="352"/>
      <c r="CN187" s="352"/>
      <c r="CO187" s="352"/>
      <c r="CP187" s="352"/>
      <c r="CQ187" s="352"/>
      <c r="CR187" s="352"/>
      <c r="CS187" s="352"/>
      <c r="CT187" s="352"/>
      <c r="CU187" s="352"/>
      <c r="CV187" s="352"/>
      <c r="CW187" s="352"/>
      <c r="CX187" s="352"/>
      <c r="CY187" s="352"/>
      <c r="CZ187" s="352"/>
      <c r="DA187" s="352"/>
      <c r="DB187" s="352"/>
      <c r="DC187" s="352"/>
      <c r="DD187" s="352"/>
      <c r="DE187" s="352"/>
      <c r="DF187" s="352"/>
      <c r="DG187" s="352"/>
      <c r="DH187" s="352"/>
      <c r="DI187" s="352"/>
      <c r="DJ187" s="352"/>
      <c r="DK187" s="352"/>
      <c r="DL187" s="352"/>
      <c r="DM187" s="352"/>
      <c r="DN187" s="352"/>
      <c r="DO187" s="352"/>
      <c r="DP187" s="352"/>
      <c r="DQ187" s="352"/>
      <c r="DR187" s="352"/>
      <c r="DS187" s="352"/>
      <c r="DT187" s="352"/>
      <c r="DU187" s="352"/>
      <c r="DV187" s="352"/>
      <c r="DW187" s="352"/>
      <c r="DX187" s="352"/>
      <c r="DY187" s="352"/>
      <c r="DZ187" s="352"/>
      <c r="EA187" s="352"/>
      <c r="EB187" s="352"/>
      <c r="EC187" s="352"/>
      <c r="ED187" s="352"/>
      <c r="EE187" s="352"/>
      <c r="EF187" s="352"/>
      <c r="EG187" s="352"/>
      <c r="EH187" s="352"/>
      <c r="EI187" s="352"/>
      <c r="EJ187" s="352"/>
      <c r="EK187" s="352"/>
      <c r="EL187" s="352"/>
      <c r="EM187" s="352"/>
      <c r="EN187" s="352"/>
    </row>
    <row r="188" spans="1:144" s="169" customFormat="1" ht="20.100000000000001" customHeight="1">
      <c r="A188" s="160" t="s">
        <v>61</v>
      </c>
      <c r="B188" s="160" t="s">
        <v>694</v>
      </c>
      <c r="C188" s="161">
        <v>0</v>
      </c>
      <c r="D188" s="162">
        <f>'Sectors % GDP'!E16</f>
        <v>23380.175999999999</v>
      </c>
      <c r="E188" s="162">
        <f t="shared" si="4"/>
        <v>0</v>
      </c>
      <c r="F188" s="165">
        <v>0</v>
      </c>
      <c r="G188" s="162">
        <v>0</v>
      </c>
      <c r="H188" s="163">
        <v>51.47</v>
      </c>
      <c r="I188" s="163">
        <v>53.3</v>
      </c>
      <c r="J188" s="165">
        <v>67.81</v>
      </c>
      <c r="K188" s="165">
        <v>33.43</v>
      </c>
      <c r="L188" s="165">
        <f t="shared" si="5"/>
        <v>4.3999999999999995</v>
      </c>
      <c r="M188" s="166">
        <v>4.3999999999999997E-2</v>
      </c>
      <c r="N188" s="166">
        <v>5</v>
      </c>
      <c r="O188" s="167">
        <f>'Trade Data'!D14</f>
        <v>0.50852464992768731</v>
      </c>
      <c r="P188" s="168">
        <v>0</v>
      </c>
      <c r="Q188" s="352"/>
      <c r="R188" s="352"/>
      <c r="S188" s="352"/>
      <c r="T188" s="352"/>
      <c r="U188" s="352"/>
      <c r="V188" s="352"/>
      <c r="W188" s="352"/>
      <c r="X188" s="352"/>
      <c r="Y188" s="352"/>
      <c r="Z188" s="352"/>
      <c r="AA188" s="352"/>
      <c r="AB188" s="352"/>
      <c r="AC188" s="352"/>
      <c r="AD188" s="352"/>
      <c r="AE188" s="352"/>
      <c r="AF188" s="352"/>
      <c r="AG188" s="352"/>
      <c r="AH188" s="352"/>
      <c r="AI188" s="352"/>
      <c r="AJ188" s="352"/>
      <c r="AK188" s="352"/>
      <c r="AL188" s="352"/>
      <c r="AM188" s="352"/>
      <c r="AN188" s="352"/>
      <c r="AO188" s="352"/>
      <c r="AP188" s="352"/>
      <c r="AQ188" s="352"/>
      <c r="AR188" s="352"/>
      <c r="AS188" s="352"/>
      <c r="AT188" s="352"/>
      <c r="AU188" s="352"/>
      <c r="AV188" s="352"/>
      <c r="AW188" s="352"/>
      <c r="AX188" s="352"/>
      <c r="AY188" s="352"/>
      <c r="AZ188" s="352"/>
      <c r="BA188" s="352"/>
      <c r="BB188" s="352"/>
      <c r="BC188" s="352"/>
      <c r="BD188" s="352"/>
      <c r="BE188" s="352"/>
      <c r="BF188" s="352"/>
      <c r="BG188" s="352"/>
      <c r="BH188" s="352"/>
      <c r="BI188" s="352"/>
      <c r="BJ188" s="352"/>
      <c r="BK188" s="352"/>
      <c r="BL188" s="352"/>
      <c r="BM188" s="352"/>
      <c r="BN188" s="352"/>
      <c r="BO188" s="352"/>
      <c r="BP188" s="352"/>
      <c r="BQ188" s="352"/>
      <c r="BR188" s="352"/>
      <c r="BS188" s="352"/>
      <c r="BT188" s="352"/>
      <c r="BU188" s="352"/>
      <c r="BV188" s="352"/>
      <c r="BW188" s="352"/>
      <c r="BX188" s="352"/>
      <c r="BY188" s="352"/>
      <c r="BZ188" s="352"/>
      <c r="CA188" s="352"/>
      <c r="CB188" s="352"/>
      <c r="CC188" s="352"/>
      <c r="CD188" s="352"/>
      <c r="CE188" s="352"/>
      <c r="CF188" s="352"/>
      <c r="CG188" s="352"/>
      <c r="CH188" s="352"/>
      <c r="CI188" s="352"/>
      <c r="CJ188" s="352"/>
      <c r="CK188" s="352"/>
      <c r="CL188" s="352"/>
      <c r="CM188" s="352"/>
      <c r="CN188" s="352"/>
      <c r="CO188" s="352"/>
      <c r="CP188" s="352"/>
      <c r="CQ188" s="352"/>
      <c r="CR188" s="352"/>
      <c r="CS188" s="352"/>
      <c r="CT188" s="352"/>
      <c r="CU188" s="352"/>
      <c r="CV188" s="352"/>
      <c r="CW188" s="352"/>
      <c r="CX188" s="352"/>
      <c r="CY188" s="352"/>
      <c r="CZ188" s="352"/>
      <c r="DA188" s="352"/>
      <c r="DB188" s="352"/>
      <c r="DC188" s="352"/>
      <c r="DD188" s="352"/>
      <c r="DE188" s="352"/>
      <c r="DF188" s="352"/>
      <c r="DG188" s="352"/>
      <c r="DH188" s="352"/>
      <c r="DI188" s="352"/>
      <c r="DJ188" s="352"/>
      <c r="DK188" s="352"/>
      <c r="DL188" s="352"/>
      <c r="DM188" s="352"/>
      <c r="DN188" s="352"/>
      <c r="DO188" s="352"/>
      <c r="DP188" s="352"/>
      <c r="DQ188" s="352"/>
      <c r="DR188" s="352"/>
      <c r="DS188" s="352"/>
      <c r="DT188" s="352"/>
      <c r="DU188" s="352"/>
      <c r="DV188" s="352"/>
      <c r="DW188" s="352"/>
      <c r="DX188" s="352"/>
      <c r="DY188" s="352"/>
      <c r="DZ188" s="352"/>
      <c r="EA188" s="352"/>
      <c r="EB188" s="352"/>
      <c r="EC188" s="352"/>
      <c r="ED188" s="352"/>
      <c r="EE188" s="352"/>
      <c r="EF188" s="352"/>
      <c r="EG188" s="352"/>
      <c r="EH188" s="352"/>
      <c r="EI188" s="352"/>
      <c r="EJ188" s="352"/>
      <c r="EK188" s="352"/>
      <c r="EL188" s="352"/>
      <c r="EM188" s="352"/>
      <c r="EN188" s="352"/>
    </row>
    <row r="189" spans="1:144" s="188" customFormat="1" ht="20.100000000000001" customHeight="1">
      <c r="A189" s="179" t="s">
        <v>61</v>
      </c>
      <c r="B189" s="179" t="s">
        <v>693</v>
      </c>
      <c r="C189" s="180">
        <f>'Thomson Reuters IMA  ($)'!I468</f>
        <v>12</v>
      </c>
      <c r="D189" s="181">
        <f>'Sectors % GDP'!E17</f>
        <v>135135.90400000001</v>
      </c>
      <c r="E189" s="181">
        <f t="shared" si="4"/>
        <v>8.8799494766394577E-5</v>
      </c>
      <c r="F189" s="184">
        <v>1</v>
      </c>
      <c r="G189" s="181">
        <v>4</v>
      </c>
      <c r="H189" s="182">
        <v>51.47</v>
      </c>
      <c r="I189" s="182">
        <v>53.3</v>
      </c>
      <c r="J189" s="184">
        <v>67.81</v>
      </c>
      <c r="K189" s="184">
        <v>33.43</v>
      </c>
      <c r="L189" s="184">
        <f t="shared" si="5"/>
        <v>4.3999999999999995</v>
      </c>
      <c r="M189" s="185">
        <v>4.3999999999999997E-2</v>
      </c>
      <c r="N189" s="185">
        <v>5</v>
      </c>
      <c r="O189" s="186">
        <f>'Trade Data'!D14</f>
        <v>0.50852464992768731</v>
      </c>
      <c r="P189" s="187">
        <v>1</v>
      </c>
      <c r="Q189" s="352"/>
      <c r="R189" s="352"/>
      <c r="S189" s="352"/>
      <c r="T189" s="352"/>
      <c r="U189" s="352"/>
      <c r="V189" s="352"/>
      <c r="W189" s="352"/>
      <c r="X189" s="352"/>
      <c r="Y189" s="352"/>
      <c r="Z189" s="352"/>
      <c r="AA189" s="352"/>
      <c r="AB189" s="352"/>
      <c r="AC189" s="352"/>
      <c r="AD189" s="352"/>
      <c r="AE189" s="352"/>
      <c r="AF189" s="352"/>
      <c r="AG189" s="352"/>
      <c r="AH189" s="352"/>
      <c r="AI189" s="352"/>
      <c r="AJ189" s="352"/>
      <c r="AK189" s="352"/>
      <c r="AL189" s="352"/>
      <c r="AM189" s="352"/>
      <c r="AN189" s="352"/>
      <c r="AO189" s="352"/>
      <c r="AP189" s="352"/>
      <c r="AQ189" s="352"/>
      <c r="AR189" s="352"/>
      <c r="AS189" s="352"/>
      <c r="AT189" s="352"/>
      <c r="AU189" s="352"/>
      <c r="AV189" s="352"/>
      <c r="AW189" s="352"/>
      <c r="AX189" s="352"/>
      <c r="AY189" s="352"/>
      <c r="AZ189" s="352"/>
      <c r="BA189" s="352"/>
      <c r="BB189" s="352"/>
      <c r="BC189" s="352"/>
      <c r="BD189" s="352"/>
      <c r="BE189" s="352"/>
      <c r="BF189" s="352"/>
      <c r="BG189" s="352"/>
      <c r="BH189" s="352"/>
      <c r="BI189" s="352"/>
      <c r="BJ189" s="352"/>
      <c r="BK189" s="352"/>
      <c r="BL189" s="352"/>
      <c r="BM189" s="352"/>
      <c r="BN189" s="352"/>
      <c r="BO189" s="352"/>
      <c r="BP189" s="352"/>
      <c r="BQ189" s="352"/>
      <c r="BR189" s="352"/>
      <c r="BS189" s="352"/>
      <c r="BT189" s="352"/>
      <c r="BU189" s="352"/>
      <c r="BV189" s="352"/>
      <c r="BW189" s="352"/>
      <c r="BX189" s="352"/>
      <c r="BY189" s="352"/>
      <c r="BZ189" s="352"/>
      <c r="CA189" s="352"/>
      <c r="CB189" s="352"/>
      <c r="CC189" s="352"/>
      <c r="CD189" s="352"/>
      <c r="CE189" s="352"/>
      <c r="CF189" s="352"/>
      <c r="CG189" s="352"/>
      <c r="CH189" s="352"/>
      <c r="CI189" s="352"/>
      <c r="CJ189" s="352"/>
      <c r="CK189" s="352"/>
      <c r="CL189" s="352"/>
      <c r="CM189" s="352"/>
      <c r="CN189" s="352"/>
      <c r="CO189" s="352"/>
      <c r="CP189" s="352"/>
      <c r="CQ189" s="352"/>
      <c r="CR189" s="352"/>
      <c r="CS189" s="352"/>
      <c r="CT189" s="352"/>
      <c r="CU189" s="352"/>
      <c r="CV189" s="352"/>
      <c r="CW189" s="352"/>
      <c r="CX189" s="352"/>
      <c r="CY189" s="352"/>
      <c r="CZ189" s="352"/>
      <c r="DA189" s="352"/>
      <c r="DB189" s="352"/>
      <c r="DC189" s="352"/>
      <c r="DD189" s="352"/>
      <c r="DE189" s="352"/>
      <c r="DF189" s="352"/>
      <c r="DG189" s="352"/>
      <c r="DH189" s="352"/>
      <c r="DI189" s="352"/>
      <c r="DJ189" s="352"/>
      <c r="DK189" s="352"/>
      <c r="DL189" s="352"/>
      <c r="DM189" s="352"/>
      <c r="DN189" s="352"/>
      <c r="DO189" s="352"/>
      <c r="DP189" s="352"/>
      <c r="DQ189" s="352"/>
      <c r="DR189" s="352"/>
      <c r="DS189" s="352"/>
      <c r="DT189" s="352"/>
      <c r="DU189" s="352"/>
      <c r="DV189" s="352"/>
      <c r="DW189" s="352"/>
      <c r="DX189" s="352"/>
      <c r="DY189" s="352"/>
      <c r="DZ189" s="352"/>
      <c r="EA189" s="352"/>
      <c r="EB189" s="352"/>
      <c r="EC189" s="352"/>
      <c r="ED189" s="352"/>
      <c r="EE189" s="352"/>
      <c r="EF189" s="352"/>
      <c r="EG189" s="352"/>
      <c r="EH189" s="352"/>
      <c r="EI189" s="352"/>
      <c r="EJ189" s="352"/>
      <c r="EK189" s="352"/>
      <c r="EL189" s="352"/>
      <c r="EM189" s="352"/>
      <c r="EN189" s="352"/>
    </row>
    <row r="190" spans="1:144" ht="20.100000000000001" customHeight="1">
      <c r="A190" s="118" t="s">
        <v>61</v>
      </c>
      <c r="B190" s="118" t="s">
        <v>692</v>
      </c>
      <c r="C190" s="119">
        <v>0</v>
      </c>
      <c r="D190" s="120">
        <f>'Sectors % GDP'!E18</f>
        <v>219766.08799999999</v>
      </c>
      <c r="E190" s="120">
        <f t="shared" si="4"/>
        <v>0</v>
      </c>
      <c r="F190" s="123">
        <v>1</v>
      </c>
      <c r="G190" s="120">
        <v>2</v>
      </c>
      <c r="H190" s="121">
        <v>51.47</v>
      </c>
      <c r="I190" s="121">
        <v>53.3</v>
      </c>
      <c r="J190" s="123">
        <v>67.81</v>
      </c>
      <c r="K190" s="123">
        <v>33.43</v>
      </c>
      <c r="L190" s="123">
        <f t="shared" si="5"/>
        <v>4.3999999999999995</v>
      </c>
      <c r="M190" s="124">
        <v>4.3999999999999997E-2</v>
      </c>
      <c r="N190" s="124">
        <v>5</v>
      </c>
      <c r="O190" s="125">
        <f>'Trade Data'!D14</f>
        <v>0.50852464992768731</v>
      </c>
      <c r="P190" s="126">
        <v>1</v>
      </c>
      <c r="Q190" s="352"/>
      <c r="R190" s="352"/>
      <c r="S190" s="352"/>
      <c r="T190" s="352"/>
      <c r="U190" s="352"/>
      <c r="V190" s="352"/>
      <c r="W190" s="352"/>
      <c r="X190" s="352"/>
      <c r="Y190" s="352"/>
      <c r="Z190" s="352"/>
      <c r="AA190" s="352"/>
      <c r="AB190" s="352"/>
      <c r="AC190" s="352"/>
      <c r="AD190" s="352"/>
      <c r="AE190" s="352"/>
      <c r="AF190" s="352"/>
      <c r="AG190" s="352"/>
      <c r="AH190" s="352"/>
      <c r="AI190" s="352"/>
      <c r="AJ190" s="352"/>
      <c r="AK190" s="352"/>
      <c r="AL190" s="352"/>
      <c r="AM190" s="352"/>
      <c r="AN190" s="352"/>
      <c r="AO190" s="352"/>
      <c r="AP190" s="352"/>
      <c r="AQ190" s="352"/>
      <c r="AR190" s="352"/>
      <c r="AS190" s="352"/>
      <c r="AT190" s="352"/>
      <c r="AU190" s="352"/>
      <c r="AV190" s="352"/>
      <c r="AW190" s="352"/>
      <c r="AX190" s="352"/>
      <c r="AY190" s="352"/>
      <c r="AZ190" s="352"/>
      <c r="BA190" s="352"/>
      <c r="BB190" s="352"/>
      <c r="BC190" s="352"/>
      <c r="BD190" s="352"/>
      <c r="BE190" s="352"/>
      <c r="BF190" s="352"/>
      <c r="BG190" s="352"/>
      <c r="BH190" s="352"/>
      <c r="BI190" s="352"/>
      <c r="BJ190" s="352"/>
      <c r="BK190" s="352"/>
      <c r="BL190" s="352"/>
      <c r="BM190" s="352"/>
      <c r="BN190" s="352"/>
      <c r="BO190" s="352"/>
      <c r="BP190" s="352"/>
      <c r="BQ190" s="352"/>
      <c r="BR190" s="352"/>
      <c r="BS190" s="352"/>
      <c r="BT190" s="352"/>
      <c r="BU190" s="352"/>
      <c r="BV190" s="352"/>
      <c r="BW190" s="352"/>
      <c r="BX190" s="352"/>
      <c r="BY190" s="352"/>
      <c r="BZ190" s="352"/>
      <c r="CA190" s="352"/>
      <c r="CB190" s="352"/>
      <c r="CC190" s="352"/>
      <c r="CD190" s="352"/>
      <c r="CE190" s="352"/>
      <c r="CF190" s="352"/>
      <c r="CG190" s="352"/>
      <c r="CH190" s="352"/>
      <c r="CI190" s="352"/>
      <c r="CJ190" s="352"/>
      <c r="CK190" s="352"/>
      <c r="CL190" s="352"/>
      <c r="CM190" s="352"/>
      <c r="CN190" s="352"/>
      <c r="CO190" s="352"/>
      <c r="CP190" s="352"/>
      <c r="CQ190" s="352"/>
      <c r="CR190" s="352"/>
      <c r="CS190" s="352"/>
      <c r="CT190" s="352"/>
      <c r="CU190" s="352"/>
      <c r="CV190" s="352"/>
      <c r="CW190" s="352"/>
      <c r="CX190" s="352"/>
      <c r="CY190" s="352"/>
      <c r="CZ190" s="352"/>
      <c r="DA190" s="352"/>
      <c r="DB190" s="352"/>
      <c r="DC190" s="352"/>
      <c r="DD190" s="352"/>
      <c r="DE190" s="352"/>
      <c r="DF190" s="352"/>
      <c r="DG190" s="352"/>
      <c r="DH190" s="352"/>
      <c r="DI190" s="352"/>
      <c r="DJ190" s="352"/>
      <c r="DK190" s="352"/>
      <c r="DL190" s="352"/>
      <c r="DM190" s="352"/>
      <c r="DN190" s="352"/>
      <c r="DO190" s="352"/>
      <c r="DP190" s="352"/>
      <c r="DQ190" s="352"/>
      <c r="DR190" s="352"/>
      <c r="DS190" s="352"/>
      <c r="DT190" s="352"/>
      <c r="DU190" s="352"/>
      <c r="DV190" s="352"/>
      <c r="DW190" s="352"/>
      <c r="DX190" s="352"/>
      <c r="DY190" s="352"/>
      <c r="DZ190" s="352"/>
      <c r="EA190" s="352"/>
      <c r="EB190" s="352"/>
      <c r="EC190" s="352"/>
      <c r="ED190" s="352"/>
      <c r="EE190" s="352"/>
      <c r="EF190" s="352"/>
      <c r="EG190" s="352"/>
      <c r="EH190" s="352"/>
      <c r="EI190" s="352"/>
      <c r="EJ190" s="352"/>
      <c r="EK190" s="352"/>
      <c r="EL190" s="352"/>
      <c r="EM190" s="352"/>
      <c r="EN190" s="352"/>
    </row>
    <row r="191" spans="1:144" s="169" customFormat="1" ht="20.100000000000001" customHeight="1">
      <c r="A191" s="160" t="s">
        <v>63</v>
      </c>
      <c r="B191" s="160" t="s">
        <v>691</v>
      </c>
      <c r="C191" s="161">
        <v>0</v>
      </c>
      <c r="D191" s="162">
        <f>'Sectors % GDP'!E16</f>
        <v>23380.175999999999</v>
      </c>
      <c r="E191" s="162">
        <f t="shared" si="4"/>
        <v>0</v>
      </c>
      <c r="F191" s="165">
        <v>0</v>
      </c>
      <c r="G191" s="162">
        <v>0</v>
      </c>
      <c r="H191" s="163">
        <v>45.9</v>
      </c>
      <c r="I191" s="163">
        <v>32.08</v>
      </c>
      <c r="J191" s="164">
        <v>74.650000000000006</v>
      </c>
      <c r="K191" s="165">
        <v>33.43</v>
      </c>
      <c r="L191" s="165">
        <f t="shared" si="5"/>
        <v>4.3999999999999995</v>
      </c>
      <c r="M191" s="166">
        <v>4.3999999999999997E-2</v>
      </c>
      <c r="N191" s="166">
        <v>5</v>
      </c>
      <c r="O191" s="167">
        <f>'Trade Data'!D14</f>
        <v>0.50852464992768731</v>
      </c>
      <c r="P191" s="170">
        <v>0</v>
      </c>
      <c r="Q191" s="352"/>
      <c r="R191" s="352"/>
      <c r="S191" s="352"/>
      <c r="T191" s="352"/>
      <c r="U191" s="352"/>
      <c r="V191" s="352"/>
      <c r="W191" s="352"/>
      <c r="X191" s="352"/>
      <c r="Y191" s="352"/>
      <c r="Z191" s="352"/>
      <c r="AA191" s="352"/>
      <c r="AB191" s="352"/>
      <c r="AC191" s="352"/>
      <c r="AD191" s="352"/>
      <c r="AE191" s="352"/>
      <c r="AF191" s="352"/>
      <c r="AG191" s="352"/>
      <c r="AH191" s="352"/>
      <c r="AI191" s="352"/>
      <c r="AJ191" s="352"/>
      <c r="AK191" s="352"/>
      <c r="AL191" s="352"/>
      <c r="AM191" s="352"/>
      <c r="AN191" s="352"/>
      <c r="AO191" s="352"/>
      <c r="AP191" s="352"/>
      <c r="AQ191" s="352"/>
      <c r="AR191" s="352"/>
      <c r="AS191" s="352"/>
      <c r="AT191" s="352"/>
      <c r="AU191" s="352"/>
      <c r="AV191" s="352"/>
      <c r="AW191" s="352"/>
      <c r="AX191" s="352"/>
      <c r="AY191" s="352"/>
      <c r="AZ191" s="352"/>
      <c r="BA191" s="352"/>
      <c r="BB191" s="352"/>
      <c r="BC191" s="352"/>
      <c r="BD191" s="352"/>
      <c r="BE191" s="352"/>
      <c r="BF191" s="352"/>
      <c r="BG191" s="352"/>
      <c r="BH191" s="352"/>
      <c r="BI191" s="352"/>
      <c r="BJ191" s="352"/>
      <c r="BK191" s="352"/>
      <c r="BL191" s="352"/>
      <c r="BM191" s="352"/>
      <c r="BN191" s="352"/>
      <c r="BO191" s="352"/>
      <c r="BP191" s="352"/>
      <c r="BQ191" s="352"/>
      <c r="BR191" s="352"/>
      <c r="BS191" s="352"/>
      <c r="BT191" s="352"/>
      <c r="BU191" s="352"/>
      <c r="BV191" s="352"/>
      <c r="BW191" s="352"/>
      <c r="BX191" s="352"/>
      <c r="BY191" s="352"/>
      <c r="BZ191" s="352"/>
      <c r="CA191" s="352"/>
      <c r="CB191" s="352"/>
      <c r="CC191" s="352"/>
      <c r="CD191" s="352"/>
      <c r="CE191" s="352"/>
      <c r="CF191" s="352"/>
      <c r="CG191" s="352"/>
      <c r="CH191" s="352"/>
      <c r="CI191" s="352"/>
      <c r="CJ191" s="352"/>
      <c r="CK191" s="352"/>
      <c r="CL191" s="352"/>
      <c r="CM191" s="352"/>
      <c r="CN191" s="352"/>
      <c r="CO191" s="352"/>
      <c r="CP191" s="352"/>
      <c r="CQ191" s="352"/>
      <c r="CR191" s="352"/>
      <c r="CS191" s="352"/>
      <c r="CT191" s="352"/>
      <c r="CU191" s="352"/>
      <c r="CV191" s="352"/>
      <c r="CW191" s="352"/>
      <c r="CX191" s="352"/>
      <c r="CY191" s="352"/>
      <c r="CZ191" s="352"/>
      <c r="DA191" s="352"/>
      <c r="DB191" s="352"/>
      <c r="DC191" s="352"/>
      <c r="DD191" s="352"/>
      <c r="DE191" s="352"/>
      <c r="DF191" s="352"/>
      <c r="DG191" s="352"/>
      <c r="DH191" s="352"/>
      <c r="DI191" s="352"/>
      <c r="DJ191" s="352"/>
      <c r="DK191" s="352"/>
      <c r="DL191" s="352"/>
      <c r="DM191" s="352"/>
      <c r="DN191" s="352"/>
      <c r="DO191" s="352"/>
      <c r="DP191" s="352"/>
      <c r="DQ191" s="352"/>
      <c r="DR191" s="352"/>
      <c r="DS191" s="352"/>
      <c r="DT191" s="352"/>
      <c r="DU191" s="352"/>
      <c r="DV191" s="352"/>
      <c r="DW191" s="352"/>
      <c r="DX191" s="352"/>
      <c r="DY191" s="352"/>
      <c r="DZ191" s="352"/>
      <c r="EA191" s="352"/>
      <c r="EB191" s="352"/>
      <c r="EC191" s="352"/>
      <c r="ED191" s="352"/>
      <c r="EE191" s="352"/>
      <c r="EF191" s="352"/>
      <c r="EG191" s="352"/>
      <c r="EH191" s="352"/>
      <c r="EI191" s="352"/>
      <c r="EJ191" s="352"/>
      <c r="EK191" s="352"/>
      <c r="EL191" s="352"/>
      <c r="EM191" s="352"/>
      <c r="EN191" s="352"/>
    </row>
    <row r="192" spans="1:144" s="188" customFormat="1" ht="20.100000000000001" customHeight="1">
      <c r="A192" s="179" t="s">
        <v>63</v>
      </c>
      <c r="B192" s="179" t="s">
        <v>690</v>
      </c>
      <c r="C192" s="180">
        <f>'Thomson Reuters IMA  ($)'!I469+'Thomson Reuters IMA  ($)'!I470</f>
        <v>387.2</v>
      </c>
      <c r="D192" s="181">
        <f>'Sectors % GDP'!E17</f>
        <v>135135.90400000001</v>
      </c>
      <c r="E192" s="181">
        <f t="shared" si="4"/>
        <v>2.8652636977956648E-3</v>
      </c>
      <c r="F192" s="184">
        <v>1</v>
      </c>
      <c r="G192" s="181">
        <v>4</v>
      </c>
      <c r="H192" s="182">
        <v>45.9</v>
      </c>
      <c r="I192" s="182">
        <v>32.08</v>
      </c>
      <c r="J192" s="183">
        <v>74.650000000000006</v>
      </c>
      <c r="K192" s="184">
        <v>33.43</v>
      </c>
      <c r="L192" s="184">
        <f t="shared" si="5"/>
        <v>4.3999999999999995</v>
      </c>
      <c r="M192" s="185">
        <v>4.3999999999999997E-2</v>
      </c>
      <c r="N192" s="185">
        <v>5</v>
      </c>
      <c r="O192" s="186">
        <f>'Trade Data'!D14</f>
        <v>0.50852464992768731</v>
      </c>
      <c r="P192" s="189">
        <v>1</v>
      </c>
      <c r="Q192" s="352"/>
      <c r="R192" s="352"/>
      <c r="S192" s="352"/>
      <c r="T192" s="352"/>
      <c r="U192" s="352"/>
      <c r="V192" s="352"/>
      <c r="W192" s="352"/>
      <c r="X192" s="352"/>
      <c r="Y192" s="352"/>
      <c r="Z192" s="352"/>
      <c r="AA192" s="352"/>
      <c r="AB192" s="352"/>
      <c r="AC192" s="352"/>
      <c r="AD192" s="352"/>
      <c r="AE192" s="352"/>
      <c r="AF192" s="352"/>
      <c r="AG192" s="352"/>
      <c r="AH192" s="352"/>
      <c r="AI192" s="352"/>
      <c r="AJ192" s="352"/>
      <c r="AK192" s="352"/>
      <c r="AL192" s="352"/>
      <c r="AM192" s="352"/>
      <c r="AN192" s="352"/>
      <c r="AO192" s="352"/>
      <c r="AP192" s="352"/>
      <c r="AQ192" s="352"/>
      <c r="AR192" s="352"/>
      <c r="AS192" s="352"/>
      <c r="AT192" s="352"/>
      <c r="AU192" s="352"/>
      <c r="AV192" s="352"/>
      <c r="AW192" s="352"/>
      <c r="AX192" s="352"/>
      <c r="AY192" s="352"/>
      <c r="AZ192" s="352"/>
      <c r="BA192" s="352"/>
      <c r="BB192" s="352"/>
      <c r="BC192" s="352"/>
      <c r="BD192" s="352"/>
      <c r="BE192" s="352"/>
      <c r="BF192" s="352"/>
      <c r="BG192" s="352"/>
      <c r="BH192" s="352"/>
      <c r="BI192" s="352"/>
      <c r="BJ192" s="352"/>
      <c r="BK192" s="352"/>
      <c r="BL192" s="352"/>
      <c r="BM192" s="352"/>
      <c r="BN192" s="352"/>
      <c r="BO192" s="352"/>
      <c r="BP192" s="352"/>
      <c r="BQ192" s="352"/>
      <c r="BR192" s="352"/>
      <c r="BS192" s="352"/>
      <c r="BT192" s="352"/>
      <c r="BU192" s="352"/>
      <c r="BV192" s="352"/>
      <c r="BW192" s="352"/>
      <c r="BX192" s="352"/>
      <c r="BY192" s="352"/>
      <c r="BZ192" s="352"/>
      <c r="CA192" s="352"/>
      <c r="CB192" s="352"/>
      <c r="CC192" s="352"/>
      <c r="CD192" s="352"/>
      <c r="CE192" s="352"/>
      <c r="CF192" s="352"/>
      <c r="CG192" s="352"/>
      <c r="CH192" s="352"/>
      <c r="CI192" s="352"/>
      <c r="CJ192" s="352"/>
      <c r="CK192" s="352"/>
      <c r="CL192" s="352"/>
      <c r="CM192" s="352"/>
      <c r="CN192" s="352"/>
      <c r="CO192" s="352"/>
      <c r="CP192" s="352"/>
      <c r="CQ192" s="352"/>
      <c r="CR192" s="352"/>
      <c r="CS192" s="352"/>
      <c r="CT192" s="352"/>
      <c r="CU192" s="352"/>
      <c r="CV192" s="352"/>
      <c r="CW192" s="352"/>
      <c r="CX192" s="352"/>
      <c r="CY192" s="352"/>
      <c r="CZ192" s="352"/>
      <c r="DA192" s="352"/>
      <c r="DB192" s="352"/>
      <c r="DC192" s="352"/>
      <c r="DD192" s="352"/>
      <c r="DE192" s="352"/>
      <c r="DF192" s="352"/>
      <c r="DG192" s="352"/>
      <c r="DH192" s="352"/>
      <c r="DI192" s="352"/>
      <c r="DJ192" s="352"/>
      <c r="DK192" s="352"/>
      <c r="DL192" s="352"/>
      <c r="DM192" s="352"/>
      <c r="DN192" s="352"/>
      <c r="DO192" s="352"/>
      <c r="DP192" s="352"/>
      <c r="DQ192" s="352"/>
      <c r="DR192" s="352"/>
      <c r="DS192" s="352"/>
      <c r="DT192" s="352"/>
      <c r="DU192" s="352"/>
      <c r="DV192" s="352"/>
      <c r="DW192" s="352"/>
      <c r="DX192" s="352"/>
      <c r="DY192" s="352"/>
      <c r="DZ192" s="352"/>
      <c r="EA192" s="352"/>
      <c r="EB192" s="352"/>
      <c r="EC192" s="352"/>
      <c r="ED192" s="352"/>
      <c r="EE192" s="352"/>
      <c r="EF192" s="352"/>
      <c r="EG192" s="352"/>
      <c r="EH192" s="352"/>
      <c r="EI192" s="352"/>
      <c r="EJ192" s="352"/>
      <c r="EK192" s="352"/>
      <c r="EL192" s="352"/>
      <c r="EM192" s="352"/>
      <c r="EN192" s="352"/>
    </row>
    <row r="193" spans="1:144" ht="20.100000000000001" customHeight="1">
      <c r="A193" s="118" t="s">
        <v>63</v>
      </c>
      <c r="B193" s="118" t="s">
        <v>689</v>
      </c>
      <c r="C193" s="119">
        <v>0</v>
      </c>
      <c r="D193" s="120">
        <f>'Sectors % GDP'!E18</f>
        <v>219766.08799999999</v>
      </c>
      <c r="E193" s="120">
        <f t="shared" si="4"/>
        <v>0</v>
      </c>
      <c r="F193" s="123">
        <v>1</v>
      </c>
      <c r="G193" s="120">
        <v>4</v>
      </c>
      <c r="H193" s="121">
        <v>45.9</v>
      </c>
      <c r="I193" s="121">
        <v>32.08</v>
      </c>
      <c r="J193" s="122">
        <v>74.650000000000006</v>
      </c>
      <c r="K193" s="123">
        <v>33.43</v>
      </c>
      <c r="L193" s="123">
        <f t="shared" si="5"/>
        <v>4.3999999999999995</v>
      </c>
      <c r="M193" s="124">
        <v>4.3999999999999997E-2</v>
      </c>
      <c r="N193" s="124">
        <v>5</v>
      </c>
      <c r="O193" s="125">
        <f>'Trade Data'!D14</f>
        <v>0.50852464992768731</v>
      </c>
      <c r="P193" s="127">
        <v>1</v>
      </c>
      <c r="Q193" s="352"/>
      <c r="R193" s="352"/>
      <c r="S193" s="352"/>
      <c r="T193" s="352"/>
      <c r="U193" s="352"/>
      <c r="V193" s="352"/>
      <c r="W193" s="352"/>
      <c r="X193" s="352"/>
      <c r="Y193" s="352"/>
      <c r="Z193" s="352"/>
      <c r="AA193" s="352"/>
      <c r="AB193" s="352"/>
      <c r="AC193" s="352"/>
      <c r="AD193" s="352"/>
      <c r="AE193" s="352"/>
      <c r="AF193" s="352"/>
      <c r="AG193" s="352"/>
      <c r="AH193" s="352"/>
      <c r="AI193" s="352"/>
      <c r="AJ193" s="352"/>
      <c r="AK193" s="352"/>
      <c r="AL193" s="352"/>
      <c r="AM193" s="352"/>
      <c r="AN193" s="352"/>
      <c r="AO193" s="352"/>
      <c r="AP193" s="352"/>
      <c r="AQ193" s="352"/>
      <c r="AR193" s="352"/>
      <c r="AS193" s="352"/>
      <c r="AT193" s="352"/>
      <c r="AU193" s="352"/>
      <c r="AV193" s="352"/>
      <c r="AW193" s="352"/>
      <c r="AX193" s="352"/>
      <c r="AY193" s="352"/>
      <c r="AZ193" s="352"/>
      <c r="BA193" s="352"/>
      <c r="BB193" s="352"/>
      <c r="BC193" s="352"/>
      <c r="BD193" s="352"/>
      <c r="BE193" s="352"/>
      <c r="BF193" s="352"/>
      <c r="BG193" s="352"/>
      <c r="BH193" s="352"/>
      <c r="BI193" s="352"/>
      <c r="BJ193" s="352"/>
      <c r="BK193" s="352"/>
      <c r="BL193" s="352"/>
      <c r="BM193" s="352"/>
      <c r="BN193" s="352"/>
      <c r="BO193" s="352"/>
      <c r="BP193" s="352"/>
      <c r="BQ193" s="352"/>
      <c r="BR193" s="352"/>
      <c r="BS193" s="352"/>
      <c r="BT193" s="352"/>
      <c r="BU193" s="352"/>
      <c r="BV193" s="352"/>
      <c r="BW193" s="352"/>
      <c r="BX193" s="352"/>
      <c r="BY193" s="352"/>
      <c r="BZ193" s="352"/>
      <c r="CA193" s="352"/>
      <c r="CB193" s="352"/>
      <c r="CC193" s="352"/>
      <c r="CD193" s="352"/>
      <c r="CE193" s="352"/>
      <c r="CF193" s="352"/>
      <c r="CG193" s="352"/>
      <c r="CH193" s="352"/>
      <c r="CI193" s="352"/>
      <c r="CJ193" s="352"/>
      <c r="CK193" s="352"/>
      <c r="CL193" s="352"/>
      <c r="CM193" s="352"/>
      <c r="CN193" s="352"/>
      <c r="CO193" s="352"/>
      <c r="CP193" s="352"/>
      <c r="CQ193" s="352"/>
      <c r="CR193" s="352"/>
      <c r="CS193" s="352"/>
      <c r="CT193" s="352"/>
      <c r="CU193" s="352"/>
      <c r="CV193" s="352"/>
      <c r="CW193" s="352"/>
      <c r="CX193" s="352"/>
      <c r="CY193" s="352"/>
      <c r="CZ193" s="352"/>
      <c r="DA193" s="352"/>
      <c r="DB193" s="352"/>
      <c r="DC193" s="352"/>
      <c r="DD193" s="352"/>
      <c r="DE193" s="352"/>
      <c r="DF193" s="352"/>
      <c r="DG193" s="352"/>
      <c r="DH193" s="352"/>
      <c r="DI193" s="352"/>
      <c r="DJ193" s="352"/>
      <c r="DK193" s="352"/>
      <c r="DL193" s="352"/>
      <c r="DM193" s="352"/>
      <c r="DN193" s="352"/>
      <c r="DO193" s="352"/>
      <c r="DP193" s="352"/>
      <c r="DQ193" s="352"/>
      <c r="DR193" s="352"/>
      <c r="DS193" s="352"/>
      <c r="DT193" s="352"/>
      <c r="DU193" s="352"/>
      <c r="DV193" s="352"/>
      <c r="DW193" s="352"/>
      <c r="DX193" s="352"/>
      <c r="DY193" s="352"/>
      <c r="DZ193" s="352"/>
      <c r="EA193" s="352"/>
      <c r="EB193" s="352"/>
      <c r="EC193" s="352"/>
      <c r="ED193" s="352"/>
      <c r="EE193" s="352"/>
      <c r="EF193" s="352"/>
      <c r="EG193" s="352"/>
      <c r="EH193" s="352"/>
      <c r="EI193" s="352"/>
      <c r="EJ193" s="352"/>
      <c r="EK193" s="352"/>
      <c r="EL193" s="352"/>
      <c r="EM193" s="352"/>
      <c r="EN193" s="352"/>
    </row>
    <row r="194" spans="1:144" s="169" customFormat="1" ht="20.100000000000001" customHeight="1">
      <c r="A194" s="160" t="s">
        <v>62</v>
      </c>
      <c r="B194" s="160" t="s">
        <v>688</v>
      </c>
      <c r="C194" s="161">
        <v>0</v>
      </c>
      <c r="D194" s="162">
        <f>'Sectors % GDP'!G16</f>
        <v>19299.286</v>
      </c>
      <c r="E194" s="162">
        <f t="shared" ref="E194:E257" si="6">C194/D194</f>
        <v>0</v>
      </c>
      <c r="F194" s="165">
        <v>0</v>
      </c>
      <c r="G194" s="162">
        <v>0</v>
      </c>
      <c r="H194" s="164">
        <v>34.92</v>
      </c>
      <c r="I194" s="164">
        <v>22.09</v>
      </c>
      <c r="J194" s="164">
        <v>63.88</v>
      </c>
      <c r="K194" s="165">
        <v>28.93</v>
      </c>
      <c r="L194" s="165">
        <f t="shared" si="5"/>
        <v>4.3999999999999995</v>
      </c>
      <c r="M194" s="166">
        <v>4.3999999999999997E-2</v>
      </c>
      <c r="N194" s="166">
        <v>5</v>
      </c>
      <c r="O194" s="167">
        <f>'Trade Data'!D14</f>
        <v>0.50852464992768731</v>
      </c>
      <c r="P194" s="168">
        <v>0</v>
      </c>
      <c r="Q194" s="352"/>
      <c r="R194" s="352"/>
      <c r="S194" s="352"/>
      <c r="T194" s="352"/>
      <c r="U194" s="352"/>
      <c r="V194" s="352"/>
      <c r="W194" s="352"/>
      <c r="X194" s="352"/>
      <c r="Y194" s="352"/>
      <c r="Z194" s="352"/>
      <c r="AA194" s="352"/>
      <c r="AB194" s="352"/>
      <c r="AC194" s="352"/>
      <c r="AD194" s="352"/>
      <c r="AE194" s="352"/>
      <c r="AF194" s="352"/>
      <c r="AG194" s="352"/>
      <c r="AH194" s="352"/>
      <c r="AI194" s="352"/>
      <c r="AJ194" s="352"/>
      <c r="AK194" s="352"/>
      <c r="AL194" s="352"/>
      <c r="AM194" s="352"/>
      <c r="AN194" s="352"/>
      <c r="AO194" s="352"/>
      <c r="AP194" s="352"/>
      <c r="AQ194" s="352"/>
      <c r="AR194" s="352"/>
      <c r="AS194" s="352"/>
      <c r="AT194" s="352"/>
      <c r="AU194" s="352"/>
      <c r="AV194" s="352"/>
      <c r="AW194" s="352"/>
      <c r="AX194" s="352"/>
      <c r="AY194" s="352"/>
      <c r="AZ194" s="352"/>
      <c r="BA194" s="352"/>
      <c r="BB194" s="352"/>
      <c r="BC194" s="352"/>
      <c r="BD194" s="352"/>
      <c r="BE194" s="352"/>
      <c r="BF194" s="352"/>
      <c r="BG194" s="352"/>
      <c r="BH194" s="352"/>
      <c r="BI194" s="352"/>
      <c r="BJ194" s="352"/>
      <c r="BK194" s="352"/>
      <c r="BL194" s="352"/>
      <c r="BM194" s="352"/>
      <c r="BN194" s="352"/>
      <c r="BO194" s="352"/>
      <c r="BP194" s="352"/>
      <c r="BQ194" s="352"/>
      <c r="BR194" s="352"/>
      <c r="BS194" s="352"/>
      <c r="BT194" s="352"/>
      <c r="BU194" s="352"/>
      <c r="BV194" s="352"/>
      <c r="BW194" s="352"/>
      <c r="BX194" s="352"/>
      <c r="BY194" s="352"/>
      <c r="BZ194" s="352"/>
      <c r="CA194" s="352"/>
      <c r="CB194" s="352"/>
      <c r="CC194" s="352"/>
      <c r="CD194" s="352"/>
      <c r="CE194" s="352"/>
      <c r="CF194" s="352"/>
      <c r="CG194" s="352"/>
      <c r="CH194" s="352"/>
      <c r="CI194" s="352"/>
      <c r="CJ194" s="352"/>
      <c r="CK194" s="352"/>
      <c r="CL194" s="352"/>
      <c r="CM194" s="352"/>
      <c r="CN194" s="352"/>
      <c r="CO194" s="352"/>
      <c r="CP194" s="352"/>
      <c r="CQ194" s="352"/>
      <c r="CR194" s="352"/>
      <c r="CS194" s="352"/>
      <c r="CT194" s="352"/>
      <c r="CU194" s="352"/>
      <c r="CV194" s="352"/>
      <c r="CW194" s="352"/>
      <c r="CX194" s="352"/>
      <c r="CY194" s="352"/>
      <c r="CZ194" s="352"/>
      <c r="DA194" s="352"/>
      <c r="DB194" s="352"/>
      <c r="DC194" s="352"/>
      <c r="DD194" s="352"/>
      <c r="DE194" s="352"/>
      <c r="DF194" s="352"/>
      <c r="DG194" s="352"/>
      <c r="DH194" s="352"/>
      <c r="DI194" s="352"/>
      <c r="DJ194" s="352"/>
      <c r="DK194" s="352"/>
      <c r="DL194" s="352"/>
      <c r="DM194" s="352"/>
      <c r="DN194" s="352"/>
      <c r="DO194" s="352"/>
      <c r="DP194" s="352"/>
      <c r="DQ194" s="352"/>
      <c r="DR194" s="352"/>
      <c r="DS194" s="352"/>
      <c r="DT194" s="352"/>
      <c r="DU194" s="352"/>
      <c r="DV194" s="352"/>
      <c r="DW194" s="352"/>
      <c r="DX194" s="352"/>
      <c r="DY194" s="352"/>
      <c r="DZ194" s="352"/>
      <c r="EA194" s="352"/>
      <c r="EB194" s="352"/>
      <c r="EC194" s="352"/>
      <c r="ED194" s="352"/>
      <c r="EE194" s="352"/>
      <c r="EF194" s="352"/>
      <c r="EG194" s="352"/>
      <c r="EH194" s="352"/>
      <c r="EI194" s="352"/>
      <c r="EJ194" s="352"/>
      <c r="EK194" s="352"/>
      <c r="EL194" s="352"/>
      <c r="EM194" s="352"/>
      <c r="EN194" s="352"/>
    </row>
    <row r="195" spans="1:144" s="188" customFormat="1" ht="20.100000000000001" customHeight="1">
      <c r="A195" s="179" t="s">
        <v>62</v>
      </c>
      <c r="B195" s="179" t="s">
        <v>687</v>
      </c>
      <c r="C195" s="180">
        <v>0</v>
      </c>
      <c r="D195" s="181">
        <f>'Sectors % GDP'!G17</f>
        <v>97487.631999999998</v>
      </c>
      <c r="E195" s="181">
        <f t="shared" si="6"/>
        <v>0</v>
      </c>
      <c r="F195" s="184">
        <v>1</v>
      </c>
      <c r="G195" s="181">
        <v>3</v>
      </c>
      <c r="H195" s="183">
        <v>34.92</v>
      </c>
      <c r="I195" s="183">
        <v>22.09</v>
      </c>
      <c r="J195" s="183">
        <v>63.88</v>
      </c>
      <c r="K195" s="184">
        <v>28.93</v>
      </c>
      <c r="L195" s="184">
        <f t="shared" ref="L195:L258" si="7">M195*100</f>
        <v>4.3999999999999995</v>
      </c>
      <c r="M195" s="185">
        <v>4.3999999999999997E-2</v>
      </c>
      <c r="N195" s="185">
        <v>5</v>
      </c>
      <c r="O195" s="186">
        <f>'Trade Data'!D14</f>
        <v>0.50852464992768731</v>
      </c>
      <c r="P195" s="187">
        <v>1</v>
      </c>
      <c r="Q195" s="352"/>
      <c r="R195" s="352"/>
      <c r="S195" s="352"/>
      <c r="T195" s="352"/>
      <c r="U195" s="352"/>
      <c r="V195" s="352"/>
      <c r="W195" s="352"/>
      <c r="X195" s="352"/>
      <c r="Y195" s="352"/>
      <c r="Z195" s="352"/>
      <c r="AA195" s="352"/>
      <c r="AB195" s="352"/>
      <c r="AC195" s="352"/>
      <c r="AD195" s="352"/>
      <c r="AE195" s="352"/>
      <c r="AF195" s="352"/>
      <c r="AG195" s="352"/>
      <c r="AH195" s="352"/>
      <c r="AI195" s="352"/>
      <c r="AJ195" s="352"/>
      <c r="AK195" s="352"/>
      <c r="AL195" s="352"/>
      <c r="AM195" s="352"/>
      <c r="AN195" s="352"/>
      <c r="AO195" s="352"/>
      <c r="AP195" s="352"/>
      <c r="AQ195" s="352"/>
      <c r="AR195" s="352"/>
      <c r="AS195" s="352"/>
      <c r="AT195" s="352"/>
      <c r="AU195" s="352"/>
      <c r="AV195" s="352"/>
      <c r="AW195" s="352"/>
      <c r="AX195" s="352"/>
      <c r="AY195" s="352"/>
      <c r="AZ195" s="352"/>
      <c r="BA195" s="352"/>
      <c r="BB195" s="352"/>
      <c r="BC195" s="352"/>
      <c r="BD195" s="352"/>
      <c r="BE195" s="352"/>
      <c r="BF195" s="352"/>
      <c r="BG195" s="352"/>
      <c r="BH195" s="352"/>
      <c r="BI195" s="352"/>
      <c r="BJ195" s="352"/>
      <c r="BK195" s="352"/>
      <c r="BL195" s="352"/>
      <c r="BM195" s="352"/>
      <c r="BN195" s="352"/>
      <c r="BO195" s="352"/>
      <c r="BP195" s="352"/>
      <c r="BQ195" s="352"/>
      <c r="BR195" s="352"/>
      <c r="BS195" s="352"/>
      <c r="BT195" s="352"/>
      <c r="BU195" s="352"/>
      <c r="BV195" s="352"/>
      <c r="BW195" s="352"/>
      <c r="BX195" s="352"/>
      <c r="BY195" s="352"/>
      <c r="BZ195" s="352"/>
      <c r="CA195" s="352"/>
      <c r="CB195" s="352"/>
      <c r="CC195" s="352"/>
      <c r="CD195" s="352"/>
      <c r="CE195" s="352"/>
      <c r="CF195" s="352"/>
      <c r="CG195" s="352"/>
      <c r="CH195" s="352"/>
      <c r="CI195" s="352"/>
      <c r="CJ195" s="352"/>
      <c r="CK195" s="352"/>
      <c r="CL195" s="352"/>
      <c r="CM195" s="352"/>
      <c r="CN195" s="352"/>
      <c r="CO195" s="352"/>
      <c r="CP195" s="352"/>
      <c r="CQ195" s="352"/>
      <c r="CR195" s="352"/>
      <c r="CS195" s="352"/>
      <c r="CT195" s="352"/>
      <c r="CU195" s="352"/>
      <c r="CV195" s="352"/>
      <c r="CW195" s="352"/>
      <c r="CX195" s="352"/>
      <c r="CY195" s="352"/>
      <c r="CZ195" s="352"/>
      <c r="DA195" s="352"/>
      <c r="DB195" s="352"/>
      <c r="DC195" s="352"/>
      <c r="DD195" s="352"/>
      <c r="DE195" s="352"/>
      <c r="DF195" s="352"/>
      <c r="DG195" s="352"/>
      <c r="DH195" s="352"/>
      <c r="DI195" s="352"/>
      <c r="DJ195" s="352"/>
      <c r="DK195" s="352"/>
      <c r="DL195" s="352"/>
      <c r="DM195" s="352"/>
      <c r="DN195" s="352"/>
      <c r="DO195" s="352"/>
      <c r="DP195" s="352"/>
      <c r="DQ195" s="352"/>
      <c r="DR195" s="352"/>
      <c r="DS195" s="352"/>
      <c r="DT195" s="352"/>
      <c r="DU195" s="352"/>
      <c r="DV195" s="352"/>
      <c r="DW195" s="352"/>
      <c r="DX195" s="352"/>
      <c r="DY195" s="352"/>
      <c r="DZ195" s="352"/>
      <c r="EA195" s="352"/>
      <c r="EB195" s="352"/>
      <c r="EC195" s="352"/>
      <c r="ED195" s="352"/>
      <c r="EE195" s="352"/>
      <c r="EF195" s="352"/>
      <c r="EG195" s="352"/>
      <c r="EH195" s="352"/>
      <c r="EI195" s="352"/>
      <c r="EJ195" s="352"/>
      <c r="EK195" s="352"/>
      <c r="EL195" s="352"/>
      <c r="EM195" s="352"/>
      <c r="EN195" s="352"/>
    </row>
    <row r="196" spans="1:144" ht="20.100000000000001" customHeight="1">
      <c r="A196" s="118" t="s">
        <v>62</v>
      </c>
      <c r="B196" s="118" t="s">
        <v>686</v>
      </c>
      <c r="C196" s="119">
        <f>'Thomson Reuters IMA  ($)'!I471</f>
        <v>74.376000000000005</v>
      </c>
      <c r="D196" s="120">
        <f>'Sectors % GDP'!G18</f>
        <v>174772.23500000002</v>
      </c>
      <c r="E196" s="120">
        <f t="shared" si="6"/>
        <v>4.2555958616653268E-4</v>
      </c>
      <c r="F196" s="123">
        <v>1</v>
      </c>
      <c r="G196" s="120">
        <v>7</v>
      </c>
      <c r="H196" s="122">
        <v>34.92</v>
      </c>
      <c r="I196" s="122">
        <v>22.09</v>
      </c>
      <c r="J196" s="122">
        <v>63.88</v>
      </c>
      <c r="K196" s="123">
        <v>28.93</v>
      </c>
      <c r="L196" s="123">
        <f t="shared" si="7"/>
        <v>4.3999999999999995</v>
      </c>
      <c r="M196" s="124">
        <v>4.3999999999999997E-2</v>
      </c>
      <c r="N196" s="124">
        <v>5</v>
      </c>
      <c r="O196" s="125">
        <f>'Trade Data'!D14</f>
        <v>0.50852464992768731</v>
      </c>
      <c r="P196" s="126">
        <v>1</v>
      </c>
      <c r="Q196" s="352"/>
      <c r="R196" s="352"/>
      <c r="S196" s="352"/>
      <c r="T196" s="352"/>
      <c r="U196" s="352"/>
      <c r="V196" s="352"/>
      <c r="W196" s="352"/>
      <c r="X196" s="352"/>
      <c r="Y196" s="352"/>
      <c r="Z196" s="352"/>
      <c r="AA196" s="352"/>
      <c r="AB196" s="352"/>
      <c r="AC196" s="352"/>
      <c r="AD196" s="352"/>
      <c r="AE196" s="352"/>
      <c r="AF196" s="352"/>
      <c r="AG196" s="352"/>
      <c r="AH196" s="352"/>
      <c r="AI196" s="352"/>
      <c r="AJ196" s="352"/>
      <c r="AK196" s="352"/>
      <c r="AL196" s="352"/>
      <c r="AM196" s="352"/>
      <c r="AN196" s="352"/>
      <c r="AO196" s="352"/>
      <c r="AP196" s="352"/>
      <c r="AQ196" s="352"/>
      <c r="AR196" s="352"/>
      <c r="AS196" s="352"/>
      <c r="AT196" s="352"/>
      <c r="AU196" s="352"/>
      <c r="AV196" s="352"/>
      <c r="AW196" s="352"/>
      <c r="AX196" s="352"/>
      <c r="AY196" s="352"/>
      <c r="AZ196" s="352"/>
      <c r="BA196" s="352"/>
      <c r="BB196" s="352"/>
      <c r="BC196" s="352"/>
      <c r="BD196" s="352"/>
      <c r="BE196" s="352"/>
      <c r="BF196" s="352"/>
      <c r="BG196" s="352"/>
      <c r="BH196" s="352"/>
      <c r="BI196" s="352"/>
      <c r="BJ196" s="352"/>
      <c r="BK196" s="352"/>
      <c r="BL196" s="352"/>
      <c r="BM196" s="352"/>
      <c r="BN196" s="352"/>
      <c r="BO196" s="352"/>
      <c r="BP196" s="352"/>
      <c r="BQ196" s="352"/>
      <c r="BR196" s="352"/>
      <c r="BS196" s="352"/>
      <c r="BT196" s="352"/>
      <c r="BU196" s="352"/>
      <c r="BV196" s="352"/>
      <c r="BW196" s="352"/>
      <c r="BX196" s="352"/>
      <c r="BY196" s="352"/>
      <c r="BZ196" s="352"/>
      <c r="CA196" s="352"/>
      <c r="CB196" s="352"/>
      <c r="CC196" s="352"/>
      <c r="CD196" s="352"/>
      <c r="CE196" s="352"/>
      <c r="CF196" s="352"/>
      <c r="CG196" s="352"/>
      <c r="CH196" s="352"/>
      <c r="CI196" s="352"/>
      <c r="CJ196" s="352"/>
      <c r="CK196" s="352"/>
      <c r="CL196" s="352"/>
      <c r="CM196" s="352"/>
      <c r="CN196" s="352"/>
      <c r="CO196" s="352"/>
      <c r="CP196" s="352"/>
      <c r="CQ196" s="352"/>
      <c r="CR196" s="352"/>
      <c r="CS196" s="352"/>
      <c r="CT196" s="352"/>
      <c r="CU196" s="352"/>
      <c r="CV196" s="352"/>
      <c r="CW196" s="352"/>
      <c r="CX196" s="352"/>
      <c r="CY196" s="352"/>
      <c r="CZ196" s="352"/>
      <c r="DA196" s="352"/>
      <c r="DB196" s="352"/>
      <c r="DC196" s="352"/>
      <c r="DD196" s="352"/>
      <c r="DE196" s="352"/>
      <c r="DF196" s="352"/>
      <c r="DG196" s="352"/>
      <c r="DH196" s="352"/>
      <c r="DI196" s="352"/>
      <c r="DJ196" s="352"/>
      <c r="DK196" s="352"/>
      <c r="DL196" s="352"/>
      <c r="DM196" s="352"/>
      <c r="DN196" s="352"/>
      <c r="DO196" s="352"/>
      <c r="DP196" s="352"/>
      <c r="DQ196" s="352"/>
      <c r="DR196" s="352"/>
      <c r="DS196" s="352"/>
      <c r="DT196" s="352"/>
      <c r="DU196" s="352"/>
      <c r="DV196" s="352"/>
      <c r="DW196" s="352"/>
      <c r="DX196" s="352"/>
      <c r="DY196" s="352"/>
      <c r="DZ196" s="352"/>
      <c r="EA196" s="352"/>
      <c r="EB196" s="352"/>
      <c r="EC196" s="352"/>
      <c r="ED196" s="352"/>
      <c r="EE196" s="352"/>
      <c r="EF196" s="352"/>
      <c r="EG196" s="352"/>
      <c r="EH196" s="352"/>
      <c r="EI196" s="352"/>
      <c r="EJ196" s="352"/>
      <c r="EK196" s="352"/>
      <c r="EL196" s="352"/>
      <c r="EM196" s="352"/>
      <c r="EN196" s="352"/>
    </row>
    <row r="197" spans="1:144" s="169" customFormat="1" ht="20.100000000000001" customHeight="1">
      <c r="A197" s="160" t="s">
        <v>64</v>
      </c>
      <c r="B197" s="160" t="s">
        <v>685</v>
      </c>
      <c r="C197" s="161">
        <v>0</v>
      </c>
      <c r="D197" s="162">
        <f>'Sectors % GDP'!G16</f>
        <v>19299.286</v>
      </c>
      <c r="E197" s="162">
        <f t="shared" si="6"/>
        <v>0</v>
      </c>
      <c r="F197" s="165">
        <v>0</v>
      </c>
      <c r="G197" s="162">
        <v>0</v>
      </c>
      <c r="H197" s="164">
        <v>28.71</v>
      </c>
      <c r="I197" s="164">
        <v>16.97</v>
      </c>
      <c r="J197" s="164">
        <v>53.86</v>
      </c>
      <c r="K197" s="165">
        <v>28.93</v>
      </c>
      <c r="L197" s="165">
        <f t="shared" si="7"/>
        <v>3.1</v>
      </c>
      <c r="M197" s="166">
        <v>3.1E-2</v>
      </c>
      <c r="N197" s="166">
        <v>5.75</v>
      </c>
      <c r="O197" s="167">
        <f>'Trade Data'!F14</f>
        <v>0.46023430147690592</v>
      </c>
      <c r="P197" s="170">
        <v>0</v>
      </c>
      <c r="Q197" s="352"/>
      <c r="R197" s="352"/>
      <c r="S197" s="352"/>
      <c r="T197" s="352"/>
      <c r="U197" s="352"/>
      <c r="V197" s="352"/>
      <c r="W197" s="352"/>
      <c r="X197" s="352"/>
      <c r="Y197" s="352"/>
      <c r="Z197" s="352"/>
      <c r="AA197" s="352"/>
      <c r="AB197" s="352"/>
      <c r="AC197" s="352"/>
      <c r="AD197" s="352"/>
      <c r="AE197" s="352"/>
      <c r="AF197" s="352"/>
      <c r="AG197" s="352"/>
      <c r="AH197" s="352"/>
      <c r="AI197" s="352"/>
      <c r="AJ197" s="352"/>
      <c r="AK197" s="352"/>
      <c r="AL197" s="352"/>
      <c r="AM197" s="352"/>
      <c r="AN197" s="352"/>
      <c r="AO197" s="352"/>
      <c r="AP197" s="352"/>
      <c r="AQ197" s="352"/>
      <c r="AR197" s="352"/>
      <c r="AS197" s="352"/>
      <c r="AT197" s="352"/>
      <c r="AU197" s="352"/>
      <c r="AV197" s="352"/>
      <c r="AW197" s="352"/>
      <c r="AX197" s="352"/>
      <c r="AY197" s="352"/>
      <c r="AZ197" s="352"/>
      <c r="BA197" s="352"/>
      <c r="BB197" s="352"/>
      <c r="BC197" s="352"/>
      <c r="BD197" s="352"/>
      <c r="BE197" s="352"/>
      <c r="BF197" s="352"/>
      <c r="BG197" s="352"/>
      <c r="BH197" s="352"/>
      <c r="BI197" s="352"/>
      <c r="BJ197" s="352"/>
      <c r="BK197" s="352"/>
      <c r="BL197" s="352"/>
      <c r="BM197" s="352"/>
      <c r="BN197" s="352"/>
      <c r="BO197" s="352"/>
      <c r="BP197" s="352"/>
      <c r="BQ197" s="352"/>
      <c r="BR197" s="352"/>
      <c r="BS197" s="352"/>
      <c r="BT197" s="352"/>
      <c r="BU197" s="352"/>
      <c r="BV197" s="352"/>
      <c r="BW197" s="352"/>
      <c r="BX197" s="352"/>
      <c r="BY197" s="352"/>
      <c r="BZ197" s="352"/>
      <c r="CA197" s="352"/>
      <c r="CB197" s="352"/>
      <c r="CC197" s="352"/>
      <c r="CD197" s="352"/>
      <c r="CE197" s="352"/>
      <c r="CF197" s="352"/>
      <c r="CG197" s="352"/>
      <c r="CH197" s="352"/>
      <c r="CI197" s="352"/>
      <c r="CJ197" s="352"/>
      <c r="CK197" s="352"/>
      <c r="CL197" s="352"/>
      <c r="CM197" s="352"/>
      <c r="CN197" s="352"/>
      <c r="CO197" s="352"/>
      <c r="CP197" s="352"/>
      <c r="CQ197" s="352"/>
      <c r="CR197" s="352"/>
      <c r="CS197" s="352"/>
      <c r="CT197" s="352"/>
      <c r="CU197" s="352"/>
      <c r="CV197" s="352"/>
      <c r="CW197" s="352"/>
      <c r="CX197" s="352"/>
      <c r="CY197" s="352"/>
      <c r="CZ197" s="352"/>
      <c r="DA197" s="352"/>
      <c r="DB197" s="352"/>
      <c r="DC197" s="352"/>
      <c r="DD197" s="352"/>
      <c r="DE197" s="352"/>
      <c r="DF197" s="352"/>
      <c r="DG197" s="352"/>
      <c r="DH197" s="352"/>
      <c r="DI197" s="352"/>
      <c r="DJ197" s="352"/>
      <c r="DK197" s="352"/>
      <c r="DL197" s="352"/>
      <c r="DM197" s="352"/>
      <c r="DN197" s="352"/>
      <c r="DO197" s="352"/>
      <c r="DP197" s="352"/>
      <c r="DQ197" s="352"/>
      <c r="DR197" s="352"/>
      <c r="DS197" s="352"/>
      <c r="DT197" s="352"/>
      <c r="DU197" s="352"/>
      <c r="DV197" s="352"/>
      <c r="DW197" s="352"/>
      <c r="DX197" s="352"/>
      <c r="DY197" s="352"/>
      <c r="DZ197" s="352"/>
      <c r="EA197" s="352"/>
      <c r="EB197" s="352"/>
      <c r="EC197" s="352"/>
      <c r="ED197" s="352"/>
      <c r="EE197" s="352"/>
      <c r="EF197" s="352"/>
      <c r="EG197" s="352"/>
      <c r="EH197" s="352"/>
      <c r="EI197" s="352"/>
      <c r="EJ197" s="352"/>
      <c r="EK197" s="352"/>
      <c r="EL197" s="352"/>
      <c r="EM197" s="352"/>
      <c r="EN197" s="352"/>
    </row>
    <row r="198" spans="1:144" s="188" customFormat="1" ht="20.100000000000001" customHeight="1">
      <c r="A198" s="179" t="s">
        <v>64</v>
      </c>
      <c r="B198" s="179" t="s">
        <v>684</v>
      </c>
      <c r="C198" s="180">
        <f>SUM('Thomson Reuters IMA  ($)'!I472:I474)</f>
        <v>1402.8100000000002</v>
      </c>
      <c r="D198" s="181">
        <f>'Sectors % GDP'!G17</f>
        <v>97487.631999999998</v>
      </c>
      <c r="E198" s="181">
        <f t="shared" si="6"/>
        <v>1.4389620213567196E-2</v>
      </c>
      <c r="F198" s="184">
        <v>1</v>
      </c>
      <c r="G198" s="181">
        <v>8</v>
      </c>
      <c r="H198" s="183">
        <v>28.71</v>
      </c>
      <c r="I198" s="183">
        <v>16.97</v>
      </c>
      <c r="J198" s="183">
        <v>53.86</v>
      </c>
      <c r="K198" s="184">
        <v>28.93</v>
      </c>
      <c r="L198" s="184">
        <f t="shared" si="7"/>
        <v>3.1</v>
      </c>
      <c r="M198" s="185">
        <v>3.1E-2</v>
      </c>
      <c r="N198" s="185">
        <v>5.75</v>
      </c>
      <c r="O198" s="186">
        <f>'Trade Data'!F14</f>
        <v>0.46023430147690592</v>
      </c>
      <c r="P198" s="189">
        <v>1</v>
      </c>
      <c r="Q198" s="352"/>
      <c r="R198" s="352"/>
      <c r="S198" s="352"/>
      <c r="T198" s="352"/>
      <c r="U198" s="352"/>
      <c r="V198" s="352"/>
      <c r="W198" s="352"/>
      <c r="X198" s="352"/>
      <c r="Y198" s="352"/>
      <c r="Z198" s="352"/>
      <c r="AA198" s="352"/>
      <c r="AB198" s="352"/>
      <c r="AC198" s="352"/>
      <c r="AD198" s="352"/>
      <c r="AE198" s="352"/>
      <c r="AF198" s="352"/>
      <c r="AG198" s="352"/>
      <c r="AH198" s="352"/>
      <c r="AI198" s="352"/>
      <c r="AJ198" s="352"/>
      <c r="AK198" s="352"/>
      <c r="AL198" s="352"/>
      <c r="AM198" s="352"/>
      <c r="AN198" s="352"/>
      <c r="AO198" s="352"/>
      <c r="AP198" s="352"/>
      <c r="AQ198" s="352"/>
      <c r="AR198" s="352"/>
      <c r="AS198" s="352"/>
      <c r="AT198" s="352"/>
      <c r="AU198" s="352"/>
      <c r="AV198" s="352"/>
      <c r="AW198" s="352"/>
      <c r="AX198" s="352"/>
      <c r="AY198" s="352"/>
      <c r="AZ198" s="352"/>
      <c r="BA198" s="352"/>
      <c r="BB198" s="352"/>
      <c r="BC198" s="352"/>
      <c r="BD198" s="352"/>
      <c r="BE198" s="352"/>
      <c r="BF198" s="352"/>
      <c r="BG198" s="352"/>
      <c r="BH198" s="352"/>
      <c r="BI198" s="352"/>
      <c r="BJ198" s="352"/>
      <c r="BK198" s="352"/>
      <c r="BL198" s="352"/>
      <c r="BM198" s="352"/>
      <c r="BN198" s="352"/>
      <c r="BO198" s="352"/>
      <c r="BP198" s="352"/>
      <c r="BQ198" s="352"/>
      <c r="BR198" s="352"/>
      <c r="BS198" s="352"/>
      <c r="BT198" s="352"/>
      <c r="BU198" s="352"/>
      <c r="BV198" s="352"/>
      <c r="BW198" s="352"/>
      <c r="BX198" s="352"/>
      <c r="BY198" s="352"/>
      <c r="BZ198" s="352"/>
      <c r="CA198" s="352"/>
      <c r="CB198" s="352"/>
      <c r="CC198" s="352"/>
      <c r="CD198" s="352"/>
      <c r="CE198" s="352"/>
      <c r="CF198" s="352"/>
      <c r="CG198" s="352"/>
      <c r="CH198" s="352"/>
      <c r="CI198" s="352"/>
      <c r="CJ198" s="352"/>
      <c r="CK198" s="352"/>
      <c r="CL198" s="352"/>
      <c r="CM198" s="352"/>
      <c r="CN198" s="352"/>
      <c r="CO198" s="352"/>
      <c r="CP198" s="352"/>
      <c r="CQ198" s="352"/>
      <c r="CR198" s="352"/>
      <c r="CS198" s="352"/>
      <c r="CT198" s="352"/>
      <c r="CU198" s="352"/>
      <c r="CV198" s="352"/>
      <c r="CW198" s="352"/>
      <c r="CX198" s="352"/>
      <c r="CY198" s="352"/>
      <c r="CZ198" s="352"/>
      <c r="DA198" s="352"/>
      <c r="DB198" s="352"/>
      <c r="DC198" s="352"/>
      <c r="DD198" s="352"/>
      <c r="DE198" s="352"/>
      <c r="DF198" s="352"/>
      <c r="DG198" s="352"/>
      <c r="DH198" s="352"/>
      <c r="DI198" s="352"/>
      <c r="DJ198" s="352"/>
      <c r="DK198" s="352"/>
      <c r="DL198" s="352"/>
      <c r="DM198" s="352"/>
      <c r="DN198" s="352"/>
      <c r="DO198" s="352"/>
      <c r="DP198" s="352"/>
      <c r="DQ198" s="352"/>
      <c r="DR198" s="352"/>
      <c r="DS198" s="352"/>
      <c r="DT198" s="352"/>
      <c r="DU198" s="352"/>
      <c r="DV198" s="352"/>
      <c r="DW198" s="352"/>
      <c r="DX198" s="352"/>
      <c r="DY198" s="352"/>
      <c r="DZ198" s="352"/>
      <c r="EA198" s="352"/>
      <c r="EB198" s="352"/>
      <c r="EC198" s="352"/>
      <c r="ED198" s="352"/>
      <c r="EE198" s="352"/>
      <c r="EF198" s="352"/>
      <c r="EG198" s="352"/>
      <c r="EH198" s="352"/>
      <c r="EI198" s="352"/>
      <c r="EJ198" s="352"/>
      <c r="EK198" s="352"/>
      <c r="EL198" s="352"/>
      <c r="EM198" s="352"/>
      <c r="EN198" s="352"/>
    </row>
    <row r="199" spans="1:144" ht="20.100000000000001" customHeight="1">
      <c r="A199" s="118" t="s">
        <v>64</v>
      </c>
      <c r="B199" s="118" t="s">
        <v>683</v>
      </c>
      <c r="C199" s="119">
        <v>0</v>
      </c>
      <c r="D199" s="120">
        <f>'Sectors % GDP'!G18</f>
        <v>174772.23500000002</v>
      </c>
      <c r="E199" s="120">
        <f t="shared" si="6"/>
        <v>0</v>
      </c>
      <c r="F199" s="123">
        <v>1</v>
      </c>
      <c r="G199" s="120">
        <v>2</v>
      </c>
      <c r="H199" s="122">
        <v>28.71</v>
      </c>
      <c r="I199" s="122">
        <v>16.97</v>
      </c>
      <c r="J199" s="122">
        <v>53.86</v>
      </c>
      <c r="K199" s="123">
        <v>28.93</v>
      </c>
      <c r="L199" s="123">
        <f t="shared" si="7"/>
        <v>3.1</v>
      </c>
      <c r="M199" s="124">
        <v>3.1E-2</v>
      </c>
      <c r="N199" s="124">
        <v>5.75</v>
      </c>
      <c r="O199" s="125">
        <f>'Trade Data'!F14</f>
        <v>0.46023430147690592</v>
      </c>
      <c r="P199" s="127">
        <v>1</v>
      </c>
      <c r="Q199" s="352"/>
      <c r="R199" s="352"/>
      <c r="S199" s="352"/>
      <c r="T199" s="352"/>
      <c r="U199" s="352"/>
      <c r="V199" s="352"/>
      <c r="W199" s="352"/>
      <c r="X199" s="352"/>
      <c r="Y199" s="352"/>
      <c r="Z199" s="352"/>
      <c r="AA199" s="352"/>
      <c r="AB199" s="352"/>
      <c r="AC199" s="352"/>
      <c r="AD199" s="352"/>
      <c r="AE199" s="352"/>
      <c r="AF199" s="352"/>
      <c r="AG199" s="352"/>
      <c r="AH199" s="352"/>
      <c r="AI199" s="352"/>
      <c r="AJ199" s="352"/>
      <c r="AK199" s="352"/>
      <c r="AL199" s="352"/>
      <c r="AM199" s="352"/>
      <c r="AN199" s="352"/>
      <c r="AO199" s="352"/>
      <c r="AP199" s="352"/>
      <c r="AQ199" s="352"/>
      <c r="AR199" s="352"/>
      <c r="AS199" s="352"/>
      <c r="AT199" s="352"/>
      <c r="AU199" s="352"/>
      <c r="AV199" s="352"/>
      <c r="AW199" s="352"/>
      <c r="AX199" s="352"/>
      <c r="AY199" s="352"/>
      <c r="AZ199" s="352"/>
      <c r="BA199" s="352"/>
      <c r="BB199" s="352"/>
      <c r="BC199" s="352"/>
      <c r="BD199" s="352"/>
      <c r="BE199" s="352"/>
      <c r="BF199" s="352"/>
      <c r="BG199" s="352"/>
      <c r="BH199" s="352"/>
      <c r="BI199" s="352"/>
      <c r="BJ199" s="352"/>
      <c r="BK199" s="352"/>
      <c r="BL199" s="352"/>
      <c r="BM199" s="352"/>
      <c r="BN199" s="352"/>
      <c r="BO199" s="352"/>
      <c r="BP199" s="352"/>
      <c r="BQ199" s="352"/>
      <c r="BR199" s="352"/>
      <c r="BS199" s="352"/>
      <c r="BT199" s="352"/>
      <c r="BU199" s="352"/>
      <c r="BV199" s="352"/>
      <c r="BW199" s="352"/>
      <c r="BX199" s="352"/>
      <c r="BY199" s="352"/>
      <c r="BZ199" s="352"/>
      <c r="CA199" s="352"/>
      <c r="CB199" s="352"/>
      <c r="CC199" s="352"/>
      <c r="CD199" s="352"/>
      <c r="CE199" s="352"/>
      <c r="CF199" s="352"/>
      <c r="CG199" s="352"/>
      <c r="CH199" s="352"/>
      <c r="CI199" s="352"/>
      <c r="CJ199" s="352"/>
      <c r="CK199" s="352"/>
      <c r="CL199" s="352"/>
      <c r="CM199" s="352"/>
      <c r="CN199" s="352"/>
      <c r="CO199" s="352"/>
      <c r="CP199" s="352"/>
      <c r="CQ199" s="352"/>
      <c r="CR199" s="352"/>
      <c r="CS199" s="352"/>
      <c r="CT199" s="352"/>
      <c r="CU199" s="352"/>
      <c r="CV199" s="352"/>
      <c r="CW199" s="352"/>
      <c r="CX199" s="352"/>
      <c r="CY199" s="352"/>
      <c r="CZ199" s="352"/>
      <c r="DA199" s="352"/>
      <c r="DB199" s="352"/>
      <c r="DC199" s="352"/>
      <c r="DD199" s="352"/>
      <c r="DE199" s="352"/>
      <c r="DF199" s="352"/>
      <c r="DG199" s="352"/>
      <c r="DH199" s="352"/>
      <c r="DI199" s="352"/>
      <c r="DJ199" s="352"/>
      <c r="DK199" s="352"/>
      <c r="DL199" s="352"/>
      <c r="DM199" s="352"/>
      <c r="DN199" s="352"/>
      <c r="DO199" s="352"/>
      <c r="DP199" s="352"/>
      <c r="DQ199" s="352"/>
      <c r="DR199" s="352"/>
      <c r="DS199" s="352"/>
      <c r="DT199" s="352"/>
      <c r="DU199" s="352"/>
      <c r="DV199" s="352"/>
      <c r="DW199" s="352"/>
      <c r="DX199" s="352"/>
      <c r="DY199" s="352"/>
      <c r="DZ199" s="352"/>
      <c r="EA199" s="352"/>
      <c r="EB199" s="352"/>
      <c r="EC199" s="352"/>
      <c r="ED199" s="352"/>
      <c r="EE199" s="352"/>
      <c r="EF199" s="352"/>
      <c r="EG199" s="352"/>
      <c r="EH199" s="352"/>
      <c r="EI199" s="352"/>
      <c r="EJ199" s="352"/>
      <c r="EK199" s="352"/>
      <c r="EL199" s="352"/>
      <c r="EM199" s="352"/>
      <c r="EN199" s="352"/>
    </row>
    <row r="200" spans="1:144" s="169" customFormat="1" ht="20.100000000000001" customHeight="1">
      <c r="A200" s="160" t="s">
        <v>65</v>
      </c>
      <c r="B200" s="160" t="s">
        <v>682</v>
      </c>
      <c r="C200" s="161">
        <v>0</v>
      </c>
      <c r="D200" s="162">
        <f>'Sectors % GDP'!G16</f>
        <v>19299.286</v>
      </c>
      <c r="E200" s="162">
        <f t="shared" si="6"/>
        <v>0</v>
      </c>
      <c r="F200" s="165">
        <v>0</v>
      </c>
      <c r="G200" s="162">
        <v>0</v>
      </c>
      <c r="H200" s="164">
        <v>41.35</v>
      </c>
      <c r="I200" s="164">
        <v>45.17</v>
      </c>
      <c r="J200" s="164">
        <v>55.52</v>
      </c>
      <c r="K200" s="165">
        <v>28.93</v>
      </c>
      <c r="L200" s="165">
        <f t="shared" si="7"/>
        <v>3.1</v>
      </c>
      <c r="M200" s="166">
        <v>3.1E-2</v>
      </c>
      <c r="N200" s="166">
        <v>5.75</v>
      </c>
      <c r="O200" s="167">
        <f>'Trade Data'!F14</f>
        <v>0.46023430147690592</v>
      </c>
      <c r="P200" s="168">
        <v>0</v>
      </c>
      <c r="Q200" s="352"/>
      <c r="R200" s="352"/>
      <c r="S200" s="352"/>
      <c r="T200" s="352"/>
      <c r="U200" s="352"/>
      <c r="V200" s="352"/>
      <c r="W200" s="352"/>
      <c r="X200" s="352"/>
      <c r="Y200" s="352"/>
      <c r="Z200" s="352"/>
      <c r="AA200" s="352"/>
      <c r="AB200" s="352"/>
      <c r="AC200" s="352"/>
      <c r="AD200" s="352"/>
      <c r="AE200" s="352"/>
      <c r="AF200" s="352"/>
      <c r="AG200" s="352"/>
      <c r="AH200" s="352"/>
      <c r="AI200" s="352"/>
      <c r="AJ200" s="352"/>
      <c r="AK200" s="352"/>
      <c r="AL200" s="352"/>
      <c r="AM200" s="352"/>
      <c r="AN200" s="352"/>
      <c r="AO200" s="352"/>
      <c r="AP200" s="352"/>
      <c r="AQ200" s="352"/>
      <c r="AR200" s="352"/>
      <c r="AS200" s="352"/>
      <c r="AT200" s="352"/>
      <c r="AU200" s="352"/>
      <c r="AV200" s="352"/>
      <c r="AW200" s="352"/>
      <c r="AX200" s="352"/>
      <c r="AY200" s="352"/>
      <c r="AZ200" s="352"/>
      <c r="BA200" s="352"/>
      <c r="BB200" s="352"/>
      <c r="BC200" s="352"/>
      <c r="BD200" s="352"/>
      <c r="BE200" s="352"/>
      <c r="BF200" s="352"/>
      <c r="BG200" s="352"/>
      <c r="BH200" s="352"/>
      <c r="BI200" s="352"/>
      <c r="BJ200" s="352"/>
      <c r="BK200" s="352"/>
      <c r="BL200" s="352"/>
      <c r="BM200" s="352"/>
      <c r="BN200" s="352"/>
      <c r="BO200" s="352"/>
      <c r="BP200" s="352"/>
      <c r="BQ200" s="352"/>
      <c r="BR200" s="352"/>
      <c r="BS200" s="352"/>
      <c r="BT200" s="352"/>
      <c r="BU200" s="352"/>
      <c r="BV200" s="352"/>
      <c r="BW200" s="352"/>
      <c r="BX200" s="352"/>
      <c r="BY200" s="352"/>
      <c r="BZ200" s="352"/>
      <c r="CA200" s="352"/>
      <c r="CB200" s="352"/>
      <c r="CC200" s="352"/>
      <c r="CD200" s="352"/>
      <c r="CE200" s="352"/>
      <c r="CF200" s="352"/>
      <c r="CG200" s="352"/>
      <c r="CH200" s="352"/>
      <c r="CI200" s="352"/>
      <c r="CJ200" s="352"/>
      <c r="CK200" s="352"/>
      <c r="CL200" s="352"/>
      <c r="CM200" s="352"/>
      <c r="CN200" s="352"/>
      <c r="CO200" s="352"/>
      <c r="CP200" s="352"/>
      <c r="CQ200" s="352"/>
      <c r="CR200" s="352"/>
      <c r="CS200" s="352"/>
      <c r="CT200" s="352"/>
      <c r="CU200" s="352"/>
      <c r="CV200" s="352"/>
      <c r="CW200" s="352"/>
      <c r="CX200" s="352"/>
      <c r="CY200" s="352"/>
      <c r="CZ200" s="352"/>
      <c r="DA200" s="352"/>
      <c r="DB200" s="352"/>
      <c r="DC200" s="352"/>
      <c r="DD200" s="352"/>
      <c r="DE200" s="352"/>
      <c r="DF200" s="352"/>
      <c r="DG200" s="352"/>
      <c r="DH200" s="352"/>
      <c r="DI200" s="352"/>
      <c r="DJ200" s="352"/>
      <c r="DK200" s="352"/>
      <c r="DL200" s="352"/>
      <c r="DM200" s="352"/>
      <c r="DN200" s="352"/>
      <c r="DO200" s="352"/>
      <c r="DP200" s="352"/>
      <c r="DQ200" s="352"/>
      <c r="DR200" s="352"/>
      <c r="DS200" s="352"/>
      <c r="DT200" s="352"/>
      <c r="DU200" s="352"/>
      <c r="DV200" s="352"/>
      <c r="DW200" s="352"/>
      <c r="DX200" s="352"/>
      <c r="DY200" s="352"/>
      <c r="DZ200" s="352"/>
      <c r="EA200" s="352"/>
      <c r="EB200" s="352"/>
      <c r="EC200" s="352"/>
      <c r="ED200" s="352"/>
      <c r="EE200" s="352"/>
      <c r="EF200" s="352"/>
      <c r="EG200" s="352"/>
      <c r="EH200" s="352"/>
      <c r="EI200" s="352"/>
      <c r="EJ200" s="352"/>
      <c r="EK200" s="352"/>
      <c r="EL200" s="352"/>
      <c r="EM200" s="352"/>
      <c r="EN200" s="352"/>
    </row>
    <row r="201" spans="1:144" s="188" customFormat="1" ht="20.100000000000001" customHeight="1">
      <c r="A201" s="179" t="s">
        <v>65</v>
      </c>
      <c r="B201" s="179" t="s">
        <v>681</v>
      </c>
      <c r="C201" s="180">
        <f>'Thomson Reuters IMA  ($)'!I475</f>
        <v>9.8780000000000001</v>
      </c>
      <c r="D201" s="181">
        <f>'Sectors % GDP'!G17</f>
        <v>97487.631999999998</v>
      </c>
      <c r="E201" s="181">
        <f t="shared" si="6"/>
        <v>1.0132567380444732E-4</v>
      </c>
      <c r="F201" s="184">
        <v>1</v>
      </c>
      <c r="G201" s="181">
        <v>3</v>
      </c>
      <c r="H201" s="183">
        <v>41.35</v>
      </c>
      <c r="I201" s="183">
        <v>45.17</v>
      </c>
      <c r="J201" s="183">
        <v>55.52</v>
      </c>
      <c r="K201" s="184">
        <v>28.93</v>
      </c>
      <c r="L201" s="184">
        <f t="shared" si="7"/>
        <v>3.1</v>
      </c>
      <c r="M201" s="185">
        <v>3.1E-2</v>
      </c>
      <c r="N201" s="185">
        <v>5.75</v>
      </c>
      <c r="O201" s="186">
        <f>'Trade Data'!F14</f>
        <v>0.46023430147690592</v>
      </c>
      <c r="P201" s="187">
        <v>1</v>
      </c>
      <c r="Q201" s="352"/>
      <c r="R201" s="352"/>
      <c r="S201" s="352"/>
      <c r="T201" s="352"/>
      <c r="U201" s="352"/>
      <c r="V201" s="352"/>
      <c r="W201" s="352"/>
      <c r="X201" s="352"/>
      <c r="Y201" s="352"/>
      <c r="Z201" s="352"/>
      <c r="AA201" s="352"/>
      <c r="AB201" s="352"/>
      <c r="AC201" s="352"/>
      <c r="AD201" s="352"/>
      <c r="AE201" s="352"/>
      <c r="AF201" s="352"/>
      <c r="AG201" s="352"/>
      <c r="AH201" s="352"/>
      <c r="AI201" s="352"/>
      <c r="AJ201" s="352"/>
      <c r="AK201" s="352"/>
      <c r="AL201" s="352"/>
      <c r="AM201" s="352"/>
      <c r="AN201" s="352"/>
      <c r="AO201" s="352"/>
      <c r="AP201" s="352"/>
      <c r="AQ201" s="352"/>
      <c r="AR201" s="352"/>
      <c r="AS201" s="352"/>
      <c r="AT201" s="352"/>
      <c r="AU201" s="352"/>
      <c r="AV201" s="352"/>
      <c r="AW201" s="352"/>
      <c r="AX201" s="352"/>
      <c r="AY201" s="352"/>
      <c r="AZ201" s="352"/>
      <c r="BA201" s="352"/>
      <c r="BB201" s="352"/>
      <c r="BC201" s="352"/>
      <c r="BD201" s="352"/>
      <c r="BE201" s="352"/>
      <c r="BF201" s="352"/>
      <c r="BG201" s="352"/>
      <c r="BH201" s="352"/>
      <c r="BI201" s="352"/>
      <c r="BJ201" s="352"/>
      <c r="BK201" s="352"/>
      <c r="BL201" s="352"/>
      <c r="BM201" s="352"/>
      <c r="BN201" s="352"/>
      <c r="BO201" s="352"/>
      <c r="BP201" s="352"/>
      <c r="BQ201" s="352"/>
      <c r="BR201" s="352"/>
      <c r="BS201" s="352"/>
      <c r="BT201" s="352"/>
      <c r="BU201" s="352"/>
      <c r="BV201" s="352"/>
      <c r="BW201" s="352"/>
      <c r="BX201" s="352"/>
      <c r="BY201" s="352"/>
      <c r="BZ201" s="352"/>
      <c r="CA201" s="352"/>
      <c r="CB201" s="352"/>
      <c r="CC201" s="352"/>
      <c r="CD201" s="352"/>
      <c r="CE201" s="352"/>
      <c r="CF201" s="352"/>
      <c r="CG201" s="352"/>
      <c r="CH201" s="352"/>
      <c r="CI201" s="352"/>
      <c r="CJ201" s="352"/>
      <c r="CK201" s="352"/>
      <c r="CL201" s="352"/>
      <c r="CM201" s="352"/>
      <c r="CN201" s="352"/>
      <c r="CO201" s="352"/>
      <c r="CP201" s="352"/>
      <c r="CQ201" s="352"/>
      <c r="CR201" s="352"/>
      <c r="CS201" s="352"/>
      <c r="CT201" s="352"/>
      <c r="CU201" s="352"/>
      <c r="CV201" s="352"/>
      <c r="CW201" s="352"/>
      <c r="CX201" s="352"/>
      <c r="CY201" s="352"/>
      <c r="CZ201" s="352"/>
      <c r="DA201" s="352"/>
      <c r="DB201" s="352"/>
      <c r="DC201" s="352"/>
      <c r="DD201" s="352"/>
      <c r="DE201" s="352"/>
      <c r="DF201" s="352"/>
      <c r="DG201" s="352"/>
      <c r="DH201" s="352"/>
      <c r="DI201" s="352"/>
      <c r="DJ201" s="352"/>
      <c r="DK201" s="352"/>
      <c r="DL201" s="352"/>
      <c r="DM201" s="352"/>
      <c r="DN201" s="352"/>
      <c r="DO201" s="352"/>
      <c r="DP201" s="352"/>
      <c r="DQ201" s="352"/>
      <c r="DR201" s="352"/>
      <c r="DS201" s="352"/>
      <c r="DT201" s="352"/>
      <c r="DU201" s="352"/>
      <c r="DV201" s="352"/>
      <c r="DW201" s="352"/>
      <c r="DX201" s="352"/>
      <c r="DY201" s="352"/>
      <c r="DZ201" s="352"/>
      <c r="EA201" s="352"/>
      <c r="EB201" s="352"/>
      <c r="EC201" s="352"/>
      <c r="ED201" s="352"/>
      <c r="EE201" s="352"/>
      <c r="EF201" s="352"/>
      <c r="EG201" s="352"/>
      <c r="EH201" s="352"/>
      <c r="EI201" s="352"/>
      <c r="EJ201" s="352"/>
      <c r="EK201" s="352"/>
      <c r="EL201" s="352"/>
      <c r="EM201" s="352"/>
      <c r="EN201" s="352"/>
    </row>
    <row r="202" spans="1:144" ht="20.100000000000001" customHeight="1">
      <c r="A202" s="118" t="s">
        <v>65</v>
      </c>
      <c r="B202" s="118" t="s">
        <v>680</v>
      </c>
      <c r="C202" s="119">
        <f>'Thomson Reuters IMA  ($)'!I476</f>
        <v>108.259</v>
      </c>
      <c r="D202" s="120">
        <f>'Sectors % GDP'!G18</f>
        <v>174772.23500000002</v>
      </c>
      <c r="E202" s="120">
        <f t="shared" si="6"/>
        <v>6.1942905290419839E-4</v>
      </c>
      <c r="F202" s="123">
        <v>1</v>
      </c>
      <c r="G202" s="120">
        <v>7</v>
      </c>
      <c r="H202" s="122">
        <v>41.35</v>
      </c>
      <c r="I202" s="122">
        <v>45.17</v>
      </c>
      <c r="J202" s="122">
        <v>55.52</v>
      </c>
      <c r="K202" s="123">
        <v>28.93</v>
      </c>
      <c r="L202" s="123">
        <f t="shared" si="7"/>
        <v>3.1</v>
      </c>
      <c r="M202" s="124">
        <v>3.1E-2</v>
      </c>
      <c r="N202" s="124">
        <v>5.75</v>
      </c>
      <c r="O202" s="125">
        <f>'Trade Data'!F14</f>
        <v>0.46023430147690592</v>
      </c>
      <c r="P202" s="126">
        <v>1</v>
      </c>
      <c r="Q202" s="352"/>
      <c r="R202" s="352"/>
      <c r="S202" s="352"/>
      <c r="T202" s="352"/>
      <c r="U202" s="352"/>
      <c r="V202" s="352"/>
      <c r="W202" s="352"/>
      <c r="X202" s="352"/>
      <c r="Y202" s="352"/>
      <c r="Z202" s="352"/>
      <c r="AA202" s="352"/>
      <c r="AB202" s="352"/>
      <c r="AC202" s="352"/>
      <c r="AD202" s="352"/>
      <c r="AE202" s="352"/>
      <c r="AF202" s="352"/>
      <c r="AG202" s="352"/>
      <c r="AH202" s="352"/>
      <c r="AI202" s="352"/>
      <c r="AJ202" s="352"/>
      <c r="AK202" s="352"/>
      <c r="AL202" s="352"/>
      <c r="AM202" s="352"/>
      <c r="AN202" s="352"/>
      <c r="AO202" s="352"/>
      <c r="AP202" s="352"/>
      <c r="AQ202" s="352"/>
      <c r="AR202" s="352"/>
      <c r="AS202" s="352"/>
      <c r="AT202" s="352"/>
      <c r="AU202" s="352"/>
      <c r="AV202" s="352"/>
      <c r="AW202" s="352"/>
      <c r="AX202" s="352"/>
      <c r="AY202" s="352"/>
      <c r="AZ202" s="352"/>
      <c r="BA202" s="352"/>
      <c r="BB202" s="352"/>
      <c r="BC202" s="352"/>
      <c r="BD202" s="352"/>
      <c r="BE202" s="352"/>
      <c r="BF202" s="352"/>
      <c r="BG202" s="352"/>
      <c r="BH202" s="352"/>
      <c r="BI202" s="352"/>
      <c r="BJ202" s="352"/>
      <c r="BK202" s="352"/>
      <c r="BL202" s="352"/>
      <c r="BM202" s="352"/>
      <c r="BN202" s="352"/>
      <c r="BO202" s="352"/>
      <c r="BP202" s="352"/>
      <c r="BQ202" s="352"/>
      <c r="BR202" s="352"/>
      <c r="BS202" s="352"/>
      <c r="BT202" s="352"/>
      <c r="BU202" s="352"/>
      <c r="BV202" s="352"/>
      <c r="BW202" s="352"/>
      <c r="BX202" s="352"/>
      <c r="BY202" s="352"/>
      <c r="BZ202" s="352"/>
      <c r="CA202" s="352"/>
      <c r="CB202" s="352"/>
      <c r="CC202" s="352"/>
      <c r="CD202" s="352"/>
      <c r="CE202" s="352"/>
      <c r="CF202" s="352"/>
      <c r="CG202" s="352"/>
      <c r="CH202" s="352"/>
      <c r="CI202" s="352"/>
      <c r="CJ202" s="352"/>
      <c r="CK202" s="352"/>
      <c r="CL202" s="352"/>
      <c r="CM202" s="352"/>
      <c r="CN202" s="352"/>
      <c r="CO202" s="352"/>
      <c r="CP202" s="352"/>
      <c r="CQ202" s="352"/>
      <c r="CR202" s="352"/>
      <c r="CS202" s="352"/>
      <c r="CT202" s="352"/>
      <c r="CU202" s="352"/>
      <c r="CV202" s="352"/>
      <c r="CW202" s="352"/>
      <c r="CX202" s="352"/>
      <c r="CY202" s="352"/>
      <c r="CZ202" s="352"/>
      <c r="DA202" s="352"/>
      <c r="DB202" s="352"/>
      <c r="DC202" s="352"/>
      <c r="DD202" s="352"/>
      <c r="DE202" s="352"/>
      <c r="DF202" s="352"/>
      <c r="DG202" s="352"/>
      <c r="DH202" s="352"/>
      <c r="DI202" s="352"/>
      <c r="DJ202" s="352"/>
      <c r="DK202" s="352"/>
      <c r="DL202" s="352"/>
      <c r="DM202" s="352"/>
      <c r="DN202" s="352"/>
      <c r="DO202" s="352"/>
      <c r="DP202" s="352"/>
      <c r="DQ202" s="352"/>
      <c r="DR202" s="352"/>
      <c r="DS202" s="352"/>
      <c r="DT202" s="352"/>
      <c r="DU202" s="352"/>
      <c r="DV202" s="352"/>
      <c r="DW202" s="352"/>
      <c r="DX202" s="352"/>
      <c r="DY202" s="352"/>
      <c r="DZ202" s="352"/>
      <c r="EA202" s="352"/>
      <c r="EB202" s="352"/>
      <c r="EC202" s="352"/>
      <c r="ED202" s="352"/>
      <c r="EE202" s="352"/>
      <c r="EF202" s="352"/>
      <c r="EG202" s="352"/>
      <c r="EH202" s="352"/>
      <c r="EI202" s="352"/>
      <c r="EJ202" s="352"/>
      <c r="EK202" s="352"/>
      <c r="EL202" s="352"/>
      <c r="EM202" s="352"/>
      <c r="EN202" s="352"/>
    </row>
    <row r="203" spans="1:144" s="169" customFormat="1" ht="20.100000000000001" customHeight="1">
      <c r="A203" s="160" t="s">
        <v>66</v>
      </c>
      <c r="B203" s="160" t="s">
        <v>679</v>
      </c>
      <c r="C203" s="161">
        <v>0</v>
      </c>
      <c r="D203" s="162">
        <f>'Sectors % GDP'!G16</f>
        <v>19299.286</v>
      </c>
      <c r="E203" s="162">
        <f t="shared" si="6"/>
        <v>0</v>
      </c>
      <c r="F203" s="165">
        <v>0</v>
      </c>
      <c r="G203" s="162">
        <v>0</v>
      </c>
      <c r="H203" s="164">
        <v>31.52</v>
      </c>
      <c r="I203" s="164">
        <v>20.170000000000002</v>
      </c>
      <c r="J203" s="164">
        <v>54.29</v>
      </c>
      <c r="K203" s="165">
        <v>28.93</v>
      </c>
      <c r="L203" s="165">
        <f t="shared" si="7"/>
        <v>3.1</v>
      </c>
      <c r="M203" s="166">
        <v>3.1E-2</v>
      </c>
      <c r="N203" s="166">
        <v>5.75</v>
      </c>
      <c r="O203" s="167">
        <f>'Trade Data'!F14</f>
        <v>0.46023430147690592</v>
      </c>
      <c r="P203" s="170">
        <v>0</v>
      </c>
      <c r="Q203" s="352"/>
      <c r="R203" s="352"/>
      <c r="S203" s="352"/>
      <c r="T203" s="352"/>
      <c r="U203" s="352"/>
      <c r="V203" s="352"/>
      <c r="W203" s="352"/>
      <c r="X203" s="352"/>
      <c r="Y203" s="352"/>
      <c r="Z203" s="352"/>
      <c r="AA203" s="352"/>
      <c r="AB203" s="352"/>
      <c r="AC203" s="352"/>
      <c r="AD203" s="352"/>
      <c r="AE203" s="352"/>
      <c r="AF203" s="352"/>
      <c r="AG203" s="352"/>
      <c r="AH203" s="352"/>
      <c r="AI203" s="352"/>
      <c r="AJ203" s="352"/>
      <c r="AK203" s="352"/>
      <c r="AL203" s="352"/>
      <c r="AM203" s="352"/>
      <c r="AN203" s="352"/>
      <c r="AO203" s="352"/>
      <c r="AP203" s="352"/>
      <c r="AQ203" s="352"/>
      <c r="AR203" s="352"/>
      <c r="AS203" s="352"/>
      <c r="AT203" s="352"/>
      <c r="AU203" s="352"/>
      <c r="AV203" s="352"/>
      <c r="AW203" s="352"/>
      <c r="AX203" s="352"/>
      <c r="AY203" s="352"/>
      <c r="AZ203" s="352"/>
      <c r="BA203" s="352"/>
      <c r="BB203" s="352"/>
      <c r="BC203" s="352"/>
      <c r="BD203" s="352"/>
      <c r="BE203" s="352"/>
      <c r="BF203" s="352"/>
      <c r="BG203" s="352"/>
      <c r="BH203" s="352"/>
      <c r="BI203" s="352"/>
      <c r="BJ203" s="352"/>
      <c r="BK203" s="352"/>
      <c r="BL203" s="352"/>
      <c r="BM203" s="352"/>
      <c r="BN203" s="352"/>
      <c r="BO203" s="352"/>
      <c r="BP203" s="352"/>
      <c r="BQ203" s="352"/>
      <c r="BR203" s="352"/>
      <c r="BS203" s="352"/>
      <c r="BT203" s="352"/>
      <c r="BU203" s="352"/>
      <c r="BV203" s="352"/>
      <c r="BW203" s="352"/>
      <c r="BX203" s="352"/>
      <c r="BY203" s="352"/>
      <c r="BZ203" s="352"/>
      <c r="CA203" s="352"/>
      <c r="CB203" s="352"/>
      <c r="CC203" s="352"/>
      <c r="CD203" s="352"/>
      <c r="CE203" s="352"/>
      <c r="CF203" s="352"/>
      <c r="CG203" s="352"/>
      <c r="CH203" s="352"/>
      <c r="CI203" s="352"/>
      <c r="CJ203" s="352"/>
      <c r="CK203" s="352"/>
      <c r="CL203" s="352"/>
      <c r="CM203" s="352"/>
      <c r="CN203" s="352"/>
      <c r="CO203" s="352"/>
      <c r="CP203" s="352"/>
      <c r="CQ203" s="352"/>
      <c r="CR203" s="352"/>
      <c r="CS203" s="352"/>
      <c r="CT203" s="352"/>
      <c r="CU203" s="352"/>
      <c r="CV203" s="352"/>
      <c r="CW203" s="352"/>
      <c r="CX203" s="352"/>
      <c r="CY203" s="352"/>
      <c r="CZ203" s="352"/>
      <c r="DA203" s="352"/>
      <c r="DB203" s="352"/>
      <c r="DC203" s="352"/>
      <c r="DD203" s="352"/>
      <c r="DE203" s="352"/>
      <c r="DF203" s="352"/>
      <c r="DG203" s="352"/>
      <c r="DH203" s="352"/>
      <c r="DI203" s="352"/>
      <c r="DJ203" s="352"/>
      <c r="DK203" s="352"/>
      <c r="DL203" s="352"/>
      <c r="DM203" s="352"/>
      <c r="DN203" s="352"/>
      <c r="DO203" s="352"/>
      <c r="DP203" s="352"/>
      <c r="DQ203" s="352"/>
      <c r="DR203" s="352"/>
      <c r="DS203" s="352"/>
      <c r="DT203" s="352"/>
      <c r="DU203" s="352"/>
      <c r="DV203" s="352"/>
      <c r="DW203" s="352"/>
      <c r="DX203" s="352"/>
      <c r="DY203" s="352"/>
      <c r="DZ203" s="352"/>
      <c r="EA203" s="352"/>
      <c r="EB203" s="352"/>
      <c r="EC203" s="352"/>
      <c r="ED203" s="352"/>
      <c r="EE203" s="352"/>
      <c r="EF203" s="352"/>
      <c r="EG203" s="352"/>
      <c r="EH203" s="352"/>
      <c r="EI203" s="352"/>
      <c r="EJ203" s="352"/>
      <c r="EK203" s="352"/>
      <c r="EL203" s="352"/>
      <c r="EM203" s="352"/>
      <c r="EN203" s="352"/>
    </row>
    <row r="204" spans="1:144" s="188" customFormat="1" ht="20.100000000000001" customHeight="1">
      <c r="A204" s="179" t="s">
        <v>66</v>
      </c>
      <c r="B204" s="179" t="s">
        <v>678</v>
      </c>
      <c r="C204" s="180">
        <v>0</v>
      </c>
      <c r="D204" s="181">
        <f>'Sectors % GDP'!G17</f>
        <v>97487.631999999998</v>
      </c>
      <c r="E204" s="181">
        <f t="shared" si="6"/>
        <v>0</v>
      </c>
      <c r="F204" s="184">
        <v>0</v>
      </c>
      <c r="G204" s="181">
        <v>0</v>
      </c>
      <c r="H204" s="183">
        <v>31.52</v>
      </c>
      <c r="I204" s="183">
        <v>20.170000000000002</v>
      </c>
      <c r="J204" s="183">
        <v>54.29</v>
      </c>
      <c r="K204" s="184">
        <v>28.93</v>
      </c>
      <c r="L204" s="184">
        <f t="shared" si="7"/>
        <v>3.1</v>
      </c>
      <c r="M204" s="185">
        <v>3.1E-2</v>
      </c>
      <c r="N204" s="185">
        <v>5.75</v>
      </c>
      <c r="O204" s="186">
        <f>'Trade Data'!F14</f>
        <v>0.46023430147690592</v>
      </c>
      <c r="P204" s="189">
        <v>1</v>
      </c>
      <c r="Q204" s="352"/>
      <c r="R204" s="352"/>
      <c r="S204" s="352"/>
      <c r="T204" s="352"/>
      <c r="U204" s="352"/>
      <c r="V204" s="352"/>
      <c r="W204" s="352"/>
      <c r="X204" s="352"/>
      <c r="Y204" s="352"/>
      <c r="Z204" s="352"/>
      <c r="AA204" s="352"/>
      <c r="AB204" s="352"/>
      <c r="AC204" s="352"/>
      <c r="AD204" s="352"/>
      <c r="AE204" s="352"/>
      <c r="AF204" s="352"/>
      <c r="AG204" s="352"/>
      <c r="AH204" s="352"/>
      <c r="AI204" s="352"/>
      <c r="AJ204" s="352"/>
      <c r="AK204" s="352"/>
      <c r="AL204" s="352"/>
      <c r="AM204" s="352"/>
      <c r="AN204" s="352"/>
      <c r="AO204" s="352"/>
      <c r="AP204" s="352"/>
      <c r="AQ204" s="352"/>
      <c r="AR204" s="352"/>
      <c r="AS204" s="352"/>
      <c r="AT204" s="352"/>
      <c r="AU204" s="352"/>
      <c r="AV204" s="352"/>
      <c r="AW204" s="352"/>
      <c r="AX204" s="352"/>
      <c r="AY204" s="352"/>
      <c r="AZ204" s="352"/>
      <c r="BA204" s="352"/>
      <c r="BB204" s="352"/>
      <c r="BC204" s="352"/>
      <c r="BD204" s="352"/>
      <c r="BE204" s="352"/>
      <c r="BF204" s="352"/>
      <c r="BG204" s="352"/>
      <c r="BH204" s="352"/>
      <c r="BI204" s="352"/>
      <c r="BJ204" s="352"/>
      <c r="BK204" s="352"/>
      <c r="BL204" s="352"/>
      <c r="BM204" s="352"/>
      <c r="BN204" s="352"/>
      <c r="BO204" s="352"/>
      <c r="BP204" s="352"/>
      <c r="BQ204" s="352"/>
      <c r="BR204" s="352"/>
      <c r="BS204" s="352"/>
      <c r="BT204" s="352"/>
      <c r="BU204" s="352"/>
      <c r="BV204" s="352"/>
      <c r="BW204" s="352"/>
      <c r="BX204" s="352"/>
      <c r="BY204" s="352"/>
      <c r="BZ204" s="352"/>
      <c r="CA204" s="352"/>
      <c r="CB204" s="352"/>
      <c r="CC204" s="352"/>
      <c r="CD204" s="352"/>
      <c r="CE204" s="352"/>
      <c r="CF204" s="352"/>
      <c r="CG204" s="352"/>
      <c r="CH204" s="352"/>
      <c r="CI204" s="352"/>
      <c r="CJ204" s="352"/>
      <c r="CK204" s="352"/>
      <c r="CL204" s="352"/>
      <c r="CM204" s="352"/>
      <c r="CN204" s="352"/>
      <c r="CO204" s="352"/>
      <c r="CP204" s="352"/>
      <c r="CQ204" s="352"/>
      <c r="CR204" s="352"/>
      <c r="CS204" s="352"/>
      <c r="CT204" s="352"/>
      <c r="CU204" s="352"/>
      <c r="CV204" s="352"/>
      <c r="CW204" s="352"/>
      <c r="CX204" s="352"/>
      <c r="CY204" s="352"/>
      <c r="CZ204" s="352"/>
      <c r="DA204" s="352"/>
      <c r="DB204" s="352"/>
      <c r="DC204" s="352"/>
      <c r="DD204" s="352"/>
      <c r="DE204" s="352"/>
      <c r="DF204" s="352"/>
      <c r="DG204" s="352"/>
      <c r="DH204" s="352"/>
      <c r="DI204" s="352"/>
      <c r="DJ204" s="352"/>
      <c r="DK204" s="352"/>
      <c r="DL204" s="352"/>
      <c r="DM204" s="352"/>
      <c r="DN204" s="352"/>
      <c r="DO204" s="352"/>
      <c r="DP204" s="352"/>
      <c r="DQ204" s="352"/>
      <c r="DR204" s="352"/>
      <c r="DS204" s="352"/>
      <c r="DT204" s="352"/>
      <c r="DU204" s="352"/>
      <c r="DV204" s="352"/>
      <c r="DW204" s="352"/>
      <c r="DX204" s="352"/>
      <c r="DY204" s="352"/>
      <c r="DZ204" s="352"/>
      <c r="EA204" s="352"/>
      <c r="EB204" s="352"/>
      <c r="EC204" s="352"/>
      <c r="ED204" s="352"/>
      <c r="EE204" s="352"/>
      <c r="EF204" s="352"/>
      <c r="EG204" s="352"/>
      <c r="EH204" s="352"/>
      <c r="EI204" s="352"/>
      <c r="EJ204" s="352"/>
      <c r="EK204" s="352"/>
      <c r="EL204" s="352"/>
      <c r="EM204" s="352"/>
      <c r="EN204" s="352"/>
    </row>
    <row r="205" spans="1:144" ht="20.100000000000001" customHeight="1">
      <c r="A205" s="118" t="s">
        <v>66</v>
      </c>
      <c r="B205" s="118" t="s">
        <v>677</v>
      </c>
      <c r="C205" s="119">
        <f>'Thomson Reuters IMA  ($)'!I477</f>
        <v>50</v>
      </c>
      <c r="D205" s="120">
        <f>'Sectors % GDP'!G18</f>
        <v>174772.23500000002</v>
      </c>
      <c r="E205" s="120">
        <f t="shared" si="6"/>
        <v>2.8608663155220274E-4</v>
      </c>
      <c r="F205" s="123">
        <v>1</v>
      </c>
      <c r="G205" s="120">
        <v>7</v>
      </c>
      <c r="H205" s="122">
        <v>31.52</v>
      </c>
      <c r="I205" s="122">
        <v>20.170000000000002</v>
      </c>
      <c r="J205" s="122">
        <v>54.29</v>
      </c>
      <c r="K205" s="123">
        <v>28.93</v>
      </c>
      <c r="L205" s="123">
        <f t="shared" si="7"/>
        <v>3.1</v>
      </c>
      <c r="M205" s="124">
        <v>3.1E-2</v>
      </c>
      <c r="N205" s="124">
        <v>5.75</v>
      </c>
      <c r="O205" s="125">
        <f>'Trade Data'!F14</f>
        <v>0.46023430147690592</v>
      </c>
      <c r="P205" s="127">
        <v>1</v>
      </c>
      <c r="Q205" s="352"/>
      <c r="R205" s="352"/>
      <c r="S205" s="352"/>
      <c r="T205" s="352"/>
      <c r="U205" s="352"/>
      <c r="V205" s="352"/>
      <c r="W205" s="352"/>
      <c r="X205" s="352"/>
      <c r="Y205" s="352"/>
      <c r="Z205" s="352"/>
      <c r="AA205" s="352"/>
      <c r="AB205" s="352"/>
      <c r="AC205" s="352"/>
      <c r="AD205" s="352"/>
      <c r="AE205" s="352"/>
      <c r="AF205" s="352"/>
      <c r="AG205" s="352"/>
      <c r="AH205" s="352"/>
      <c r="AI205" s="352"/>
      <c r="AJ205" s="352"/>
      <c r="AK205" s="352"/>
      <c r="AL205" s="352"/>
      <c r="AM205" s="352"/>
      <c r="AN205" s="352"/>
      <c r="AO205" s="352"/>
      <c r="AP205" s="352"/>
      <c r="AQ205" s="352"/>
      <c r="AR205" s="352"/>
      <c r="AS205" s="352"/>
      <c r="AT205" s="352"/>
      <c r="AU205" s="352"/>
      <c r="AV205" s="352"/>
      <c r="AW205" s="352"/>
      <c r="AX205" s="352"/>
      <c r="AY205" s="352"/>
      <c r="AZ205" s="352"/>
      <c r="BA205" s="352"/>
      <c r="BB205" s="352"/>
      <c r="BC205" s="352"/>
      <c r="BD205" s="352"/>
      <c r="BE205" s="352"/>
      <c r="BF205" s="352"/>
      <c r="BG205" s="352"/>
      <c r="BH205" s="352"/>
      <c r="BI205" s="352"/>
      <c r="BJ205" s="352"/>
      <c r="BK205" s="352"/>
      <c r="BL205" s="352"/>
      <c r="BM205" s="352"/>
      <c r="BN205" s="352"/>
      <c r="BO205" s="352"/>
      <c r="BP205" s="352"/>
      <c r="BQ205" s="352"/>
      <c r="BR205" s="352"/>
      <c r="BS205" s="352"/>
      <c r="BT205" s="352"/>
      <c r="BU205" s="352"/>
      <c r="BV205" s="352"/>
      <c r="BW205" s="352"/>
      <c r="BX205" s="352"/>
      <c r="BY205" s="352"/>
      <c r="BZ205" s="352"/>
      <c r="CA205" s="352"/>
      <c r="CB205" s="352"/>
      <c r="CC205" s="352"/>
      <c r="CD205" s="352"/>
      <c r="CE205" s="352"/>
      <c r="CF205" s="352"/>
      <c r="CG205" s="352"/>
      <c r="CH205" s="352"/>
      <c r="CI205" s="352"/>
      <c r="CJ205" s="352"/>
      <c r="CK205" s="352"/>
      <c r="CL205" s="352"/>
      <c r="CM205" s="352"/>
      <c r="CN205" s="352"/>
      <c r="CO205" s="352"/>
      <c r="CP205" s="352"/>
      <c r="CQ205" s="352"/>
      <c r="CR205" s="352"/>
      <c r="CS205" s="352"/>
      <c r="CT205" s="352"/>
      <c r="CU205" s="352"/>
      <c r="CV205" s="352"/>
      <c r="CW205" s="352"/>
      <c r="CX205" s="352"/>
      <c r="CY205" s="352"/>
      <c r="CZ205" s="352"/>
      <c r="DA205" s="352"/>
      <c r="DB205" s="352"/>
      <c r="DC205" s="352"/>
      <c r="DD205" s="352"/>
      <c r="DE205" s="352"/>
      <c r="DF205" s="352"/>
      <c r="DG205" s="352"/>
      <c r="DH205" s="352"/>
      <c r="DI205" s="352"/>
      <c r="DJ205" s="352"/>
      <c r="DK205" s="352"/>
      <c r="DL205" s="352"/>
      <c r="DM205" s="352"/>
      <c r="DN205" s="352"/>
      <c r="DO205" s="352"/>
      <c r="DP205" s="352"/>
      <c r="DQ205" s="352"/>
      <c r="DR205" s="352"/>
      <c r="DS205" s="352"/>
      <c r="DT205" s="352"/>
      <c r="DU205" s="352"/>
      <c r="DV205" s="352"/>
      <c r="DW205" s="352"/>
      <c r="DX205" s="352"/>
      <c r="DY205" s="352"/>
      <c r="DZ205" s="352"/>
      <c r="EA205" s="352"/>
      <c r="EB205" s="352"/>
      <c r="EC205" s="352"/>
      <c r="ED205" s="352"/>
      <c r="EE205" s="352"/>
      <c r="EF205" s="352"/>
      <c r="EG205" s="352"/>
      <c r="EH205" s="352"/>
      <c r="EI205" s="352"/>
      <c r="EJ205" s="352"/>
      <c r="EK205" s="352"/>
      <c r="EL205" s="352"/>
      <c r="EM205" s="352"/>
      <c r="EN205" s="352"/>
    </row>
    <row r="206" spans="1:144" s="169" customFormat="1" ht="20.100000000000001" customHeight="1">
      <c r="A206" s="160" t="s">
        <v>67</v>
      </c>
      <c r="B206" s="160" t="s">
        <v>676</v>
      </c>
      <c r="C206" s="161">
        <v>0</v>
      </c>
      <c r="D206" s="162">
        <f>'Sectors % GDP'!I16</f>
        <v>20104.031999999999</v>
      </c>
      <c r="E206" s="162">
        <f t="shared" si="6"/>
        <v>0</v>
      </c>
      <c r="F206" s="165">
        <v>0</v>
      </c>
      <c r="G206" s="162">
        <v>0</v>
      </c>
      <c r="H206" s="164">
        <v>31.06</v>
      </c>
      <c r="I206" s="164">
        <v>19.71</v>
      </c>
      <c r="J206" s="164">
        <v>53.72</v>
      </c>
      <c r="K206" s="165">
        <v>30.53</v>
      </c>
      <c r="L206" s="165">
        <f t="shared" si="7"/>
        <v>3.1</v>
      </c>
      <c r="M206" s="166">
        <v>3.1E-2</v>
      </c>
      <c r="N206" s="166">
        <v>5.75</v>
      </c>
      <c r="O206" s="167">
        <f>'Trade Data'!F14</f>
        <v>0.46023430147690592</v>
      </c>
      <c r="P206" s="168">
        <v>0</v>
      </c>
      <c r="Q206" s="352"/>
      <c r="R206" s="352"/>
      <c r="S206" s="352"/>
      <c r="T206" s="352"/>
      <c r="U206" s="352"/>
      <c r="V206" s="352"/>
      <c r="W206" s="352"/>
      <c r="X206" s="352"/>
      <c r="Y206" s="352"/>
      <c r="Z206" s="352"/>
      <c r="AA206" s="352"/>
      <c r="AB206" s="352"/>
      <c r="AC206" s="352"/>
      <c r="AD206" s="352"/>
      <c r="AE206" s="352"/>
      <c r="AF206" s="352"/>
      <c r="AG206" s="352"/>
      <c r="AH206" s="352"/>
      <c r="AI206" s="352"/>
      <c r="AJ206" s="352"/>
      <c r="AK206" s="352"/>
      <c r="AL206" s="352"/>
      <c r="AM206" s="352"/>
      <c r="AN206" s="352"/>
      <c r="AO206" s="352"/>
      <c r="AP206" s="352"/>
      <c r="AQ206" s="352"/>
      <c r="AR206" s="352"/>
      <c r="AS206" s="352"/>
      <c r="AT206" s="352"/>
      <c r="AU206" s="352"/>
      <c r="AV206" s="352"/>
      <c r="AW206" s="352"/>
      <c r="AX206" s="352"/>
      <c r="AY206" s="352"/>
      <c r="AZ206" s="352"/>
      <c r="BA206" s="352"/>
      <c r="BB206" s="352"/>
      <c r="BC206" s="352"/>
      <c r="BD206" s="352"/>
      <c r="BE206" s="352"/>
      <c r="BF206" s="352"/>
      <c r="BG206" s="352"/>
      <c r="BH206" s="352"/>
      <c r="BI206" s="352"/>
      <c r="BJ206" s="352"/>
      <c r="BK206" s="352"/>
      <c r="BL206" s="352"/>
      <c r="BM206" s="352"/>
      <c r="BN206" s="352"/>
      <c r="BO206" s="352"/>
      <c r="BP206" s="352"/>
      <c r="BQ206" s="352"/>
      <c r="BR206" s="352"/>
      <c r="BS206" s="352"/>
      <c r="BT206" s="352"/>
      <c r="BU206" s="352"/>
      <c r="BV206" s="352"/>
      <c r="BW206" s="352"/>
      <c r="BX206" s="352"/>
      <c r="BY206" s="352"/>
      <c r="BZ206" s="352"/>
      <c r="CA206" s="352"/>
      <c r="CB206" s="352"/>
      <c r="CC206" s="352"/>
      <c r="CD206" s="352"/>
      <c r="CE206" s="352"/>
      <c r="CF206" s="352"/>
      <c r="CG206" s="352"/>
      <c r="CH206" s="352"/>
      <c r="CI206" s="352"/>
      <c r="CJ206" s="352"/>
      <c r="CK206" s="352"/>
      <c r="CL206" s="352"/>
      <c r="CM206" s="352"/>
      <c r="CN206" s="352"/>
      <c r="CO206" s="352"/>
      <c r="CP206" s="352"/>
      <c r="CQ206" s="352"/>
      <c r="CR206" s="352"/>
      <c r="CS206" s="352"/>
      <c r="CT206" s="352"/>
      <c r="CU206" s="352"/>
      <c r="CV206" s="352"/>
      <c r="CW206" s="352"/>
      <c r="CX206" s="352"/>
      <c r="CY206" s="352"/>
      <c r="CZ206" s="352"/>
      <c r="DA206" s="352"/>
      <c r="DB206" s="352"/>
      <c r="DC206" s="352"/>
      <c r="DD206" s="352"/>
      <c r="DE206" s="352"/>
      <c r="DF206" s="352"/>
      <c r="DG206" s="352"/>
      <c r="DH206" s="352"/>
      <c r="DI206" s="352"/>
      <c r="DJ206" s="352"/>
      <c r="DK206" s="352"/>
      <c r="DL206" s="352"/>
      <c r="DM206" s="352"/>
      <c r="DN206" s="352"/>
      <c r="DO206" s="352"/>
      <c r="DP206" s="352"/>
      <c r="DQ206" s="352"/>
      <c r="DR206" s="352"/>
      <c r="DS206" s="352"/>
      <c r="DT206" s="352"/>
      <c r="DU206" s="352"/>
      <c r="DV206" s="352"/>
      <c r="DW206" s="352"/>
      <c r="DX206" s="352"/>
      <c r="DY206" s="352"/>
      <c r="DZ206" s="352"/>
      <c r="EA206" s="352"/>
      <c r="EB206" s="352"/>
      <c r="EC206" s="352"/>
      <c r="ED206" s="352"/>
      <c r="EE206" s="352"/>
      <c r="EF206" s="352"/>
      <c r="EG206" s="352"/>
      <c r="EH206" s="352"/>
      <c r="EI206" s="352"/>
      <c r="EJ206" s="352"/>
      <c r="EK206" s="352"/>
      <c r="EL206" s="352"/>
      <c r="EM206" s="352"/>
      <c r="EN206" s="352"/>
    </row>
    <row r="207" spans="1:144" s="188" customFormat="1" ht="20.100000000000001" customHeight="1">
      <c r="A207" s="179" t="s">
        <v>67</v>
      </c>
      <c r="B207" s="179" t="s">
        <v>675</v>
      </c>
      <c r="C207" s="180">
        <f>'Thomson Reuters IMA  ($)'!I478+'Thomson Reuters IMA  ($)'!I479+'Thomson Reuters IMA  ($)'!I481+'Thomson Reuters IMA  ($)'!I483+'Thomson Reuters IMA  ($)'!I485</f>
        <v>2013.7670000000001</v>
      </c>
      <c r="D207" s="181">
        <f>'Sectors % GDP'!I17</f>
        <v>92021.124000000011</v>
      </c>
      <c r="E207" s="181">
        <f t="shared" si="6"/>
        <v>2.1883747040516478E-2</v>
      </c>
      <c r="F207" s="184">
        <v>1</v>
      </c>
      <c r="G207" s="181">
        <v>8</v>
      </c>
      <c r="H207" s="183">
        <v>31.06</v>
      </c>
      <c r="I207" s="183">
        <v>19.71</v>
      </c>
      <c r="J207" s="183">
        <v>53.72</v>
      </c>
      <c r="K207" s="184">
        <v>30.53</v>
      </c>
      <c r="L207" s="184">
        <f t="shared" si="7"/>
        <v>3.1</v>
      </c>
      <c r="M207" s="185">
        <v>3.1E-2</v>
      </c>
      <c r="N207" s="185">
        <v>5.75</v>
      </c>
      <c r="O207" s="186">
        <f>'Trade Data'!F14</f>
        <v>0.46023430147690592</v>
      </c>
      <c r="P207" s="187">
        <v>1</v>
      </c>
      <c r="Q207" s="352"/>
      <c r="R207" s="352"/>
      <c r="S207" s="352"/>
      <c r="T207" s="352"/>
      <c r="U207" s="352"/>
      <c r="V207" s="352"/>
      <c r="W207" s="352"/>
      <c r="X207" s="352"/>
      <c r="Y207" s="352"/>
      <c r="Z207" s="352"/>
      <c r="AA207" s="352"/>
      <c r="AB207" s="352"/>
      <c r="AC207" s="352"/>
      <c r="AD207" s="352"/>
      <c r="AE207" s="352"/>
      <c r="AF207" s="352"/>
      <c r="AG207" s="352"/>
      <c r="AH207" s="352"/>
      <c r="AI207" s="352"/>
      <c r="AJ207" s="352"/>
      <c r="AK207" s="352"/>
      <c r="AL207" s="352"/>
      <c r="AM207" s="352"/>
      <c r="AN207" s="352"/>
      <c r="AO207" s="352"/>
      <c r="AP207" s="352"/>
      <c r="AQ207" s="352"/>
      <c r="AR207" s="352"/>
      <c r="AS207" s="352"/>
      <c r="AT207" s="352"/>
      <c r="AU207" s="352"/>
      <c r="AV207" s="352"/>
      <c r="AW207" s="352"/>
      <c r="AX207" s="352"/>
      <c r="AY207" s="352"/>
      <c r="AZ207" s="352"/>
      <c r="BA207" s="352"/>
      <c r="BB207" s="352"/>
      <c r="BC207" s="352"/>
      <c r="BD207" s="352"/>
      <c r="BE207" s="352"/>
      <c r="BF207" s="352"/>
      <c r="BG207" s="352"/>
      <c r="BH207" s="352"/>
      <c r="BI207" s="352"/>
      <c r="BJ207" s="352"/>
      <c r="BK207" s="352"/>
      <c r="BL207" s="352"/>
      <c r="BM207" s="352"/>
      <c r="BN207" s="352"/>
      <c r="BO207" s="352"/>
      <c r="BP207" s="352"/>
      <c r="BQ207" s="352"/>
      <c r="BR207" s="352"/>
      <c r="BS207" s="352"/>
      <c r="BT207" s="352"/>
      <c r="BU207" s="352"/>
      <c r="BV207" s="352"/>
      <c r="BW207" s="352"/>
      <c r="BX207" s="352"/>
      <c r="BY207" s="352"/>
      <c r="BZ207" s="352"/>
      <c r="CA207" s="352"/>
      <c r="CB207" s="352"/>
      <c r="CC207" s="352"/>
      <c r="CD207" s="352"/>
      <c r="CE207" s="352"/>
      <c r="CF207" s="352"/>
      <c r="CG207" s="352"/>
      <c r="CH207" s="352"/>
      <c r="CI207" s="352"/>
      <c r="CJ207" s="352"/>
      <c r="CK207" s="352"/>
      <c r="CL207" s="352"/>
      <c r="CM207" s="352"/>
      <c r="CN207" s="352"/>
      <c r="CO207" s="352"/>
      <c r="CP207" s="352"/>
      <c r="CQ207" s="352"/>
      <c r="CR207" s="352"/>
      <c r="CS207" s="352"/>
      <c r="CT207" s="352"/>
      <c r="CU207" s="352"/>
      <c r="CV207" s="352"/>
      <c r="CW207" s="352"/>
      <c r="CX207" s="352"/>
      <c r="CY207" s="352"/>
      <c r="CZ207" s="352"/>
      <c r="DA207" s="352"/>
      <c r="DB207" s="352"/>
      <c r="DC207" s="352"/>
      <c r="DD207" s="352"/>
      <c r="DE207" s="352"/>
      <c r="DF207" s="352"/>
      <c r="DG207" s="352"/>
      <c r="DH207" s="352"/>
      <c r="DI207" s="352"/>
      <c r="DJ207" s="352"/>
      <c r="DK207" s="352"/>
      <c r="DL207" s="352"/>
      <c r="DM207" s="352"/>
      <c r="DN207" s="352"/>
      <c r="DO207" s="352"/>
      <c r="DP207" s="352"/>
      <c r="DQ207" s="352"/>
      <c r="DR207" s="352"/>
      <c r="DS207" s="352"/>
      <c r="DT207" s="352"/>
      <c r="DU207" s="352"/>
      <c r="DV207" s="352"/>
      <c r="DW207" s="352"/>
      <c r="DX207" s="352"/>
      <c r="DY207" s="352"/>
      <c r="DZ207" s="352"/>
      <c r="EA207" s="352"/>
      <c r="EB207" s="352"/>
      <c r="EC207" s="352"/>
      <c r="ED207" s="352"/>
      <c r="EE207" s="352"/>
      <c r="EF207" s="352"/>
      <c r="EG207" s="352"/>
      <c r="EH207" s="352"/>
      <c r="EI207" s="352"/>
      <c r="EJ207" s="352"/>
      <c r="EK207" s="352"/>
      <c r="EL207" s="352"/>
      <c r="EM207" s="352"/>
      <c r="EN207" s="352"/>
    </row>
    <row r="208" spans="1:144" ht="20.100000000000001" customHeight="1">
      <c r="A208" s="118" t="s">
        <v>67</v>
      </c>
      <c r="B208" s="118" t="s">
        <v>674</v>
      </c>
      <c r="C208" s="119">
        <f>'Thomson Reuters IMA  ($)'!I480+'Thomson Reuters IMA  ($)'!I482+'Thomson Reuters IMA  ($)'!I484</f>
        <v>67.509</v>
      </c>
      <c r="D208" s="120">
        <f>'Sectors % GDP'!I18</f>
        <v>170234.84400000001</v>
      </c>
      <c r="E208" s="120">
        <f t="shared" si="6"/>
        <v>3.9656393728654043E-4</v>
      </c>
      <c r="F208" s="123">
        <v>1</v>
      </c>
      <c r="G208" s="120">
        <v>11</v>
      </c>
      <c r="H208" s="122">
        <v>31.06</v>
      </c>
      <c r="I208" s="122">
        <v>19.71</v>
      </c>
      <c r="J208" s="122">
        <v>53.72</v>
      </c>
      <c r="K208" s="123">
        <v>30.53</v>
      </c>
      <c r="L208" s="123">
        <f t="shared" si="7"/>
        <v>3.1</v>
      </c>
      <c r="M208" s="124">
        <v>3.1E-2</v>
      </c>
      <c r="N208" s="124">
        <v>5.75</v>
      </c>
      <c r="O208" s="125">
        <f>'Trade Data'!F14</f>
        <v>0.46023430147690592</v>
      </c>
      <c r="P208" s="126">
        <v>1</v>
      </c>
      <c r="Q208" s="352"/>
      <c r="R208" s="352"/>
      <c r="S208" s="352"/>
      <c r="T208" s="352"/>
      <c r="U208" s="352"/>
      <c r="V208" s="352"/>
      <c r="W208" s="352"/>
      <c r="X208" s="352"/>
      <c r="Y208" s="352"/>
      <c r="Z208" s="352"/>
      <c r="AA208" s="352"/>
      <c r="AB208" s="352"/>
      <c r="AC208" s="352"/>
      <c r="AD208" s="352"/>
      <c r="AE208" s="352"/>
      <c r="AF208" s="352"/>
      <c r="AG208" s="352"/>
      <c r="AH208" s="352"/>
      <c r="AI208" s="352"/>
      <c r="AJ208" s="352"/>
      <c r="AK208" s="352"/>
      <c r="AL208" s="352"/>
      <c r="AM208" s="352"/>
      <c r="AN208" s="352"/>
      <c r="AO208" s="352"/>
      <c r="AP208" s="352"/>
      <c r="AQ208" s="352"/>
      <c r="AR208" s="352"/>
      <c r="AS208" s="352"/>
      <c r="AT208" s="352"/>
      <c r="AU208" s="352"/>
      <c r="AV208" s="352"/>
      <c r="AW208" s="352"/>
      <c r="AX208" s="352"/>
      <c r="AY208" s="352"/>
      <c r="AZ208" s="352"/>
      <c r="BA208" s="352"/>
      <c r="BB208" s="352"/>
      <c r="BC208" s="352"/>
      <c r="BD208" s="352"/>
      <c r="BE208" s="352"/>
      <c r="BF208" s="352"/>
      <c r="BG208" s="352"/>
      <c r="BH208" s="352"/>
      <c r="BI208" s="352"/>
      <c r="BJ208" s="352"/>
      <c r="BK208" s="352"/>
      <c r="BL208" s="352"/>
      <c r="BM208" s="352"/>
      <c r="BN208" s="352"/>
      <c r="BO208" s="352"/>
      <c r="BP208" s="352"/>
      <c r="BQ208" s="352"/>
      <c r="BR208" s="352"/>
      <c r="BS208" s="352"/>
      <c r="BT208" s="352"/>
      <c r="BU208" s="352"/>
      <c r="BV208" s="352"/>
      <c r="BW208" s="352"/>
      <c r="BX208" s="352"/>
      <c r="BY208" s="352"/>
      <c r="BZ208" s="352"/>
      <c r="CA208" s="352"/>
      <c r="CB208" s="352"/>
      <c r="CC208" s="352"/>
      <c r="CD208" s="352"/>
      <c r="CE208" s="352"/>
      <c r="CF208" s="352"/>
      <c r="CG208" s="352"/>
      <c r="CH208" s="352"/>
      <c r="CI208" s="352"/>
      <c r="CJ208" s="352"/>
      <c r="CK208" s="352"/>
      <c r="CL208" s="352"/>
      <c r="CM208" s="352"/>
      <c r="CN208" s="352"/>
      <c r="CO208" s="352"/>
      <c r="CP208" s="352"/>
      <c r="CQ208" s="352"/>
      <c r="CR208" s="352"/>
      <c r="CS208" s="352"/>
      <c r="CT208" s="352"/>
      <c r="CU208" s="352"/>
      <c r="CV208" s="352"/>
      <c r="CW208" s="352"/>
      <c r="CX208" s="352"/>
      <c r="CY208" s="352"/>
      <c r="CZ208" s="352"/>
      <c r="DA208" s="352"/>
      <c r="DB208" s="352"/>
      <c r="DC208" s="352"/>
      <c r="DD208" s="352"/>
      <c r="DE208" s="352"/>
      <c r="DF208" s="352"/>
      <c r="DG208" s="352"/>
      <c r="DH208" s="352"/>
      <c r="DI208" s="352"/>
      <c r="DJ208" s="352"/>
      <c r="DK208" s="352"/>
      <c r="DL208" s="352"/>
      <c r="DM208" s="352"/>
      <c r="DN208" s="352"/>
      <c r="DO208" s="352"/>
      <c r="DP208" s="352"/>
      <c r="DQ208" s="352"/>
      <c r="DR208" s="352"/>
      <c r="DS208" s="352"/>
      <c r="DT208" s="352"/>
      <c r="DU208" s="352"/>
      <c r="DV208" s="352"/>
      <c r="DW208" s="352"/>
      <c r="DX208" s="352"/>
      <c r="DY208" s="352"/>
      <c r="DZ208" s="352"/>
      <c r="EA208" s="352"/>
      <c r="EB208" s="352"/>
      <c r="EC208" s="352"/>
      <c r="ED208" s="352"/>
      <c r="EE208" s="352"/>
      <c r="EF208" s="352"/>
      <c r="EG208" s="352"/>
      <c r="EH208" s="352"/>
      <c r="EI208" s="352"/>
      <c r="EJ208" s="352"/>
      <c r="EK208" s="352"/>
      <c r="EL208" s="352"/>
      <c r="EM208" s="352"/>
      <c r="EN208" s="352"/>
    </row>
    <row r="209" spans="1:144" s="169" customFormat="1" ht="20.100000000000001" customHeight="1">
      <c r="A209" s="160" t="s">
        <v>68</v>
      </c>
      <c r="B209" s="160" t="s">
        <v>673</v>
      </c>
      <c r="C209" s="161">
        <v>0</v>
      </c>
      <c r="D209" s="162">
        <f>'Sectors % GDP'!I16</f>
        <v>20104.031999999999</v>
      </c>
      <c r="E209" s="162">
        <f t="shared" si="6"/>
        <v>0</v>
      </c>
      <c r="F209" s="165">
        <v>0</v>
      </c>
      <c r="G209" s="162">
        <v>0</v>
      </c>
      <c r="H209" s="164">
        <v>43</v>
      </c>
      <c r="I209" s="165">
        <v>53.41</v>
      </c>
      <c r="J209" s="165">
        <v>50.43</v>
      </c>
      <c r="K209" s="165">
        <v>30.53</v>
      </c>
      <c r="L209" s="165">
        <f t="shared" si="7"/>
        <v>2</v>
      </c>
      <c r="M209" s="166">
        <v>0.02</v>
      </c>
      <c r="N209" s="166">
        <v>6.25</v>
      </c>
      <c r="O209" s="167">
        <f>'Trade Data'!H14</f>
        <v>0.42796964135110316</v>
      </c>
      <c r="P209" s="170">
        <v>0</v>
      </c>
      <c r="Q209" s="352"/>
      <c r="R209" s="352"/>
      <c r="S209" s="352"/>
      <c r="T209" s="352"/>
      <c r="U209" s="352"/>
      <c r="V209" s="352"/>
      <c r="W209" s="352"/>
      <c r="X209" s="352"/>
      <c r="Y209" s="352"/>
      <c r="Z209" s="352"/>
      <c r="AA209" s="352"/>
      <c r="AB209" s="352"/>
      <c r="AC209" s="352"/>
      <c r="AD209" s="352"/>
      <c r="AE209" s="352"/>
      <c r="AF209" s="352"/>
      <c r="AG209" s="352"/>
      <c r="AH209" s="352"/>
      <c r="AI209" s="352"/>
      <c r="AJ209" s="352"/>
      <c r="AK209" s="352"/>
      <c r="AL209" s="352"/>
      <c r="AM209" s="352"/>
      <c r="AN209" s="352"/>
      <c r="AO209" s="352"/>
      <c r="AP209" s="352"/>
      <c r="AQ209" s="352"/>
      <c r="AR209" s="352"/>
      <c r="AS209" s="352"/>
      <c r="AT209" s="352"/>
      <c r="AU209" s="352"/>
      <c r="AV209" s="352"/>
      <c r="AW209" s="352"/>
      <c r="AX209" s="352"/>
      <c r="AY209" s="352"/>
      <c r="AZ209" s="352"/>
      <c r="BA209" s="352"/>
      <c r="BB209" s="352"/>
      <c r="BC209" s="352"/>
      <c r="BD209" s="352"/>
      <c r="BE209" s="352"/>
      <c r="BF209" s="352"/>
      <c r="BG209" s="352"/>
      <c r="BH209" s="352"/>
      <c r="BI209" s="352"/>
      <c r="BJ209" s="352"/>
      <c r="BK209" s="352"/>
      <c r="BL209" s="352"/>
      <c r="BM209" s="352"/>
      <c r="BN209" s="352"/>
      <c r="BO209" s="352"/>
      <c r="BP209" s="352"/>
      <c r="BQ209" s="352"/>
      <c r="BR209" s="352"/>
      <c r="BS209" s="352"/>
      <c r="BT209" s="352"/>
      <c r="BU209" s="352"/>
      <c r="BV209" s="352"/>
      <c r="BW209" s="352"/>
      <c r="BX209" s="352"/>
      <c r="BY209" s="352"/>
      <c r="BZ209" s="352"/>
      <c r="CA209" s="352"/>
      <c r="CB209" s="352"/>
      <c r="CC209" s="352"/>
      <c r="CD209" s="352"/>
      <c r="CE209" s="352"/>
      <c r="CF209" s="352"/>
      <c r="CG209" s="352"/>
      <c r="CH209" s="352"/>
      <c r="CI209" s="352"/>
      <c r="CJ209" s="352"/>
      <c r="CK209" s="352"/>
      <c r="CL209" s="352"/>
      <c r="CM209" s="352"/>
      <c r="CN209" s="352"/>
      <c r="CO209" s="352"/>
      <c r="CP209" s="352"/>
      <c r="CQ209" s="352"/>
      <c r="CR209" s="352"/>
      <c r="CS209" s="352"/>
      <c r="CT209" s="352"/>
      <c r="CU209" s="352"/>
      <c r="CV209" s="352"/>
      <c r="CW209" s="352"/>
      <c r="CX209" s="352"/>
      <c r="CY209" s="352"/>
      <c r="CZ209" s="352"/>
      <c r="DA209" s="352"/>
      <c r="DB209" s="352"/>
      <c r="DC209" s="352"/>
      <c r="DD209" s="352"/>
      <c r="DE209" s="352"/>
      <c r="DF209" s="352"/>
      <c r="DG209" s="352"/>
      <c r="DH209" s="352"/>
      <c r="DI209" s="352"/>
      <c r="DJ209" s="352"/>
      <c r="DK209" s="352"/>
      <c r="DL209" s="352"/>
      <c r="DM209" s="352"/>
      <c r="DN209" s="352"/>
      <c r="DO209" s="352"/>
      <c r="DP209" s="352"/>
      <c r="DQ209" s="352"/>
      <c r="DR209" s="352"/>
      <c r="DS209" s="352"/>
      <c r="DT209" s="352"/>
      <c r="DU209" s="352"/>
      <c r="DV209" s="352"/>
      <c r="DW209" s="352"/>
      <c r="DX209" s="352"/>
      <c r="DY209" s="352"/>
      <c r="DZ209" s="352"/>
      <c r="EA209" s="352"/>
      <c r="EB209" s="352"/>
      <c r="EC209" s="352"/>
      <c r="ED209" s="352"/>
      <c r="EE209" s="352"/>
      <c r="EF209" s="352"/>
      <c r="EG209" s="352"/>
      <c r="EH209" s="352"/>
      <c r="EI209" s="352"/>
      <c r="EJ209" s="352"/>
      <c r="EK209" s="352"/>
      <c r="EL209" s="352"/>
      <c r="EM209" s="352"/>
      <c r="EN209" s="352"/>
    </row>
    <row r="210" spans="1:144" s="188" customFormat="1" ht="20.100000000000001" customHeight="1">
      <c r="A210" s="179" t="s">
        <v>68</v>
      </c>
      <c r="B210" s="179" t="s">
        <v>672</v>
      </c>
      <c r="C210" s="180">
        <f>'Thomson Reuters IMA  ($)'!I486</f>
        <v>250</v>
      </c>
      <c r="D210" s="181">
        <f>'Sectors % GDP'!I17</f>
        <v>92021.124000000011</v>
      </c>
      <c r="E210" s="181">
        <f t="shared" si="6"/>
        <v>2.7167675109032569E-3</v>
      </c>
      <c r="F210" s="184">
        <v>1</v>
      </c>
      <c r="G210" s="181">
        <v>3</v>
      </c>
      <c r="H210" s="183">
        <v>43</v>
      </c>
      <c r="I210" s="184">
        <v>53.41</v>
      </c>
      <c r="J210" s="184">
        <v>50.43</v>
      </c>
      <c r="K210" s="184">
        <v>30.53</v>
      </c>
      <c r="L210" s="184">
        <f t="shared" si="7"/>
        <v>2</v>
      </c>
      <c r="M210" s="185">
        <v>0.02</v>
      </c>
      <c r="N210" s="185">
        <v>6.25</v>
      </c>
      <c r="O210" s="186">
        <f>'Trade Data'!H14</f>
        <v>0.42796964135110316</v>
      </c>
      <c r="P210" s="189">
        <v>1</v>
      </c>
      <c r="Q210" s="352"/>
      <c r="R210" s="352"/>
      <c r="S210" s="352"/>
      <c r="T210" s="352"/>
      <c r="U210" s="352"/>
      <c r="V210" s="352"/>
      <c r="W210" s="352"/>
      <c r="X210" s="352"/>
      <c r="Y210" s="352"/>
      <c r="Z210" s="352"/>
      <c r="AA210" s="352"/>
      <c r="AB210" s="352"/>
      <c r="AC210" s="352"/>
      <c r="AD210" s="352"/>
      <c r="AE210" s="352"/>
      <c r="AF210" s="352"/>
      <c r="AG210" s="352"/>
      <c r="AH210" s="352"/>
      <c r="AI210" s="352"/>
      <c r="AJ210" s="352"/>
      <c r="AK210" s="352"/>
      <c r="AL210" s="352"/>
      <c r="AM210" s="352"/>
      <c r="AN210" s="352"/>
      <c r="AO210" s="352"/>
      <c r="AP210" s="352"/>
      <c r="AQ210" s="352"/>
      <c r="AR210" s="352"/>
      <c r="AS210" s="352"/>
      <c r="AT210" s="352"/>
      <c r="AU210" s="352"/>
      <c r="AV210" s="352"/>
      <c r="AW210" s="352"/>
      <c r="AX210" s="352"/>
      <c r="AY210" s="352"/>
      <c r="AZ210" s="352"/>
      <c r="BA210" s="352"/>
      <c r="BB210" s="352"/>
      <c r="BC210" s="352"/>
      <c r="BD210" s="352"/>
      <c r="BE210" s="352"/>
      <c r="BF210" s="352"/>
      <c r="BG210" s="352"/>
      <c r="BH210" s="352"/>
      <c r="BI210" s="352"/>
      <c r="BJ210" s="352"/>
      <c r="BK210" s="352"/>
      <c r="BL210" s="352"/>
      <c r="BM210" s="352"/>
      <c r="BN210" s="352"/>
      <c r="BO210" s="352"/>
      <c r="BP210" s="352"/>
      <c r="BQ210" s="352"/>
      <c r="BR210" s="352"/>
      <c r="BS210" s="352"/>
      <c r="BT210" s="352"/>
      <c r="BU210" s="352"/>
      <c r="BV210" s="352"/>
      <c r="BW210" s="352"/>
      <c r="BX210" s="352"/>
      <c r="BY210" s="352"/>
      <c r="BZ210" s="352"/>
      <c r="CA210" s="352"/>
      <c r="CB210" s="352"/>
      <c r="CC210" s="352"/>
      <c r="CD210" s="352"/>
      <c r="CE210" s="352"/>
      <c r="CF210" s="352"/>
      <c r="CG210" s="352"/>
      <c r="CH210" s="352"/>
      <c r="CI210" s="352"/>
      <c r="CJ210" s="352"/>
      <c r="CK210" s="352"/>
      <c r="CL210" s="352"/>
      <c r="CM210" s="352"/>
      <c r="CN210" s="352"/>
      <c r="CO210" s="352"/>
      <c r="CP210" s="352"/>
      <c r="CQ210" s="352"/>
      <c r="CR210" s="352"/>
      <c r="CS210" s="352"/>
      <c r="CT210" s="352"/>
      <c r="CU210" s="352"/>
      <c r="CV210" s="352"/>
      <c r="CW210" s="352"/>
      <c r="CX210" s="352"/>
      <c r="CY210" s="352"/>
      <c r="CZ210" s="352"/>
      <c r="DA210" s="352"/>
      <c r="DB210" s="352"/>
      <c r="DC210" s="352"/>
      <c r="DD210" s="352"/>
      <c r="DE210" s="352"/>
      <c r="DF210" s="352"/>
      <c r="DG210" s="352"/>
      <c r="DH210" s="352"/>
      <c r="DI210" s="352"/>
      <c r="DJ210" s="352"/>
      <c r="DK210" s="352"/>
      <c r="DL210" s="352"/>
      <c r="DM210" s="352"/>
      <c r="DN210" s="352"/>
      <c r="DO210" s="352"/>
      <c r="DP210" s="352"/>
      <c r="DQ210" s="352"/>
      <c r="DR210" s="352"/>
      <c r="DS210" s="352"/>
      <c r="DT210" s="352"/>
      <c r="DU210" s="352"/>
      <c r="DV210" s="352"/>
      <c r="DW210" s="352"/>
      <c r="DX210" s="352"/>
      <c r="DY210" s="352"/>
      <c r="DZ210" s="352"/>
      <c r="EA210" s="352"/>
      <c r="EB210" s="352"/>
      <c r="EC210" s="352"/>
      <c r="ED210" s="352"/>
      <c r="EE210" s="352"/>
      <c r="EF210" s="352"/>
      <c r="EG210" s="352"/>
      <c r="EH210" s="352"/>
      <c r="EI210" s="352"/>
      <c r="EJ210" s="352"/>
      <c r="EK210" s="352"/>
      <c r="EL210" s="352"/>
      <c r="EM210" s="352"/>
      <c r="EN210" s="352"/>
    </row>
    <row r="211" spans="1:144" ht="20.100000000000001" customHeight="1">
      <c r="A211" s="118" t="s">
        <v>68</v>
      </c>
      <c r="B211" s="118" t="s">
        <v>671</v>
      </c>
      <c r="C211" s="119">
        <v>0</v>
      </c>
      <c r="D211" s="120">
        <f>'Sectors % GDP'!I18</f>
        <v>170234.84400000001</v>
      </c>
      <c r="E211" s="120">
        <f t="shared" si="6"/>
        <v>0</v>
      </c>
      <c r="F211" s="123">
        <v>1</v>
      </c>
      <c r="G211" s="120">
        <v>3</v>
      </c>
      <c r="H211" s="122">
        <v>43</v>
      </c>
      <c r="I211" s="123">
        <v>53.41</v>
      </c>
      <c r="J211" s="123">
        <v>50.43</v>
      </c>
      <c r="K211" s="123">
        <v>30.53</v>
      </c>
      <c r="L211" s="123">
        <f t="shared" si="7"/>
        <v>2</v>
      </c>
      <c r="M211" s="124">
        <v>0.02</v>
      </c>
      <c r="N211" s="124">
        <v>6.25</v>
      </c>
      <c r="O211" s="125">
        <f>'Trade Data'!H14</f>
        <v>0.42796964135110316</v>
      </c>
      <c r="P211" s="127">
        <v>1</v>
      </c>
      <c r="Q211" s="352"/>
      <c r="R211" s="352"/>
      <c r="S211" s="352"/>
      <c r="T211" s="352"/>
      <c r="U211" s="352"/>
      <c r="V211" s="352"/>
      <c r="W211" s="352"/>
      <c r="X211" s="352"/>
      <c r="Y211" s="352"/>
      <c r="Z211" s="352"/>
      <c r="AA211" s="352"/>
      <c r="AB211" s="352"/>
      <c r="AC211" s="352"/>
      <c r="AD211" s="352"/>
      <c r="AE211" s="352"/>
      <c r="AF211" s="352"/>
      <c r="AG211" s="352"/>
      <c r="AH211" s="352"/>
      <c r="AI211" s="352"/>
      <c r="AJ211" s="352"/>
      <c r="AK211" s="352"/>
      <c r="AL211" s="352"/>
      <c r="AM211" s="352"/>
      <c r="AN211" s="352"/>
      <c r="AO211" s="352"/>
      <c r="AP211" s="352"/>
      <c r="AQ211" s="352"/>
      <c r="AR211" s="352"/>
      <c r="AS211" s="352"/>
      <c r="AT211" s="352"/>
      <c r="AU211" s="352"/>
      <c r="AV211" s="352"/>
      <c r="AW211" s="352"/>
      <c r="AX211" s="352"/>
      <c r="AY211" s="352"/>
      <c r="AZ211" s="352"/>
      <c r="BA211" s="352"/>
      <c r="BB211" s="352"/>
      <c r="BC211" s="352"/>
      <c r="BD211" s="352"/>
      <c r="BE211" s="352"/>
      <c r="BF211" s="352"/>
      <c r="BG211" s="352"/>
      <c r="BH211" s="352"/>
      <c r="BI211" s="352"/>
      <c r="BJ211" s="352"/>
      <c r="BK211" s="352"/>
      <c r="BL211" s="352"/>
      <c r="BM211" s="352"/>
      <c r="BN211" s="352"/>
      <c r="BO211" s="352"/>
      <c r="BP211" s="352"/>
      <c r="BQ211" s="352"/>
      <c r="BR211" s="352"/>
      <c r="BS211" s="352"/>
      <c r="BT211" s="352"/>
      <c r="BU211" s="352"/>
      <c r="BV211" s="352"/>
      <c r="BW211" s="352"/>
      <c r="BX211" s="352"/>
      <c r="BY211" s="352"/>
      <c r="BZ211" s="352"/>
      <c r="CA211" s="352"/>
      <c r="CB211" s="352"/>
      <c r="CC211" s="352"/>
      <c r="CD211" s="352"/>
      <c r="CE211" s="352"/>
      <c r="CF211" s="352"/>
      <c r="CG211" s="352"/>
      <c r="CH211" s="352"/>
      <c r="CI211" s="352"/>
      <c r="CJ211" s="352"/>
      <c r="CK211" s="352"/>
      <c r="CL211" s="352"/>
      <c r="CM211" s="352"/>
      <c r="CN211" s="352"/>
      <c r="CO211" s="352"/>
      <c r="CP211" s="352"/>
      <c r="CQ211" s="352"/>
      <c r="CR211" s="352"/>
      <c r="CS211" s="352"/>
      <c r="CT211" s="352"/>
      <c r="CU211" s="352"/>
      <c r="CV211" s="352"/>
      <c r="CW211" s="352"/>
      <c r="CX211" s="352"/>
      <c r="CY211" s="352"/>
      <c r="CZ211" s="352"/>
      <c r="DA211" s="352"/>
      <c r="DB211" s="352"/>
      <c r="DC211" s="352"/>
      <c r="DD211" s="352"/>
      <c r="DE211" s="352"/>
      <c r="DF211" s="352"/>
      <c r="DG211" s="352"/>
      <c r="DH211" s="352"/>
      <c r="DI211" s="352"/>
      <c r="DJ211" s="352"/>
      <c r="DK211" s="352"/>
      <c r="DL211" s="352"/>
      <c r="DM211" s="352"/>
      <c r="DN211" s="352"/>
      <c r="DO211" s="352"/>
      <c r="DP211" s="352"/>
      <c r="DQ211" s="352"/>
      <c r="DR211" s="352"/>
      <c r="DS211" s="352"/>
      <c r="DT211" s="352"/>
      <c r="DU211" s="352"/>
      <c r="DV211" s="352"/>
      <c r="DW211" s="352"/>
      <c r="DX211" s="352"/>
      <c r="DY211" s="352"/>
      <c r="DZ211" s="352"/>
      <c r="EA211" s="352"/>
      <c r="EB211" s="352"/>
      <c r="EC211" s="352"/>
      <c r="ED211" s="352"/>
      <c r="EE211" s="352"/>
      <c r="EF211" s="352"/>
      <c r="EG211" s="352"/>
      <c r="EH211" s="352"/>
      <c r="EI211" s="352"/>
      <c r="EJ211" s="352"/>
      <c r="EK211" s="352"/>
      <c r="EL211" s="352"/>
      <c r="EM211" s="352"/>
      <c r="EN211" s="352"/>
    </row>
    <row r="212" spans="1:144" s="169" customFormat="1" ht="20.100000000000001" customHeight="1">
      <c r="A212" s="160" t="s">
        <v>69</v>
      </c>
      <c r="B212" s="160" t="s">
        <v>670</v>
      </c>
      <c r="C212" s="161">
        <f>'Thomson Reuters IMA  ($)'!I489</f>
        <v>2.1560000000000001</v>
      </c>
      <c r="D212" s="162">
        <f>'Sectors % GDP'!I16</f>
        <v>20104.031999999999</v>
      </c>
      <c r="E212" s="162">
        <f t="shared" si="6"/>
        <v>1.072421691330376E-4</v>
      </c>
      <c r="F212" s="165">
        <v>1</v>
      </c>
      <c r="G212" s="162">
        <v>1</v>
      </c>
      <c r="H212" s="164">
        <v>35.78</v>
      </c>
      <c r="I212" s="164">
        <v>35.94</v>
      </c>
      <c r="J212" s="165">
        <v>47.98</v>
      </c>
      <c r="K212" s="165">
        <v>30.53</v>
      </c>
      <c r="L212" s="165">
        <f t="shared" si="7"/>
        <v>2</v>
      </c>
      <c r="M212" s="166">
        <v>0.02</v>
      </c>
      <c r="N212" s="166">
        <v>6.25</v>
      </c>
      <c r="O212" s="167">
        <f>'Trade Data'!H14</f>
        <v>0.42796964135110316</v>
      </c>
      <c r="P212" s="168">
        <v>0</v>
      </c>
      <c r="Q212" s="352"/>
      <c r="R212" s="352"/>
      <c r="S212" s="352"/>
      <c r="T212" s="352"/>
      <c r="U212" s="352"/>
      <c r="V212" s="352"/>
      <c r="W212" s="352"/>
      <c r="X212" s="352"/>
      <c r="Y212" s="352"/>
      <c r="Z212" s="352"/>
      <c r="AA212" s="352"/>
      <c r="AB212" s="352"/>
      <c r="AC212" s="352"/>
      <c r="AD212" s="352"/>
      <c r="AE212" s="352"/>
      <c r="AF212" s="352"/>
      <c r="AG212" s="352"/>
      <c r="AH212" s="352"/>
      <c r="AI212" s="352"/>
      <c r="AJ212" s="352"/>
      <c r="AK212" s="352"/>
      <c r="AL212" s="352"/>
      <c r="AM212" s="352"/>
      <c r="AN212" s="352"/>
      <c r="AO212" s="352"/>
      <c r="AP212" s="352"/>
      <c r="AQ212" s="352"/>
      <c r="AR212" s="352"/>
      <c r="AS212" s="352"/>
      <c r="AT212" s="352"/>
      <c r="AU212" s="352"/>
      <c r="AV212" s="352"/>
      <c r="AW212" s="352"/>
      <c r="AX212" s="352"/>
      <c r="AY212" s="352"/>
      <c r="AZ212" s="352"/>
      <c r="BA212" s="352"/>
      <c r="BB212" s="352"/>
      <c r="BC212" s="352"/>
      <c r="BD212" s="352"/>
      <c r="BE212" s="352"/>
      <c r="BF212" s="352"/>
      <c r="BG212" s="352"/>
      <c r="BH212" s="352"/>
      <c r="BI212" s="352"/>
      <c r="BJ212" s="352"/>
      <c r="BK212" s="352"/>
      <c r="BL212" s="352"/>
      <c r="BM212" s="352"/>
      <c r="BN212" s="352"/>
      <c r="BO212" s="352"/>
      <c r="BP212" s="352"/>
      <c r="BQ212" s="352"/>
      <c r="BR212" s="352"/>
      <c r="BS212" s="352"/>
      <c r="BT212" s="352"/>
      <c r="BU212" s="352"/>
      <c r="BV212" s="352"/>
      <c r="BW212" s="352"/>
      <c r="BX212" s="352"/>
      <c r="BY212" s="352"/>
      <c r="BZ212" s="352"/>
      <c r="CA212" s="352"/>
      <c r="CB212" s="352"/>
      <c r="CC212" s="352"/>
      <c r="CD212" s="352"/>
      <c r="CE212" s="352"/>
      <c r="CF212" s="352"/>
      <c r="CG212" s="352"/>
      <c r="CH212" s="352"/>
      <c r="CI212" s="352"/>
      <c r="CJ212" s="352"/>
      <c r="CK212" s="352"/>
      <c r="CL212" s="352"/>
      <c r="CM212" s="352"/>
      <c r="CN212" s="352"/>
      <c r="CO212" s="352"/>
      <c r="CP212" s="352"/>
      <c r="CQ212" s="352"/>
      <c r="CR212" s="352"/>
      <c r="CS212" s="352"/>
      <c r="CT212" s="352"/>
      <c r="CU212" s="352"/>
      <c r="CV212" s="352"/>
      <c r="CW212" s="352"/>
      <c r="CX212" s="352"/>
      <c r="CY212" s="352"/>
      <c r="CZ212" s="352"/>
      <c r="DA212" s="352"/>
      <c r="DB212" s="352"/>
      <c r="DC212" s="352"/>
      <c r="DD212" s="352"/>
      <c r="DE212" s="352"/>
      <c r="DF212" s="352"/>
      <c r="DG212" s="352"/>
      <c r="DH212" s="352"/>
      <c r="DI212" s="352"/>
      <c r="DJ212" s="352"/>
      <c r="DK212" s="352"/>
      <c r="DL212" s="352"/>
      <c r="DM212" s="352"/>
      <c r="DN212" s="352"/>
      <c r="DO212" s="352"/>
      <c r="DP212" s="352"/>
      <c r="DQ212" s="352"/>
      <c r="DR212" s="352"/>
      <c r="DS212" s="352"/>
      <c r="DT212" s="352"/>
      <c r="DU212" s="352"/>
      <c r="DV212" s="352"/>
      <c r="DW212" s="352"/>
      <c r="DX212" s="352"/>
      <c r="DY212" s="352"/>
      <c r="DZ212" s="352"/>
      <c r="EA212" s="352"/>
      <c r="EB212" s="352"/>
      <c r="EC212" s="352"/>
      <c r="ED212" s="352"/>
      <c r="EE212" s="352"/>
      <c r="EF212" s="352"/>
      <c r="EG212" s="352"/>
      <c r="EH212" s="352"/>
      <c r="EI212" s="352"/>
      <c r="EJ212" s="352"/>
      <c r="EK212" s="352"/>
      <c r="EL212" s="352"/>
      <c r="EM212" s="352"/>
      <c r="EN212" s="352"/>
    </row>
    <row r="213" spans="1:144" s="188" customFormat="1" ht="20.100000000000001" customHeight="1">
      <c r="A213" s="179" t="s">
        <v>69</v>
      </c>
      <c r="B213" s="179" t="s">
        <v>669</v>
      </c>
      <c r="C213" s="180">
        <f>'Thomson Reuters IMA  ($)'!I488+'Thomson Reuters IMA  ($)'!I490+'Thomson Reuters IMA  ($)'!I491</f>
        <v>63.051000000000002</v>
      </c>
      <c r="D213" s="181">
        <f>'Sectors % GDP'!I17</f>
        <v>92021.124000000011</v>
      </c>
      <c r="E213" s="181">
        <f t="shared" si="6"/>
        <v>6.8517963331984509E-4</v>
      </c>
      <c r="F213" s="184">
        <v>1</v>
      </c>
      <c r="G213" s="181">
        <v>5</v>
      </c>
      <c r="H213" s="183">
        <v>35.78</v>
      </c>
      <c r="I213" s="183">
        <v>35.94</v>
      </c>
      <c r="J213" s="184">
        <v>47.98</v>
      </c>
      <c r="K213" s="184">
        <v>30.53</v>
      </c>
      <c r="L213" s="184">
        <f t="shared" si="7"/>
        <v>2</v>
      </c>
      <c r="M213" s="185">
        <v>0.02</v>
      </c>
      <c r="N213" s="185">
        <v>6.25</v>
      </c>
      <c r="O213" s="186">
        <f>'Trade Data'!H14</f>
        <v>0.42796964135110316</v>
      </c>
      <c r="P213" s="187">
        <v>1</v>
      </c>
      <c r="Q213" s="352"/>
      <c r="R213" s="352"/>
      <c r="S213" s="352"/>
      <c r="T213" s="352"/>
      <c r="U213" s="352"/>
      <c r="V213" s="352"/>
      <c r="W213" s="352"/>
      <c r="X213" s="352"/>
      <c r="Y213" s="352"/>
      <c r="Z213" s="352"/>
      <c r="AA213" s="352"/>
      <c r="AB213" s="352"/>
      <c r="AC213" s="352"/>
      <c r="AD213" s="352"/>
      <c r="AE213" s="352"/>
      <c r="AF213" s="352"/>
      <c r="AG213" s="352"/>
      <c r="AH213" s="352"/>
      <c r="AI213" s="352"/>
      <c r="AJ213" s="352"/>
      <c r="AK213" s="352"/>
      <c r="AL213" s="352"/>
      <c r="AM213" s="352"/>
      <c r="AN213" s="352"/>
      <c r="AO213" s="352"/>
      <c r="AP213" s="352"/>
      <c r="AQ213" s="352"/>
      <c r="AR213" s="352"/>
      <c r="AS213" s="352"/>
      <c r="AT213" s="352"/>
      <c r="AU213" s="352"/>
      <c r="AV213" s="352"/>
      <c r="AW213" s="352"/>
      <c r="AX213" s="352"/>
      <c r="AY213" s="352"/>
      <c r="AZ213" s="352"/>
      <c r="BA213" s="352"/>
      <c r="BB213" s="352"/>
      <c r="BC213" s="352"/>
      <c r="BD213" s="352"/>
      <c r="BE213" s="352"/>
      <c r="BF213" s="352"/>
      <c r="BG213" s="352"/>
      <c r="BH213" s="352"/>
      <c r="BI213" s="352"/>
      <c r="BJ213" s="352"/>
      <c r="BK213" s="352"/>
      <c r="BL213" s="352"/>
      <c r="BM213" s="352"/>
      <c r="BN213" s="352"/>
      <c r="BO213" s="352"/>
      <c r="BP213" s="352"/>
      <c r="BQ213" s="352"/>
      <c r="BR213" s="352"/>
      <c r="BS213" s="352"/>
      <c r="BT213" s="352"/>
      <c r="BU213" s="352"/>
      <c r="BV213" s="352"/>
      <c r="BW213" s="352"/>
      <c r="BX213" s="352"/>
      <c r="BY213" s="352"/>
      <c r="BZ213" s="352"/>
      <c r="CA213" s="352"/>
      <c r="CB213" s="352"/>
      <c r="CC213" s="352"/>
      <c r="CD213" s="352"/>
      <c r="CE213" s="352"/>
      <c r="CF213" s="352"/>
      <c r="CG213" s="352"/>
      <c r="CH213" s="352"/>
      <c r="CI213" s="352"/>
      <c r="CJ213" s="352"/>
      <c r="CK213" s="352"/>
      <c r="CL213" s="352"/>
      <c r="CM213" s="352"/>
      <c r="CN213" s="352"/>
      <c r="CO213" s="352"/>
      <c r="CP213" s="352"/>
      <c r="CQ213" s="352"/>
      <c r="CR213" s="352"/>
      <c r="CS213" s="352"/>
      <c r="CT213" s="352"/>
      <c r="CU213" s="352"/>
      <c r="CV213" s="352"/>
      <c r="CW213" s="352"/>
      <c r="CX213" s="352"/>
      <c r="CY213" s="352"/>
      <c r="CZ213" s="352"/>
      <c r="DA213" s="352"/>
      <c r="DB213" s="352"/>
      <c r="DC213" s="352"/>
      <c r="DD213" s="352"/>
      <c r="DE213" s="352"/>
      <c r="DF213" s="352"/>
      <c r="DG213" s="352"/>
      <c r="DH213" s="352"/>
      <c r="DI213" s="352"/>
      <c r="DJ213" s="352"/>
      <c r="DK213" s="352"/>
      <c r="DL213" s="352"/>
      <c r="DM213" s="352"/>
      <c r="DN213" s="352"/>
      <c r="DO213" s="352"/>
      <c r="DP213" s="352"/>
      <c r="DQ213" s="352"/>
      <c r="DR213" s="352"/>
      <c r="DS213" s="352"/>
      <c r="DT213" s="352"/>
      <c r="DU213" s="352"/>
      <c r="DV213" s="352"/>
      <c r="DW213" s="352"/>
      <c r="DX213" s="352"/>
      <c r="DY213" s="352"/>
      <c r="DZ213" s="352"/>
      <c r="EA213" s="352"/>
      <c r="EB213" s="352"/>
      <c r="EC213" s="352"/>
      <c r="ED213" s="352"/>
      <c r="EE213" s="352"/>
      <c r="EF213" s="352"/>
      <c r="EG213" s="352"/>
      <c r="EH213" s="352"/>
      <c r="EI213" s="352"/>
      <c r="EJ213" s="352"/>
      <c r="EK213" s="352"/>
      <c r="EL213" s="352"/>
      <c r="EM213" s="352"/>
      <c r="EN213" s="352"/>
    </row>
    <row r="214" spans="1:144" ht="20.100000000000001" customHeight="1">
      <c r="A214" s="118" t="s">
        <v>69</v>
      </c>
      <c r="B214" s="118" t="s">
        <v>668</v>
      </c>
      <c r="C214" s="119">
        <f>'Thomson Reuters IMA  ($)'!I487</f>
        <v>0.193</v>
      </c>
      <c r="D214" s="120">
        <f>'Sectors % GDP'!I18</f>
        <v>170234.84400000001</v>
      </c>
      <c r="E214" s="120">
        <f t="shared" si="6"/>
        <v>1.1337279458487358E-6</v>
      </c>
      <c r="F214" s="123">
        <v>1</v>
      </c>
      <c r="G214" s="120">
        <v>5</v>
      </c>
      <c r="H214" s="122">
        <v>35.78</v>
      </c>
      <c r="I214" s="122">
        <v>35.94</v>
      </c>
      <c r="J214" s="123">
        <v>47.98</v>
      </c>
      <c r="K214" s="123">
        <v>30.53</v>
      </c>
      <c r="L214" s="123">
        <f t="shared" si="7"/>
        <v>2</v>
      </c>
      <c r="M214" s="124">
        <v>0.02</v>
      </c>
      <c r="N214" s="124">
        <v>6.25</v>
      </c>
      <c r="O214" s="125">
        <f>'Trade Data'!H14</f>
        <v>0.42796964135110316</v>
      </c>
      <c r="P214" s="126">
        <v>1</v>
      </c>
      <c r="Q214" s="352"/>
      <c r="R214" s="352"/>
      <c r="S214" s="352"/>
      <c r="T214" s="352"/>
      <c r="U214" s="352"/>
      <c r="V214" s="352"/>
      <c r="W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c r="AS214" s="352"/>
      <c r="AT214" s="352"/>
      <c r="AU214" s="352"/>
      <c r="AV214" s="352"/>
      <c r="AW214" s="352"/>
      <c r="AX214" s="352"/>
      <c r="AY214" s="352"/>
      <c r="AZ214" s="352"/>
      <c r="BA214" s="352"/>
      <c r="BB214" s="352"/>
      <c r="BC214" s="352"/>
      <c r="BD214" s="352"/>
      <c r="BE214" s="352"/>
      <c r="BF214" s="352"/>
      <c r="BG214" s="352"/>
      <c r="BH214" s="352"/>
      <c r="BI214" s="352"/>
      <c r="BJ214" s="352"/>
      <c r="BK214" s="352"/>
      <c r="BL214" s="352"/>
      <c r="BM214" s="352"/>
      <c r="BN214" s="352"/>
      <c r="BO214" s="352"/>
      <c r="BP214" s="352"/>
      <c r="BQ214" s="352"/>
      <c r="BR214" s="352"/>
      <c r="BS214" s="352"/>
      <c r="BT214" s="352"/>
      <c r="BU214" s="352"/>
      <c r="BV214" s="352"/>
      <c r="BW214" s="352"/>
      <c r="BX214" s="352"/>
      <c r="BY214" s="352"/>
      <c r="BZ214" s="352"/>
      <c r="CA214" s="352"/>
      <c r="CB214" s="352"/>
      <c r="CC214" s="352"/>
      <c r="CD214" s="352"/>
      <c r="CE214" s="352"/>
      <c r="CF214" s="352"/>
      <c r="CG214" s="352"/>
      <c r="CH214" s="352"/>
      <c r="CI214" s="352"/>
      <c r="CJ214" s="352"/>
      <c r="CK214" s="352"/>
      <c r="CL214" s="352"/>
      <c r="CM214" s="352"/>
      <c r="CN214" s="352"/>
      <c r="CO214" s="352"/>
      <c r="CP214" s="352"/>
      <c r="CQ214" s="352"/>
      <c r="CR214" s="352"/>
      <c r="CS214" s="352"/>
      <c r="CT214" s="352"/>
      <c r="CU214" s="352"/>
      <c r="CV214" s="352"/>
      <c r="CW214" s="352"/>
      <c r="CX214" s="352"/>
      <c r="CY214" s="352"/>
      <c r="CZ214" s="352"/>
      <c r="DA214" s="352"/>
      <c r="DB214" s="352"/>
      <c r="DC214" s="352"/>
      <c r="DD214" s="352"/>
      <c r="DE214" s="352"/>
      <c r="DF214" s="352"/>
      <c r="DG214" s="352"/>
      <c r="DH214" s="352"/>
      <c r="DI214" s="352"/>
      <c r="DJ214" s="352"/>
      <c r="DK214" s="352"/>
      <c r="DL214" s="352"/>
      <c r="DM214" s="352"/>
      <c r="DN214" s="352"/>
      <c r="DO214" s="352"/>
      <c r="DP214" s="352"/>
      <c r="DQ214" s="352"/>
      <c r="DR214" s="352"/>
      <c r="DS214" s="352"/>
      <c r="DT214" s="352"/>
      <c r="DU214" s="352"/>
      <c r="DV214" s="352"/>
      <c r="DW214" s="352"/>
      <c r="DX214" s="352"/>
      <c r="DY214" s="352"/>
      <c r="DZ214" s="352"/>
      <c r="EA214" s="352"/>
      <c r="EB214" s="352"/>
      <c r="EC214" s="352"/>
      <c r="ED214" s="352"/>
      <c r="EE214" s="352"/>
      <c r="EF214" s="352"/>
      <c r="EG214" s="352"/>
      <c r="EH214" s="352"/>
      <c r="EI214" s="352"/>
      <c r="EJ214" s="352"/>
      <c r="EK214" s="352"/>
      <c r="EL214" s="352"/>
      <c r="EM214" s="352"/>
      <c r="EN214" s="352"/>
    </row>
    <row r="215" spans="1:144" s="169" customFormat="1" ht="20.100000000000001" customHeight="1">
      <c r="A215" s="160" t="s">
        <v>70</v>
      </c>
      <c r="B215" s="160" t="s">
        <v>667</v>
      </c>
      <c r="C215" s="161">
        <v>0</v>
      </c>
      <c r="D215" s="162">
        <f>'Sectors % GDP'!I16</f>
        <v>20104.031999999999</v>
      </c>
      <c r="E215" s="162">
        <f t="shared" si="6"/>
        <v>0</v>
      </c>
      <c r="F215" s="165">
        <v>0</v>
      </c>
      <c r="G215" s="162">
        <v>0</v>
      </c>
      <c r="H215" s="164">
        <v>31.39</v>
      </c>
      <c r="I215" s="164">
        <v>32.83</v>
      </c>
      <c r="J215" s="165">
        <v>38.72</v>
      </c>
      <c r="K215" s="165">
        <v>30.53</v>
      </c>
      <c r="L215" s="165">
        <f t="shared" si="7"/>
        <v>2</v>
      </c>
      <c r="M215" s="166">
        <v>0.02</v>
      </c>
      <c r="N215" s="166">
        <v>6.25</v>
      </c>
      <c r="O215" s="167">
        <f>'Trade Data'!H14</f>
        <v>0.42796964135110316</v>
      </c>
      <c r="P215" s="170">
        <v>0</v>
      </c>
      <c r="Q215" s="352"/>
      <c r="R215" s="352"/>
      <c r="S215" s="352"/>
      <c r="T215" s="352"/>
      <c r="U215" s="352"/>
      <c r="V215" s="352"/>
      <c r="W215" s="352"/>
      <c r="X215" s="352"/>
      <c r="Y215" s="352"/>
      <c r="Z215" s="352"/>
      <c r="AA215" s="352"/>
      <c r="AB215" s="352"/>
      <c r="AC215" s="352"/>
      <c r="AD215" s="352"/>
      <c r="AE215" s="352"/>
      <c r="AF215" s="352"/>
      <c r="AG215" s="352"/>
      <c r="AH215" s="352"/>
      <c r="AI215" s="352"/>
      <c r="AJ215" s="352"/>
      <c r="AK215" s="352"/>
      <c r="AL215" s="352"/>
      <c r="AM215" s="352"/>
      <c r="AN215" s="352"/>
      <c r="AO215" s="352"/>
      <c r="AP215" s="352"/>
      <c r="AQ215" s="352"/>
      <c r="AR215" s="352"/>
      <c r="AS215" s="352"/>
      <c r="AT215" s="352"/>
      <c r="AU215" s="352"/>
      <c r="AV215" s="352"/>
      <c r="AW215" s="352"/>
      <c r="AX215" s="352"/>
      <c r="AY215" s="352"/>
      <c r="AZ215" s="352"/>
      <c r="BA215" s="352"/>
      <c r="BB215" s="352"/>
      <c r="BC215" s="352"/>
      <c r="BD215" s="352"/>
      <c r="BE215" s="352"/>
      <c r="BF215" s="352"/>
      <c r="BG215" s="352"/>
      <c r="BH215" s="352"/>
      <c r="BI215" s="352"/>
      <c r="BJ215" s="352"/>
      <c r="BK215" s="352"/>
      <c r="BL215" s="352"/>
      <c r="BM215" s="352"/>
      <c r="BN215" s="352"/>
      <c r="BO215" s="352"/>
      <c r="BP215" s="352"/>
      <c r="BQ215" s="352"/>
      <c r="BR215" s="352"/>
      <c r="BS215" s="352"/>
      <c r="BT215" s="352"/>
      <c r="BU215" s="352"/>
      <c r="BV215" s="352"/>
      <c r="BW215" s="352"/>
      <c r="BX215" s="352"/>
      <c r="BY215" s="352"/>
      <c r="BZ215" s="352"/>
      <c r="CA215" s="352"/>
      <c r="CB215" s="352"/>
      <c r="CC215" s="352"/>
      <c r="CD215" s="352"/>
      <c r="CE215" s="352"/>
      <c r="CF215" s="352"/>
      <c r="CG215" s="352"/>
      <c r="CH215" s="352"/>
      <c r="CI215" s="352"/>
      <c r="CJ215" s="352"/>
      <c r="CK215" s="352"/>
      <c r="CL215" s="352"/>
      <c r="CM215" s="352"/>
      <c r="CN215" s="352"/>
      <c r="CO215" s="352"/>
      <c r="CP215" s="352"/>
      <c r="CQ215" s="352"/>
      <c r="CR215" s="352"/>
      <c r="CS215" s="352"/>
      <c r="CT215" s="352"/>
      <c r="CU215" s="352"/>
      <c r="CV215" s="352"/>
      <c r="CW215" s="352"/>
      <c r="CX215" s="352"/>
      <c r="CY215" s="352"/>
      <c r="CZ215" s="352"/>
      <c r="DA215" s="352"/>
      <c r="DB215" s="352"/>
      <c r="DC215" s="352"/>
      <c r="DD215" s="352"/>
      <c r="DE215" s="352"/>
      <c r="DF215" s="352"/>
      <c r="DG215" s="352"/>
      <c r="DH215" s="352"/>
      <c r="DI215" s="352"/>
      <c r="DJ215" s="352"/>
      <c r="DK215" s="352"/>
      <c r="DL215" s="352"/>
      <c r="DM215" s="352"/>
      <c r="DN215" s="352"/>
      <c r="DO215" s="352"/>
      <c r="DP215" s="352"/>
      <c r="DQ215" s="352"/>
      <c r="DR215" s="352"/>
      <c r="DS215" s="352"/>
      <c r="DT215" s="352"/>
      <c r="DU215" s="352"/>
      <c r="DV215" s="352"/>
      <c r="DW215" s="352"/>
      <c r="DX215" s="352"/>
      <c r="DY215" s="352"/>
      <c r="DZ215" s="352"/>
      <c r="EA215" s="352"/>
      <c r="EB215" s="352"/>
      <c r="EC215" s="352"/>
      <c r="ED215" s="352"/>
      <c r="EE215" s="352"/>
      <c r="EF215" s="352"/>
      <c r="EG215" s="352"/>
      <c r="EH215" s="352"/>
      <c r="EI215" s="352"/>
      <c r="EJ215" s="352"/>
      <c r="EK215" s="352"/>
      <c r="EL215" s="352"/>
      <c r="EM215" s="352"/>
      <c r="EN215" s="352"/>
    </row>
    <row r="216" spans="1:144" s="188" customFormat="1" ht="20.100000000000001" customHeight="1">
      <c r="A216" s="179" t="s">
        <v>70</v>
      </c>
      <c r="B216" s="179" t="s">
        <v>666</v>
      </c>
      <c r="C216" s="180">
        <f>'Thomson Reuters IMA  ($)'!I492</f>
        <v>53.4</v>
      </c>
      <c r="D216" s="181">
        <f>'Sectors % GDP'!I17</f>
        <v>92021.124000000011</v>
      </c>
      <c r="E216" s="181">
        <f t="shared" si="6"/>
        <v>5.8030154032893565E-4</v>
      </c>
      <c r="F216" s="184">
        <v>1</v>
      </c>
      <c r="G216" s="181">
        <v>2</v>
      </c>
      <c r="H216" s="183">
        <v>31.39</v>
      </c>
      <c r="I216" s="183">
        <v>32.83</v>
      </c>
      <c r="J216" s="183">
        <v>38.72</v>
      </c>
      <c r="K216" s="184">
        <v>30.53</v>
      </c>
      <c r="L216" s="184">
        <f t="shared" si="7"/>
        <v>2</v>
      </c>
      <c r="M216" s="185">
        <v>0.02</v>
      </c>
      <c r="N216" s="185">
        <v>6.25</v>
      </c>
      <c r="O216" s="186">
        <f>'Trade Data'!H14</f>
        <v>0.42796964135110316</v>
      </c>
      <c r="P216" s="189">
        <v>1</v>
      </c>
      <c r="Q216" s="352"/>
      <c r="R216" s="352"/>
      <c r="S216" s="352"/>
      <c r="T216" s="352"/>
      <c r="U216" s="352"/>
      <c r="V216" s="352"/>
      <c r="W216" s="352"/>
      <c r="X216" s="352"/>
      <c r="Y216" s="352"/>
      <c r="Z216" s="352"/>
      <c r="AA216" s="352"/>
      <c r="AB216" s="352"/>
      <c r="AC216" s="352"/>
      <c r="AD216" s="352"/>
      <c r="AE216" s="352"/>
      <c r="AF216" s="352"/>
      <c r="AG216" s="352"/>
      <c r="AH216" s="352"/>
      <c r="AI216" s="352"/>
      <c r="AJ216" s="352"/>
      <c r="AK216" s="352"/>
      <c r="AL216" s="352"/>
      <c r="AM216" s="352"/>
      <c r="AN216" s="352"/>
      <c r="AO216" s="352"/>
      <c r="AP216" s="352"/>
      <c r="AQ216" s="352"/>
      <c r="AR216" s="352"/>
      <c r="AS216" s="352"/>
      <c r="AT216" s="352"/>
      <c r="AU216" s="352"/>
      <c r="AV216" s="352"/>
      <c r="AW216" s="352"/>
      <c r="AX216" s="352"/>
      <c r="AY216" s="352"/>
      <c r="AZ216" s="352"/>
      <c r="BA216" s="352"/>
      <c r="BB216" s="352"/>
      <c r="BC216" s="352"/>
      <c r="BD216" s="352"/>
      <c r="BE216" s="352"/>
      <c r="BF216" s="352"/>
      <c r="BG216" s="352"/>
      <c r="BH216" s="352"/>
      <c r="BI216" s="352"/>
      <c r="BJ216" s="352"/>
      <c r="BK216" s="352"/>
      <c r="BL216" s="352"/>
      <c r="BM216" s="352"/>
      <c r="BN216" s="352"/>
      <c r="BO216" s="352"/>
      <c r="BP216" s="352"/>
      <c r="BQ216" s="352"/>
      <c r="BR216" s="352"/>
      <c r="BS216" s="352"/>
      <c r="BT216" s="352"/>
      <c r="BU216" s="352"/>
      <c r="BV216" s="352"/>
      <c r="BW216" s="352"/>
      <c r="BX216" s="352"/>
      <c r="BY216" s="352"/>
      <c r="BZ216" s="352"/>
      <c r="CA216" s="352"/>
      <c r="CB216" s="352"/>
      <c r="CC216" s="352"/>
      <c r="CD216" s="352"/>
      <c r="CE216" s="352"/>
      <c r="CF216" s="352"/>
      <c r="CG216" s="352"/>
      <c r="CH216" s="352"/>
      <c r="CI216" s="352"/>
      <c r="CJ216" s="352"/>
      <c r="CK216" s="352"/>
      <c r="CL216" s="352"/>
      <c r="CM216" s="352"/>
      <c r="CN216" s="352"/>
      <c r="CO216" s="352"/>
      <c r="CP216" s="352"/>
      <c r="CQ216" s="352"/>
      <c r="CR216" s="352"/>
      <c r="CS216" s="352"/>
      <c r="CT216" s="352"/>
      <c r="CU216" s="352"/>
      <c r="CV216" s="352"/>
      <c r="CW216" s="352"/>
      <c r="CX216" s="352"/>
      <c r="CY216" s="352"/>
      <c r="CZ216" s="352"/>
      <c r="DA216" s="352"/>
      <c r="DB216" s="352"/>
      <c r="DC216" s="352"/>
      <c r="DD216" s="352"/>
      <c r="DE216" s="352"/>
      <c r="DF216" s="352"/>
      <c r="DG216" s="352"/>
      <c r="DH216" s="352"/>
      <c r="DI216" s="352"/>
      <c r="DJ216" s="352"/>
      <c r="DK216" s="352"/>
      <c r="DL216" s="352"/>
      <c r="DM216" s="352"/>
      <c r="DN216" s="352"/>
      <c r="DO216" s="352"/>
      <c r="DP216" s="352"/>
      <c r="DQ216" s="352"/>
      <c r="DR216" s="352"/>
      <c r="DS216" s="352"/>
      <c r="DT216" s="352"/>
      <c r="DU216" s="352"/>
      <c r="DV216" s="352"/>
      <c r="DW216" s="352"/>
      <c r="DX216" s="352"/>
      <c r="DY216" s="352"/>
      <c r="DZ216" s="352"/>
      <c r="EA216" s="352"/>
      <c r="EB216" s="352"/>
      <c r="EC216" s="352"/>
      <c r="ED216" s="352"/>
      <c r="EE216" s="352"/>
      <c r="EF216" s="352"/>
      <c r="EG216" s="352"/>
      <c r="EH216" s="352"/>
      <c r="EI216" s="352"/>
      <c r="EJ216" s="352"/>
      <c r="EK216" s="352"/>
      <c r="EL216" s="352"/>
      <c r="EM216" s="352"/>
      <c r="EN216" s="352"/>
    </row>
    <row r="217" spans="1:144" ht="20.100000000000001" customHeight="1">
      <c r="A217" s="118" t="s">
        <v>70</v>
      </c>
      <c r="B217" s="118" t="s">
        <v>665</v>
      </c>
      <c r="C217" s="119">
        <v>0</v>
      </c>
      <c r="D217" s="120">
        <f>'Sectors % GDP'!I18</f>
        <v>170234.84400000001</v>
      </c>
      <c r="E217" s="120">
        <f t="shared" si="6"/>
        <v>0</v>
      </c>
      <c r="F217" s="123">
        <v>1</v>
      </c>
      <c r="G217" s="120">
        <v>3</v>
      </c>
      <c r="H217" s="122">
        <v>31.39</v>
      </c>
      <c r="I217" s="122">
        <v>32.83</v>
      </c>
      <c r="J217" s="122">
        <v>38.72</v>
      </c>
      <c r="K217" s="123">
        <v>30.53</v>
      </c>
      <c r="L217" s="123">
        <f t="shared" si="7"/>
        <v>2</v>
      </c>
      <c r="M217" s="124">
        <v>0.02</v>
      </c>
      <c r="N217" s="124">
        <v>6.25</v>
      </c>
      <c r="O217" s="125">
        <f>'Trade Data'!H14</f>
        <v>0.42796964135110316</v>
      </c>
      <c r="P217" s="127">
        <v>1</v>
      </c>
      <c r="Q217" s="352"/>
      <c r="R217" s="352"/>
      <c r="S217" s="352"/>
      <c r="T217" s="352"/>
      <c r="U217" s="352"/>
      <c r="V217" s="352"/>
      <c r="W217" s="352"/>
      <c r="X217" s="352"/>
      <c r="Y217" s="352"/>
      <c r="Z217" s="352"/>
      <c r="AA217" s="352"/>
      <c r="AB217" s="352"/>
      <c r="AC217" s="352"/>
      <c r="AD217" s="352"/>
      <c r="AE217" s="352"/>
      <c r="AF217" s="352"/>
      <c r="AG217" s="352"/>
      <c r="AH217" s="352"/>
      <c r="AI217" s="352"/>
      <c r="AJ217" s="352"/>
      <c r="AK217" s="352"/>
      <c r="AL217" s="352"/>
      <c r="AM217" s="352"/>
      <c r="AN217" s="352"/>
      <c r="AO217" s="352"/>
      <c r="AP217" s="352"/>
      <c r="AQ217" s="352"/>
      <c r="AR217" s="352"/>
      <c r="AS217" s="352"/>
      <c r="AT217" s="352"/>
      <c r="AU217" s="352"/>
      <c r="AV217" s="352"/>
      <c r="AW217" s="352"/>
      <c r="AX217" s="352"/>
      <c r="AY217" s="352"/>
      <c r="AZ217" s="352"/>
      <c r="BA217" s="352"/>
      <c r="BB217" s="352"/>
      <c r="BC217" s="352"/>
      <c r="BD217" s="352"/>
      <c r="BE217" s="352"/>
      <c r="BF217" s="352"/>
      <c r="BG217" s="352"/>
      <c r="BH217" s="352"/>
      <c r="BI217" s="352"/>
      <c r="BJ217" s="352"/>
      <c r="BK217" s="352"/>
      <c r="BL217" s="352"/>
      <c r="BM217" s="352"/>
      <c r="BN217" s="352"/>
      <c r="BO217" s="352"/>
      <c r="BP217" s="352"/>
      <c r="BQ217" s="352"/>
      <c r="BR217" s="352"/>
      <c r="BS217" s="352"/>
      <c r="BT217" s="352"/>
      <c r="BU217" s="352"/>
      <c r="BV217" s="352"/>
      <c r="BW217" s="352"/>
      <c r="BX217" s="352"/>
      <c r="BY217" s="352"/>
      <c r="BZ217" s="352"/>
      <c r="CA217" s="352"/>
      <c r="CB217" s="352"/>
      <c r="CC217" s="352"/>
      <c r="CD217" s="352"/>
      <c r="CE217" s="352"/>
      <c r="CF217" s="352"/>
      <c r="CG217" s="352"/>
      <c r="CH217" s="352"/>
      <c r="CI217" s="352"/>
      <c r="CJ217" s="352"/>
      <c r="CK217" s="352"/>
      <c r="CL217" s="352"/>
      <c r="CM217" s="352"/>
      <c r="CN217" s="352"/>
      <c r="CO217" s="352"/>
      <c r="CP217" s="352"/>
      <c r="CQ217" s="352"/>
      <c r="CR217" s="352"/>
      <c r="CS217" s="352"/>
      <c r="CT217" s="352"/>
      <c r="CU217" s="352"/>
      <c r="CV217" s="352"/>
      <c r="CW217" s="352"/>
      <c r="CX217" s="352"/>
      <c r="CY217" s="352"/>
      <c r="CZ217" s="352"/>
      <c r="DA217" s="352"/>
      <c r="DB217" s="352"/>
      <c r="DC217" s="352"/>
      <c r="DD217" s="352"/>
      <c r="DE217" s="352"/>
      <c r="DF217" s="352"/>
      <c r="DG217" s="352"/>
      <c r="DH217" s="352"/>
      <c r="DI217" s="352"/>
      <c r="DJ217" s="352"/>
      <c r="DK217" s="352"/>
      <c r="DL217" s="352"/>
      <c r="DM217" s="352"/>
      <c r="DN217" s="352"/>
      <c r="DO217" s="352"/>
      <c r="DP217" s="352"/>
      <c r="DQ217" s="352"/>
      <c r="DR217" s="352"/>
      <c r="DS217" s="352"/>
      <c r="DT217" s="352"/>
      <c r="DU217" s="352"/>
      <c r="DV217" s="352"/>
      <c r="DW217" s="352"/>
      <c r="DX217" s="352"/>
      <c r="DY217" s="352"/>
      <c r="DZ217" s="352"/>
      <c r="EA217" s="352"/>
      <c r="EB217" s="352"/>
      <c r="EC217" s="352"/>
      <c r="ED217" s="352"/>
      <c r="EE217" s="352"/>
      <c r="EF217" s="352"/>
      <c r="EG217" s="352"/>
      <c r="EH217" s="352"/>
      <c r="EI217" s="352"/>
      <c r="EJ217" s="352"/>
      <c r="EK217" s="352"/>
      <c r="EL217" s="352"/>
      <c r="EM217" s="352"/>
      <c r="EN217" s="352"/>
    </row>
    <row r="218" spans="1:144" s="169" customFormat="1" ht="20.100000000000001" customHeight="1">
      <c r="A218" s="160" t="s">
        <v>71</v>
      </c>
      <c r="B218" s="160" t="s">
        <v>664</v>
      </c>
      <c r="C218" s="161">
        <v>0</v>
      </c>
      <c r="D218" s="162">
        <f>'Sectors % GDP'!K16</f>
        <v>22753.52</v>
      </c>
      <c r="E218" s="162">
        <f t="shared" si="6"/>
        <v>0</v>
      </c>
      <c r="F218" s="165">
        <v>0</v>
      </c>
      <c r="G218" s="162">
        <v>0</v>
      </c>
      <c r="H218" s="164">
        <v>31.74</v>
      </c>
      <c r="I218" s="164">
        <v>32.24</v>
      </c>
      <c r="J218" s="165">
        <v>40.81</v>
      </c>
      <c r="K218" s="165">
        <v>29.8</v>
      </c>
      <c r="L218" s="165">
        <f t="shared" si="7"/>
        <v>2</v>
      </c>
      <c r="M218" s="166">
        <v>0.02</v>
      </c>
      <c r="N218" s="166">
        <v>6.25</v>
      </c>
      <c r="O218" s="167">
        <f>'Trade Data'!H14</f>
        <v>0.42796964135110316</v>
      </c>
      <c r="P218" s="168">
        <v>0</v>
      </c>
      <c r="Q218" s="352"/>
      <c r="R218" s="352"/>
      <c r="S218" s="352"/>
      <c r="T218" s="352"/>
      <c r="U218" s="352"/>
      <c r="V218" s="352"/>
      <c r="W218" s="352"/>
      <c r="X218" s="352"/>
      <c r="Y218" s="352"/>
      <c r="Z218" s="352"/>
      <c r="AA218" s="352"/>
      <c r="AB218" s="352"/>
      <c r="AC218" s="352"/>
      <c r="AD218" s="352"/>
      <c r="AE218" s="352"/>
      <c r="AF218" s="352"/>
      <c r="AG218" s="352"/>
      <c r="AH218" s="352"/>
      <c r="AI218" s="352"/>
      <c r="AJ218" s="352"/>
      <c r="AK218" s="352"/>
      <c r="AL218" s="352"/>
      <c r="AM218" s="352"/>
      <c r="AN218" s="352"/>
      <c r="AO218" s="352"/>
      <c r="AP218" s="352"/>
      <c r="AQ218" s="352"/>
      <c r="AR218" s="352"/>
      <c r="AS218" s="352"/>
      <c r="AT218" s="352"/>
      <c r="AU218" s="352"/>
      <c r="AV218" s="352"/>
      <c r="AW218" s="352"/>
      <c r="AX218" s="352"/>
      <c r="AY218" s="352"/>
      <c r="AZ218" s="352"/>
      <c r="BA218" s="352"/>
      <c r="BB218" s="352"/>
      <c r="BC218" s="352"/>
      <c r="BD218" s="352"/>
      <c r="BE218" s="352"/>
      <c r="BF218" s="352"/>
      <c r="BG218" s="352"/>
      <c r="BH218" s="352"/>
      <c r="BI218" s="352"/>
      <c r="BJ218" s="352"/>
      <c r="BK218" s="352"/>
      <c r="BL218" s="352"/>
      <c r="BM218" s="352"/>
      <c r="BN218" s="352"/>
      <c r="BO218" s="352"/>
      <c r="BP218" s="352"/>
      <c r="BQ218" s="352"/>
      <c r="BR218" s="352"/>
      <c r="BS218" s="352"/>
      <c r="BT218" s="352"/>
      <c r="BU218" s="352"/>
      <c r="BV218" s="352"/>
      <c r="BW218" s="352"/>
      <c r="BX218" s="352"/>
      <c r="BY218" s="352"/>
      <c r="BZ218" s="352"/>
      <c r="CA218" s="352"/>
      <c r="CB218" s="352"/>
      <c r="CC218" s="352"/>
      <c r="CD218" s="352"/>
      <c r="CE218" s="352"/>
      <c r="CF218" s="352"/>
      <c r="CG218" s="352"/>
      <c r="CH218" s="352"/>
      <c r="CI218" s="352"/>
      <c r="CJ218" s="352"/>
      <c r="CK218" s="352"/>
      <c r="CL218" s="352"/>
      <c r="CM218" s="352"/>
      <c r="CN218" s="352"/>
      <c r="CO218" s="352"/>
      <c r="CP218" s="352"/>
      <c r="CQ218" s="352"/>
      <c r="CR218" s="352"/>
      <c r="CS218" s="352"/>
      <c r="CT218" s="352"/>
      <c r="CU218" s="352"/>
      <c r="CV218" s="352"/>
      <c r="CW218" s="352"/>
      <c r="CX218" s="352"/>
      <c r="CY218" s="352"/>
      <c r="CZ218" s="352"/>
      <c r="DA218" s="352"/>
      <c r="DB218" s="352"/>
      <c r="DC218" s="352"/>
      <c r="DD218" s="352"/>
      <c r="DE218" s="352"/>
      <c r="DF218" s="352"/>
      <c r="DG218" s="352"/>
      <c r="DH218" s="352"/>
      <c r="DI218" s="352"/>
      <c r="DJ218" s="352"/>
      <c r="DK218" s="352"/>
      <c r="DL218" s="352"/>
      <c r="DM218" s="352"/>
      <c r="DN218" s="352"/>
      <c r="DO218" s="352"/>
      <c r="DP218" s="352"/>
      <c r="DQ218" s="352"/>
      <c r="DR218" s="352"/>
      <c r="DS218" s="352"/>
      <c r="DT218" s="352"/>
      <c r="DU218" s="352"/>
      <c r="DV218" s="352"/>
      <c r="DW218" s="352"/>
      <c r="DX218" s="352"/>
      <c r="DY218" s="352"/>
      <c r="DZ218" s="352"/>
      <c r="EA218" s="352"/>
      <c r="EB218" s="352"/>
      <c r="EC218" s="352"/>
      <c r="ED218" s="352"/>
      <c r="EE218" s="352"/>
      <c r="EF218" s="352"/>
      <c r="EG218" s="352"/>
      <c r="EH218" s="352"/>
      <c r="EI218" s="352"/>
      <c r="EJ218" s="352"/>
      <c r="EK218" s="352"/>
      <c r="EL218" s="352"/>
      <c r="EM218" s="352"/>
      <c r="EN218" s="352"/>
    </row>
    <row r="219" spans="1:144" s="188" customFormat="1" ht="20.100000000000001" customHeight="1">
      <c r="A219" s="179" t="s">
        <v>71</v>
      </c>
      <c r="B219" s="179" t="s">
        <v>663</v>
      </c>
      <c r="C219" s="180">
        <f>'Thomson Reuters IMA  ($)'!I493+'Thomson Reuters IMA  ($)'!I494</f>
        <v>5.35</v>
      </c>
      <c r="D219" s="181">
        <f>'Sectors % GDP'!K17</f>
        <v>96241.24</v>
      </c>
      <c r="E219" s="181">
        <f t="shared" si="6"/>
        <v>5.558947494857713E-5</v>
      </c>
      <c r="F219" s="184">
        <v>1</v>
      </c>
      <c r="G219" s="181">
        <v>5</v>
      </c>
      <c r="H219" s="183">
        <v>31.74</v>
      </c>
      <c r="I219" s="183">
        <v>32.24</v>
      </c>
      <c r="J219" s="184">
        <v>40.81</v>
      </c>
      <c r="K219" s="184">
        <v>29.8</v>
      </c>
      <c r="L219" s="184">
        <f t="shared" si="7"/>
        <v>2</v>
      </c>
      <c r="M219" s="185">
        <v>0.02</v>
      </c>
      <c r="N219" s="185">
        <v>6.25</v>
      </c>
      <c r="O219" s="186">
        <f>'Trade Data'!H14</f>
        <v>0.42796964135110316</v>
      </c>
      <c r="P219" s="187">
        <v>1</v>
      </c>
      <c r="Q219" s="352"/>
      <c r="R219" s="352"/>
      <c r="S219" s="352"/>
      <c r="T219" s="352"/>
      <c r="U219" s="352"/>
      <c r="V219" s="352"/>
      <c r="W219" s="352"/>
      <c r="X219" s="352"/>
      <c r="Y219" s="352"/>
      <c r="Z219" s="352"/>
      <c r="AA219" s="352"/>
      <c r="AB219" s="352"/>
      <c r="AC219" s="352"/>
      <c r="AD219" s="352"/>
      <c r="AE219" s="352"/>
      <c r="AF219" s="352"/>
      <c r="AG219" s="352"/>
      <c r="AH219" s="352"/>
      <c r="AI219" s="352"/>
      <c r="AJ219" s="352"/>
      <c r="AK219" s="352"/>
      <c r="AL219" s="352"/>
      <c r="AM219" s="352"/>
      <c r="AN219" s="352"/>
      <c r="AO219" s="352"/>
      <c r="AP219" s="352"/>
      <c r="AQ219" s="352"/>
      <c r="AR219" s="352"/>
      <c r="AS219" s="352"/>
      <c r="AT219" s="352"/>
      <c r="AU219" s="352"/>
      <c r="AV219" s="352"/>
      <c r="AW219" s="352"/>
      <c r="AX219" s="352"/>
      <c r="AY219" s="352"/>
      <c r="AZ219" s="352"/>
      <c r="BA219" s="352"/>
      <c r="BB219" s="352"/>
      <c r="BC219" s="352"/>
      <c r="BD219" s="352"/>
      <c r="BE219" s="352"/>
      <c r="BF219" s="352"/>
      <c r="BG219" s="352"/>
      <c r="BH219" s="352"/>
      <c r="BI219" s="352"/>
      <c r="BJ219" s="352"/>
      <c r="BK219" s="352"/>
      <c r="BL219" s="352"/>
      <c r="BM219" s="352"/>
      <c r="BN219" s="352"/>
      <c r="BO219" s="352"/>
      <c r="BP219" s="352"/>
      <c r="BQ219" s="352"/>
      <c r="BR219" s="352"/>
      <c r="BS219" s="352"/>
      <c r="BT219" s="352"/>
      <c r="BU219" s="352"/>
      <c r="BV219" s="352"/>
      <c r="BW219" s="352"/>
      <c r="BX219" s="352"/>
      <c r="BY219" s="352"/>
      <c r="BZ219" s="352"/>
      <c r="CA219" s="352"/>
      <c r="CB219" s="352"/>
      <c r="CC219" s="352"/>
      <c r="CD219" s="352"/>
      <c r="CE219" s="352"/>
      <c r="CF219" s="352"/>
      <c r="CG219" s="352"/>
      <c r="CH219" s="352"/>
      <c r="CI219" s="352"/>
      <c r="CJ219" s="352"/>
      <c r="CK219" s="352"/>
      <c r="CL219" s="352"/>
      <c r="CM219" s="352"/>
      <c r="CN219" s="352"/>
      <c r="CO219" s="352"/>
      <c r="CP219" s="352"/>
      <c r="CQ219" s="352"/>
      <c r="CR219" s="352"/>
      <c r="CS219" s="352"/>
      <c r="CT219" s="352"/>
      <c r="CU219" s="352"/>
      <c r="CV219" s="352"/>
      <c r="CW219" s="352"/>
      <c r="CX219" s="352"/>
      <c r="CY219" s="352"/>
      <c r="CZ219" s="352"/>
      <c r="DA219" s="352"/>
      <c r="DB219" s="352"/>
      <c r="DC219" s="352"/>
      <c r="DD219" s="352"/>
      <c r="DE219" s="352"/>
      <c r="DF219" s="352"/>
      <c r="DG219" s="352"/>
      <c r="DH219" s="352"/>
      <c r="DI219" s="352"/>
      <c r="DJ219" s="352"/>
      <c r="DK219" s="352"/>
      <c r="DL219" s="352"/>
      <c r="DM219" s="352"/>
      <c r="DN219" s="352"/>
      <c r="DO219" s="352"/>
      <c r="DP219" s="352"/>
      <c r="DQ219" s="352"/>
      <c r="DR219" s="352"/>
      <c r="DS219" s="352"/>
      <c r="DT219" s="352"/>
      <c r="DU219" s="352"/>
      <c r="DV219" s="352"/>
      <c r="DW219" s="352"/>
      <c r="DX219" s="352"/>
      <c r="DY219" s="352"/>
      <c r="DZ219" s="352"/>
      <c r="EA219" s="352"/>
      <c r="EB219" s="352"/>
      <c r="EC219" s="352"/>
      <c r="ED219" s="352"/>
      <c r="EE219" s="352"/>
      <c r="EF219" s="352"/>
      <c r="EG219" s="352"/>
      <c r="EH219" s="352"/>
      <c r="EI219" s="352"/>
      <c r="EJ219" s="352"/>
      <c r="EK219" s="352"/>
      <c r="EL219" s="352"/>
      <c r="EM219" s="352"/>
      <c r="EN219" s="352"/>
    </row>
    <row r="220" spans="1:144" ht="20.100000000000001" customHeight="1">
      <c r="A220" s="118" t="s">
        <v>71</v>
      </c>
      <c r="B220" s="118" t="s">
        <v>662</v>
      </c>
      <c r="C220" s="119">
        <v>0</v>
      </c>
      <c r="D220" s="120">
        <f>'Sectors % GDP'!K18</f>
        <v>188792.72</v>
      </c>
      <c r="E220" s="120">
        <f t="shared" si="6"/>
        <v>0</v>
      </c>
      <c r="F220" s="123">
        <v>1</v>
      </c>
      <c r="G220" s="120">
        <v>3</v>
      </c>
      <c r="H220" s="122">
        <v>31.74</v>
      </c>
      <c r="I220" s="122">
        <v>32.24</v>
      </c>
      <c r="J220" s="123">
        <v>40.81</v>
      </c>
      <c r="K220" s="123">
        <v>29.8</v>
      </c>
      <c r="L220" s="123">
        <f t="shared" si="7"/>
        <v>2</v>
      </c>
      <c r="M220" s="124">
        <v>0.02</v>
      </c>
      <c r="N220" s="124">
        <v>6.25</v>
      </c>
      <c r="O220" s="125">
        <f>'Trade Data'!H14</f>
        <v>0.42796964135110316</v>
      </c>
      <c r="P220" s="126">
        <v>1</v>
      </c>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2"/>
      <c r="AY220" s="352"/>
      <c r="AZ220" s="352"/>
      <c r="BA220" s="352"/>
      <c r="BB220" s="352"/>
      <c r="BC220" s="352"/>
      <c r="BD220" s="352"/>
      <c r="BE220" s="352"/>
      <c r="BF220" s="352"/>
      <c r="BG220" s="352"/>
      <c r="BH220" s="352"/>
      <c r="BI220" s="352"/>
      <c r="BJ220" s="352"/>
      <c r="BK220" s="352"/>
      <c r="BL220" s="352"/>
      <c r="BM220" s="352"/>
      <c r="BN220" s="352"/>
      <c r="BO220" s="352"/>
      <c r="BP220" s="352"/>
      <c r="BQ220" s="352"/>
      <c r="BR220" s="352"/>
      <c r="BS220" s="352"/>
      <c r="BT220" s="352"/>
      <c r="BU220" s="352"/>
      <c r="BV220" s="352"/>
      <c r="BW220" s="352"/>
      <c r="BX220" s="352"/>
      <c r="BY220" s="352"/>
      <c r="BZ220" s="352"/>
      <c r="CA220" s="352"/>
      <c r="CB220" s="352"/>
      <c r="CC220" s="352"/>
      <c r="CD220" s="352"/>
      <c r="CE220" s="352"/>
      <c r="CF220" s="352"/>
      <c r="CG220" s="352"/>
      <c r="CH220" s="352"/>
      <c r="CI220" s="352"/>
      <c r="CJ220" s="352"/>
      <c r="CK220" s="352"/>
      <c r="CL220" s="352"/>
      <c r="CM220" s="352"/>
      <c r="CN220" s="352"/>
      <c r="CO220" s="352"/>
      <c r="CP220" s="352"/>
      <c r="CQ220" s="352"/>
      <c r="CR220" s="352"/>
      <c r="CS220" s="352"/>
      <c r="CT220" s="352"/>
      <c r="CU220" s="352"/>
      <c r="CV220" s="352"/>
      <c r="CW220" s="352"/>
      <c r="CX220" s="352"/>
      <c r="CY220" s="352"/>
      <c r="CZ220" s="352"/>
      <c r="DA220" s="352"/>
      <c r="DB220" s="352"/>
      <c r="DC220" s="352"/>
      <c r="DD220" s="352"/>
      <c r="DE220" s="352"/>
      <c r="DF220" s="352"/>
      <c r="DG220" s="352"/>
      <c r="DH220" s="352"/>
      <c r="DI220" s="352"/>
      <c r="DJ220" s="352"/>
      <c r="DK220" s="352"/>
      <c r="DL220" s="352"/>
      <c r="DM220" s="352"/>
      <c r="DN220" s="352"/>
      <c r="DO220" s="352"/>
      <c r="DP220" s="352"/>
      <c r="DQ220" s="352"/>
      <c r="DR220" s="352"/>
      <c r="DS220" s="352"/>
      <c r="DT220" s="352"/>
      <c r="DU220" s="352"/>
      <c r="DV220" s="352"/>
      <c r="DW220" s="352"/>
      <c r="DX220" s="352"/>
      <c r="DY220" s="352"/>
      <c r="DZ220" s="352"/>
      <c r="EA220" s="352"/>
      <c r="EB220" s="352"/>
      <c r="EC220" s="352"/>
      <c r="ED220" s="352"/>
      <c r="EE220" s="352"/>
      <c r="EF220" s="352"/>
      <c r="EG220" s="352"/>
      <c r="EH220" s="352"/>
      <c r="EI220" s="352"/>
      <c r="EJ220" s="352"/>
      <c r="EK220" s="352"/>
      <c r="EL220" s="352"/>
      <c r="EM220" s="352"/>
      <c r="EN220" s="352"/>
    </row>
    <row r="221" spans="1:144" s="169" customFormat="1" ht="20.100000000000001" customHeight="1">
      <c r="A221" s="160" t="s">
        <v>72</v>
      </c>
      <c r="B221" s="160" t="s">
        <v>661</v>
      </c>
      <c r="C221" s="161">
        <v>0</v>
      </c>
      <c r="D221" s="162">
        <f>'Sectors % GDP'!K16</f>
        <v>22753.52</v>
      </c>
      <c r="E221" s="162">
        <f t="shared" si="6"/>
        <v>0</v>
      </c>
      <c r="F221" s="165">
        <v>0</v>
      </c>
      <c r="G221" s="162">
        <v>0</v>
      </c>
      <c r="H221" s="164">
        <v>30.38</v>
      </c>
      <c r="I221" s="164">
        <v>35.17</v>
      </c>
      <c r="J221" s="164">
        <v>33.99</v>
      </c>
      <c r="K221" s="165">
        <v>29.8</v>
      </c>
      <c r="L221" s="165">
        <f t="shared" si="7"/>
        <v>2.2999999999999998</v>
      </c>
      <c r="M221" s="166">
        <v>2.3E-2</v>
      </c>
      <c r="N221" s="166">
        <v>5.69</v>
      </c>
      <c r="O221" s="167">
        <f>'Trade Data'!J14</f>
        <v>0.42097378518607759</v>
      </c>
      <c r="P221" s="170">
        <v>0</v>
      </c>
      <c r="Q221" s="352"/>
      <c r="R221" s="352"/>
      <c r="S221" s="352"/>
      <c r="T221" s="352"/>
      <c r="U221" s="352"/>
      <c r="V221" s="352"/>
      <c r="W221" s="352"/>
      <c r="X221" s="352"/>
      <c r="Y221" s="352"/>
      <c r="Z221" s="352"/>
      <c r="AA221" s="352"/>
      <c r="AB221" s="352"/>
      <c r="AC221" s="352"/>
      <c r="AD221" s="352"/>
      <c r="AE221" s="352"/>
      <c r="AF221" s="352"/>
      <c r="AG221" s="352"/>
      <c r="AH221" s="352"/>
      <c r="AI221" s="352"/>
      <c r="AJ221" s="352"/>
      <c r="AK221" s="352"/>
      <c r="AL221" s="352"/>
      <c r="AM221" s="352"/>
      <c r="AN221" s="352"/>
      <c r="AO221" s="352"/>
      <c r="AP221" s="352"/>
      <c r="AQ221" s="352"/>
      <c r="AR221" s="352"/>
      <c r="AS221" s="352"/>
      <c r="AT221" s="352"/>
      <c r="AU221" s="352"/>
      <c r="AV221" s="352"/>
      <c r="AW221" s="352"/>
      <c r="AX221" s="352"/>
      <c r="AY221" s="352"/>
      <c r="AZ221" s="352"/>
      <c r="BA221" s="352"/>
      <c r="BB221" s="352"/>
      <c r="BC221" s="352"/>
      <c r="BD221" s="352"/>
      <c r="BE221" s="352"/>
      <c r="BF221" s="352"/>
      <c r="BG221" s="352"/>
      <c r="BH221" s="352"/>
      <c r="BI221" s="352"/>
      <c r="BJ221" s="352"/>
      <c r="BK221" s="352"/>
      <c r="BL221" s="352"/>
      <c r="BM221" s="352"/>
      <c r="BN221" s="352"/>
      <c r="BO221" s="352"/>
      <c r="BP221" s="352"/>
      <c r="BQ221" s="352"/>
      <c r="BR221" s="352"/>
      <c r="BS221" s="352"/>
      <c r="BT221" s="352"/>
      <c r="BU221" s="352"/>
      <c r="BV221" s="352"/>
      <c r="BW221" s="352"/>
      <c r="BX221" s="352"/>
      <c r="BY221" s="352"/>
      <c r="BZ221" s="352"/>
      <c r="CA221" s="352"/>
      <c r="CB221" s="352"/>
      <c r="CC221" s="352"/>
      <c r="CD221" s="352"/>
      <c r="CE221" s="352"/>
      <c r="CF221" s="352"/>
      <c r="CG221" s="352"/>
      <c r="CH221" s="352"/>
      <c r="CI221" s="352"/>
      <c r="CJ221" s="352"/>
      <c r="CK221" s="352"/>
      <c r="CL221" s="352"/>
      <c r="CM221" s="352"/>
      <c r="CN221" s="352"/>
      <c r="CO221" s="352"/>
      <c r="CP221" s="352"/>
      <c r="CQ221" s="352"/>
      <c r="CR221" s="352"/>
      <c r="CS221" s="352"/>
      <c r="CT221" s="352"/>
      <c r="CU221" s="352"/>
      <c r="CV221" s="352"/>
      <c r="CW221" s="352"/>
      <c r="CX221" s="352"/>
      <c r="CY221" s="352"/>
      <c r="CZ221" s="352"/>
      <c r="DA221" s="352"/>
      <c r="DB221" s="352"/>
      <c r="DC221" s="352"/>
      <c r="DD221" s="352"/>
      <c r="DE221" s="352"/>
      <c r="DF221" s="352"/>
      <c r="DG221" s="352"/>
      <c r="DH221" s="352"/>
      <c r="DI221" s="352"/>
      <c r="DJ221" s="352"/>
      <c r="DK221" s="352"/>
      <c r="DL221" s="352"/>
      <c r="DM221" s="352"/>
      <c r="DN221" s="352"/>
      <c r="DO221" s="352"/>
      <c r="DP221" s="352"/>
      <c r="DQ221" s="352"/>
      <c r="DR221" s="352"/>
      <c r="DS221" s="352"/>
      <c r="DT221" s="352"/>
      <c r="DU221" s="352"/>
      <c r="DV221" s="352"/>
      <c r="DW221" s="352"/>
      <c r="DX221" s="352"/>
      <c r="DY221" s="352"/>
      <c r="DZ221" s="352"/>
      <c r="EA221" s="352"/>
      <c r="EB221" s="352"/>
      <c r="EC221" s="352"/>
      <c r="ED221" s="352"/>
      <c r="EE221" s="352"/>
      <c r="EF221" s="352"/>
      <c r="EG221" s="352"/>
      <c r="EH221" s="352"/>
      <c r="EI221" s="352"/>
      <c r="EJ221" s="352"/>
      <c r="EK221" s="352"/>
      <c r="EL221" s="352"/>
      <c r="EM221" s="352"/>
      <c r="EN221" s="352"/>
    </row>
    <row r="222" spans="1:144" s="188" customFormat="1" ht="20.100000000000001" customHeight="1">
      <c r="A222" s="179" t="s">
        <v>72</v>
      </c>
      <c r="B222" s="179" t="s">
        <v>660</v>
      </c>
      <c r="C222" s="180">
        <v>0</v>
      </c>
      <c r="D222" s="181">
        <f>'Sectors % GDP'!K17</f>
        <v>96241.24</v>
      </c>
      <c r="E222" s="181">
        <f t="shared" si="6"/>
        <v>0</v>
      </c>
      <c r="F222" s="184">
        <v>1</v>
      </c>
      <c r="G222" s="181">
        <v>3</v>
      </c>
      <c r="H222" s="183">
        <v>30.38</v>
      </c>
      <c r="I222" s="183">
        <v>35.17</v>
      </c>
      <c r="J222" s="183">
        <v>33.99</v>
      </c>
      <c r="K222" s="184">
        <v>29.8</v>
      </c>
      <c r="L222" s="184">
        <f t="shared" si="7"/>
        <v>2.2999999999999998</v>
      </c>
      <c r="M222" s="185">
        <v>2.3E-2</v>
      </c>
      <c r="N222" s="185">
        <v>5.69</v>
      </c>
      <c r="O222" s="186">
        <f>'Trade Data'!J14</f>
        <v>0.42097378518607759</v>
      </c>
      <c r="P222" s="189">
        <v>1</v>
      </c>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2"/>
      <c r="AY222" s="352"/>
      <c r="AZ222" s="352"/>
      <c r="BA222" s="352"/>
      <c r="BB222" s="352"/>
      <c r="BC222" s="352"/>
      <c r="BD222" s="352"/>
      <c r="BE222" s="352"/>
      <c r="BF222" s="352"/>
      <c r="BG222" s="352"/>
      <c r="BH222" s="352"/>
      <c r="BI222" s="352"/>
      <c r="BJ222" s="352"/>
      <c r="BK222" s="352"/>
      <c r="BL222" s="352"/>
      <c r="BM222" s="352"/>
      <c r="BN222" s="352"/>
      <c r="BO222" s="352"/>
      <c r="BP222" s="352"/>
      <c r="BQ222" s="352"/>
      <c r="BR222" s="352"/>
      <c r="BS222" s="352"/>
      <c r="BT222" s="352"/>
      <c r="BU222" s="352"/>
      <c r="BV222" s="352"/>
      <c r="BW222" s="352"/>
      <c r="BX222" s="352"/>
      <c r="BY222" s="352"/>
      <c r="BZ222" s="352"/>
      <c r="CA222" s="352"/>
      <c r="CB222" s="352"/>
      <c r="CC222" s="352"/>
      <c r="CD222" s="352"/>
      <c r="CE222" s="352"/>
      <c r="CF222" s="352"/>
      <c r="CG222" s="352"/>
      <c r="CH222" s="352"/>
      <c r="CI222" s="352"/>
      <c r="CJ222" s="352"/>
      <c r="CK222" s="352"/>
      <c r="CL222" s="352"/>
      <c r="CM222" s="352"/>
      <c r="CN222" s="352"/>
      <c r="CO222" s="352"/>
      <c r="CP222" s="352"/>
      <c r="CQ222" s="352"/>
      <c r="CR222" s="352"/>
      <c r="CS222" s="352"/>
      <c r="CT222" s="352"/>
      <c r="CU222" s="352"/>
      <c r="CV222" s="352"/>
      <c r="CW222" s="352"/>
      <c r="CX222" s="352"/>
      <c r="CY222" s="352"/>
      <c r="CZ222" s="352"/>
      <c r="DA222" s="352"/>
      <c r="DB222" s="352"/>
      <c r="DC222" s="352"/>
      <c r="DD222" s="352"/>
      <c r="DE222" s="352"/>
      <c r="DF222" s="352"/>
      <c r="DG222" s="352"/>
      <c r="DH222" s="352"/>
      <c r="DI222" s="352"/>
      <c r="DJ222" s="352"/>
      <c r="DK222" s="352"/>
      <c r="DL222" s="352"/>
      <c r="DM222" s="352"/>
      <c r="DN222" s="352"/>
      <c r="DO222" s="352"/>
      <c r="DP222" s="352"/>
      <c r="DQ222" s="352"/>
      <c r="DR222" s="352"/>
      <c r="DS222" s="352"/>
      <c r="DT222" s="352"/>
      <c r="DU222" s="352"/>
      <c r="DV222" s="352"/>
      <c r="DW222" s="352"/>
      <c r="DX222" s="352"/>
      <c r="DY222" s="352"/>
      <c r="DZ222" s="352"/>
      <c r="EA222" s="352"/>
      <c r="EB222" s="352"/>
      <c r="EC222" s="352"/>
      <c r="ED222" s="352"/>
      <c r="EE222" s="352"/>
      <c r="EF222" s="352"/>
      <c r="EG222" s="352"/>
      <c r="EH222" s="352"/>
      <c r="EI222" s="352"/>
      <c r="EJ222" s="352"/>
      <c r="EK222" s="352"/>
      <c r="EL222" s="352"/>
      <c r="EM222" s="352"/>
      <c r="EN222" s="352"/>
    </row>
    <row r="223" spans="1:144" ht="20.100000000000001" customHeight="1">
      <c r="A223" s="118" t="s">
        <v>72</v>
      </c>
      <c r="B223" s="118" t="s">
        <v>659</v>
      </c>
      <c r="C223" s="119">
        <f>SUM('Thomson Reuters IMA  ($)'!I495:I499)</f>
        <v>49.933000000000007</v>
      </c>
      <c r="D223" s="120">
        <f>'Sectors % GDP'!K18</f>
        <v>188792.72</v>
      </c>
      <c r="E223" s="120">
        <f t="shared" si="6"/>
        <v>2.6448583398766648E-4</v>
      </c>
      <c r="F223" s="123">
        <v>1</v>
      </c>
      <c r="G223" s="120">
        <v>7</v>
      </c>
      <c r="H223" s="122">
        <v>30.38</v>
      </c>
      <c r="I223" s="122">
        <v>35.17</v>
      </c>
      <c r="J223" s="122">
        <v>33.99</v>
      </c>
      <c r="K223" s="123">
        <v>29.8</v>
      </c>
      <c r="L223" s="123">
        <f t="shared" si="7"/>
        <v>2.2999999999999998</v>
      </c>
      <c r="M223" s="124">
        <v>2.3E-2</v>
      </c>
      <c r="N223" s="124">
        <v>5.69</v>
      </c>
      <c r="O223" s="125">
        <f>'Trade Data'!J14</f>
        <v>0.42097378518607759</v>
      </c>
      <c r="P223" s="127">
        <v>1</v>
      </c>
      <c r="Q223" s="352"/>
      <c r="R223" s="352"/>
      <c r="S223" s="352"/>
      <c r="T223" s="352"/>
      <c r="U223" s="352"/>
      <c r="V223" s="352"/>
      <c r="W223" s="352"/>
      <c r="X223" s="352"/>
      <c r="Y223" s="352"/>
      <c r="Z223" s="352"/>
      <c r="AA223" s="352"/>
      <c r="AB223" s="352"/>
      <c r="AC223" s="352"/>
      <c r="AD223" s="352"/>
      <c r="AE223" s="352"/>
      <c r="AF223" s="352"/>
      <c r="AG223" s="352"/>
      <c r="AH223" s="352"/>
      <c r="AI223" s="352"/>
      <c r="AJ223" s="352"/>
      <c r="AK223" s="352"/>
      <c r="AL223" s="352"/>
      <c r="AM223" s="352"/>
      <c r="AN223" s="352"/>
      <c r="AO223" s="352"/>
      <c r="AP223" s="352"/>
      <c r="AQ223" s="352"/>
      <c r="AR223" s="352"/>
      <c r="AS223" s="352"/>
      <c r="AT223" s="352"/>
      <c r="AU223" s="352"/>
      <c r="AV223" s="352"/>
      <c r="AW223" s="352"/>
      <c r="AX223" s="352"/>
      <c r="AY223" s="352"/>
      <c r="AZ223" s="352"/>
      <c r="BA223" s="352"/>
      <c r="BB223" s="352"/>
      <c r="BC223" s="352"/>
      <c r="BD223" s="352"/>
      <c r="BE223" s="352"/>
      <c r="BF223" s="352"/>
      <c r="BG223" s="352"/>
      <c r="BH223" s="352"/>
      <c r="BI223" s="352"/>
      <c r="BJ223" s="352"/>
      <c r="BK223" s="352"/>
      <c r="BL223" s="352"/>
      <c r="BM223" s="352"/>
      <c r="BN223" s="352"/>
      <c r="BO223" s="352"/>
      <c r="BP223" s="352"/>
      <c r="BQ223" s="352"/>
      <c r="BR223" s="352"/>
      <c r="BS223" s="352"/>
      <c r="BT223" s="352"/>
      <c r="BU223" s="352"/>
      <c r="BV223" s="352"/>
      <c r="BW223" s="352"/>
      <c r="BX223" s="352"/>
      <c r="BY223" s="352"/>
      <c r="BZ223" s="352"/>
      <c r="CA223" s="352"/>
      <c r="CB223" s="352"/>
      <c r="CC223" s="352"/>
      <c r="CD223" s="352"/>
      <c r="CE223" s="352"/>
      <c r="CF223" s="352"/>
      <c r="CG223" s="352"/>
      <c r="CH223" s="352"/>
      <c r="CI223" s="352"/>
      <c r="CJ223" s="352"/>
      <c r="CK223" s="352"/>
      <c r="CL223" s="352"/>
      <c r="CM223" s="352"/>
      <c r="CN223" s="352"/>
      <c r="CO223" s="352"/>
      <c r="CP223" s="352"/>
      <c r="CQ223" s="352"/>
      <c r="CR223" s="352"/>
      <c r="CS223" s="352"/>
      <c r="CT223" s="352"/>
      <c r="CU223" s="352"/>
      <c r="CV223" s="352"/>
      <c r="CW223" s="352"/>
      <c r="CX223" s="352"/>
      <c r="CY223" s="352"/>
      <c r="CZ223" s="352"/>
      <c r="DA223" s="352"/>
      <c r="DB223" s="352"/>
      <c r="DC223" s="352"/>
      <c r="DD223" s="352"/>
      <c r="DE223" s="352"/>
      <c r="DF223" s="352"/>
      <c r="DG223" s="352"/>
      <c r="DH223" s="352"/>
      <c r="DI223" s="352"/>
      <c r="DJ223" s="352"/>
      <c r="DK223" s="352"/>
      <c r="DL223" s="352"/>
      <c r="DM223" s="352"/>
      <c r="DN223" s="352"/>
      <c r="DO223" s="352"/>
      <c r="DP223" s="352"/>
      <c r="DQ223" s="352"/>
      <c r="DR223" s="352"/>
      <c r="DS223" s="352"/>
      <c r="DT223" s="352"/>
      <c r="DU223" s="352"/>
      <c r="DV223" s="352"/>
      <c r="DW223" s="352"/>
      <c r="DX223" s="352"/>
      <c r="DY223" s="352"/>
      <c r="DZ223" s="352"/>
      <c r="EA223" s="352"/>
      <c r="EB223" s="352"/>
      <c r="EC223" s="352"/>
      <c r="ED223" s="352"/>
      <c r="EE223" s="352"/>
      <c r="EF223" s="352"/>
      <c r="EG223" s="352"/>
      <c r="EH223" s="352"/>
      <c r="EI223" s="352"/>
      <c r="EJ223" s="352"/>
      <c r="EK223" s="352"/>
      <c r="EL223" s="352"/>
      <c r="EM223" s="352"/>
      <c r="EN223" s="352"/>
    </row>
    <row r="224" spans="1:144" s="169" customFormat="1" ht="20.100000000000001" customHeight="1">
      <c r="A224" s="160" t="s">
        <v>73</v>
      </c>
      <c r="B224" s="160" t="s">
        <v>658</v>
      </c>
      <c r="C224" s="161">
        <v>0</v>
      </c>
      <c r="D224" s="162">
        <f>'Sectors % GDP'!K16</f>
        <v>22753.52</v>
      </c>
      <c r="E224" s="162">
        <f t="shared" si="6"/>
        <v>0</v>
      </c>
      <c r="F224" s="165">
        <v>0</v>
      </c>
      <c r="G224" s="162">
        <v>0</v>
      </c>
      <c r="H224" s="164">
        <v>35.74</v>
      </c>
      <c r="I224" s="164">
        <v>51.23</v>
      </c>
      <c r="J224" s="165">
        <v>34.25</v>
      </c>
      <c r="K224" s="165">
        <v>29.8</v>
      </c>
      <c r="L224" s="165">
        <f t="shared" si="7"/>
        <v>2.2999999999999998</v>
      </c>
      <c r="M224" s="166">
        <v>2.3E-2</v>
      </c>
      <c r="N224" s="166">
        <v>5.69</v>
      </c>
      <c r="O224" s="167">
        <f>'Trade Data'!J14</f>
        <v>0.42097378518607759</v>
      </c>
      <c r="P224" s="168">
        <v>0</v>
      </c>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2"/>
      <c r="AY224" s="352"/>
      <c r="AZ224" s="352"/>
      <c r="BA224" s="352"/>
      <c r="BB224" s="352"/>
      <c r="BC224" s="352"/>
      <c r="BD224" s="352"/>
      <c r="BE224" s="352"/>
      <c r="BF224" s="352"/>
      <c r="BG224" s="352"/>
      <c r="BH224" s="352"/>
      <c r="BI224" s="352"/>
      <c r="BJ224" s="352"/>
      <c r="BK224" s="352"/>
      <c r="BL224" s="352"/>
      <c r="BM224" s="352"/>
      <c r="BN224" s="352"/>
      <c r="BO224" s="352"/>
      <c r="BP224" s="352"/>
      <c r="BQ224" s="352"/>
      <c r="BR224" s="352"/>
      <c r="BS224" s="352"/>
      <c r="BT224" s="352"/>
      <c r="BU224" s="352"/>
      <c r="BV224" s="352"/>
      <c r="BW224" s="352"/>
      <c r="BX224" s="352"/>
      <c r="BY224" s="352"/>
      <c r="BZ224" s="352"/>
      <c r="CA224" s="352"/>
      <c r="CB224" s="352"/>
      <c r="CC224" s="352"/>
      <c r="CD224" s="352"/>
      <c r="CE224" s="352"/>
      <c r="CF224" s="352"/>
      <c r="CG224" s="352"/>
      <c r="CH224" s="352"/>
      <c r="CI224" s="352"/>
      <c r="CJ224" s="352"/>
      <c r="CK224" s="352"/>
      <c r="CL224" s="352"/>
      <c r="CM224" s="352"/>
      <c r="CN224" s="352"/>
      <c r="CO224" s="352"/>
      <c r="CP224" s="352"/>
      <c r="CQ224" s="352"/>
      <c r="CR224" s="352"/>
      <c r="CS224" s="352"/>
      <c r="CT224" s="352"/>
      <c r="CU224" s="352"/>
      <c r="CV224" s="352"/>
      <c r="CW224" s="352"/>
      <c r="CX224" s="352"/>
      <c r="CY224" s="352"/>
      <c r="CZ224" s="352"/>
      <c r="DA224" s="352"/>
      <c r="DB224" s="352"/>
      <c r="DC224" s="352"/>
      <c r="DD224" s="352"/>
      <c r="DE224" s="352"/>
      <c r="DF224" s="352"/>
      <c r="DG224" s="352"/>
      <c r="DH224" s="352"/>
      <c r="DI224" s="352"/>
      <c r="DJ224" s="352"/>
      <c r="DK224" s="352"/>
      <c r="DL224" s="352"/>
      <c r="DM224" s="352"/>
      <c r="DN224" s="352"/>
      <c r="DO224" s="352"/>
      <c r="DP224" s="352"/>
      <c r="DQ224" s="352"/>
      <c r="DR224" s="352"/>
      <c r="DS224" s="352"/>
      <c r="DT224" s="352"/>
      <c r="DU224" s="352"/>
      <c r="DV224" s="352"/>
      <c r="DW224" s="352"/>
      <c r="DX224" s="352"/>
      <c r="DY224" s="352"/>
      <c r="DZ224" s="352"/>
      <c r="EA224" s="352"/>
      <c r="EB224" s="352"/>
      <c r="EC224" s="352"/>
      <c r="ED224" s="352"/>
      <c r="EE224" s="352"/>
      <c r="EF224" s="352"/>
      <c r="EG224" s="352"/>
      <c r="EH224" s="352"/>
      <c r="EI224" s="352"/>
      <c r="EJ224" s="352"/>
      <c r="EK224" s="352"/>
      <c r="EL224" s="352"/>
      <c r="EM224" s="352"/>
      <c r="EN224" s="352"/>
    </row>
    <row r="225" spans="1:144" s="188" customFormat="1" ht="20.100000000000001" customHeight="1">
      <c r="A225" s="190" t="s">
        <v>73</v>
      </c>
      <c r="B225" s="179" t="s">
        <v>657</v>
      </c>
      <c r="C225" s="180">
        <f>'Thomson Reuters IMA  ($)'!I502</f>
        <v>90</v>
      </c>
      <c r="D225" s="181">
        <f>'Sectors % GDP'!K17</f>
        <v>96241.24</v>
      </c>
      <c r="E225" s="181">
        <f t="shared" si="6"/>
        <v>9.3515004586391438E-4</v>
      </c>
      <c r="F225" s="184">
        <v>1</v>
      </c>
      <c r="G225" s="181">
        <v>2</v>
      </c>
      <c r="H225" s="183">
        <v>35.74</v>
      </c>
      <c r="I225" s="183">
        <v>51.23</v>
      </c>
      <c r="J225" s="184">
        <v>34.25</v>
      </c>
      <c r="K225" s="184">
        <v>29.8</v>
      </c>
      <c r="L225" s="184">
        <f t="shared" si="7"/>
        <v>2.2999999999999998</v>
      </c>
      <c r="M225" s="185">
        <v>2.3E-2</v>
      </c>
      <c r="N225" s="185">
        <v>5.69</v>
      </c>
      <c r="O225" s="186">
        <f>'Trade Data'!J14</f>
        <v>0.42097378518607759</v>
      </c>
      <c r="P225" s="187">
        <v>1</v>
      </c>
      <c r="Q225" s="352"/>
      <c r="R225" s="352"/>
      <c r="S225" s="352"/>
      <c r="T225" s="352"/>
      <c r="U225" s="352"/>
      <c r="V225" s="352"/>
      <c r="W225" s="352"/>
      <c r="X225" s="352"/>
      <c r="Y225" s="352"/>
      <c r="Z225" s="352"/>
      <c r="AA225" s="352"/>
      <c r="AB225" s="352"/>
      <c r="AC225" s="352"/>
      <c r="AD225" s="352"/>
      <c r="AE225" s="352"/>
      <c r="AF225" s="352"/>
      <c r="AG225" s="352"/>
      <c r="AH225" s="352"/>
      <c r="AI225" s="352"/>
      <c r="AJ225" s="352"/>
      <c r="AK225" s="352"/>
      <c r="AL225" s="352"/>
      <c r="AM225" s="352"/>
      <c r="AN225" s="352"/>
      <c r="AO225" s="352"/>
      <c r="AP225" s="352"/>
      <c r="AQ225" s="352"/>
      <c r="AR225" s="352"/>
      <c r="AS225" s="352"/>
      <c r="AT225" s="352"/>
      <c r="AU225" s="352"/>
      <c r="AV225" s="352"/>
      <c r="AW225" s="352"/>
      <c r="AX225" s="352"/>
      <c r="AY225" s="352"/>
      <c r="AZ225" s="352"/>
      <c r="BA225" s="352"/>
      <c r="BB225" s="352"/>
      <c r="BC225" s="352"/>
      <c r="BD225" s="352"/>
      <c r="BE225" s="352"/>
      <c r="BF225" s="352"/>
      <c r="BG225" s="352"/>
      <c r="BH225" s="352"/>
      <c r="BI225" s="352"/>
      <c r="BJ225" s="352"/>
      <c r="BK225" s="352"/>
      <c r="BL225" s="352"/>
      <c r="BM225" s="352"/>
      <c r="BN225" s="352"/>
      <c r="BO225" s="352"/>
      <c r="BP225" s="352"/>
      <c r="BQ225" s="352"/>
      <c r="BR225" s="352"/>
      <c r="BS225" s="352"/>
      <c r="BT225" s="352"/>
      <c r="BU225" s="352"/>
      <c r="BV225" s="352"/>
      <c r="BW225" s="352"/>
      <c r="BX225" s="352"/>
      <c r="BY225" s="352"/>
      <c r="BZ225" s="352"/>
      <c r="CA225" s="352"/>
      <c r="CB225" s="352"/>
      <c r="CC225" s="352"/>
      <c r="CD225" s="352"/>
      <c r="CE225" s="352"/>
      <c r="CF225" s="352"/>
      <c r="CG225" s="352"/>
      <c r="CH225" s="352"/>
      <c r="CI225" s="352"/>
      <c r="CJ225" s="352"/>
      <c r="CK225" s="352"/>
      <c r="CL225" s="352"/>
      <c r="CM225" s="352"/>
      <c r="CN225" s="352"/>
      <c r="CO225" s="352"/>
      <c r="CP225" s="352"/>
      <c r="CQ225" s="352"/>
      <c r="CR225" s="352"/>
      <c r="CS225" s="352"/>
      <c r="CT225" s="352"/>
      <c r="CU225" s="352"/>
      <c r="CV225" s="352"/>
      <c r="CW225" s="352"/>
      <c r="CX225" s="352"/>
      <c r="CY225" s="352"/>
      <c r="CZ225" s="352"/>
      <c r="DA225" s="352"/>
      <c r="DB225" s="352"/>
      <c r="DC225" s="352"/>
      <c r="DD225" s="352"/>
      <c r="DE225" s="352"/>
      <c r="DF225" s="352"/>
      <c r="DG225" s="352"/>
      <c r="DH225" s="352"/>
      <c r="DI225" s="352"/>
      <c r="DJ225" s="352"/>
      <c r="DK225" s="352"/>
      <c r="DL225" s="352"/>
      <c r="DM225" s="352"/>
      <c r="DN225" s="352"/>
      <c r="DO225" s="352"/>
      <c r="DP225" s="352"/>
      <c r="DQ225" s="352"/>
      <c r="DR225" s="352"/>
      <c r="DS225" s="352"/>
      <c r="DT225" s="352"/>
      <c r="DU225" s="352"/>
      <c r="DV225" s="352"/>
      <c r="DW225" s="352"/>
      <c r="DX225" s="352"/>
      <c r="DY225" s="352"/>
      <c r="DZ225" s="352"/>
      <c r="EA225" s="352"/>
      <c r="EB225" s="352"/>
      <c r="EC225" s="352"/>
      <c r="ED225" s="352"/>
      <c r="EE225" s="352"/>
      <c r="EF225" s="352"/>
      <c r="EG225" s="352"/>
      <c r="EH225" s="352"/>
      <c r="EI225" s="352"/>
      <c r="EJ225" s="352"/>
      <c r="EK225" s="352"/>
      <c r="EL225" s="352"/>
      <c r="EM225" s="352"/>
      <c r="EN225" s="352"/>
    </row>
    <row r="226" spans="1:144" ht="20.100000000000001" customHeight="1">
      <c r="A226" s="129" t="s">
        <v>73</v>
      </c>
      <c r="B226" s="118" t="s">
        <v>656</v>
      </c>
      <c r="C226" s="119">
        <f>'Thomson Reuters IMA  ($)'!I500+'Thomson Reuters IMA  ($)'!I501+'Thomson Reuters IMA  ($)'!I503+'Thomson Reuters IMA  ($)'!I504</f>
        <v>308.82000000000005</v>
      </c>
      <c r="D226" s="120">
        <f>'Sectors % GDP'!K18</f>
        <v>188792.72</v>
      </c>
      <c r="E226" s="120">
        <f t="shared" si="6"/>
        <v>1.6357622264248327E-3</v>
      </c>
      <c r="F226" s="123">
        <v>1</v>
      </c>
      <c r="G226" s="120">
        <v>5</v>
      </c>
      <c r="H226" s="122">
        <v>35.74</v>
      </c>
      <c r="I226" s="122">
        <v>51.23</v>
      </c>
      <c r="J226" s="123">
        <v>34.25</v>
      </c>
      <c r="K226" s="123">
        <v>29.8</v>
      </c>
      <c r="L226" s="123">
        <f t="shared" si="7"/>
        <v>2.2999999999999998</v>
      </c>
      <c r="M226" s="124">
        <v>2.3E-2</v>
      </c>
      <c r="N226" s="124">
        <v>5.69</v>
      </c>
      <c r="O226" s="125">
        <f>'Trade Data'!J14</f>
        <v>0.42097378518607759</v>
      </c>
      <c r="P226" s="126">
        <v>1</v>
      </c>
      <c r="Q226" s="352"/>
      <c r="R226" s="352"/>
      <c r="S226" s="352"/>
      <c r="T226" s="352"/>
      <c r="U226" s="352"/>
      <c r="V226" s="352"/>
      <c r="W226" s="352"/>
      <c r="X226" s="352"/>
      <c r="Y226" s="352"/>
      <c r="Z226" s="352"/>
      <c r="AA226" s="352"/>
      <c r="AB226" s="352"/>
      <c r="AC226" s="352"/>
      <c r="AD226" s="352"/>
      <c r="AE226" s="352"/>
      <c r="AF226" s="352"/>
      <c r="AG226" s="352"/>
      <c r="AH226" s="352"/>
      <c r="AI226" s="352"/>
      <c r="AJ226" s="352"/>
      <c r="AK226" s="352"/>
      <c r="AL226" s="352"/>
      <c r="AM226" s="352"/>
      <c r="AN226" s="352"/>
      <c r="AO226" s="352"/>
      <c r="AP226" s="352"/>
      <c r="AQ226" s="352"/>
      <c r="AR226" s="352"/>
      <c r="AS226" s="352"/>
      <c r="AT226" s="352"/>
      <c r="AU226" s="352"/>
      <c r="AV226" s="352"/>
      <c r="AW226" s="352"/>
      <c r="AX226" s="352"/>
      <c r="AY226" s="352"/>
      <c r="AZ226" s="352"/>
      <c r="BA226" s="352"/>
      <c r="BB226" s="352"/>
      <c r="BC226" s="352"/>
      <c r="BD226" s="352"/>
      <c r="BE226" s="352"/>
      <c r="BF226" s="352"/>
      <c r="BG226" s="352"/>
      <c r="BH226" s="352"/>
      <c r="BI226" s="352"/>
      <c r="BJ226" s="352"/>
      <c r="BK226" s="352"/>
      <c r="BL226" s="352"/>
      <c r="BM226" s="352"/>
      <c r="BN226" s="352"/>
      <c r="BO226" s="352"/>
      <c r="BP226" s="352"/>
      <c r="BQ226" s="352"/>
      <c r="BR226" s="352"/>
      <c r="BS226" s="352"/>
      <c r="BT226" s="352"/>
      <c r="BU226" s="352"/>
      <c r="BV226" s="352"/>
      <c r="BW226" s="352"/>
      <c r="BX226" s="352"/>
      <c r="BY226" s="352"/>
      <c r="BZ226" s="352"/>
      <c r="CA226" s="352"/>
      <c r="CB226" s="352"/>
      <c r="CC226" s="352"/>
      <c r="CD226" s="352"/>
      <c r="CE226" s="352"/>
      <c r="CF226" s="352"/>
      <c r="CG226" s="352"/>
      <c r="CH226" s="352"/>
      <c r="CI226" s="352"/>
      <c r="CJ226" s="352"/>
      <c r="CK226" s="352"/>
      <c r="CL226" s="352"/>
      <c r="CM226" s="352"/>
      <c r="CN226" s="352"/>
      <c r="CO226" s="352"/>
      <c r="CP226" s="352"/>
      <c r="CQ226" s="352"/>
      <c r="CR226" s="352"/>
      <c r="CS226" s="352"/>
      <c r="CT226" s="352"/>
      <c r="CU226" s="352"/>
      <c r="CV226" s="352"/>
      <c r="CW226" s="352"/>
      <c r="CX226" s="352"/>
      <c r="CY226" s="352"/>
      <c r="CZ226" s="352"/>
      <c r="DA226" s="352"/>
      <c r="DB226" s="352"/>
      <c r="DC226" s="352"/>
      <c r="DD226" s="352"/>
      <c r="DE226" s="352"/>
      <c r="DF226" s="352"/>
      <c r="DG226" s="352"/>
      <c r="DH226" s="352"/>
      <c r="DI226" s="352"/>
      <c r="DJ226" s="352"/>
      <c r="DK226" s="352"/>
      <c r="DL226" s="352"/>
      <c r="DM226" s="352"/>
      <c r="DN226" s="352"/>
      <c r="DO226" s="352"/>
      <c r="DP226" s="352"/>
      <c r="DQ226" s="352"/>
      <c r="DR226" s="352"/>
      <c r="DS226" s="352"/>
      <c r="DT226" s="352"/>
      <c r="DU226" s="352"/>
      <c r="DV226" s="352"/>
      <c r="DW226" s="352"/>
      <c r="DX226" s="352"/>
      <c r="DY226" s="352"/>
      <c r="DZ226" s="352"/>
      <c r="EA226" s="352"/>
      <c r="EB226" s="352"/>
      <c r="EC226" s="352"/>
      <c r="ED226" s="352"/>
      <c r="EE226" s="352"/>
      <c r="EF226" s="352"/>
      <c r="EG226" s="352"/>
      <c r="EH226" s="352"/>
      <c r="EI226" s="352"/>
      <c r="EJ226" s="352"/>
      <c r="EK226" s="352"/>
      <c r="EL226" s="352"/>
      <c r="EM226" s="352"/>
      <c r="EN226" s="352"/>
    </row>
    <row r="227" spans="1:144" s="169" customFormat="1" ht="20.100000000000001" customHeight="1">
      <c r="A227" s="160" t="s">
        <v>74</v>
      </c>
      <c r="B227" s="160" t="s">
        <v>858</v>
      </c>
      <c r="C227" s="161">
        <v>0</v>
      </c>
      <c r="D227" s="162">
        <f>'Sectors % GDP'!K16</f>
        <v>22753.52</v>
      </c>
      <c r="E227" s="162">
        <f t="shared" si="6"/>
        <v>0</v>
      </c>
      <c r="F227" s="165">
        <v>0</v>
      </c>
      <c r="G227" s="162">
        <v>0</v>
      </c>
      <c r="H227" s="164">
        <v>33.15</v>
      </c>
      <c r="I227" s="164">
        <v>38.89</v>
      </c>
      <c r="J227" s="164">
        <v>38.119999999999997</v>
      </c>
      <c r="K227" s="165">
        <v>29.8</v>
      </c>
      <c r="L227" s="165">
        <f t="shared" si="7"/>
        <v>2.2999999999999998</v>
      </c>
      <c r="M227" s="166">
        <v>2.3E-2</v>
      </c>
      <c r="N227" s="166">
        <v>5.69</v>
      </c>
      <c r="O227" s="167">
        <f>'Trade Data'!J14</f>
        <v>0.42097378518607759</v>
      </c>
      <c r="P227" s="170">
        <v>0</v>
      </c>
      <c r="Q227" s="352"/>
      <c r="R227" s="352"/>
      <c r="S227" s="352"/>
      <c r="T227" s="352"/>
      <c r="U227" s="352"/>
      <c r="V227" s="352"/>
      <c r="W227" s="352"/>
      <c r="X227" s="352"/>
      <c r="Y227" s="352"/>
      <c r="Z227" s="352"/>
      <c r="AA227" s="352"/>
      <c r="AB227" s="352"/>
      <c r="AC227" s="352"/>
      <c r="AD227" s="352"/>
      <c r="AE227" s="352"/>
      <c r="AF227" s="352"/>
      <c r="AG227" s="352"/>
      <c r="AH227" s="352"/>
      <c r="AI227" s="352"/>
      <c r="AJ227" s="352"/>
      <c r="AK227" s="352"/>
      <c r="AL227" s="352"/>
      <c r="AM227" s="352"/>
      <c r="AN227" s="352"/>
      <c r="AO227" s="352"/>
      <c r="AP227" s="352"/>
      <c r="AQ227" s="352"/>
      <c r="AR227" s="352"/>
      <c r="AS227" s="352"/>
      <c r="AT227" s="352"/>
      <c r="AU227" s="352"/>
      <c r="AV227" s="352"/>
      <c r="AW227" s="352"/>
      <c r="AX227" s="352"/>
      <c r="AY227" s="352"/>
      <c r="AZ227" s="352"/>
      <c r="BA227" s="352"/>
      <c r="BB227" s="352"/>
      <c r="BC227" s="352"/>
      <c r="BD227" s="352"/>
      <c r="BE227" s="352"/>
      <c r="BF227" s="352"/>
      <c r="BG227" s="352"/>
      <c r="BH227" s="352"/>
      <c r="BI227" s="352"/>
      <c r="BJ227" s="352"/>
      <c r="BK227" s="352"/>
      <c r="BL227" s="352"/>
      <c r="BM227" s="352"/>
      <c r="BN227" s="352"/>
      <c r="BO227" s="352"/>
      <c r="BP227" s="352"/>
      <c r="BQ227" s="352"/>
      <c r="BR227" s="352"/>
      <c r="BS227" s="352"/>
      <c r="BT227" s="352"/>
      <c r="BU227" s="352"/>
      <c r="BV227" s="352"/>
      <c r="BW227" s="352"/>
      <c r="BX227" s="352"/>
      <c r="BY227" s="352"/>
      <c r="BZ227" s="352"/>
      <c r="CA227" s="352"/>
      <c r="CB227" s="352"/>
      <c r="CC227" s="352"/>
      <c r="CD227" s="352"/>
      <c r="CE227" s="352"/>
      <c r="CF227" s="352"/>
      <c r="CG227" s="352"/>
      <c r="CH227" s="352"/>
      <c r="CI227" s="352"/>
      <c r="CJ227" s="352"/>
      <c r="CK227" s="352"/>
      <c r="CL227" s="352"/>
      <c r="CM227" s="352"/>
      <c r="CN227" s="352"/>
      <c r="CO227" s="352"/>
      <c r="CP227" s="352"/>
      <c r="CQ227" s="352"/>
      <c r="CR227" s="352"/>
      <c r="CS227" s="352"/>
      <c r="CT227" s="352"/>
      <c r="CU227" s="352"/>
      <c r="CV227" s="352"/>
      <c r="CW227" s="352"/>
      <c r="CX227" s="352"/>
      <c r="CY227" s="352"/>
      <c r="CZ227" s="352"/>
      <c r="DA227" s="352"/>
      <c r="DB227" s="352"/>
      <c r="DC227" s="352"/>
      <c r="DD227" s="352"/>
      <c r="DE227" s="352"/>
      <c r="DF227" s="352"/>
      <c r="DG227" s="352"/>
      <c r="DH227" s="352"/>
      <c r="DI227" s="352"/>
      <c r="DJ227" s="352"/>
      <c r="DK227" s="352"/>
      <c r="DL227" s="352"/>
      <c r="DM227" s="352"/>
      <c r="DN227" s="352"/>
      <c r="DO227" s="352"/>
      <c r="DP227" s="352"/>
      <c r="DQ227" s="352"/>
      <c r="DR227" s="352"/>
      <c r="DS227" s="352"/>
      <c r="DT227" s="352"/>
      <c r="DU227" s="352"/>
      <c r="DV227" s="352"/>
      <c r="DW227" s="352"/>
      <c r="DX227" s="352"/>
      <c r="DY227" s="352"/>
      <c r="DZ227" s="352"/>
      <c r="EA227" s="352"/>
      <c r="EB227" s="352"/>
      <c r="EC227" s="352"/>
      <c r="ED227" s="352"/>
      <c r="EE227" s="352"/>
      <c r="EF227" s="352"/>
      <c r="EG227" s="352"/>
      <c r="EH227" s="352"/>
      <c r="EI227" s="352"/>
      <c r="EJ227" s="352"/>
      <c r="EK227" s="352"/>
      <c r="EL227" s="352"/>
      <c r="EM227" s="352"/>
      <c r="EN227" s="352"/>
    </row>
    <row r="228" spans="1:144" s="188" customFormat="1" ht="20.100000000000001" customHeight="1">
      <c r="A228" s="179" t="s">
        <v>74</v>
      </c>
      <c r="B228" s="179" t="s">
        <v>859</v>
      </c>
      <c r="C228" s="180">
        <f>'Thomson Reuters IMA  ($)'!I508+'Thomson Reuters IMA  ($)'!I509+'Thomson Reuters IMA  ($)'!I507</f>
        <v>765.93900000000008</v>
      </c>
      <c r="D228" s="181">
        <f>'Sectors % GDP'!K17</f>
        <v>96241.24</v>
      </c>
      <c r="E228" s="181">
        <f t="shared" si="6"/>
        <v>7.9585321219884531E-3</v>
      </c>
      <c r="F228" s="184">
        <v>1</v>
      </c>
      <c r="G228" s="181">
        <v>5</v>
      </c>
      <c r="H228" s="183">
        <v>33.15</v>
      </c>
      <c r="I228" s="183">
        <v>38.89</v>
      </c>
      <c r="J228" s="183">
        <v>38.119999999999997</v>
      </c>
      <c r="K228" s="184">
        <v>29.8</v>
      </c>
      <c r="L228" s="184">
        <f t="shared" si="7"/>
        <v>2.2999999999999998</v>
      </c>
      <c r="M228" s="185">
        <v>2.3E-2</v>
      </c>
      <c r="N228" s="185">
        <v>5.69</v>
      </c>
      <c r="O228" s="186">
        <f>'Trade Data'!J14</f>
        <v>0.42097378518607759</v>
      </c>
      <c r="P228" s="189">
        <v>1</v>
      </c>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2"/>
      <c r="AY228" s="352"/>
      <c r="AZ228" s="352"/>
      <c r="BA228" s="352"/>
      <c r="BB228" s="352"/>
      <c r="BC228" s="352"/>
      <c r="BD228" s="352"/>
      <c r="BE228" s="352"/>
      <c r="BF228" s="352"/>
      <c r="BG228" s="352"/>
      <c r="BH228" s="352"/>
      <c r="BI228" s="352"/>
      <c r="BJ228" s="352"/>
      <c r="BK228" s="352"/>
      <c r="BL228" s="352"/>
      <c r="BM228" s="352"/>
      <c r="BN228" s="352"/>
      <c r="BO228" s="352"/>
      <c r="BP228" s="352"/>
      <c r="BQ228" s="352"/>
      <c r="BR228" s="352"/>
      <c r="BS228" s="352"/>
      <c r="BT228" s="352"/>
      <c r="BU228" s="352"/>
      <c r="BV228" s="352"/>
      <c r="BW228" s="352"/>
      <c r="BX228" s="352"/>
      <c r="BY228" s="352"/>
      <c r="BZ228" s="352"/>
      <c r="CA228" s="352"/>
      <c r="CB228" s="352"/>
      <c r="CC228" s="352"/>
      <c r="CD228" s="352"/>
      <c r="CE228" s="352"/>
      <c r="CF228" s="352"/>
      <c r="CG228" s="352"/>
      <c r="CH228" s="352"/>
      <c r="CI228" s="352"/>
      <c r="CJ228" s="352"/>
      <c r="CK228" s="352"/>
      <c r="CL228" s="352"/>
      <c r="CM228" s="352"/>
      <c r="CN228" s="352"/>
      <c r="CO228" s="352"/>
      <c r="CP228" s="352"/>
      <c r="CQ228" s="352"/>
      <c r="CR228" s="352"/>
      <c r="CS228" s="352"/>
      <c r="CT228" s="352"/>
      <c r="CU228" s="352"/>
      <c r="CV228" s="352"/>
      <c r="CW228" s="352"/>
      <c r="CX228" s="352"/>
      <c r="CY228" s="352"/>
      <c r="CZ228" s="352"/>
      <c r="DA228" s="352"/>
      <c r="DB228" s="352"/>
      <c r="DC228" s="352"/>
      <c r="DD228" s="352"/>
      <c r="DE228" s="352"/>
      <c r="DF228" s="352"/>
      <c r="DG228" s="352"/>
      <c r="DH228" s="352"/>
      <c r="DI228" s="352"/>
      <c r="DJ228" s="352"/>
      <c r="DK228" s="352"/>
      <c r="DL228" s="352"/>
      <c r="DM228" s="352"/>
      <c r="DN228" s="352"/>
      <c r="DO228" s="352"/>
      <c r="DP228" s="352"/>
      <c r="DQ228" s="352"/>
      <c r="DR228" s="352"/>
      <c r="DS228" s="352"/>
      <c r="DT228" s="352"/>
      <c r="DU228" s="352"/>
      <c r="DV228" s="352"/>
      <c r="DW228" s="352"/>
      <c r="DX228" s="352"/>
      <c r="DY228" s="352"/>
      <c r="DZ228" s="352"/>
      <c r="EA228" s="352"/>
      <c r="EB228" s="352"/>
      <c r="EC228" s="352"/>
      <c r="ED228" s="352"/>
      <c r="EE228" s="352"/>
      <c r="EF228" s="352"/>
      <c r="EG228" s="352"/>
      <c r="EH228" s="352"/>
      <c r="EI228" s="352"/>
      <c r="EJ228" s="352"/>
      <c r="EK228" s="352"/>
      <c r="EL228" s="352"/>
      <c r="EM228" s="352"/>
      <c r="EN228" s="352"/>
    </row>
    <row r="229" spans="1:144" ht="20.100000000000001" customHeight="1">
      <c r="A229" s="129" t="s">
        <v>74</v>
      </c>
      <c r="B229" s="118" t="s">
        <v>860</v>
      </c>
      <c r="C229" s="119">
        <f>'Thomson Reuters IMA  ($)'!I505+'Thomson Reuters IMA  ($)'!I506</f>
        <v>11.497</v>
      </c>
      <c r="D229" s="120">
        <f>'Sectors % GDP'!K18</f>
        <v>188792.72</v>
      </c>
      <c r="E229" s="120">
        <f t="shared" si="6"/>
        <v>6.0897475284004593E-5</v>
      </c>
      <c r="F229" s="123">
        <v>1</v>
      </c>
      <c r="G229" s="120">
        <v>5</v>
      </c>
      <c r="H229" s="122">
        <v>33.15</v>
      </c>
      <c r="I229" s="122">
        <v>38.89</v>
      </c>
      <c r="J229" s="122">
        <v>38.119999999999997</v>
      </c>
      <c r="K229" s="123">
        <v>29.8</v>
      </c>
      <c r="L229" s="123">
        <f t="shared" si="7"/>
        <v>2.2999999999999998</v>
      </c>
      <c r="M229" s="124">
        <v>2.3E-2</v>
      </c>
      <c r="N229" s="124">
        <v>5.69</v>
      </c>
      <c r="O229" s="125">
        <f>'Trade Data'!J14</f>
        <v>0.42097378518607759</v>
      </c>
      <c r="P229" s="127">
        <v>1</v>
      </c>
      <c r="Q229" s="352"/>
      <c r="R229" s="352"/>
      <c r="S229" s="352"/>
      <c r="T229" s="352"/>
      <c r="U229" s="352"/>
      <c r="V229" s="352"/>
      <c r="W229" s="352"/>
      <c r="X229" s="352"/>
      <c r="Y229" s="352"/>
      <c r="Z229" s="352"/>
      <c r="AA229" s="352"/>
      <c r="AB229" s="352"/>
      <c r="AC229" s="352"/>
      <c r="AD229" s="352"/>
      <c r="AE229" s="352"/>
      <c r="AF229" s="352"/>
      <c r="AG229" s="352"/>
      <c r="AH229" s="352"/>
      <c r="AI229" s="352"/>
      <c r="AJ229" s="352"/>
      <c r="AK229" s="352"/>
      <c r="AL229" s="352"/>
      <c r="AM229" s="352"/>
      <c r="AN229" s="352"/>
      <c r="AO229" s="352"/>
      <c r="AP229" s="352"/>
      <c r="AQ229" s="352"/>
      <c r="AR229" s="352"/>
      <c r="AS229" s="352"/>
      <c r="AT229" s="352"/>
      <c r="AU229" s="352"/>
      <c r="AV229" s="352"/>
      <c r="AW229" s="352"/>
      <c r="AX229" s="352"/>
      <c r="AY229" s="352"/>
      <c r="AZ229" s="352"/>
      <c r="BA229" s="352"/>
      <c r="BB229" s="352"/>
      <c r="BC229" s="352"/>
      <c r="BD229" s="352"/>
      <c r="BE229" s="352"/>
      <c r="BF229" s="352"/>
      <c r="BG229" s="352"/>
      <c r="BH229" s="352"/>
      <c r="BI229" s="352"/>
      <c r="BJ229" s="352"/>
      <c r="BK229" s="352"/>
      <c r="BL229" s="352"/>
      <c r="BM229" s="352"/>
      <c r="BN229" s="352"/>
      <c r="BO229" s="352"/>
      <c r="BP229" s="352"/>
      <c r="BQ229" s="352"/>
      <c r="BR229" s="352"/>
      <c r="BS229" s="352"/>
      <c r="BT229" s="352"/>
      <c r="BU229" s="352"/>
      <c r="BV229" s="352"/>
      <c r="BW229" s="352"/>
      <c r="BX229" s="352"/>
      <c r="BY229" s="352"/>
      <c r="BZ229" s="352"/>
      <c r="CA229" s="352"/>
      <c r="CB229" s="352"/>
      <c r="CC229" s="352"/>
      <c r="CD229" s="352"/>
      <c r="CE229" s="352"/>
      <c r="CF229" s="352"/>
      <c r="CG229" s="352"/>
      <c r="CH229" s="352"/>
      <c r="CI229" s="352"/>
      <c r="CJ229" s="352"/>
      <c r="CK229" s="352"/>
      <c r="CL229" s="352"/>
      <c r="CM229" s="352"/>
      <c r="CN229" s="352"/>
      <c r="CO229" s="352"/>
      <c r="CP229" s="352"/>
      <c r="CQ229" s="352"/>
      <c r="CR229" s="352"/>
      <c r="CS229" s="352"/>
      <c r="CT229" s="352"/>
      <c r="CU229" s="352"/>
      <c r="CV229" s="352"/>
      <c r="CW229" s="352"/>
      <c r="CX229" s="352"/>
      <c r="CY229" s="352"/>
      <c r="CZ229" s="352"/>
      <c r="DA229" s="352"/>
      <c r="DB229" s="352"/>
      <c r="DC229" s="352"/>
      <c r="DD229" s="352"/>
      <c r="DE229" s="352"/>
      <c r="DF229" s="352"/>
      <c r="DG229" s="352"/>
      <c r="DH229" s="352"/>
      <c r="DI229" s="352"/>
      <c r="DJ229" s="352"/>
      <c r="DK229" s="352"/>
      <c r="DL229" s="352"/>
      <c r="DM229" s="352"/>
      <c r="DN229" s="352"/>
      <c r="DO229" s="352"/>
      <c r="DP229" s="352"/>
      <c r="DQ229" s="352"/>
      <c r="DR229" s="352"/>
      <c r="DS229" s="352"/>
      <c r="DT229" s="352"/>
      <c r="DU229" s="352"/>
      <c r="DV229" s="352"/>
      <c r="DW229" s="352"/>
      <c r="DX229" s="352"/>
      <c r="DY229" s="352"/>
      <c r="DZ229" s="352"/>
      <c r="EA229" s="352"/>
      <c r="EB229" s="352"/>
      <c r="EC229" s="352"/>
      <c r="ED229" s="352"/>
      <c r="EE229" s="352"/>
      <c r="EF229" s="352"/>
      <c r="EG229" s="352"/>
      <c r="EH229" s="352"/>
      <c r="EI229" s="352"/>
      <c r="EJ229" s="352"/>
      <c r="EK229" s="352"/>
      <c r="EL229" s="352"/>
      <c r="EM229" s="352"/>
      <c r="EN229" s="352"/>
    </row>
    <row r="230" spans="1:144" s="169" customFormat="1" ht="20.100000000000001" customHeight="1">
      <c r="A230" s="160" t="s">
        <v>75</v>
      </c>
      <c r="B230" s="160" t="s">
        <v>655</v>
      </c>
      <c r="C230" s="161">
        <v>0</v>
      </c>
      <c r="D230" s="162">
        <f>'Sectors % GDP'!C20</f>
        <v>8761.473</v>
      </c>
      <c r="E230" s="162">
        <f t="shared" si="6"/>
        <v>0</v>
      </c>
      <c r="F230" s="165">
        <v>0</v>
      </c>
      <c r="G230" s="162">
        <v>0</v>
      </c>
      <c r="H230" s="164">
        <v>13.97</v>
      </c>
      <c r="I230" s="163">
        <v>23.22</v>
      </c>
      <c r="J230" s="165">
        <v>32.51</v>
      </c>
      <c r="K230" s="165">
        <v>6.53</v>
      </c>
      <c r="L230" s="165">
        <f t="shared" si="7"/>
        <v>4.9000000000000004</v>
      </c>
      <c r="M230" s="166">
        <v>4.9000000000000002E-2</v>
      </c>
      <c r="N230" s="166">
        <v>5.8</v>
      </c>
      <c r="O230" s="167">
        <f>'Trade Data'!B17</f>
        <v>0.20459335150255525</v>
      </c>
      <c r="P230" s="168">
        <v>0</v>
      </c>
      <c r="Q230" s="352"/>
      <c r="R230" s="352"/>
      <c r="S230" s="352"/>
      <c r="T230" s="352"/>
      <c r="U230" s="352"/>
      <c r="V230" s="352"/>
      <c r="W230" s="352"/>
      <c r="X230" s="352"/>
      <c r="Y230" s="352"/>
      <c r="Z230" s="352"/>
      <c r="AA230" s="352"/>
      <c r="AB230" s="352"/>
      <c r="AC230" s="352"/>
      <c r="AD230" s="352"/>
      <c r="AE230" s="352"/>
      <c r="AF230" s="352"/>
      <c r="AG230" s="352"/>
      <c r="AH230" s="352"/>
      <c r="AI230" s="352"/>
      <c r="AJ230" s="352"/>
      <c r="AK230" s="352"/>
      <c r="AL230" s="352"/>
      <c r="AM230" s="352"/>
      <c r="AN230" s="352"/>
      <c r="AO230" s="352"/>
      <c r="AP230" s="352"/>
      <c r="AQ230" s="352"/>
      <c r="AR230" s="352"/>
      <c r="AS230" s="352"/>
      <c r="AT230" s="352"/>
      <c r="AU230" s="352"/>
      <c r="AV230" s="352"/>
      <c r="AW230" s="352"/>
      <c r="AX230" s="352"/>
      <c r="AY230" s="352"/>
      <c r="AZ230" s="352"/>
      <c r="BA230" s="352"/>
      <c r="BB230" s="352"/>
      <c r="BC230" s="352"/>
      <c r="BD230" s="352"/>
      <c r="BE230" s="352"/>
      <c r="BF230" s="352"/>
      <c r="BG230" s="352"/>
      <c r="BH230" s="352"/>
      <c r="BI230" s="352"/>
      <c r="BJ230" s="352"/>
      <c r="BK230" s="352"/>
      <c r="BL230" s="352"/>
      <c r="BM230" s="352"/>
      <c r="BN230" s="352"/>
      <c r="BO230" s="352"/>
      <c r="BP230" s="352"/>
      <c r="BQ230" s="352"/>
      <c r="BR230" s="352"/>
      <c r="BS230" s="352"/>
      <c r="BT230" s="352"/>
      <c r="BU230" s="352"/>
      <c r="BV230" s="352"/>
      <c r="BW230" s="352"/>
      <c r="BX230" s="352"/>
      <c r="BY230" s="352"/>
      <c r="BZ230" s="352"/>
      <c r="CA230" s="352"/>
      <c r="CB230" s="352"/>
      <c r="CC230" s="352"/>
      <c r="CD230" s="352"/>
      <c r="CE230" s="352"/>
      <c r="CF230" s="352"/>
      <c r="CG230" s="352"/>
      <c r="CH230" s="352"/>
      <c r="CI230" s="352"/>
      <c r="CJ230" s="352"/>
      <c r="CK230" s="352"/>
      <c r="CL230" s="352"/>
      <c r="CM230" s="352"/>
      <c r="CN230" s="352"/>
      <c r="CO230" s="352"/>
      <c r="CP230" s="352"/>
      <c r="CQ230" s="352"/>
      <c r="CR230" s="352"/>
      <c r="CS230" s="352"/>
      <c r="CT230" s="352"/>
      <c r="CU230" s="352"/>
      <c r="CV230" s="352"/>
      <c r="CW230" s="352"/>
      <c r="CX230" s="352"/>
      <c r="CY230" s="352"/>
      <c r="CZ230" s="352"/>
      <c r="DA230" s="352"/>
      <c r="DB230" s="352"/>
      <c r="DC230" s="352"/>
      <c r="DD230" s="352"/>
      <c r="DE230" s="352"/>
      <c r="DF230" s="352"/>
      <c r="DG230" s="352"/>
      <c r="DH230" s="352"/>
      <c r="DI230" s="352"/>
      <c r="DJ230" s="352"/>
      <c r="DK230" s="352"/>
      <c r="DL230" s="352"/>
      <c r="DM230" s="352"/>
      <c r="DN230" s="352"/>
      <c r="DO230" s="352"/>
      <c r="DP230" s="352"/>
      <c r="DQ230" s="352"/>
      <c r="DR230" s="352"/>
      <c r="DS230" s="352"/>
      <c r="DT230" s="352"/>
      <c r="DU230" s="352"/>
      <c r="DV230" s="352"/>
      <c r="DW230" s="352"/>
      <c r="DX230" s="352"/>
      <c r="DY230" s="352"/>
      <c r="DZ230" s="352"/>
      <c r="EA230" s="352"/>
      <c r="EB230" s="352"/>
      <c r="EC230" s="352"/>
      <c r="ED230" s="352"/>
      <c r="EE230" s="352"/>
      <c r="EF230" s="352"/>
      <c r="EG230" s="352"/>
      <c r="EH230" s="352"/>
      <c r="EI230" s="352"/>
      <c r="EJ230" s="352"/>
      <c r="EK230" s="352"/>
      <c r="EL230" s="352"/>
      <c r="EM230" s="352"/>
      <c r="EN230" s="352"/>
    </row>
    <row r="231" spans="1:144" s="188" customFormat="1" ht="20.100000000000001" customHeight="1">
      <c r="A231" s="179" t="s">
        <v>75</v>
      </c>
      <c r="B231" s="179" t="s">
        <v>654</v>
      </c>
      <c r="C231" s="180">
        <v>0</v>
      </c>
      <c r="D231" s="181">
        <f>'Sectors % GDP'!C21</f>
        <v>37129.239000000001</v>
      </c>
      <c r="E231" s="181">
        <f t="shared" si="6"/>
        <v>0</v>
      </c>
      <c r="F231" s="184">
        <v>0</v>
      </c>
      <c r="G231" s="181">
        <v>0</v>
      </c>
      <c r="H231" s="183">
        <v>13.97</v>
      </c>
      <c r="I231" s="182">
        <v>23.22</v>
      </c>
      <c r="J231" s="184">
        <v>32.51</v>
      </c>
      <c r="K231" s="184">
        <v>6.53</v>
      </c>
      <c r="L231" s="184">
        <f t="shared" si="7"/>
        <v>4.9000000000000004</v>
      </c>
      <c r="M231" s="185">
        <v>4.9000000000000002E-2</v>
      </c>
      <c r="N231" s="185">
        <v>5.8</v>
      </c>
      <c r="O231" s="186">
        <f>'Trade Data'!B17</f>
        <v>0.20459335150255525</v>
      </c>
      <c r="P231" s="187">
        <v>1</v>
      </c>
      <c r="Q231" s="352"/>
      <c r="R231" s="352"/>
      <c r="S231" s="352"/>
      <c r="T231" s="352"/>
      <c r="U231" s="352"/>
      <c r="V231" s="352"/>
      <c r="W231" s="352"/>
      <c r="X231" s="352"/>
      <c r="Y231" s="352"/>
      <c r="Z231" s="352"/>
      <c r="AA231" s="352"/>
      <c r="AB231" s="352"/>
      <c r="AC231" s="352"/>
      <c r="AD231" s="352"/>
      <c r="AE231" s="352"/>
      <c r="AF231" s="352"/>
      <c r="AG231" s="352"/>
      <c r="AH231" s="352"/>
      <c r="AI231" s="352"/>
      <c r="AJ231" s="352"/>
      <c r="AK231" s="352"/>
      <c r="AL231" s="352"/>
      <c r="AM231" s="352"/>
      <c r="AN231" s="352"/>
      <c r="AO231" s="352"/>
      <c r="AP231" s="352"/>
      <c r="AQ231" s="352"/>
      <c r="AR231" s="352"/>
      <c r="AS231" s="352"/>
      <c r="AT231" s="352"/>
      <c r="AU231" s="352"/>
      <c r="AV231" s="352"/>
      <c r="AW231" s="352"/>
      <c r="AX231" s="352"/>
      <c r="AY231" s="352"/>
      <c r="AZ231" s="352"/>
      <c r="BA231" s="352"/>
      <c r="BB231" s="352"/>
      <c r="BC231" s="352"/>
      <c r="BD231" s="352"/>
      <c r="BE231" s="352"/>
      <c r="BF231" s="352"/>
      <c r="BG231" s="352"/>
      <c r="BH231" s="352"/>
      <c r="BI231" s="352"/>
      <c r="BJ231" s="352"/>
      <c r="BK231" s="352"/>
      <c r="BL231" s="352"/>
      <c r="BM231" s="352"/>
      <c r="BN231" s="352"/>
      <c r="BO231" s="352"/>
      <c r="BP231" s="352"/>
      <c r="BQ231" s="352"/>
      <c r="BR231" s="352"/>
      <c r="BS231" s="352"/>
      <c r="BT231" s="352"/>
      <c r="BU231" s="352"/>
      <c r="BV231" s="352"/>
      <c r="BW231" s="352"/>
      <c r="BX231" s="352"/>
      <c r="BY231" s="352"/>
      <c r="BZ231" s="352"/>
      <c r="CA231" s="352"/>
      <c r="CB231" s="352"/>
      <c r="CC231" s="352"/>
      <c r="CD231" s="352"/>
      <c r="CE231" s="352"/>
      <c r="CF231" s="352"/>
      <c r="CG231" s="352"/>
      <c r="CH231" s="352"/>
      <c r="CI231" s="352"/>
      <c r="CJ231" s="352"/>
      <c r="CK231" s="352"/>
      <c r="CL231" s="352"/>
      <c r="CM231" s="352"/>
      <c r="CN231" s="352"/>
      <c r="CO231" s="352"/>
      <c r="CP231" s="352"/>
      <c r="CQ231" s="352"/>
      <c r="CR231" s="352"/>
      <c r="CS231" s="352"/>
      <c r="CT231" s="352"/>
      <c r="CU231" s="352"/>
      <c r="CV231" s="352"/>
      <c r="CW231" s="352"/>
      <c r="CX231" s="352"/>
      <c r="CY231" s="352"/>
      <c r="CZ231" s="352"/>
      <c r="DA231" s="352"/>
      <c r="DB231" s="352"/>
      <c r="DC231" s="352"/>
      <c r="DD231" s="352"/>
      <c r="DE231" s="352"/>
      <c r="DF231" s="352"/>
      <c r="DG231" s="352"/>
      <c r="DH231" s="352"/>
      <c r="DI231" s="352"/>
      <c r="DJ231" s="352"/>
      <c r="DK231" s="352"/>
      <c r="DL231" s="352"/>
      <c r="DM231" s="352"/>
      <c r="DN231" s="352"/>
      <c r="DO231" s="352"/>
      <c r="DP231" s="352"/>
      <c r="DQ231" s="352"/>
      <c r="DR231" s="352"/>
      <c r="DS231" s="352"/>
      <c r="DT231" s="352"/>
      <c r="DU231" s="352"/>
      <c r="DV231" s="352"/>
      <c r="DW231" s="352"/>
      <c r="DX231" s="352"/>
      <c r="DY231" s="352"/>
      <c r="DZ231" s="352"/>
      <c r="EA231" s="352"/>
      <c r="EB231" s="352"/>
      <c r="EC231" s="352"/>
      <c r="ED231" s="352"/>
      <c r="EE231" s="352"/>
      <c r="EF231" s="352"/>
      <c r="EG231" s="352"/>
      <c r="EH231" s="352"/>
      <c r="EI231" s="352"/>
      <c r="EJ231" s="352"/>
      <c r="EK231" s="352"/>
      <c r="EL231" s="352"/>
      <c r="EM231" s="352"/>
      <c r="EN231" s="352"/>
    </row>
    <row r="232" spans="1:144" ht="20.100000000000001" customHeight="1">
      <c r="A232" s="118" t="s">
        <v>75</v>
      </c>
      <c r="B232" s="118" t="s">
        <v>653</v>
      </c>
      <c r="C232" s="119">
        <v>0</v>
      </c>
      <c r="D232" s="120">
        <f>'Sectors % GDP'!C22</f>
        <v>49229.774999999994</v>
      </c>
      <c r="E232" s="120">
        <f t="shared" si="6"/>
        <v>0</v>
      </c>
      <c r="F232" s="123">
        <v>0</v>
      </c>
      <c r="G232" s="120">
        <v>0</v>
      </c>
      <c r="H232" s="122">
        <v>13.97</v>
      </c>
      <c r="I232" s="121">
        <v>23.22</v>
      </c>
      <c r="J232" s="123">
        <v>32.51</v>
      </c>
      <c r="K232" s="123">
        <v>6.53</v>
      </c>
      <c r="L232" s="123">
        <f t="shared" si="7"/>
        <v>4.9000000000000004</v>
      </c>
      <c r="M232" s="124">
        <v>4.9000000000000002E-2</v>
      </c>
      <c r="N232" s="124">
        <v>5.8</v>
      </c>
      <c r="O232" s="125">
        <f>'Trade Data'!B17</f>
        <v>0.20459335150255525</v>
      </c>
      <c r="P232" s="126">
        <v>1</v>
      </c>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2"/>
      <c r="AY232" s="352"/>
      <c r="AZ232" s="352"/>
      <c r="BA232" s="352"/>
      <c r="BB232" s="352"/>
      <c r="BC232" s="352"/>
      <c r="BD232" s="352"/>
      <c r="BE232" s="352"/>
      <c r="BF232" s="352"/>
      <c r="BG232" s="352"/>
      <c r="BH232" s="352"/>
      <c r="BI232" s="352"/>
      <c r="BJ232" s="352"/>
      <c r="BK232" s="352"/>
      <c r="BL232" s="352"/>
      <c r="BM232" s="352"/>
      <c r="BN232" s="352"/>
      <c r="BO232" s="352"/>
      <c r="BP232" s="352"/>
      <c r="BQ232" s="352"/>
      <c r="BR232" s="352"/>
      <c r="BS232" s="352"/>
      <c r="BT232" s="352"/>
      <c r="BU232" s="352"/>
      <c r="BV232" s="352"/>
      <c r="BW232" s="352"/>
      <c r="BX232" s="352"/>
      <c r="BY232" s="352"/>
      <c r="BZ232" s="352"/>
      <c r="CA232" s="352"/>
      <c r="CB232" s="352"/>
      <c r="CC232" s="352"/>
      <c r="CD232" s="352"/>
      <c r="CE232" s="352"/>
      <c r="CF232" s="352"/>
      <c r="CG232" s="352"/>
      <c r="CH232" s="352"/>
      <c r="CI232" s="352"/>
      <c r="CJ232" s="352"/>
      <c r="CK232" s="352"/>
      <c r="CL232" s="352"/>
      <c r="CM232" s="352"/>
      <c r="CN232" s="352"/>
      <c r="CO232" s="352"/>
      <c r="CP232" s="352"/>
      <c r="CQ232" s="352"/>
      <c r="CR232" s="352"/>
      <c r="CS232" s="352"/>
      <c r="CT232" s="352"/>
      <c r="CU232" s="352"/>
      <c r="CV232" s="352"/>
      <c r="CW232" s="352"/>
      <c r="CX232" s="352"/>
      <c r="CY232" s="352"/>
      <c r="CZ232" s="352"/>
      <c r="DA232" s="352"/>
      <c r="DB232" s="352"/>
      <c r="DC232" s="352"/>
      <c r="DD232" s="352"/>
      <c r="DE232" s="352"/>
      <c r="DF232" s="352"/>
      <c r="DG232" s="352"/>
      <c r="DH232" s="352"/>
      <c r="DI232" s="352"/>
      <c r="DJ232" s="352"/>
      <c r="DK232" s="352"/>
      <c r="DL232" s="352"/>
      <c r="DM232" s="352"/>
      <c r="DN232" s="352"/>
      <c r="DO232" s="352"/>
      <c r="DP232" s="352"/>
      <c r="DQ232" s="352"/>
      <c r="DR232" s="352"/>
      <c r="DS232" s="352"/>
      <c r="DT232" s="352"/>
      <c r="DU232" s="352"/>
      <c r="DV232" s="352"/>
      <c r="DW232" s="352"/>
      <c r="DX232" s="352"/>
      <c r="DY232" s="352"/>
      <c r="DZ232" s="352"/>
      <c r="EA232" s="352"/>
      <c r="EB232" s="352"/>
      <c r="EC232" s="352"/>
      <c r="ED232" s="352"/>
      <c r="EE232" s="352"/>
      <c r="EF232" s="352"/>
      <c r="EG232" s="352"/>
      <c r="EH232" s="352"/>
      <c r="EI232" s="352"/>
      <c r="EJ232" s="352"/>
      <c r="EK232" s="352"/>
      <c r="EL232" s="352"/>
      <c r="EM232" s="352"/>
      <c r="EN232" s="352"/>
    </row>
    <row r="233" spans="1:144" s="169" customFormat="1" ht="20.100000000000001" customHeight="1">
      <c r="A233" s="160" t="s">
        <v>76</v>
      </c>
      <c r="B233" s="160" t="s">
        <v>652</v>
      </c>
      <c r="C233" s="161">
        <v>0</v>
      </c>
      <c r="D233" s="162">
        <f>'Sectors % GDP'!C20</f>
        <v>8761.473</v>
      </c>
      <c r="E233" s="162">
        <f t="shared" si="6"/>
        <v>0</v>
      </c>
      <c r="F233" s="165">
        <v>0</v>
      </c>
      <c r="G233" s="162">
        <v>0</v>
      </c>
      <c r="H233" s="164">
        <v>9.44</v>
      </c>
      <c r="I233" s="163">
        <v>28.75</v>
      </c>
      <c r="J233" s="165">
        <v>13.64</v>
      </c>
      <c r="K233" s="165">
        <v>6.53</v>
      </c>
      <c r="L233" s="165">
        <f t="shared" si="7"/>
        <v>4.9000000000000004</v>
      </c>
      <c r="M233" s="166">
        <v>4.9000000000000002E-2</v>
      </c>
      <c r="N233" s="166">
        <v>5.8</v>
      </c>
      <c r="O233" s="167">
        <f>'Trade Data'!B17</f>
        <v>0.20459335150255525</v>
      </c>
      <c r="P233" s="170">
        <v>0</v>
      </c>
      <c r="Q233" s="352"/>
      <c r="R233" s="352"/>
      <c r="S233" s="352"/>
      <c r="T233" s="352"/>
      <c r="U233" s="352"/>
      <c r="V233" s="352"/>
      <c r="W233" s="352"/>
      <c r="X233" s="352"/>
      <c r="Y233" s="352"/>
      <c r="Z233" s="352"/>
      <c r="AA233" s="352"/>
      <c r="AB233" s="352"/>
      <c r="AC233" s="352"/>
      <c r="AD233" s="352"/>
      <c r="AE233" s="352"/>
      <c r="AF233" s="352"/>
      <c r="AG233" s="352"/>
      <c r="AH233" s="352"/>
      <c r="AI233" s="352"/>
      <c r="AJ233" s="352"/>
      <c r="AK233" s="352"/>
      <c r="AL233" s="352"/>
      <c r="AM233" s="352"/>
      <c r="AN233" s="352"/>
      <c r="AO233" s="352"/>
      <c r="AP233" s="352"/>
      <c r="AQ233" s="352"/>
      <c r="AR233" s="352"/>
      <c r="AS233" s="352"/>
      <c r="AT233" s="352"/>
      <c r="AU233" s="352"/>
      <c r="AV233" s="352"/>
      <c r="AW233" s="352"/>
      <c r="AX233" s="352"/>
      <c r="AY233" s="352"/>
      <c r="AZ233" s="352"/>
      <c r="BA233" s="352"/>
      <c r="BB233" s="352"/>
      <c r="BC233" s="352"/>
      <c r="BD233" s="352"/>
      <c r="BE233" s="352"/>
      <c r="BF233" s="352"/>
      <c r="BG233" s="352"/>
      <c r="BH233" s="352"/>
      <c r="BI233" s="352"/>
      <c r="BJ233" s="352"/>
      <c r="BK233" s="352"/>
      <c r="BL233" s="352"/>
      <c r="BM233" s="352"/>
      <c r="BN233" s="352"/>
      <c r="BO233" s="352"/>
      <c r="BP233" s="352"/>
      <c r="BQ233" s="352"/>
      <c r="BR233" s="352"/>
      <c r="BS233" s="352"/>
      <c r="BT233" s="352"/>
      <c r="BU233" s="352"/>
      <c r="BV233" s="352"/>
      <c r="BW233" s="352"/>
      <c r="BX233" s="352"/>
      <c r="BY233" s="352"/>
      <c r="BZ233" s="352"/>
      <c r="CA233" s="352"/>
      <c r="CB233" s="352"/>
      <c r="CC233" s="352"/>
      <c r="CD233" s="352"/>
      <c r="CE233" s="352"/>
      <c r="CF233" s="352"/>
      <c r="CG233" s="352"/>
      <c r="CH233" s="352"/>
      <c r="CI233" s="352"/>
      <c r="CJ233" s="352"/>
      <c r="CK233" s="352"/>
      <c r="CL233" s="352"/>
      <c r="CM233" s="352"/>
      <c r="CN233" s="352"/>
      <c r="CO233" s="352"/>
      <c r="CP233" s="352"/>
      <c r="CQ233" s="352"/>
      <c r="CR233" s="352"/>
      <c r="CS233" s="352"/>
      <c r="CT233" s="352"/>
      <c r="CU233" s="352"/>
      <c r="CV233" s="352"/>
      <c r="CW233" s="352"/>
      <c r="CX233" s="352"/>
      <c r="CY233" s="352"/>
      <c r="CZ233" s="352"/>
      <c r="DA233" s="352"/>
      <c r="DB233" s="352"/>
      <c r="DC233" s="352"/>
      <c r="DD233" s="352"/>
      <c r="DE233" s="352"/>
      <c r="DF233" s="352"/>
      <c r="DG233" s="352"/>
      <c r="DH233" s="352"/>
      <c r="DI233" s="352"/>
      <c r="DJ233" s="352"/>
      <c r="DK233" s="352"/>
      <c r="DL233" s="352"/>
      <c r="DM233" s="352"/>
      <c r="DN233" s="352"/>
      <c r="DO233" s="352"/>
      <c r="DP233" s="352"/>
      <c r="DQ233" s="352"/>
      <c r="DR233" s="352"/>
      <c r="DS233" s="352"/>
      <c r="DT233" s="352"/>
      <c r="DU233" s="352"/>
      <c r="DV233" s="352"/>
      <c r="DW233" s="352"/>
      <c r="DX233" s="352"/>
      <c r="DY233" s="352"/>
      <c r="DZ233" s="352"/>
      <c r="EA233" s="352"/>
      <c r="EB233" s="352"/>
      <c r="EC233" s="352"/>
      <c r="ED233" s="352"/>
      <c r="EE233" s="352"/>
      <c r="EF233" s="352"/>
      <c r="EG233" s="352"/>
      <c r="EH233" s="352"/>
      <c r="EI233" s="352"/>
      <c r="EJ233" s="352"/>
      <c r="EK233" s="352"/>
      <c r="EL233" s="352"/>
      <c r="EM233" s="352"/>
      <c r="EN233" s="352"/>
    </row>
    <row r="234" spans="1:144" s="188" customFormat="1" ht="20.100000000000001" customHeight="1">
      <c r="A234" s="179" t="s">
        <v>76</v>
      </c>
      <c r="B234" s="179" t="s">
        <v>651</v>
      </c>
      <c r="C234" s="180">
        <v>0</v>
      </c>
      <c r="D234" s="181">
        <f>'Sectors % GDP'!C21</f>
        <v>37129.239000000001</v>
      </c>
      <c r="E234" s="181">
        <f t="shared" si="6"/>
        <v>0</v>
      </c>
      <c r="F234" s="184">
        <v>1</v>
      </c>
      <c r="G234" s="181">
        <v>1</v>
      </c>
      <c r="H234" s="183">
        <v>9.44</v>
      </c>
      <c r="I234" s="182">
        <v>28.75</v>
      </c>
      <c r="J234" s="184">
        <v>13.64</v>
      </c>
      <c r="K234" s="184">
        <v>6.53</v>
      </c>
      <c r="L234" s="184">
        <f t="shared" si="7"/>
        <v>4.9000000000000004</v>
      </c>
      <c r="M234" s="185">
        <v>4.9000000000000002E-2</v>
      </c>
      <c r="N234" s="185">
        <v>5.8</v>
      </c>
      <c r="O234" s="186">
        <f>'Trade Data'!B17</f>
        <v>0.20459335150255525</v>
      </c>
      <c r="P234" s="189">
        <v>1</v>
      </c>
      <c r="Q234" s="352"/>
      <c r="R234" s="352"/>
      <c r="S234" s="352"/>
      <c r="T234" s="352"/>
      <c r="U234" s="352"/>
      <c r="V234" s="352"/>
      <c r="W234" s="352"/>
      <c r="X234" s="352"/>
      <c r="Y234" s="352"/>
      <c r="Z234" s="352"/>
      <c r="AA234" s="352"/>
      <c r="AB234" s="352"/>
      <c r="AC234" s="352"/>
      <c r="AD234" s="352"/>
      <c r="AE234" s="352"/>
      <c r="AF234" s="352"/>
      <c r="AG234" s="352"/>
      <c r="AH234" s="352"/>
      <c r="AI234" s="352"/>
      <c r="AJ234" s="352"/>
      <c r="AK234" s="352"/>
      <c r="AL234" s="352"/>
      <c r="AM234" s="352"/>
      <c r="AN234" s="352"/>
      <c r="AO234" s="352"/>
      <c r="AP234" s="352"/>
      <c r="AQ234" s="352"/>
      <c r="AR234" s="352"/>
      <c r="AS234" s="352"/>
      <c r="AT234" s="352"/>
      <c r="AU234" s="352"/>
      <c r="AV234" s="352"/>
      <c r="AW234" s="352"/>
      <c r="AX234" s="352"/>
      <c r="AY234" s="352"/>
      <c r="AZ234" s="352"/>
      <c r="BA234" s="352"/>
      <c r="BB234" s="352"/>
      <c r="BC234" s="352"/>
      <c r="BD234" s="352"/>
      <c r="BE234" s="352"/>
      <c r="BF234" s="352"/>
      <c r="BG234" s="352"/>
      <c r="BH234" s="352"/>
      <c r="BI234" s="352"/>
      <c r="BJ234" s="352"/>
      <c r="BK234" s="352"/>
      <c r="BL234" s="352"/>
      <c r="BM234" s="352"/>
      <c r="BN234" s="352"/>
      <c r="BO234" s="352"/>
      <c r="BP234" s="352"/>
      <c r="BQ234" s="352"/>
      <c r="BR234" s="352"/>
      <c r="BS234" s="352"/>
      <c r="BT234" s="352"/>
      <c r="BU234" s="352"/>
      <c r="BV234" s="352"/>
      <c r="BW234" s="352"/>
      <c r="BX234" s="352"/>
      <c r="BY234" s="352"/>
      <c r="BZ234" s="352"/>
      <c r="CA234" s="352"/>
      <c r="CB234" s="352"/>
      <c r="CC234" s="352"/>
      <c r="CD234" s="352"/>
      <c r="CE234" s="352"/>
      <c r="CF234" s="352"/>
      <c r="CG234" s="352"/>
      <c r="CH234" s="352"/>
      <c r="CI234" s="352"/>
      <c r="CJ234" s="352"/>
      <c r="CK234" s="352"/>
      <c r="CL234" s="352"/>
      <c r="CM234" s="352"/>
      <c r="CN234" s="352"/>
      <c r="CO234" s="352"/>
      <c r="CP234" s="352"/>
      <c r="CQ234" s="352"/>
      <c r="CR234" s="352"/>
      <c r="CS234" s="352"/>
      <c r="CT234" s="352"/>
      <c r="CU234" s="352"/>
      <c r="CV234" s="352"/>
      <c r="CW234" s="352"/>
      <c r="CX234" s="352"/>
      <c r="CY234" s="352"/>
      <c r="CZ234" s="352"/>
      <c r="DA234" s="352"/>
      <c r="DB234" s="352"/>
      <c r="DC234" s="352"/>
      <c r="DD234" s="352"/>
      <c r="DE234" s="352"/>
      <c r="DF234" s="352"/>
      <c r="DG234" s="352"/>
      <c r="DH234" s="352"/>
      <c r="DI234" s="352"/>
      <c r="DJ234" s="352"/>
      <c r="DK234" s="352"/>
      <c r="DL234" s="352"/>
      <c r="DM234" s="352"/>
      <c r="DN234" s="352"/>
      <c r="DO234" s="352"/>
      <c r="DP234" s="352"/>
      <c r="DQ234" s="352"/>
      <c r="DR234" s="352"/>
      <c r="DS234" s="352"/>
      <c r="DT234" s="352"/>
      <c r="DU234" s="352"/>
      <c r="DV234" s="352"/>
      <c r="DW234" s="352"/>
      <c r="DX234" s="352"/>
      <c r="DY234" s="352"/>
      <c r="DZ234" s="352"/>
      <c r="EA234" s="352"/>
      <c r="EB234" s="352"/>
      <c r="EC234" s="352"/>
      <c r="ED234" s="352"/>
      <c r="EE234" s="352"/>
      <c r="EF234" s="352"/>
      <c r="EG234" s="352"/>
      <c r="EH234" s="352"/>
      <c r="EI234" s="352"/>
      <c r="EJ234" s="352"/>
      <c r="EK234" s="352"/>
      <c r="EL234" s="352"/>
      <c r="EM234" s="352"/>
      <c r="EN234" s="352"/>
    </row>
    <row r="235" spans="1:144" ht="20.100000000000001" customHeight="1">
      <c r="A235" s="129" t="s">
        <v>76</v>
      </c>
      <c r="B235" s="118" t="s">
        <v>650</v>
      </c>
      <c r="C235" s="119">
        <v>0</v>
      </c>
      <c r="D235" s="120">
        <f>'Sectors % GDP'!C22</f>
        <v>49229.774999999994</v>
      </c>
      <c r="E235" s="120">
        <f t="shared" si="6"/>
        <v>0</v>
      </c>
      <c r="F235" s="123">
        <v>0</v>
      </c>
      <c r="G235" s="120">
        <v>0</v>
      </c>
      <c r="H235" s="122">
        <v>9.44</v>
      </c>
      <c r="I235" s="121">
        <v>28.75</v>
      </c>
      <c r="J235" s="123">
        <v>13.64</v>
      </c>
      <c r="K235" s="123">
        <v>6.53</v>
      </c>
      <c r="L235" s="123">
        <f t="shared" si="7"/>
        <v>4.9000000000000004</v>
      </c>
      <c r="M235" s="124">
        <v>4.9000000000000002E-2</v>
      </c>
      <c r="N235" s="124">
        <v>5.8</v>
      </c>
      <c r="O235" s="125">
        <f>'Trade Data'!B17</f>
        <v>0.20459335150255525</v>
      </c>
      <c r="P235" s="127">
        <v>1</v>
      </c>
      <c r="Q235" s="352"/>
      <c r="R235" s="352"/>
      <c r="S235" s="352"/>
      <c r="T235" s="352"/>
      <c r="U235" s="352"/>
      <c r="V235" s="352"/>
      <c r="W235" s="352"/>
      <c r="X235" s="352"/>
      <c r="Y235" s="352"/>
      <c r="Z235" s="352"/>
      <c r="AA235" s="352"/>
      <c r="AB235" s="352"/>
      <c r="AC235" s="352"/>
      <c r="AD235" s="352"/>
      <c r="AE235" s="352"/>
      <c r="AF235" s="352"/>
      <c r="AG235" s="352"/>
      <c r="AH235" s="352"/>
      <c r="AI235" s="352"/>
      <c r="AJ235" s="352"/>
      <c r="AK235" s="352"/>
      <c r="AL235" s="352"/>
      <c r="AM235" s="352"/>
      <c r="AN235" s="352"/>
      <c r="AO235" s="352"/>
      <c r="AP235" s="352"/>
      <c r="AQ235" s="352"/>
      <c r="AR235" s="352"/>
      <c r="AS235" s="352"/>
      <c r="AT235" s="352"/>
      <c r="AU235" s="352"/>
      <c r="AV235" s="352"/>
      <c r="AW235" s="352"/>
      <c r="AX235" s="352"/>
      <c r="AY235" s="352"/>
      <c r="AZ235" s="352"/>
      <c r="BA235" s="352"/>
      <c r="BB235" s="352"/>
      <c r="BC235" s="352"/>
      <c r="BD235" s="352"/>
      <c r="BE235" s="352"/>
      <c r="BF235" s="352"/>
      <c r="BG235" s="352"/>
      <c r="BH235" s="352"/>
      <c r="BI235" s="352"/>
      <c r="BJ235" s="352"/>
      <c r="BK235" s="352"/>
      <c r="BL235" s="352"/>
      <c r="BM235" s="352"/>
      <c r="BN235" s="352"/>
      <c r="BO235" s="352"/>
      <c r="BP235" s="352"/>
      <c r="BQ235" s="352"/>
      <c r="BR235" s="352"/>
      <c r="BS235" s="352"/>
      <c r="BT235" s="352"/>
      <c r="BU235" s="352"/>
      <c r="BV235" s="352"/>
      <c r="BW235" s="352"/>
      <c r="BX235" s="352"/>
      <c r="BY235" s="352"/>
      <c r="BZ235" s="352"/>
      <c r="CA235" s="352"/>
      <c r="CB235" s="352"/>
      <c r="CC235" s="352"/>
      <c r="CD235" s="352"/>
      <c r="CE235" s="352"/>
      <c r="CF235" s="352"/>
      <c r="CG235" s="352"/>
      <c r="CH235" s="352"/>
      <c r="CI235" s="352"/>
      <c r="CJ235" s="352"/>
      <c r="CK235" s="352"/>
      <c r="CL235" s="352"/>
      <c r="CM235" s="352"/>
      <c r="CN235" s="352"/>
      <c r="CO235" s="352"/>
      <c r="CP235" s="352"/>
      <c r="CQ235" s="352"/>
      <c r="CR235" s="352"/>
      <c r="CS235" s="352"/>
      <c r="CT235" s="352"/>
      <c r="CU235" s="352"/>
      <c r="CV235" s="352"/>
      <c r="CW235" s="352"/>
      <c r="CX235" s="352"/>
      <c r="CY235" s="352"/>
      <c r="CZ235" s="352"/>
      <c r="DA235" s="352"/>
      <c r="DB235" s="352"/>
      <c r="DC235" s="352"/>
      <c r="DD235" s="352"/>
      <c r="DE235" s="352"/>
      <c r="DF235" s="352"/>
      <c r="DG235" s="352"/>
      <c r="DH235" s="352"/>
      <c r="DI235" s="352"/>
      <c r="DJ235" s="352"/>
      <c r="DK235" s="352"/>
      <c r="DL235" s="352"/>
      <c r="DM235" s="352"/>
      <c r="DN235" s="352"/>
      <c r="DO235" s="352"/>
      <c r="DP235" s="352"/>
      <c r="DQ235" s="352"/>
      <c r="DR235" s="352"/>
      <c r="DS235" s="352"/>
      <c r="DT235" s="352"/>
      <c r="DU235" s="352"/>
      <c r="DV235" s="352"/>
      <c r="DW235" s="352"/>
      <c r="DX235" s="352"/>
      <c r="DY235" s="352"/>
      <c r="DZ235" s="352"/>
      <c r="EA235" s="352"/>
      <c r="EB235" s="352"/>
      <c r="EC235" s="352"/>
      <c r="ED235" s="352"/>
      <c r="EE235" s="352"/>
      <c r="EF235" s="352"/>
      <c r="EG235" s="352"/>
      <c r="EH235" s="352"/>
      <c r="EI235" s="352"/>
      <c r="EJ235" s="352"/>
      <c r="EK235" s="352"/>
      <c r="EL235" s="352"/>
      <c r="EM235" s="352"/>
      <c r="EN235" s="352"/>
    </row>
    <row r="236" spans="1:144" s="169" customFormat="1" ht="20.100000000000001" customHeight="1">
      <c r="A236" s="160" t="s">
        <v>77</v>
      </c>
      <c r="B236" s="160" t="s">
        <v>649</v>
      </c>
      <c r="C236" s="161">
        <v>0</v>
      </c>
      <c r="D236" s="162">
        <f>'Sectors % GDP'!C20</f>
        <v>8761.473</v>
      </c>
      <c r="E236" s="162">
        <f t="shared" si="6"/>
        <v>0</v>
      </c>
      <c r="F236" s="165">
        <v>0</v>
      </c>
      <c r="G236" s="162">
        <v>0</v>
      </c>
      <c r="H236" s="164">
        <v>19.28</v>
      </c>
      <c r="I236" s="163">
        <v>42.11</v>
      </c>
      <c r="J236" s="165">
        <v>30.85</v>
      </c>
      <c r="K236" s="165">
        <v>6.53</v>
      </c>
      <c r="L236" s="165">
        <f t="shared" si="7"/>
        <v>4.9000000000000004</v>
      </c>
      <c r="M236" s="166">
        <v>4.9000000000000002E-2</v>
      </c>
      <c r="N236" s="166">
        <v>5.8</v>
      </c>
      <c r="O236" s="167">
        <f>'Trade Data'!B17</f>
        <v>0.20459335150255525</v>
      </c>
      <c r="P236" s="168">
        <v>0</v>
      </c>
      <c r="Q236" s="352"/>
      <c r="R236" s="352"/>
      <c r="S236" s="352"/>
      <c r="T236" s="352"/>
      <c r="U236" s="352"/>
      <c r="V236" s="352"/>
      <c r="W236" s="352"/>
      <c r="X236" s="352"/>
      <c r="Y236" s="352"/>
      <c r="Z236" s="352"/>
      <c r="AA236" s="352"/>
      <c r="AB236" s="352"/>
      <c r="AC236" s="352"/>
      <c r="AD236" s="352"/>
      <c r="AE236" s="352"/>
      <c r="AF236" s="352"/>
      <c r="AG236" s="352"/>
      <c r="AH236" s="352"/>
      <c r="AI236" s="352"/>
      <c r="AJ236" s="352"/>
      <c r="AK236" s="352"/>
      <c r="AL236" s="352"/>
      <c r="AM236" s="352"/>
      <c r="AN236" s="352"/>
      <c r="AO236" s="352"/>
      <c r="AP236" s="352"/>
      <c r="AQ236" s="352"/>
      <c r="AR236" s="352"/>
      <c r="AS236" s="352"/>
      <c r="AT236" s="352"/>
      <c r="AU236" s="352"/>
      <c r="AV236" s="352"/>
      <c r="AW236" s="352"/>
      <c r="AX236" s="352"/>
      <c r="AY236" s="352"/>
      <c r="AZ236" s="352"/>
      <c r="BA236" s="352"/>
      <c r="BB236" s="352"/>
      <c r="BC236" s="352"/>
      <c r="BD236" s="352"/>
      <c r="BE236" s="352"/>
      <c r="BF236" s="352"/>
      <c r="BG236" s="352"/>
      <c r="BH236" s="352"/>
      <c r="BI236" s="352"/>
      <c r="BJ236" s="352"/>
      <c r="BK236" s="352"/>
      <c r="BL236" s="352"/>
      <c r="BM236" s="352"/>
      <c r="BN236" s="352"/>
      <c r="BO236" s="352"/>
      <c r="BP236" s="352"/>
      <c r="BQ236" s="352"/>
      <c r="BR236" s="352"/>
      <c r="BS236" s="352"/>
      <c r="BT236" s="352"/>
      <c r="BU236" s="352"/>
      <c r="BV236" s="352"/>
      <c r="BW236" s="352"/>
      <c r="BX236" s="352"/>
      <c r="BY236" s="352"/>
      <c r="BZ236" s="352"/>
      <c r="CA236" s="352"/>
      <c r="CB236" s="352"/>
      <c r="CC236" s="352"/>
      <c r="CD236" s="352"/>
      <c r="CE236" s="352"/>
      <c r="CF236" s="352"/>
      <c r="CG236" s="352"/>
      <c r="CH236" s="352"/>
      <c r="CI236" s="352"/>
      <c r="CJ236" s="352"/>
      <c r="CK236" s="352"/>
      <c r="CL236" s="352"/>
      <c r="CM236" s="352"/>
      <c r="CN236" s="352"/>
      <c r="CO236" s="352"/>
      <c r="CP236" s="352"/>
      <c r="CQ236" s="352"/>
      <c r="CR236" s="352"/>
      <c r="CS236" s="352"/>
      <c r="CT236" s="352"/>
      <c r="CU236" s="352"/>
      <c r="CV236" s="352"/>
      <c r="CW236" s="352"/>
      <c r="CX236" s="352"/>
      <c r="CY236" s="352"/>
      <c r="CZ236" s="352"/>
      <c r="DA236" s="352"/>
      <c r="DB236" s="352"/>
      <c r="DC236" s="352"/>
      <c r="DD236" s="352"/>
      <c r="DE236" s="352"/>
      <c r="DF236" s="352"/>
      <c r="DG236" s="352"/>
      <c r="DH236" s="352"/>
      <c r="DI236" s="352"/>
      <c r="DJ236" s="352"/>
      <c r="DK236" s="352"/>
      <c r="DL236" s="352"/>
      <c r="DM236" s="352"/>
      <c r="DN236" s="352"/>
      <c r="DO236" s="352"/>
      <c r="DP236" s="352"/>
      <c r="DQ236" s="352"/>
      <c r="DR236" s="352"/>
      <c r="DS236" s="352"/>
      <c r="DT236" s="352"/>
      <c r="DU236" s="352"/>
      <c r="DV236" s="352"/>
      <c r="DW236" s="352"/>
      <c r="DX236" s="352"/>
      <c r="DY236" s="352"/>
      <c r="DZ236" s="352"/>
      <c r="EA236" s="352"/>
      <c r="EB236" s="352"/>
      <c r="EC236" s="352"/>
      <c r="ED236" s="352"/>
      <c r="EE236" s="352"/>
      <c r="EF236" s="352"/>
      <c r="EG236" s="352"/>
      <c r="EH236" s="352"/>
      <c r="EI236" s="352"/>
      <c r="EJ236" s="352"/>
      <c r="EK236" s="352"/>
      <c r="EL236" s="352"/>
      <c r="EM236" s="352"/>
      <c r="EN236" s="352"/>
    </row>
    <row r="237" spans="1:144" s="188" customFormat="1" ht="20.100000000000001" customHeight="1">
      <c r="A237" s="179" t="s">
        <v>77</v>
      </c>
      <c r="B237" s="179" t="s">
        <v>648</v>
      </c>
      <c r="C237" s="180">
        <v>0</v>
      </c>
      <c r="D237" s="181">
        <f>'Sectors % GDP'!C21</f>
        <v>37129.239000000001</v>
      </c>
      <c r="E237" s="181">
        <f t="shared" si="6"/>
        <v>0</v>
      </c>
      <c r="F237" s="184">
        <v>1</v>
      </c>
      <c r="G237" s="181">
        <v>1</v>
      </c>
      <c r="H237" s="183">
        <v>19.28</v>
      </c>
      <c r="I237" s="182">
        <v>42.11</v>
      </c>
      <c r="J237" s="184">
        <v>30.85</v>
      </c>
      <c r="K237" s="184">
        <v>6.53</v>
      </c>
      <c r="L237" s="184">
        <f t="shared" si="7"/>
        <v>4.9000000000000004</v>
      </c>
      <c r="M237" s="185">
        <v>4.9000000000000002E-2</v>
      </c>
      <c r="N237" s="185">
        <v>5.8</v>
      </c>
      <c r="O237" s="186">
        <f>'Trade Data'!B17</f>
        <v>0.20459335150255525</v>
      </c>
      <c r="P237" s="187">
        <v>1</v>
      </c>
      <c r="Q237" s="352"/>
      <c r="R237" s="352"/>
      <c r="S237" s="352"/>
      <c r="T237" s="352"/>
      <c r="U237" s="352"/>
      <c r="V237" s="352"/>
      <c r="W237" s="352"/>
      <c r="X237" s="352"/>
      <c r="Y237" s="352"/>
      <c r="Z237" s="352"/>
      <c r="AA237" s="352"/>
      <c r="AB237" s="352"/>
      <c r="AC237" s="352"/>
      <c r="AD237" s="352"/>
      <c r="AE237" s="352"/>
      <c r="AF237" s="352"/>
      <c r="AG237" s="352"/>
      <c r="AH237" s="352"/>
      <c r="AI237" s="352"/>
      <c r="AJ237" s="352"/>
      <c r="AK237" s="352"/>
      <c r="AL237" s="352"/>
      <c r="AM237" s="352"/>
      <c r="AN237" s="352"/>
      <c r="AO237" s="352"/>
      <c r="AP237" s="352"/>
      <c r="AQ237" s="352"/>
      <c r="AR237" s="352"/>
      <c r="AS237" s="352"/>
      <c r="AT237" s="352"/>
      <c r="AU237" s="352"/>
      <c r="AV237" s="352"/>
      <c r="AW237" s="352"/>
      <c r="AX237" s="352"/>
      <c r="AY237" s="352"/>
      <c r="AZ237" s="352"/>
      <c r="BA237" s="352"/>
      <c r="BB237" s="352"/>
      <c r="BC237" s="352"/>
      <c r="BD237" s="352"/>
      <c r="BE237" s="352"/>
      <c r="BF237" s="352"/>
      <c r="BG237" s="352"/>
      <c r="BH237" s="352"/>
      <c r="BI237" s="352"/>
      <c r="BJ237" s="352"/>
      <c r="BK237" s="352"/>
      <c r="BL237" s="352"/>
      <c r="BM237" s="352"/>
      <c r="BN237" s="352"/>
      <c r="BO237" s="352"/>
      <c r="BP237" s="352"/>
      <c r="BQ237" s="352"/>
      <c r="BR237" s="352"/>
      <c r="BS237" s="352"/>
      <c r="BT237" s="352"/>
      <c r="BU237" s="352"/>
      <c r="BV237" s="352"/>
      <c r="BW237" s="352"/>
      <c r="BX237" s="352"/>
      <c r="BY237" s="352"/>
      <c r="BZ237" s="352"/>
      <c r="CA237" s="352"/>
      <c r="CB237" s="352"/>
      <c r="CC237" s="352"/>
      <c r="CD237" s="352"/>
      <c r="CE237" s="352"/>
      <c r="CF237" s="352"/>
      <c r="CG237" s="352"/>
      <c r="CH237" s="352"/>
      <c r="CI237" s="352"/>
      <c r="CJ237" s="352"/>
      <c r="CK237" s="352"/>
      <c r="CL237" s="352"/>
      <c r="CM237" s="352"/>
      <c r="CN237" s="352"/>
      <c r="CO237" s="352"/>
      <c r="CP237" s="352"/>
      <c r="CQ237" s="352"/>
      <c r="CR237" s="352"/>
      <c r="CS237" s="352"/>
      <c r="CT237" s="352"/>
      <c r="CU237" s="352"/>
      <c r="CV237" s="352"/>
      <c r="CW237" s="352"/>
      <c r="CX237" s="352"/>
      <c r="CY237" s="352"/>
      <c r="CZ237" s="352"/>
      <c r="DA237" s="352"/>
      <c r="DB237" s="352"/>
      <c r="DC237" s="352"/>
      <c r="DD237" s="352"/>
      <c r="DE237" s="352"/>
      <c r="DF237" s="352"/>
      <c r="DG237" s="352"/>
      <c r="DH237" s="352"/>
      <c r="DI237" s="352"/>
      <c r="DJ237" s="352"/>
      <c r="DK237" s="352"/>
      <c r="DL237" s="352"/>
      <c r="DM237" s="352"/>
      <c r="DN237" s="352"/>
      <c r="DO237" s="352"/>
      <c r="DP237" s="352"/>
      <c r="DQ237" s="352"/>
      <c r="DR237" s="352"/>
      <c r="DS237" s="352"/>
      <c r="DT237" s="352"/>
      <c r="DU237" s="352"/>
      <c r="DV237" s="352"/>
      <c r="DW237" s="352"/>
      <c r="DX237" s="352"/>
      <c r="DY237" s="352"/>
      <c r="DZ237" s="352"/>
      <c r="EA237" s="352"/>
      <c r="EB237" s="352"/>
      <c r="EC237" s="352"/>
      <c r="ED237" s="352"/>
      <c r="EE237" s="352"/>
      <c r="EF237" s="352"/>
      <c r="EG237" s="352"/>
      <c r="EH237" s="352"/>
      <c r="EI237" s="352"/>
      <c r="EJ237" s="352"/>
      <c r="EK237" s="352"/>
      <c r="EL237" s="352"/>
      <c r="EM237" s="352"/>
      <c r="EN237" s="352"/>
    </row>
    <row r="238" spans="1:144" ht="20.100000000000001" customHeight="1">
      <c r="A238" s="118" t="s">
        <v>77</v>
      </c>
      <c r="B238" s="118" t="s">
        <v>647</v>
      </c>
      <c r="C238" s="119">
        <v>0</v>
      </c>
      <c r="D238" s="120">
        <f>'Sectors % GDP'!C22</f>
        <v>49229.774999999994</v>
      </c>
      <c r="E238" s="120">
        <f t="shared" si="6"/>
        <v>0</v>
      </c>
      <c r="F238" s="123">
        <v>0</v>
      </c>
      <c r="G238" s="120">
        <v>0</v>
      </c>
      <c r="H238" s="122">
        <v>19.28</v>
      </c>
      <c r="I238" s="121">
        <v>42.11</v>
      </c>
      <c r="J238" s="123">
        <v>30.85</v>
      </c>
      <c r="K238" s="123">
        <v>6.53</v>
      </c>
      <c r="L238" s="123">
        <f t="shared" si="7"/>
        <v>4.9000000000000004</v>
      </c>
      <c r="M238" s="124">
        <v>4.9000000000000002E-2</v>
      </c>
      <c r="N238" s="124">
        <v>5.8</v>
      </c>
      <c r="O238" s="125">
        <f>'Trade Data'!B17</f>
        <v>0.20459335150255525</v>
      </c>
      <c r="P238" s="126">
        <v>1</v>
      </c>
      <c r="Q238" s="352"/>
      <c r="R238" s="352"/>
      <c r="S238" s="352"/>
      <c r="T238" s="352"/>
      <c r="U238" s="352"/>
      <c r="V238" s="352"/>
      <c r="W238" s="352"/>
      <c r="X238" s="352"/>
      <c r="Y238" s="352"/>
      <c r="Z238" s="352"/>
      <c r="AA238" s="352"/>
      <c r="AB238" s="352"/>
      <c r="AC238" s="352"/>
      <c r="AD238" s="352"/>
      <c r="AE238" s="352"/>
      <c r="AF238" s="352"/>
      <c r="AG238" s="352"/>
      <c r="AH238" s="352"/>
      <c r="AI238" s="352"/>
      <c r="AJ238" s="352"/>
      <c r="AK238" s="352"/>
      <c r="AL238" s="352"/>
      <c r="AM238" s="352"/>
      <c r="AN238" s="352"/>
      <c r="AO238" s="352"/>
      <c r="AP238" s="352"/>
      <c r="AQ238" s="352"/>
      <c r="AR238" s="352"/>
      <c r="AS238" s="352"/>
      <c r="AT238" s="352"/>
      <c r="AU238" s="352"/>
      <c r="AV238" s="352"/>
      <c r="AW238" s="352"/>
      <c r="AX238" s="352"/>
      <c r="AY238" s="352"/>
      <c r="AZ238" s="352"/>
      <c r="BA238" s="352"/>
      <c r="BB238" s="352"/>
      <c r="BC238" s="352"/>
      <c r="BD238" s="352"/>
      <c r="BE238" s="352"/>
      <c r="BF238" s="352"/>
      <c r="BG238" s="352"/>
      <c r="BH238" s="352"/>
      <c r="BI238" s="352"/>
      <c r="BJ238" s="352"/>
      <c r="BK238" s="352"/>
      <c r="BL238" s="352"/>
      <c r="BM238" s="352"/>
      <c r="BN238" s="352"/>
      <c r="BO238" s="352"/>
      <c r="BP238" s="352"/>
      <c r="BQ238" s="352"/>
      <c r="BR238" s="352"/>
      <c r="BS238" s="352"/>
      <c r="BT238" s="352"/>
      <c r="BU238" s="352"/>
      <c r="BV238" s="352"/>
      <c r="BW238" s="352"/>
      <c r="BX238" s="352"/>
      <c r="BY238" s="352"/>
      <c r="BZ238" s="352"/>
      <c r="CA238" s="352"/>
      <c r="CB238" s="352"/>
      <c r="CC238" s="352"/>
      <c r="CD238" s="352"/>
      <c r="CE238" s="352"/>
      <c r="CF238" s="352"/>
      <c r="CG238" s="352"/>
      <c r="CH238" s="352"/>
      <c r="CI238" s="352"/>
      <c r="CJ238" s="352"/>
      <c r="CK238" s="352"/>
      <c r="CL238" s="352"/>
      <c r="CM238" s="352"/>
      <c r="CN238" s="352"/>
      <c r="CO238" s="352"/>
      <c r="CP238" s="352"/>
      <c r="CQ238" s="352"/>
      <c r="CR238" s="352"/>
      <c r="CS238" s="352"/>
      <c r="CT238" s="352"/>
      <c r="CU238" s="352"/>
      <c r="CV238" s="352"/>
      <c r="CW238" s="352"/>
      <c r="CX238" s="352"/>
      <c r="CY238" s="352"/>
      <c r="CZ238" s="352"/>
      <c r="DA238" s="352"/>
      <c r="DB238" s="352"/>
      <c r="DC238" s="352"/>
      <c r="DD238" s="352"/>
      <c r="DE238" s="352"/>
      <c r="DF238" s="352"/>
      <c r="DG238" s="352"/>
      <c r="DH238" s="352"/>
      <c r="DI238" s="352"/>
      <c r="DJ238" s="352"/>
      <c r="DK238" s="352"/>
      <c r="DL238" s="352"/>
      <c r="DM238" s="352"/>
      <c r="DN238" s="352"/>
      <c r="DO238" s="352"/>
      <c r="DP238" s="352"/>
      <c r="DQ238" s="352"/>
      <c r="DR238" s="352"/>
      <c r="DS238" s="352"/>
      <c r="DT238" s="352"/>
      <c r="DU238" s="352"/>
      <c r="DV238" s="352"/>
      <c r="DW238" s="352"/>
      <c r="DX238" s="352"/>
      <c r="DY238" s="352"/>
      <c r="DZ238" s="352"/>
      <c r="EA238" s="352"/>
      <c r="EB238" s="352"/>
      <c r="EC238" s="352"/>
      <c r="ED238" s="352"/>
      <c r="EE238" s="352"/>
      <c r="EF238" s="352"/>
      <c r="EG238" s="352"/>
      <c r="EH238" s="352"/>
      <c r="EI238" s="352"/>
      <c r="EJ238" s="352"/>
      <c r="EK238" s="352"/>
      <c r="EL238" s="352"/>
      <c r="EM238" s="352"/>
      <c r="EN238" s="352"/>
    </row>
    <row r="239" spans="1:144" s="169" customFormat="1" ht="20.100000000000001" customHeight="1">
      <c r="A239" s="160" t="s">
        <v>78</v>
      </c>
      <c r="B239" s="160" t="s">
        <v>646</v>
      </c>
      <c r="C239" s="161">
        <v>0</v>
      </c>
      <c r="D239" s="162">
        <f>'Sectors % GDP'!E20</f>
        <v>9697.0919999999987</v>
      </c>
      <c r="E239" s="162">
        <f t="shared" si="6"/>
        <v>0</v>
      </c>
      <c r="F239" s="165">
        <v>0</v>
      </c>
      <c r="G239" s="162">
        <v>0</v>
      </c>
      <c r="H239" s="164">
        <v>18.91</v>
      </c>
      <c r="I239" s="163">
        <v>50.66</v>
      </c>
      <c r="J239" s="165">
        <v>25.41</v>
      </c>
      <c r="K239" s="165">
        <v>6.53</v>
      </c>
      <c r="L239" s="165">
        <f t="shared" si="7"/>
        <v>4.9000000000000004</v>
      </c>
      <c r="M239" s="166">
        <v>4.9000000000000002E-2</v>
      </c>
      <c r="N239" s="166">
        <v>5.8</v>
      </c>
      <c r="O239" s="167">
        <f>'Trade Data'!B17</f>
        <v>0.20459335150255525</v>
      </c>
      <c r="P239" s="170">
        <v>0</v>
      </c>
      <c r="Q239" s="352"/>
      <c r="R239" s="352"/>
      <c r="S239" s="352"/>
      <c r="T239" s="352"/>
      <c r="U239" s="352"/>
      <c r="V239" s="352"/>
      <c r="W239" s="352"/>
      <c r="X239" s="352"/>
      <c r="Y239" s="352"/>
      <c r="Z239" s="352"/>
      <c r="AA239" s="352"/>
      <c r="AB239" s="352"/>
      <c r="AC239" s="352"/>
      <c r="AD239" s="352"/>
      <c r="AE239" s="352"/>
      <c r="AF239" s="352"/>
      <c r="AG239" s="352"/>
      <c r="AH239" s="352"/>
      <c r="AI239" s="352"/>
      <c r="AJ239" s="352"/>
      <c r="AK239" s="352"/>
      <c r="AL239" s="352"/>
      <c r="AM239" s="352"/>
      <c r="AN239" s="352"/>
      <c r="AO239" s="352"/>
      <c r="AP239" s="352"/>
      <c r="AQ239" s="352"/>
      <c r="AR239" s="352"/>
      <c r="AS239" s="352"/>
      <c r="AT239" s="352"/>
      <c r="AU239" s="352"/>
      <c r="AV239" s="352"/>
      <c r="AW239" s="352"/>
      <c r="AX239" s="352"/>
      <c r="AY239" s="352"/>
      <c r="AZ239" s="352"/>
      <c r="BA239" s="352"/>
      <c r="BB239" s="352"/>
      <c r="BC239" s="352"/>
      <c r="BD239" s="352"/>
      <c r="BE239" s="352"/>
      <c r="BF239" s="352"/>
      <c r="BG239" s="352"/>
      <c r="BH239" s="352"/>
      <c r="BI239" s="352"/>
      <c r="BJ239" s="352"/>
      <c r="BK239" s="352"/>
      <c r="BL239" s="352"/>
      <c r="BM239" s="352"/>
      <c r="BN239" s="352"/>
      <c r="BO239" s="352"/>
      <c r="BP239" s="352"/>
      <c r="BQ239" s="352"/>
      <c r="BR239" s="352"/>
      <c r="BS239" s="352"/>
      <c r="BT239" s="352"/>
      <c r="BU239" s="352"/>
      <c r="BV239" s="352"/>
      <c r="BW239" s="352"/>
      <c r="BX239" s="352"/>
      <c r="BY239" s="352"/>
      <c r="BZ239" s="352"/>
      <c r="CA239" s="352"/>
      <c r="CB239" s="352"/>
      <c r="CC239" s="352"/>
      <c r="CD239" s="352"/>
      <c r="CE239" s="352"/>
      <c r="CF239" s="352"/>
      <c r="CG239" s="352"/>
      <c r="CH239" s="352"/>
      <c r="CI239" s="352"/>
      <c r="CJ239" s="352"/>
      <c r="CK239" s="352"/>
      <c r="CL239" s="352"/>
      <c r="CM239" s="352"/>
      <c r="CN239" s="352"/>
      <c r="CO239" s="352"/>
      <c r="CP239" s="352"/>
      <c r="CQ239" s="352"/>
      <c r="CR239" s="352"/>
      <c r="CS239" s="352"/>
      <c r="CT239" s="352"/>
      <c r="CU239" s="352"/>
      <c r="CV239" s="352"/>
      <c r="CW239" s="352"/>
      <c r="CX239" s="352"/>
      <c r="CY239" s="352"/>
      <c r="CZ239" s="352"/>
      <c r="DA239" s="352"/>
      <c r="DB239" s="352"/>
      <c r="DC239" s="352"/>
      <c r="DD239" s="352"/>
      <c r="DE239" s="352"/>
      <c r="DF239" s="352"/>
      <c r="DG239" s="352"/>
      <c r="DH239" s="352"/>
      <c r="DI239" s="352"/>
      <c r="DJ239" s="352"/>
      <c r="DK239" s="352"/>
      <c r="DL239" s="352"/>
      <c r="DM239" s="352"/>
      <c r="DN239" s="352"/>
      <c r="DO239" s="352"/>
      <c r="DP239" s="352"/>
      <c r="DQ239" s="352"/>
      <c r="DR239" s="352"/>
      <c r="DS239" s="352"/>
      <c r="DT239" s="352"/>
      <c r="DU239" s="352"/>
      <c r="DV239" s="352"/>
      <c r="DW239" s="352"/>
      <c r="DX239" s="352"/>
      <c r="DY239" s="352"/>
      <c r="DZ239" s="352"/>
      <c r="EA239" s="352"/>
      <c r="EB239" s="352"/>
      <c r="EC239" s="352"/>
      <c r="ED239" s="352"/>
      <c r="EE239" s="352"/>
      <c r="EF239" s="352"/>
      <c r="EG239" s="352"/>
      <c r="EH239" s="352"/>
      <c r="EI239" s="352"/>
      <c r="EJ239" s="352"/>
      <c r="EK239" s="352"/>
      <c r="EL239" s="352"/>
      <c r="EM239" s="352"/>
      <c r="EN239" s="352"/>
    </row>
    <row r="240" spans="1:144" s="188" customFormat="1" ht="20.100000000000001" customHeight="1">
      <c r="A240" s="179" t="s">
        <v>78</v>
      </c>
      <c r="B240" s="179" t="s">
        <v>645</v>
      </c>
      <c r="C240" s="180">
        <v>0</v>
      </c>
      <c r="D240" s="181">
        <f>'Sectors % GDP'!E21</f>
        <v>39483.94</v>
      </c>
      <c r="E240" s="181">
        <f t="shared" si="6"/>
        <v>0</v>
      </c>
      <c r="F240" s="184">
        <v>0</v>
      </c>
      <c r="G240" s="181">
        <v>0</v>
      </c>
      <c r="H240" s="183">
        <v>18.91</v>
      </c>
      <c r="I240" s="182">
        <v>50.66</v>
      </c>
      <c r="J240" s="184">
        <v>25.41</v>
      </c>
      <c r="K240" s="184">
        <v>6.53</v>
      </c>
      <c r="L240" s="184">
        <f t="shared" si="7"/>
        <v>4.9000000000000004</v>
      </c>
      <c r="M240" s="185">
        <v>4.9000000000000002E-2</v>
      </c>
      <c r="N240" s="185">
        <v>5.8</v>
      </c>
      <c r="O240" s="186">
        <f>'Trade Data'!B17</f>
        <v>0.20459335150255525</v>
      </c>
      <c r="P240" s="189">
        <v>1</v>
      </c>
      <c r="Q240" s="352"/>
      <c r="R240" s="352"/>
      <c r="S240" s="352"/>
      <c r="T240" s="352"/>
      <c r="U240" s="352"/>
      <c r="V240" s="352"/>
      <c r="W240" s="352"/>
      <c r="X240" s="352"/>
      <c r="Y240" s="352"/>
      <c r="Z240" s="352"/>
      <c r="AA240" s="352"/>
      <c r="AB240" s="352"/>
      <c r="AC240" s="352"/>
      <c r="AD240" s="352"/>
      <c r="AE240" s="352"/>
      <c r="AF240" s="352"/>
      <c r="AG240" s="352"/>
      <c r="AH240" s="352"/>
      <c r="AI240" s="352"/>
      <c r="AJ240" s="352"/>
      <c r="AK240" s="352"/>
      <c r="AL240" s="352"/>
      <c r="AM240" s="352"/>
      <c r="AN240" s="352"/>
      <c r="AO240" s="352"/>
      <c r="AP240" s="352"/>
      <c r="AQ240" s="352"/>
      <c r="AR240" s="352"/>
      <c r="AS240" s="352"/>
      <c r="AT240" s="352"/>
      <c r="AU240" s="352"/>
      <c r="AV240" s="352"/>
      <c r="AW240" s="352"/>
      <c r="AX240" s="352"/>
      <c r="AY240" s="352"/>
      <c r="AZ240" s="352"/>
      <c r="BA240" s="352"/>
      <c r="BB240" s="352"/>
      <c r="BC240" s="352"/>
      <c r="BD240" s="352"/>
      <c r="BE240" s="352"/>
      <c r="BF240" s="352"/>
      <c r="BG240" s="352"/>
      <c r="BH240" s="352"/>
      <c r="BI240" s="352"/>
      <c r="BJ240" s="352"/>
      <c r="BK240" s="352"/>
      <c r="BL240" s="352"/>
      <c r="BM240" s="352"/>
      <c r="BN240" s="352"/>
      <c r="BO240" s="352"/>
      <c r="BP240" s="352"/>
      <c r="BQ240" s="352"/>
      <c r="BR240" s="352"/>
      <c r="BS240" s="352"/>
      <c r="BT240" s="352"/>
      <c r="BU240" s="352"/>
      <c r="BV240" s="352"/>
      <c r="BW240" s="352"/>
      <c r="BX240" s="352"/>
      <c r="BY240" s="352"/>
      <c r="BZ240" s="352"/>
      <c r="CA240" s="352"/>
      <c r="CB240" s="352"/>
      <c r="CC240" s="352"/>
      <c r="CD240" s="352"/>
      <c r="CE240" s="352"/>
      <c r="CF240" s="352"/>
      <c r="CG240" s="352"/>
      <c r="CH240" s="352"/>
      <c r="CI240" s="352"/>
      <c r="CJ240" s="352"/>
      <c r="CK240" s="352"/>
      <c r="CL240" s="352"/>
      <c r="CM240" s="352"/>
      <c r="CN240" s="352"/>
      <c r="CO240" s="352"/>
      <c r="CP240" s="352"/>
      <c r="CQ240" s="352"/>
      <c r="CR240" s="352"/>
      <c r="CS240" s="352"/>
      <c r="CT240" s="352"/>
      <c r="CU240" s="352"/>
      <c r="CV240" s="352"/>
      <c r="CW240" s="352"/>
      <c r="CX240" s="352"/>
      <c r="CY240" s="352"/>
      <c r="CZ240" s="352"/>
      <c r="DA240" s="352"/>
      <c r="DB240" s="352"/>
      <c r="DC240" s="352"/>
      <c r="DD240" s="352"/>
      <c r="DE240" s="352"/>
      <c r="DF240" s="352"/>
      <c r="DG240" s="352"/>
      <c r="DH240" s="352"/>
      <c r="DI240" s="352"/>
      <c r="DJ240" s="352"/>
      <c r="DK240" s="352"/>
      <c r="DL240" s="352"/>
      <c r="DM240" s="352"/>
      <c r="DN240" s="352"/>
      <c r="DO240" s="352"/>
      <c r="DP240" s="352"/>
      <c r="DQ240" s="352"/>
      <c r="DR240" s="352"/>
      <c r="DS240" s="352"/>
      <c r="DT240" s="352"/>
      <c r="DU240" s="352"/>
      <c r="DV240" s="352"/>
      <c r="DW240" s="352"/>
      <c r="DX240" s="352"/>
      <c r="DY240" s="352"/>
      <c r="DZ240" s="352"/>
      <c r="EA240" s="352"/>
      <c r="EB240" s="352"/>
      <c r="EC240" s="352"/>
      <c r="ED240" s="352"/>
      <c r="EE240" s="352"/>
      <c r="EF240" s="352"/>
      <c r="EG240" s="352"/>
      <c r="EH240" s="352"/>
      <c r="EI240" s="352"/>
      <c r="EJ240" s="352"/>
      <c r="EK240" s="352"/>
      <c r="EL240" s="352"/>
      <c r="EM240" s="352"/>
      <c r="EN240" s="352"/>
    </row>
    <row r="241" spans="1:144" ht="20.100000000000001" customHeight="1">
      <c r="A241" s="118" t="s">
        <v>78</v>
      </c>
      <c r="B241" s="118" t="s">
        <v>644</v>
      </c>
      <c r="C241" s="119">
        <v>0</v>
      </c>
      <c r="D241" s="120">
        <f>'Sectors % GDP'!E22</f>
        <v>53108.968000000001</v>
      </c>
      <c r="E241" s="120">
        <f t="shared" si="6"/>
        <v>0</v>
      </c>
      <c r="F241" s="123">
        <v>0</v>
      </c>
      <c r="G241" s="120">
        <v>0</v>
      </c>
      <c r="H241" s="122">
        <v>18.91</v>
      </c>
      <c r="I241" s="121">
        <v>50.66</v>
      </c>
      <c r="J241" s="123">
        <v>25.41</v>
      </c>
      <c r="K241" s="123">
        <v>6.53</v>
      </c>
      <c r="L241" s="123">
        <f t="shared" si="7"/>
        <v>4.9000000000000004</v>
      </c>
      <c r="M241" s="124">
        <v>4.9000000000000002E-2</v>
      </c>
      <c r="N241" s="124">
        <v>5.8</v>
      </c>
      <c r="O241" s="125">
        <f>'Trade Data'!B17</f>
        <v>0.20459335150255525</v>
      </c>
      <c r="P241" s="127">
        <v>1</v>
      </c>
      <c r="Q241" s="352"/>
      <c r="R241" s="352"/>
      <c r="S241" s="352"/>
      <c r="T241" s="352"/>
      <c r="U241" s="352"/>
      <c r="V241" s="352"/>
      <c r="W241" s="352"/>
      <c r="X241" s="352"/>
      <c r="Y241" s="352"/>
      <c r="Z241" s="352"/>
      <c r="AA241" s="352"/>
      <c r="AB241" s="352"/>
      <c r="AC241" s="352"/>
      <c r="AD241" s="352"/>
      <c r="AE241" s="352"/>
      <c r="AF241" s="352"/>
      <c r="AG241" s="352"/>
      <c r="AH241" s="352"/>
      <c r="AI241" s="352"/>
      <c r="AJ241" s="352"/>
      <c r="AK241" s="352"/>
      <c r="AL241" s="352"/>
      <c r="AM241" s="352"/>
      <c r="AN241" s="352"/>
      <c r="AO241" s="352"/>
      <c r="AP241" s="352"/>
      <c r="AQ241" s="352"/>
      <c r="AR241" s="352"/>
      <c r="AS241" s="352"/>
      <c r="AT241" s="352"/>
      <c r="AU241" s="352"/>
      <c r="AV241" s="352"/>
      <c r="AW241" s="352"/>
      <c r="AX241" s="352"/>
      <c r="AY241" s="352"/>
      <c r="AZ241" s="352"/>
      <c r="BA241" s="352"/>
      <c r="BB241" s="352"/>
      <c r="BC241" s="352"/>
      <c r="BD241" s="352"/>
      <c r="BE241" s="352"/>
      <c r="BF241" s="352"/>
      <c r="BG241" s="352"/>
      <c r="BH241" s="352"/>
      <c r="BI241" s="352"/>
      <c r="BJ241" s="352"/>
      <c r="BK241" s="352"/>
      <c r="BL241" s="352"/>
      <c r="BM241" s="352"/>
      <c r="BN241" s="352"/>
      <c r="BO241" s="352"/>
      <c r="BP241" s="352"/>
      <c r="BQ241" s="352"/>
      <c r="BR241" s="352"/>
      <c r="BS241" s="352"/>
      <c r="BT241" s="352"/>
      <c r="BU241" s="352"/>
      <c r="BV241" s="352"/>
      <c r="BW241" s="352"/>
      <c r="BX241" s="352"/>
      <c r="BY241" s="352"/>
      <c r="BZ241" s="352"/>
      <c r="CA241" s="352"/>
      <c r="CB241" s="352"/>
      <c r="CC241" s="352"/>
      <c r="CD241" s="352"/>
      <c r="CE241" s="352"/>
      <c r="CF241" s="352"/>
      <c r="CG241" s="352"/>
      <c r="CH241" s="352"/>
      <c r="CI241" s="352"/>
      <c r="CJ241" s="352"/>
      <c r="CK241" s="352"/>
      <c r="CL241" s="352"/>
      <c r="CM241" s="352"/>
      <c r="CN241" s="352"/>
      <c r="CO241" s="352"/>
      <c r="CP241" s="352"/>
      <c r="CQ241" s="352"/>
      <c r="CR241" s="352"/>
      <c r="CS241" s="352"/>
      <c r="CT241" s="352"/>
      <c r="CU241" s="352"/>
      <c r="CV241" s="352"/>
      <c r="CW241" s="352"/>
      <c r="CX241" s="352"/>
      <c r="CY241" s="352"/>
      <c r="CZ241" s="352"/>
      <c r="DA241" s="352"/>
      <c r="DB241" s="352"/>
      <c r="DC241" s="352"/>
      <c r="DD241" s="352"/>
      <c r="DE241" s="352"/>
      <c r="DF241" s="352"/>
      <c r="DG241" s="352"/>
      <c r="DH241" s="352"/>
      <c r="DI241" s="352"/>
      <c r="DJ241" s="352"/>
      <c r="DK241" s="352"/>
      <c r="DL241" s="352"/>
      <c r="DM241" s="352"/>
      <c r="DN241" s="352"/>
      <c r="DO241" s="352"/>
      <c r="DP241" s="352"/>
      <c r="DQ241" s="352"/>
      <c r="DR241" s="352"/>
      <c r="DS241" s="352"/>
      <c r="DT241" s="352"/>
      <c r="DU241" s="352"/>
      <c r="DV241" s="352"/>
      <c r="DW241" s="352"/>
      <c r="DX241" s="352"/>
      <c r="DY241" s="352"/>
      <c r="DZ241" s="352"/>
      <c r="EA241" s="352"/>
      <c r="EB241" s="352"/>
      <c r="EC241" s="352"/>
      <c r="ED241" s="352"/>
      <c r="EE241" s="352"/>
      <c r="EF241" s="352"/>
      <c r="EG241" s="352"/>
      <c r="EH241" s="352"/>
      <c r="EI241" s="352"/>
      <c r="EJ241" s="352"/>
      <c r="EK241" s="352"/>
      <c r="EL241" s="352"/>
      <c r="EM241" s="352"/>
      <c r="EN241" s="352"/>
    </row>
    <row r="242" spans="1:144" s="169" customFormat="1" ht="20.100000000000001" customHeight="1">
      <c r="A242" s="160" t="s">
        <v>79</v>
      </c>
      <c r="B242" s="160" t="s">
        <v>643</v>
      </c>
      <c r="C242" s="161">
        <v>0</v>
      </c>
      <c r="D242" s="162">
        <f>'Sectors % GDP'!E20</f>
        <v>9697.0919999999987</v>
      </c>
      <c r="E242" s="162">
        <f t="shared" si="6"/>
        <v>0</v>
      </c>
      <c r="F242" s="165">
        <v>0</v>
      </c>
      <c r="G242" s="162">
        <v>0</v>
      </c>
      <c r="H242" s="164">
        <v>13.76</v>
      </c>
      <c r="I242" s="163">
        <v>45.69</v>
      </c>
      <c r="J242" s="165">
        <v>13.92</v>
      </c>
      <c r="K242" s="165">
        <v>6.53</v>
      </c>
      <c r="L242" s="165">
        <f t="shared" si="7"/>
        <v>3.8</v>
      </c>
      <c r="M242" s="166">
        <v>3.7999999999999999E-2</v>
      </c>
      <c r="N242" s="166">
        <v>5</v>
      </c>
      <c r="O242" s="167">
        <f>'Trade Data'!D17</f>
        <v>0.21478515098898887</v>
      </c>
      <c r="P242" s="168">
        <v>0</v>
      </c>
      <c r="Q242" s="352"/>
      <c r="R242" s="352"/>
      <c r="S242" s="352"/>
      <c r="T242" s="352"/>
      <c r="U242" s="352"/>
      <c r="V242" s="352"/>
      <c r="W242" s="352"/>
      <c r="X242" s="352"/>
      <c r="Y242" s="352"/>
      <c r="Z242" s="352"/>
      <c r="AA242" s="352"/>
      <c r="AB242" s="352"/>
      <c r="AC242" s="352"/>
      <c r="AD242" s="352"/>
      <c r="AE242" s="352"/>
      <c r="AF242" s="352"/>
      <c r="AG242" s="352"/>
      <c r="AH242" s="352"/>
      <c r="AI242" s="352"/>
      <c r="AJ242" s="352"/>
      <c r="AK242" s="352"/>
      <c r="AL242" s="352"/>
      <c r="AM242" s="352"/>
      <c r="AN242" s="352"/>
      <c r="AO242" s="352"/>
      <c r="AP242" s="352"/>
      <c r="AQ242" s="352"/>
      <c r="AR242" s="352"/>
      <c r="AS242" s="352"/>
      <c r="AT242" s="352"/>
      <c r="AU242" s="352"/>
      <c r="AV242" s="352"/>
      <c r="AW242" s="352"/>
      <c r="AX242" s="352"/>
      <c r="AY242" s="352"/>
      <c r="AZ242" s="352"/>
      <c r="BA242" s="352"/>
      <c r="BB242" s="352"/>
      <c r="BC242" s="352"/>
      <c r="BD242" s="352"/>
      <c r="BE242" s="352"/>
      <c r="BF242" s="352"/>
      <c r="BG242" s="352"/>
      <c r="BH242" s="352"/>
      <c r="BI242" s="352"/>
      <c r="BJ242" s="352"/>
      <c r="BK242" s="352"/>
      <c r="BL242" s="352"/>
      <c r="BM242" s="352"/>
      <c r="BN242" s="352"/>
      <c r="BO242" s="352"/>
      <c r="BP242" s="352"/>
      <c r="BQ242" s="352"/>
      <c r="BR242" s="352"/>
      <c r="BS242" s="352"/>
      <c r="BT242" s="352"/>
      <c r="BU242" s="352"/>
      <c r="BV242" s="352"/>
      <c r="BW242" s="352"/>
      <c r="BX242" s="352"/>
      <c r="BY242" s="352"/>
      <c r="BZ242" s="352"/>
      <c r="CA242" s="352"/>
      <c r="CB242" s="352"/>
      <c r="CC242" s="352"/>
      <c r="CD242" s="352"/>
      <c r="CE242" s="352"/>
      <c r="CF242" s="352"/>
      <c r="CG242" s="352"/>
      <c r="CH242" s="352"/>
      <c r="CI242" s="352"/>
      <c r="CJ242" s="352"/>
      <c r="CK242" s="352"/>
      <c r="CL242" s="352"/>
      <c r="CM242" s="352"/>
      <c r="CN242" s="352"/>
      <c r="CO242" s="352"/>
      <c r="CP242" s="352"/>
      <c r="CQ242" s="352"/>
      <c r="CR242" s="352"/>
      <c r="CS242" s="352"/>
      <c r="CT242" s="352"/>
      <c r="CU242" s="352"/>
      <c r="CV242" s="352"/>
      <c r="CW242" s="352"/>
      <c r="CX242" s="352"/>
      <c r="CY242" s="352"/>
      <c r="CZ242" s="352"/>
      <c r="DA242" s="352"/>
      <c r="DB242" s="352"/>
      <c r="DC242" s="352"/>
      <c r="DD242" s="352"/>
      <c r="DE242" s="352"/>
      <c r="DF242" s="352"/>
      <c r="DG242" s="352"/>
      <c r="DH242" s="352"/>
      <c r="DI242" s="352"/>
      <c r="DJ242" s="352"/>
      <c r="DK242" s="352"/>
      <c r="DL242" s="352"/>
      <c r="DM242" s="352"/>
      <c r="DN242" s="352"/>
      <c r="DO242" s="352"/>
      <c r="DP242" s="352"/>
      <c r="DQ242" s="352"/>
      <c r="DR242" s="352"/>
      <c r="DS242" s="352"/>
      <c r="DT242" s="352"/>
      <c r="DU242" s="352"/>
      <c r="DV242" s="352"/>
      <c r="DW242" s="352"/>
      <c r="DX242" s="352"/>
      <c r="DY242" s="352"/>
      <c r="DZ242" s="352"/>
      <c r="EA242" s="352"/>
      <c r="EB242" s="352"/>
      <c r="EC242" s="352"/>
      <c r="ED242" s="352"/>
      <c r="EE242" s="352"/>
      <c r="EF242" s="352"/>
      <c r="EG242" s="352"/>
      <c r="EH242" s="352"/>
      <c r="EI242" s="352"/>
      <c r="EJ242" s="352"/>
      <c r="EK242" s="352"/>
      <c r="EL242" s="352"/>
      <c r="EM242" s="352"/>
      <c r="EN242" s="352"/>
    </row>
    <row r="243" spans="1:144" s="188" customFormat="1" ht="20.100000000000001" customHeight="1">
      <c r="A243" s="179" t="s">
        <v>79</v>
      </c>
      <c r="B243" s="179" t="s">
        <v>642</v>
      </c>
      <c r="C243" s="180">
        <v>0</v>
      </c>
      <c r="D243" s="181">
        <f>'Sectors % GDP'!E21</f>
        <v>39483.94</v>
      </c>
      <c r="E243" s="181">
        <f t="shared" si="6"/>
        <v>0</v>
      </c>
      <c r="F243" s="184">
        <v>0</v>
      </c>
      <c r="G243" s="181">
        <v>0</v>
      </c>
      <c r="H243" s="183">
        <v>13.76</v>
      </c>
      <c r="I243" s="182">
        <v>45.69</v>
      </c>
      <c r="J243" s="184">
        <v>13.92</v>
      </c>
      <c r="K243" s="184">
        <v>6.53</v>
      </c>
      <c r="L243" s="184">
        <f t="shared" si="7"/>
        <v>3.8</v>
      </c>
      <c r="M243" s="185">
        <v>3.7999999999999999E-2</v>
      </c>
      <c r="N243" s="185">
        <v>5</v>
      </c>
      <c r="O243" s="186">
        <f>'Trade Data'!D17</f>
        <v>0.21478515098898887</v>
      </c>
      <c r="P243" s="187">
        <v>1</v>
      </c>
      <c r="Q243" s="352"/>
      <c r="R243" s="352"/>
      <c r="S243" s="352"/>
      <c r="T243" s="352"/>
      <c r="U243" s="352"/>
      <c r="V243" s="352"/>
      <c r="W243" s="352"/>
      <c r="X243" s="352"/>
      <c r="Y243" s="352"/>
      <c r="Z243" s="352"/>
      <c r="AA243" s="352"/>
      <c r="AB243" s="352"/>
      <c r="AC243" s="352"/>
      <c r="AD243" s="352"/>
      <c r="AE243" s="352"/>
      <c r="AF243" s="352"/>
      <c r="AG243" s="352"/>
      <c r="AH243" s="352"/>
      <c r="AI243" s="352"/>
      <c r="AJ243" s="352"/>
      <c r="AK243" s="352"/>
      <c r="AL243" s="352"/>
      <c r="AM243" s="352"/>
      <c r="AN243" s="352"/>
      <c r="AO243" s="352"/>
      <c r="AP243" s="352"/>
      <c r="AQ243" s="352"/>
      <c r="AR243" s="352"/>
      <c r="AS243" s="352"/>
      <c r="AT243" s="352"/>
      <c r="AU243" s="352"/>
      <c r="AV243" s="352"/>
      <c r="AW243" s="352"/>
      <c r="AX243" s="352"/>
      <c r="AY243" s="352"/>
      <c r="AZ243" s="352"/>
      <c r="BA243" s="352"/>
      <c r="BB243" s="352"/>
      <c r="BC243" s="352"/>
      <c r="BD243" s="352"/>
      <c r="BE243" s="352"/>
      <c r="BF243" s="352"/>
      <c r="BG243" s="352"/>
      <c r="BH243" s="352"/>
      <c r="BI243" s="352"/>
      <c r="BJ243" s="352"/>
      <c r="BK243" s="352"/>
      <c r="BL243" s="352"/>
      <c r="BM243" s="352"/>
      <c r="BN243" s="352"/>
      <c r="BO243" s="352"/>
      <c r="BP243" s="352"/>
      <c r="BQ243" s="352"/>
      <c r="BR243" s="352"/>
      <c r="BS243" s="352"/>
      <c r="BT243" s="352"/>
      <c r="BU243" s="352"/>
      <c r="BV243" s="352"/>
      <c r="BW243" s="352"/>
      <c r="BX243" s="352"/>
      <c r="BY243" s="352"/>
      <c r="BZ243" s="352"/>
      <c r="CA243" s="352"/>
      <c r="CB243" s="352"/>
      <c r="CC243" s="352"/>
      <c r="CD243" s="352"/>
      <c r="CE243" s="352"/>
      <c r="CF243" s="352"/>
      <c r="CG243" s="352"/>
      <c r="CH243" s="352"/>
      <c r="CI243" s="352"/>
      <c r="CJ243" s="352"/>
      <c r="CK243" s="352"/>
      <c r="CL243" s="352"/>
      <c r="CM243" s="352"/>
      <c r="CN243" s="352"/>
      <c r="CO243" s="352"/>
      <c r="CP243" s="352"/>
      <c r="CQ243" s="352"/>
      <c r="CR243" s="352"/>
      <c r="CS243" s="352"/>
      <c r="CT243" s="352"/>
      <c r="CU243" s="352"/>
      <c r="CV243" s="352"/>
      <c r="CW243" s="352"/>
      <c r="CX243" s="352"/>
      <c r="CY243" s="352"/>
      <c r="CZ243" s="352"/>
      <c r="DA243" s="352"/>
      <c r="DB243" s="352"/>
      <c r="DC243" s="352"/>
      <c r="DD243" s="352"/>
      <c r="DE243" s="352"/>
      <c r="DF243" s="352"/>
      <c r="DG243" s="352"/>
      <c r="DH243" s="352"/>
      <c r="DI243" s="352"/>
      <c r="DJ243" s="352"/>
      <c r="DK243" s="352"/>
      <c r="DL243" s="352"/>
      <c r="DM243" s="352"/>
      <c r="DN243" s="352"/>
      <c r="DO243" s="352"/>
      <c r="DP243" s="352"/>
      <c r="DQ243" s="352"/>
      <c r="DR243" s="352"/>
      <c r="DS243" s="352"/>
      <c r="DT243" s="352"/>
      <c r="DU243" s="352"/>
      <c r="DV243" s="352"/>
      <c r="DW243" s="352"/>
      <c r="DX243" s="352"/>
      <c r="DY243" s="352"/>
      <c r="DZ243" s="352"/>
      <c r="EA243" s="352"/>
      <c r="EB243" s="352"/>
      <c r="EC243" s="352"/>
      <c r="ED243" s="352"/>
      <c r="EE243" s="352"/>
      <c r="EF243" s="352"/>
      <c r="EG243" s="352"/>
      <c r="EH243" s="352"/>
      <c r="EI243" s="352"/>
      <c r="EJ243" s="352"/>
      <c r="EK243" s="352"/>
      <c r="EL243" s="352"/>
      <c r="EM243" s="352"/>
      <c r="EN243" s="352"/>
    </row>
    <row r="244" spans="1:144" ht="20.100000000000001" customHeight="1">
      <c r="A244" s="118" t="s">
        <v>79</v>
      </c>
      <c r="B244" s="118" t="s">
        <v>641</v>
      </c>
      <c r="C244" s="119">
        <v>0</v>
      </c>
      <c r="D244" s="120">
        <f>'Sectors % GDP'!E22</f>
        <v>53108.968000000001</v>
      </c>
      <c r="E244" s="120">
        <f t="shared" si="6"/>
        <v>0</v>
      </c>
      <c r="F244" s="123">
        <v>1</v>
      </c>
      <c r="G244" s="120">
        <v>1</v>
      </c>
      <c r="H244" s="122">
        <v>13.76</v>
      </c>
      <c r="I244" s="121">
        <v>45.69</v>
      </c>
      <c r="J244" s="123">
        <v>13.92</v>
      </c>
      <c r="K244" s="123">
        <v>6.53</v>
      </c>
      <c r="L244" s="123">
        <f t="shared" si="7"/>
        <v>3.8</v>
      </c>
      <c r="M244" s="124">
        <v>3.7999999999999999E-2</v>
      </c>
      <c r="N244" s="124">
        <v>5</v>
      </c>
      <c r="O244" s="125">
        <f>'Trade Data'!D17</f>
        <v>0.21478515098898887</v>
      </c>
      <c r="P244" s="126">
        <v>1</v>
      </c>
      <c r="Q244" s="352"/>
      <c r="R244" s="352"/>
      <c r="S244" s="352"/>
      <c r="T244" s="352"/>
      <c r="U244" s="352"/>
      <c r="V244" s="352"/>
      <c r="W244" s="352"/>
      <c r="X244" s="352"/>
      <c r="Y244" s="352"/>
      <c r="Z244" s="352"/>
      <c r="AA244" s="352"/>
      <c r="AB244" s="352"/>
      <c r="AC244" s="352"/>
      <c r="AD244" s="352"/>
      <c r="AE244" s="352"/>
      <c r="AF244" s="352"/>
      <c r="AG244" s="352"/>
      <c r="AH244" s="352"/>
      <c r="AI244" s="352"/>
      <c r="AJ244" s="352"/>
      <c r="AK244" s="352"/>
      <c r="AL244" s="352"/>
      <c r="AM244" s="352"/>
      <c r="AN244" s="352"/>
      <c r="AO244" s="352"/>
      <c r="AP244" s="352"/>
      <c r="AQ244" s="352"/>
      <c r="AR244" s="352"/>
      <c r="AS244" s="352"/>
      <c r="AT244" s="352"/>
      <c r="AU244" s="352"/>
      <c r="AV244" s="352"/>
      <c r="AW244" s="352"/>
      <c r="AX244" s="352"/>
      <c r="AY244" s="352"/>
      <c r="AZ244" s="352"/>
      <c r="BA244" s="352"/>
      <c r="BB244" s="352"/>
      <c r="BC244" s="352"/>
      <c r="BD244" s="352"/>
      <c r="BE244" s="352"/>
      <c r="BF244" s="352"/>
      <c r="BG244" s="352"/>
      <c r="BH244" s="352"/>
      <c r="BI244" s="352"/>
      <c r="BJ244" s="352"/>
      <c r="BK244" s="352"/>
      <c r="BL244" s="352"/>
      <c r="BM244" s="352"/>
      <c r="BN244" s="352"/>
      <c r="BO244" s="352"/>
      <c r="BP244" s="352"/>
      <c r="BQ244" s="352"/>
      <c r="BR244" s="352"/>
      <c r="BS244" s="352"/>
      <c r="BT244" s="352"/>
      <c r="BU244" s="352"/>
      <c r="BV244" s="352"/>
      <c r="BW244" s="352"/>
      <c r="BX244" s="352"/>
      <c r="BY244" s="352"/>
      <c r="BZ244" s="352"/>
      <c r="CA244" s="352"/>
      <c r="CB244" s="352"/>
      <c r="CC244" s="352"/>
      <c r="CD244" s="352"/>
      <c r="CE244" s="352"/>
      <c r="CF244" s="352"/>
      <c r="CG244" s="352"/>
      <c r="CH244" s="352"/>
      <c r="CI244" s="352"/>
      <c r="CJ244" s="352"/>
      <c r="CK244" s="352"/>
      <c r="CL244" s="352"/>
      <c r="CM244" s="352"/>
      <c r="CN244" s="352"/>
      <c r="CO244" s="352"/>
      <c r="CP244" s="352"/>
      <c r="CQ244" s="352"/>
      <c r="CR244" s="352"/>
      <c r="CS244" s="352"/>
      <c r="CT244" s="352"/>
      <c r="CU244" s="352"/>
      <c r="CV244" s="352"/>
      <c r="CW244" s="352"/>
      <c r="CX244" s="352"/>
      <c r="CY244" s="352"/>
      <c r="CZ244" s="352"/>
      <c r="DA244" s="352"/>
      <c r="DB244" s="352"/>
      <c r="DC244" s="352"/>
      <c r="DD244" s="352"/>
      <c r="DE244" s="352"/>
      <c r="DF244" s="352"/>
      <c r="DG244" s="352"/>
      <c r="DH244" s="352"/>
      <c r="DI244" s="352"/>
      <c r="DJ244" s="352"/>
      <c r="DK244" s="352"/>
      <c r="DL244" s="352"/>
      <c r="DM244" s="352"/>
      <c r="DN244" s="352"/>
      <c r="DO244" s="352"/>
      <c r="DP244" s="352"/>
      <c r="DQ244" s="352"/>
      <c r="DR244" s="352"/>
      <c r="DS244" s="352"/>
      <c r="DT244" s="352"/>
      <c r="DU244" s="352"/>
      <c r="DV244" s="352"/>
      <c r="DW244" s="352"/>
      <c r="DX244" s="352"/>
      <c r="DY244" s="352"/>
      <c r="DZ244" s="352"/>
      <c r="EA244" s="352"/>
      <c r="EB244" s="352"/>
      <c r="EC244" s="352"/>
      <c r="ED244" s="352"/>
      <c r="EE244" s="352"/>
      <c r="EF244" s="352"/>
      <c r="EG244" s="352"/>
      <c r="EH244" s="352"/>
      <c r="EI244" s="352"/>
      <c r="EJ244" s="352"/>
      <c r="EK244" s="352"/>
      <c r="EL244" s="352"/>
      <c r="EM244" s="352"/>
      <c r="EN244" s="352"/>
    </row>
    <row r="245" spans="1:144" s="169" customFormat="1" ht="20.100000000000001" customHeight="1">
      <c r="A245" s="160" t="s">
        <v>80</v>
      </c>
      <c r="B245" s="160" t="s">
        <v>640</v>
      </c>
      <c r="C245" s="161">
        <v>0</v>
      </c>
      <c r="D245" s="162">
        <f>'Sectors % GDP'!E20</f>
        <v>9697.0919999999987</v>
      </c>
      <c r="E245" s="162">
        <f t="shared" si="6"/>
        <v>0</v>
      </c>
      <c r="F245" s="165">
        <v>0</v>
      </c>
      <c r="G245" s="162">
        <v>0</v>
      </c>
      <c r="H245" s="164">
        <v>19.22</v>
      </c>
      <c r="I245" s="163">
        <v>43.15</v>
      </c>
      <c r="J245" s="165">
        <v>32.31</v>
      </c>
      <c r="K245" s="165">
        <v>6.53</v>
      </c>
      <c r="L245" s="165">
        <f t="shared" si="7"/>
        <v>3.8</v>
      </c>
      <c r="M245" s="166">
        <v>3.7999999999999999E-2</v>
      </c>
      <c r="N245" s="166">
        <v>5</v>
      </c>
      <c r="O245" s="167">
        <f>'Trade Data'!D17</f>
        <v>0.21478515098898887</v>
      </c>
      <c r="P245" s="170">
        <v>0</v>
      </c>
      <c r="Q245" s="352"/>
      <c r="R245" s="352"/>
      <c r="S245" s="352"/>
      <c r="T245" s="352"/>
      <c r="U245" s="352"/>
      <c r="V245" s="352"/>
      <c r="W245" s="352"/>
      <c r="X245" s="352"/>
      <c r="Y245" s="352"/>
      <c r="Z245" s="352"/>
      <c r="AA245" s="352"/>
      <c r="AB245" s="352"/>
      <c r="AC245" s="352"/>
      <c r="AD245" s="352"/>
      <c r="AE245" s="352"/>
      <c r="AF245" s="352"/>
      <c r="AG245" s="352"/>
      <c r="AH245" s="352"/>
      <c r="AI245" s="352"/>
      <c r="AJ245" s="352"/>
      <c r="AK245" s="352"/>
      <c r="AL245" s="352"/>
      <c r="AM245" s="352"/>
      <c r="AN245" s="352"/>
      <c r="AO245" s="352"/>
      <c r="AP245" s="352"/>
      <c r="AQ245" s="352"/>
      <c r="AR245" s="352"/>
      <c r="AS245" s="352"/>
      <c r="AT245" s="352"/>
      <c r="AU245" s="352"/>
      <c r="AV245" s="352"/>
      <c r="AW245" s="352"/>
      <c r="AX245" s="352"/>
      <c r="AY245" s="352"/>
      <c r="AZ245" s="352"/>
      <c r="BA245" s="352"/>
      <c r="BB245" s="352"/>
      <c r="BC245" s="352"/>
      <c r="BD245" s="352"/>
      <c r="BE245" s="352"/>
      <c r="BF245" s="352"/>
      <c r="BG245" s="352"/>
      <c r="BH245" s="352"/>
      <c r="BI245" s="352"/>
      <c r="BJ245" s="352"/>
      <c r="BK245" s="352"/>
      <c r="BL245" s="352"/>
      <c r="BM245" s="352"/>
      <c r="BN245" s="352"/>
      <c r="BO245" s="352"/>
      <c r="BP245" s="352"/>
      <c r="BQ245" s="352"/>
      <c r="BR245" s="352"/>
      <c r="BS245" s="352"/>
      <c r="BT245" s="352"/>
      <c r="BU245" s="352"/>
      <c r="BV245" s="352"/>
      <c r="BW245" s="352"/>
      <c r="BX245" s="352"/>
      <c r="BY245" s="352"/>
      <c r="BZ245" s="352"/>
      <c r="CA245" s="352"/>
      <c r="CB245" s="352"/>
      <c r="CC245" s="352"/>
      <c r="CD245" s="352"/>
      <c r="CE245" s="352"/>
      <c r="CF245" s="352"/>
      <c r="CG245" s="352"/>
      <c r="CH245" s="352"/>
      <c r="CI245" s="352"/>
      <c r="CJ245" s="352"/>
      <c r="CK245" s="352"/>
      <c r="CL245" s="352"/>
      <c r="CM245" s="352"/>
      <c r="CN245" s="352"/>
      <c r="CO245" s="352"/>
      <c r="CP245" s="352"/>
      <c r="CQ245" s="352"/>
      <c r="CR245" s="352"/>
      <c r="CS245" s="352"/>
      <c r="CT245" s="352"/>
      <c r="CU245" s="352"/>
      <c r="CV245" s="352"/>
      <c r="CW245" s="352"/>
      <c r="CX245" s="352"/>
      <c r="CY245" s="352"/>
      <c r="CZ245" s="352"/>
      <c r="DA245" s="352"/>
      <c r="DB245" s="352"/>
      <c r="DC245" s="352"/>
      <c r="DD245" s="352"/>
      <c r="DE245" s="352"/>
      <c r="DF245" s="352"/>
      <c r="DG245" s="352"/>
      <c r="DH245" s="352"/>
      <c r="DI245" s="352"/>
      <c r="DJ245" s="352"/>
      <c r="DK245" s="352"/>
      <c r="DL245" s="352"/>
      <c r="DM245" s="352"/>
      <c r="DN245" s="352"/>
      <c r="DO245" s="352"/>
      <c r="DP245" s="352"/>
      <c r="DQ245" s="352"/>
      <c r="DR245" s="352"/>
      <c r="DS245" s="352"/>
      <c r="DT245" s="352"/>
      <c r="DU245" s="352"/>
      <c r="DV245" s="352"/>
      <c r="DW245" s="352"/>
      <c r="DX245" s="352"/>
      <c r="DY245" s="352"/>
      <c r="DZ245" s="352"/>
      <c r="EA245" s="352"/>
      <c r="EB245" s="352"/>
      <c r="EC245" s="352"/>
      <c r="ED245" s="352"/>
      <c r="EE245" s="352"/>
      <c r="EF245" s="352"/>
      <c r="EG245" s="352"/>
      <c r="EH245" s="352"/>
      <c r="EI245" s="352"/>
      <c r="EJ245" s="352"/>
      <c r="EK245" s="352"/>
      <c r="EL245" s="352"/>
      <c r="EM245" s="352"/>
      <c r="EN245" s="352"/>
    </row>
    <row r="246" spans="1:144" s="188" customFormat="1" ht="20.100000000000001" customHeight="1">
      <c r="A246" s="179" t="s">
        <v>80</v>
      </c>
      <c r="B246" s="179" t="s">
        <v>639</v>
      </c>
      <c r="C246" s="180">
        <v>0</v>
      </c>
      <c r="D246" s="181">
        <f>'Sectors % GDP'!E21</f>
        <v>39483.94</v>
      </c>
      <c r="E246" s="181">
        <f t="shared" si="6"/>
        <v>0</v>
      </c>
      <c r="F246" s="184">
        <v>1</v>
      </c>
      <c r="G246" s="181">
        <v>3</v>
      </c>
      <c r="H246" s="183">
        <v>19.22</v>
      </c>
      <c r="I246" s="182">
        <v>43.15</v>
      </c>
      <c r="J246" s="184">
        <v>32.31</v>
      </c>
      <c r="K246" s="184">
        <v>6.53</v>
      </c>
      <c r="L246" s="184">
        <f t="shared" si="7"/>
        <v>3.8</v>
      </c>
      <c r="M246" s="185">
        <v>3.7999999999999999E-2</v>
      </c>
      <c r="N246" s="185">
        <v>5</v>
      </c>
      <c r="O246" s="186">
        <f>'Trade Data'!D17</f>
        <v>0.21478515098898887</v>
      </c>
      <c r="P246" s="189">
        <v>1</v>
      </c>
      <c r="Q246" s="352"/>
      <c r="R246" s="352"/>
      <c r="S246" s="352"/>
      <c r="T246" s="352"/>
      <c r="U246" s="352"/>
      <c r="V246" s="352"/>
      <c r="W246" s="352"/>
      <c r="X246" s="352"/>
      <c r="Y246" s="352"/>
      <c r="Z246" s="352"/>
      <c r="AA246" s="352"/>
      <c r="AB246" s="352"/>
      <c r="AC246" s="352"/>
      <c r="AD246" s="352"/>
      <c r="AE246" s="352"/>
      <c r="AF246" s="352"/>
      <c r="AG246" s="352"/>
      <c r="AH246" s="352"/>
      <c r="AI246" s="352"/>
      <c r="AJ246" s="352"/>
      <c r="AK246" s="352"/>
      <c r="AL246" s="352"/>
      <c r="AM246" s="352"/>
      <c r="AN246" s="352"/>
      <c r="AO246" s="352"/>
      <c r="AP246" s="352"/>
      <c r="AQ246" s="352"/>
      <c r="AR246" s="352"/>
      <c r="AS246" s="352"/>
      <c r="AT246" s="352"/>
      <c r="AU246" s="352"/>
      <c r="AV246" s="352"/>
      <c r="AW246" s="352"/>
      <c r="AX246" s="352"/>
      <c r="AY246" s="352"/>
      <c r="AZ246" s="352"/>
      <c r="BA246" s="352"/>
      <c r="BB246" s="352"/>
      <c r="BC246" s="352"/>
      <c r="BD246" s="352"/>
      <c r="BE246" s="352"/>
      <c r="BF246" s="352"/>
      <c r="BG246" s="352"/>
      <c r="BH246" s="352"/>
      <c r="BI246" s="352"/>
      <c r="BJ246" s="352"/>
      <c r="BK246" s="352"/>
      <c r="BL246" s="352"/>
      <c r="BM246" s="352"/>
      <c r="BN246" s="352"/>
      <c r="BO246" s="352"/>
      <c r="BP246" s="352"/>
      <c r="BQ246" s="352"/>
      <c r="BR246" s="352"/>
      <c r="BS246" s="352"/>
      <c r="BT246" s="352"/>
      <c r="BU246" s="352"/>
      <c r="BV246" s="352"/>
      <c r="BW246" s="352"/>
      <c r="BX246" s="352"/>
      <c r="BY246" s="352"/>
      <c r="BZ246" s="352"/>
      <c r="CA246" s="352"/>
      <c r="CB246" s="352"/>
      <c r="CC246" s="352"/>
      <c r="CD246" s="352"/>
      <c r="CE246" s="352"/>
      <c r="CF246" s="352"/>
      <c r="CG246" s="352"/>
      <c r="CH246" s="352"/>
      <c r="CI246" s="352"/>
      <c r="CJ246" s="352"/>
      <c r="CK246" s="352"/>
      <c r="CL246" s="352"/>
      <c r="CM246" s="352"/>
      <c r="CN246" s="352"/>
      <c r="CO246" s="352"/>
      <c r="CP246" s="352"/>
      <c r="CQ246" s="352"/>
      <c r="CR246" s="352"/>
      <c r="CS246" s="352"/>
      <c r="CT246" s="352"/>
      <c r="CU246" s="352"/>
      <c r="CV246" s="352"/>
      <c r="CW246" s="352"/>
      <c r="CX246" s="352"/>
      <c r="CY246" s="352"/>
      <c r="CZ246" s="352"/>
      <c r="DA246" s="352"/>
      <c r="DB246" s="352"/>
      <c r="DC246" s="352"/>
      <c r="DD246" s="352"/>
      <c r="DE246" s="352"/>
      <c r="DF246" s="352"/>
      <c r="DG246" s="352"/>
      <c r="DH246" s="352"/>
      <c r="DI246" s="352"/>
      <c r="DJ246" s="352"/>
      <c r="DK246" s="352"/>
      <c r="DL246" s="352"/>
      <c r="DM246" s="352"/>
      <c r="DN246" s="352"/>
      <c r="DO246" s="352"/>
      <c r="DP246" s="352"/>
      <c r="DQ246" s="352"/>
      <c r="DR246" s="352"/>
      <c r="DS246" s="352"/>
      <c r="DT246" s="352"/>
      <c r="DU246" s="352"/>
      <c r="DV246" s="352"/>
      <c r="DW246" s="352"/>
      <c r="DX246" s="352"/>
      <c r="DY246" s="352"/>
      <c r="DZ246" s="352"/>
      <c r="EA246" s="352"/>
      <c r="EB246" s="352"/>
      <c r="EC246" s="352"/>
      <c r="ED246" s="352"/>
      <c r="EE246" s="352"/>
      <c r="EF246" s="352"/>
      <c r="EG246" s="352"/>
      <c r="EH246" s="352"/>
      <c r="EI246" s="352"/>
      <c r="EJ246" s="352"/>
      <c r="EK246" s="352"/>
      <c r="EL246" s="352"/>
      <c r="EM246" s="352"/>
      <c r="EN246" s="352"/>
    </row>
    <row r="247" spans="1:144" ht="20.100000000000001" customHeight="1">
      <c r="A247" s="118" t="s">
        <v>80</v>
      </c>
      <c r="B247" s="118" t="s">
        <v>638</v>
      </c>
      <c r="C247" s="119">
        <v>0</v>
      </c>
      <c r="D247" s="120">
        <f>'Sectors % GDP'!E22</f>
        <v>53108.968000000001</v>
      </c>
      <c r="E247" s="120">
        <f t="shared" si="6"/>
        <v>0</v>
      </c>
      <c r="F247" s="123">
        <v>1</v>
      </c>
      <c r="G247" s="120">
        <v>1</v>
      </c>
      <c r="H247" s="122">
        <v>19.22</v>
      </c>
      <c r="I247" s="121">
        <v>43.15</v>
      </c>
      <c r="J247" s="123">
        <v>32.31</v>
      </c>
      <c r="K247" s="123">
        <v>6.53</v>
      </c>
      <c r="L247" s="123">
        <f t="shared" si="7"/>
        <v>3.8</v>
      </c>
      <c r="M247" s="124">
        <v>3.7999999999999999E-2</v>
      </c>
      <c r="N247" s="124">
        <v>5</v>
      </c>
      <c r="O247" s="125">
        <f>'Trade Data'!D17</f>
        <v>0.21478515098898887</v>
      </c>
      <c r="P247" s="127">
        <v>1</v>
      </c>
      <c r="Q247" s="352"/>
      <c r="R247" s="352"/>
      <c r="S247" s="352"/>
      <c r="T247" s="352"/>
      <c r="U247" s="352"/>
      <c r="V247" s="352"/>
      <c r="W247" s="352"/>
      <c r="X247" s="352"/>
      <c r="Y247" s="352"/>
      <c r="Z247" s="352"/>
      <c r="AA247" s="352"/>
      <c r="AB247" s="352"/>
      <c r="AC247" s="352"/>
      <c r="AD247" s="352"/>
      <c r="AE247" s="352"/>
      <c r="AF247" s="352"/>
      <c r="AG247" s="352"/>
      <c r="AH247" s="352"/>
      <c r="AI247" s="352"/>
      <c r="AJ247" s="352"/>
      <c r="AK247" s="352"/>
      <c r="AL247" s="352"/>
      <c r="AM247" s="352"/>
      <c r="AN247" s="352"/>
      <c r="AO247" s="352"/>
      <c r="AP247" s="352"/>
      <c r="AQ247" s="352"/>
      <c r="AR247" s="352"/>
      <c r="AS247" s="352"/>
      <c r="AT247" s="352"/>
      <c r="AU247" s="352"/>
      <c r="AV247" s="352"/>
      <c r="AW247" s="352"/>
      <c r="AX247" s="352"/>
      <c r="AY247" s="352"/>
      <c r="AZ247" s="352"/>
      <c r="BA247" s="352"/>
      <c r="BB247" s="352"/>
      <c r="BC247" s="352"/>
      <c r="BD247" s="352"/>
      <c r="BE247" s="352"/>
      <c r="BF247" s="352"/>
      <c r="BG247" s="352"/>
      <c r="BH247" s="352"/>
      <c r="BI247" s="352"/>
      <c r="BJ247" s="352"/>
      <c r="BK247" s="352"/>
      <c r="BL247" s="352"/>
      <c r="BM247" s="352"/>
      <c r="BN247" s="352"/>
      <c r="BO247" s="352"/>
      <c r="BP247" s="352"/>
      <c r="BQ247" s="352"/>
      <c r="BR247" s="352"/>
      <c r="BS247" s="352"/>
      <c r="BT247" s="352"/>
      <c r="BU247" s="352"/>
      <c r="BV247" s="352"/>
      <c r="BW247" s="352"/>
      <c r="BX247" s="352"/>
      <c r="BY247" s="352"/>
      <c r="BZ247" s="352"/>
      <c r="CA247" s="352"/>
      <c r="CB247" s="352"/>
      <c r="CC247" s="352"/>
      <c r="CD247" s="352"/>
      <c r="CE247" s="352"/>
      <c r="CF247" s="352"/>
      <c r="CG247" s="352"/>
      <c r="CH247" s="352"/>
      <c r="CI247" s="352"/>
      <c r="CJ247" s="352"/>
      <c r="CK247" s="352"/>
      <c r="CL247" s="352"/>
      <c r="CM247" s="352"/>
      <c r="CN247" s="352"/>
      <c r="CO247" s="352"/>
      <c r="CP247" s="352"/>
      <c r="CQ247" s="352"/>
      <c r="CR247" s="352"/>
      <c r="CS247" s="352"/>
      <c r="CT247" s="352"/>
      <c r="CU247" s="352"/>
      <c r="CV247" s="352"/>
      <c r="CW247" s="352"/>
      <c r="CX247" s="352"/>
      <c r="CY247" s="352"/>
      <c r="CZ247" s="352"/>
      <c r="DA247" s="352"/>
      <c r="DB247" s="352"/>
      <c r="DC247" s="352"/>
      <c r="DD247" s="352"/>
      <c r="DE247" s="352"/>
      <c r="DF247" s="352"/>
      <c r="DG247" s="352"/>
      <c r="DH247" s="352"/>
      <c r="DI247" s="352"/>
      <c r="DJ247" s="352"/>
      <c r="DK247" s="352"/>
      <c r="DL247" s="352"/>
      <c r="DM247" s="352"/>
      <c r="DN247" s="352"/>
      <c r="DO247" s="352"/>
      <c r="DP247" s="352"/>
      <c r="DQ247" s="352"/>
      <c r="DR247" s="352"/>
      <c r="DS247" s="352"/>
      <c r="DT247" s="352"/>
      <c r="DU247" s="352"/>
      <c r="DV247" s="352"/>
      <c r="DW247" s="352"/>
      <c r="DX247" s="352"/>
      <c r="DY247" s="352"/>
      <c r="DZ247" s="352"/>
      <c r="EA247" s="352"/>
      <c r="EB247" s="352"/>
      <c r="EC247" s="352"/>
      <c r="ED247" s="352"/>
      <c r="EE247" s="352"/>
      <c r="EF247" s="352"/>
      <c r="EG247" s="352"/>
      <c r="EH247" s="352"/>
      <c r="EI247" s="352"/>
      <c r="EJ247" s="352"/>
      <c r="EK247" s="352"/>
      <c r="EL247" s="352"/>
      <c r="EM247" s="352"/>
      <c r="EN247" s="352"/>
    </row>
    <row r="248" spans="1:144" s="169" customFormat="1" ht="20.100000000000001" customHeight="1">
      <c r="A248" s="160" t="s">
        <v>81</v>
      </c>
      <c r="B248" s="160" t="s">
        <v>637</v>
      </c>
      <c r="C248" s="161">
        <v>0</v>
      </c>
      <c r="D248" s="162">
        <f>'Sectors % GDP'!E20</f>
        <v>9697.0919999999987</v>
      </c>
      <c r="E248" s="162">
        <f t="shared" si="6"/>
        <v>0</v>
      </c>
      <c r="F248" s="165">
        <v>0</v>
      </c>
      <c r="G248" s="162">
        <v>0</v>
      </c>
      <c r="H248" s="164">
        <v>17.05</v>
      </c>
      <c r="I248" s="163">
        <v>40.270000000000003</v>
      </c>
      <c r="J248" s="164">
        <v>29.76</v>
      </c>
      <c r="K248" s="165">
        <v>6.53</v>
      </c>
      <c r="L248" s="165">
        <f t="shared" si="7"/>
        <v>3.8</v>
      </c>
      <c r="M248" s="166">
        <v>3.7999999999999999E-2</v>
      </c>
      <c r="N248" s="166">
        <v>5</v>
      </c>
      <c r="O248" s="167">
        <f>'Trade Data'!D17</f>
        <v>0.21478515098898887</v>
      </c>
      <c r="P248" s="168">
        <v>0</v>
      </c>
      <c r="Q248" s="352"/>
      <c r="R248" s="352"/>
      <c r="S248" s="352"/>
      <c r="T248" s="352"/>
      <c r="U248" s="352"/>
      <c r="V248" s="352"/>
      <c r="W248" s="352"/>
      <c r="X248" s="352"/>
      <c r="Y248" s="352"/>
      <c r="Z248" s="352"/>
      <c r="AA248" s="352"/>
      <c r="AB248" s="352"/>
      <c r="AC248" s="352"/>
      <c r="AD248" s="352"/>
      <c r="AE248" s="352"/>
      <c r="AF248" s="352"/>
      <c r="AG248" s="352"/>
      <c r="AH248" s="352"/>
      <c r="AI248" s="352"/>
      <c r="AJ248" s="352"/>
      <c r="AK248" s="352"/>
      <c r="AL248" s="352"/>
      <c r="AM248" s="352"/>
      <c r="AN248" s="352"/>
      <c r="AO248" s="352"/>
      <c r="AP248" s="352"/>
      <c r="AQ248" s="352"/>
      <c r="AR248" s="352"/>
      <c r="AS248" s="352"/>
      <c r="AT248" s="352"/>
      <c r="AU248" s="352"/>
      <c r="AV248" s="352"/>
      <c r="AW248" s="352"/>
      <c r="AX248" s="352"/>
      <c r="AY248" s="352"/>
      <c r="AZ248" s="352"/>
      <c r="BA248" s="352"/>
      <c r="BB248" s="352"/>
      <c r="BC248" s="352"/>
      <c r="BD248" s="352"/>
      <c r="BE248" s="352"/>
      <c r="BF248" s="352"/>
      <c r="BG248" s="352"/>
      <c r="BH248" s="352"/>
      <c r="BI248" s="352"/>
      <c r="BJ248" s="352"/>
      <c r="BK248" s="352"/>
      <c r="BL248" s="352"/>
      <c r="BM248" s="352"/>
      <c r="BN248" s="352"/>
      <c r="BO248" s="352"/>
      <c r="BP248" s="352"/>
      <c r="BQ248" s="352"/>
      <c r="BR248" s="352"/>
      <c r="BS248" s="352"/>
      <c r="BT248" s="352"/>
      <c r="BU248" s="352"/>
      <c r="BV248" s="352"/>
      <c r="BW248" s="352"/>
      <c r="BX248" s="352"/>
      <c r="BY248" s="352"/>
      <c r="BZ248" s="352"/>
      <c r="CA248" s="352"/>
      <c r="CB248" s="352"/>
      <c r="CC248" s="352"/>
      <c r="CD248" s="352"/>
      <c r="CE248" s="352"/>
      <c r="CF248" s="352"/>
      <c r="CG248" s="352"/>
      <c r="CH248" s="352"/>
      <c r="CI248" s="352"/>
      <c r="CJ248" s="352"/>
      <c r="CK248" s="352"/>
      <c r="CL248" s="352"/>
      <c r="CM248" s="352"/>
      <c r="CN248" s="352"/>
      <c r="CO248" s="352"/>
      <c r="CP248" s="352"/>
      <c r="CQ248" s="352"/>
      <c r="CR248" s="352"/>
      <c r="CS248" s="352"/>
      <c r="CT248" s="352"/>
      <c r="CU248" s="352"/>
      <c r="CV248" s="352"/>
      <c r="CW248" s="352"/>
      <c r="CX248" s="352"/>
      <c r="CY248" s="352"/>
      <c r="CZ248" s="352"/>
      <c r="DA248" s="352"/>
      <c r="DB248" s="352"/>
      <c r="DC248" s="352"/>
      <c r="DD248" s="352"/>
      <c r="DE248" s="352"/>
      <c r="DF248" s="352"/>
      <c r="DG248" s="352"/>
      <c r="DH248" s="352"/>
      <c r="DI248" s="352"/>
      <c r="DJ248" s="352"/>
      <c r="DK248" s="352"/>
      <c r="DL248" s="352"/>
      <c r="DM248" s="352"/>
      <c r="DN248" s="352"/>
      <c r="DO248" s="352"/>
      <c r="DP248" s="352"/>
      <c r="DQ248" s="352"/>
      <c r="DR248" s="352"/>
      <c r="DS248" s="352"/>
      <c r="DT248" s="352"/>
      <c r="DU248" s="352"/>
      <c r="DV248" s="352"/>
      <c r="DW248" s="352"/>
      <c r="DX248" s="352"/>
      <c r="DY248" s="352"/>
      <c r="DZ248" s="352"/>
      <c r="EA248" s="352"/>
      <c r="EB248" s="352"/>
      <c r="EC248" s="352"/>
      <c r="ED248" s="352"/>
      <c r="EE248" s="352"/>
      <c r="EF248" s="352"/>
      <c r="EG248" s="352"/>
      <c r="EH248" s="352"/>
      <c r="EI248" s="352"/>
      <c r="EJ248" s="352"/>
      <c r="EK248" s="352"/>
      <c r="EL248" s="352"/>
      <c r="EM248" s="352"/>
      <c r="EN248" s="352"/>
    </row>
    <row r="249" spans="1:144" s="188" customFormat="1" ht="20.100000000000001" customHeight="1">
      <c r="A249" s="179" t="s">
        <v>81</v>
      </c>
      <c r="B249" s="179" t="s">
        <v>636</v>
      </c>
      <c r="C249" s="180">
        <f>'Thomson Reuters IMA  ($)'!I510</f>
        <v>213.846</v>
      </c>
      <c r="D249" s="181">
        <f>'Sectors % GDP'!E21</f>
        <v>39483.94</v>
      </c>
      <c r="E249" s="181">
        <f t="shared" si="6"/>
        <v>5.416024844531726E-3</v>
      </c>
      <c r="F249" s="184">
        <v>1</v>
      </c>
      <c r="G249" s="181">
        <v>2</v>
      </c>
      <c r="H249" s="183">
        <v>17.05</v>
      </c>
      <c r="I249" s="182">
        <v>40.270000000000003</v>
      </c>
      <c r="J249" s="183">
        <v>29.76</v>
      </c>
      <c r="K249" s="184">
        <v>6.53</v>
      </c>
      <c r="L249" s="184">
        <f t="shared" si="7"/>
        <v>3.8</v>
      </c>
      <c r="M249" s="185">
        <v>3.7999999999999999E-2</v>
      </c>
      <c r="N249" s="185">
        <v>5</v>
      </c>
      <c r="O249" s="186">
        <f>'Trade Data'!D17</f>
        <v>0.21478515098898887</v>
      </c>
      <c r="P249" s="187">
        <v>1</v>
      </c>
      <c r="Q249" s="352"/>
      <c r="R249" s="352"/>
      <c r="S249" s="352"/>
      <c r="T249" s="352"/>
      <c r="U249" s="352"/>
      <c r="V249" s="352"/>
      <c r="W249" s="352"/>
      <c r="X249" s="352"/>
      <c r="Y249" s="352"/>
      <c r="Z249" s="352"/>
      <c r="AA249" s="352"/>
      <c r="AB249" s="352"/>
      <c r="AC249" s="352"/>
      <c r="AD249" s="352"/>
      <c r="AE249" s="352"/>
      <c r="AF249" s="352"/>
      <c r="AG249" s="352"/>
      <c r="AH249" s="352"/>
      <c r="AI249" s="352"/>
      <c r="AJ249" s="352"/>
      <c r="AK249" s="352"/>
      <c r="AL249" s="352"/>
      <c r="AM249" s="352"/>
      <c r="AN249" s="352"/>
      <c r="AO249" s="352"/>
      <c r="AP249" s="352"/>
      <c r="AQ249" s="352"/>
      <c r="AR249" s="352"/>
      <c r="AS249" s="352"/>
      <c r="AT249" s="352"/>
      <c r="AU249" s="352"/>
      <c r="AV249" s="352"/>
      <c r="AW249" s="352"/>
      <c r="AX249" s="352"/>
      <c r="AY249" s="352"/>
      <c r="AZ249" s="352"/>
      <c r="BA249" s="352"/>
      <c r="BB249" s="352"/>
      <c r="BC249" s="352"/>
      <c r="BD249" s="352"/>
      <c r="BE249" s="352"/>
      <c r="BF249" s="352"/>
      <c r="BG249" s="352"/>
      <c r="BH249" s="352"/>
      <c r="BI249" s="352"/>
      <c r="BJ249" s="352"/>
      <c r="BK249" s="352"/>
      <c r="BL249" s="352"/>
      <c r="BM249" s="352"/>
      <c r="BN249" s="352"/>
      <c r="BO249" s="352"/>
      <c r="BP249" s="352"/>
      <c r="BQ249" s="352"/>
      <c r="BR249" s="352"/>
      <c r="BS249" s="352"/>
      <c r="BT249" s="352"/>
      <c r="BU249" s="352"/>
      <c r="BV249" s="352"/>
      <c r="BW249" s="352"/>
      <c r="BX249" s="352"/>
      <c r="BY249" s="352"/>
      <c r="BZ249" s="352"/>
      <c r="CA249" s="352"/>
      <c r="CB249" s="352"/>
      <c r="CC249" s="352"/>
      <c r="CD249" s="352"/>
      <c r="CE249" s="352"/>
      <c r="CF249" s="352"/>
      <c r="CG249" s="352"/>
      <c r="CH249" s="352"/>
      <c r="CI249" s="352"/>
      <c r="CJ249" s="352"/>
      <c r="CK249" s="352"/>
      <c r="CL249" s="352"/>
      <c r="CM249" s="352"/>
      <c r="CN249" s="352"/>
      <c r="CO249" s="352"/>
      <c r="CP249" s="352"/>
      <c r="CQ249" s="352"/>
      <c r="CR249" s="352"/>
      <c r="CS249" s="352"/>
      <c r="CT249" s="352"/>
      <c r="CU249" s="352"/>
      <c r="CV249" s="352"/>
      <c r="CW249" s="352"/>
      <c r="CX249" s="352"/>
      <c r="CY249" s="352"/>
      <c r="CZ249" s="352"/>
      <c r="DA249" s="352"/>
      <c r="DB249" s="352"/>
      <c r="DC249" s="352"/>
      <c r="DD249" s="352"/>
      <c r="DE249" s="352"/>
      <c r="DF249" s="352"/>
      <c r="DG249" s="352"/>
      <c r="DH249" s="352"/>
      <c r="DI249" s="352"/>
      <c r="DJ249" s="352"/>
      <c r="DK249" s="352"/>
      <c r="DL249" s="352"/>
      <c r="DM249" s="352"/>
      <c r="DN249" s="352"/>
      <c r="DO249" s="352"/>
      <c r="DP249" s="352"/>
      <c r="DQ249" s="352"/>
      <c r="DR249" s="352"/>
      <c r="DS249" s="352"/>
      <c r="DT249" s="352"/>
      <c r="DU249" s="352"/>
      <c r="DV249" s="352"/>
      <c r="DW249" s="352"/>
      <c r="DX249" s="352"/>
      <c r="DY249" s="352"/>
      <c r="DZ249" s="352"/>
      <c r="EA249" s="352"/>
      <c r="EB249" s="352"/>
      <c r="EC249" s="352"/>
      <c r="ED249" s="352"/>
      <c r="EE249" s="352"/>
      <c r="EF249" s="352"/>
      <c r="EG249" s="352"/>
      <c r="EH249" s="352"/>
      <c r="EI249" s="352"/>
      <c r="EJ249" s="352"/>
      <c r="EK249" s="352"/>
      <c r="EL249" s="352"/>
      <c r="EM249" s="352"/>
      <c r="EN249" s="352"/>
    </row>
    <row r="250" spans="1:144" ht="20.100000000000001" customHeight="1">
      <c r="A250" s="118" t="s">
        <v>81</v>
      </c>
      <c r="B250" s="118" t="s">
        <v>635</v>
      </c>
      <c r="C250" s="119">
        <v>0</v>
      </c>
      <c r="D250" s="120">
        <f>'Sectors % GDP'!E22</f>
        <v>53108.968000000001</v>
      </c>
      <c r="E250" s="120">
        <f t="shared" si="6"/>
        <v>0</v>
      </c>
      <c r="F250" s="123">
        <v>1</v>
      </c>
      <c r="G250" s="120">
        <v>1</v>
      </c>
      <c r="H250" s="122">
        <v>17.05</v>
      </c>
      <c r="I250" s="121">
        <v>40.270000000000003</v>
      </c>
      <c r="J250" s="122">
        <v>29.76</v>
      </c>
      <c r="K250" s="123">
        <v>6.53</v>
      </c>
      <c r="L250" s="123">
        <f t="shared" si="7"/>
        <v>3.8</v>
      </c>
      <c r="M250" s="124">
        <v>3.7999999999999999E-2</v>
      </c>
      <c r="N250" s="124">
        <v>5</v>
      </c>
      <c r="O250" s="125">
        <f>'Trade Data'!D17</f>
        <v>0.21478515098898887</v>
      </c>
      <c r="P250" s="126">
        <v>1</v>
      </c>
      <c r="Q250" s="352"/>
      <c r="R250" s="352"/>
      <c r="S250" s="352"/>
      <c r="T250" s="352"/>
      <c r="U250" s="352"/>
      <c r="V250" s="352"/>
      <c r="W250" s="352"/>
      <c r="X250" s="352"/>
      <c r="Y250" s="352"/>
      <c r="Z250" s="352"/>
      <c r="AA250" s="352"/>
      <c r="AB250" s="352"/>
      <c r="AC250" s="352"/>
      <c r="AD250" s="352"/>
      <c r="AE250" s="352"/>
      <c r="AF250" s="352"/>
      <c r="AG250" s="352"/>
      <c r="AH250" s="352"/>
      <c r="AI250" s="352"/>
      <c r="AJ250" s="352"/>
      <c r="AK250" s="352"/>
      <c r="AL250" s="352"/>
      <c r="AM250" s="352"/>
      <c r="AN250" s="352"/>
      <c r="AO250" s="352"/>
      <c r="AP250" s="352"/>
      <c r="AQ250" s="352"/>
      <c r="AR250" s="352"/>
      <c r="AS250" s="352"/>
      <c r="AT250" s="352"/>
      <c r="AU250" s="352"/>
      <c r="AV250" s="352"/>
      <c r="AW250" s="352"/>
      <c r="AX250" s="352"/>
      <c r="AY250" s="352"/>
      <c r="AZ250" s="352"/>
      <c r="BA250" s="352"/>
      <c r="BB250" s="352"/>
      <c r="BC250" s="352"/>
      <c r="BD250" s="352"/>
      <c r="BE250" s="352"/>
      <c r="BF250" s="352"/>
      <c r="BG250" s="352"/>
      <c r="BH250" s="352"/>
      <c r="BI250" s="352"/>
      <c r="BJ250" s="352"/>
      <c r="BK250" s="352"/>
      <c r="BL250" s="352"/>
      <c r="BM250" s="352"/>
      <c r="BN250" s="352"/>
      <c r="BO250" s="352"/>
      <c r="BP250" s="352"/>
      <c r="BQ250" s="352"/>
      <c r="BR250" s="352"/>
      <c r="BS250" s="352"/>
      <c r="BT250" s="352"/>
      <c r="BU250" s="352"/>
      <c r="BV250" s="352"/>
      <c r="BW250" s="352"/>
      <c r="BX250" s="352"/>
      <c r="BY250" s="352"/>
      <c r="BZ250" s="352"/>
      <c r="CA250" s="352"/>
      <c r="CB250" s="352"/>
      <c r="CC250" s="352"/>
      <c r="CD250" s="352"/>
      <c r="CE250" s="352"/>
      <c r="CF250" s="352"/>
      <c r="CG250" s="352"/>
      <c r="CH250" s="352"/>
      <c r="CI250" s="352"/>
      <c r="CJ250" s="352"/>
      <c r="CK250" s="352"/>
      <c r="CL250" s="352"/>
      <c r="CM250" s="352"/>
      <c r="CN250" s="352"/>
      <c r="CO250" s="352"/>
      <c r="CP250" s="352"/>
      <c r="CQ250" s="352"/>
      <c r="CR250" s="352"/>
      <c r="CS250" s="352"/>
      <c r="CT250" s="352"/>
      <c r="CU250" s="352"/>
      <c r="CV250" s="352"/>
      <c r="CW250" s="352"/>
      <c r="CX250" s="352"/>
      <c r="CY250" s="352"/>
      <c r="CZ250" s="352"/>
      <c r="DA250" s="352"/>
      <c r="DB250" s="352"/>
      <c r="DC250" s="352"/>
      <c r="DD250" s="352"/>
      <c r="DE250" s="352"/>
      <c r="DF250" s="352"/>
      <c r="DG250" s="352"/>
      <c r="DH250" s="352"/>
      <c r="DI250" s="352"/>
      <c r="DJ250" s="352"/>
      <c r="DK250" s="352"/>
      <c r="DL250" s="352"/>
      <c r="DM250" s="352"/>
      <c r="DN250" s="352"/>
      <c r="DO250" s="352"/>
      <c r="DP250" s="352"/>
      <c r="DQ250" s="352"/>
      <c r="DR250" s="352"/>
      <c r="DS250" s="352"/>
      <c r="DT250" s="352"/>
      <c r="DU250" s="352"/>
      <c r="DV250" s="352"/>
      <c r="DW250" s="352"/>
      <c r="DX250" s="352"/>
      <c r="DY250" s="352"/>
      <c r="DZ250" s="352"/>
      <c r="EA250" s="352"/>
      <c r="EB250" s="352"/>
      <c r="EC250" s="352"/>
      <c r="ED250" s="352"/>
      <c r="EE250" s="352"/>
      <c r="EF250" s="352"/>
      <c r="EG250" s="352"/>
      <c r="EH250" s="352"/>
      <c r="EI250" s="352"/>
      <c r="EJ250" s="352"/>
      <c r="EK250" s="352"/>
      <c r="EL250" s="352"/>
      <c r="EM250" s="352"/>
      <c r="EN250" s="352"/>
    </row>
    <row r="251" spans="1:144" s="169" customFormat="1" ht="20.100000000000001" customHeight="1">
      <c r="A251" s="160" t="s">
        <v>82</v>
      </c>
      <c r="B251" s="160" t="s">
        <v>634</v>
      </c>
      <c r="C251" s="161">
        <v>0</v>
      </c>
      <c r="D251" s="162">
        <f>'Sectors % GDP'!G20</f>
        <v>10128.198</v>
      </c>
      <c r="E251" s="162">
        <f t="shared" si="6"/>
        <v>0</v>
      </c>
      <c r="F251" s="165">
        <v>0</v>
      </c>
      <c r="G251" s="162">
        <v>0</v>
      </c>
      <c r="H251" s="164">
        <v>12.74</v>
      </c>
      <c r="I251" s="164">
        <v>46.24</v>
      </c>
      <c r="J251" s="164">
        <v>8.36</v>
      </c>
      <c r="K251" s="165">
        <v>6.46</v>
      </c>
      <c r="L251" s="165">
        <f t="shared" si="7"/>
        <v>3.8</v>
      </c>
      <c r="M251" s="166">
        <v>3.7999999999999999E-2</v>
      </c>
      <c r="N251" s="166">
        <v>5</v>
      </c>
      <c r="O251" s="167">
        <f>'Trade Data'!D17</f>
        <v>0.21478515098898887</v>
      </c>
      <c r="P251" s="170">
        <v>0</v>
      </c>
      <c r="Q251" s="352"/>
      <c r="R251" s="352"/>
      <c r="S251" s="352"/>
      <c r="T251" s="352"/>
      <c r="U251" s="352"/>
      <c r="V251" s="352"/>
      <c r="W251" s="352"/>
      <c r="X251" s="352"/>
      <c r="Y251" s="352"/>
      <c r="Z251" s="352"/>
      <c r="AA251" s="352"/>
      <c r="AB251" s="352"/>
      <c r="AC251" s="352"/>
      <c r="AD251" s="352"/>
      <c r="AE251" s="352"/>
      <c r="AF251" s="352"/>
      <c r="AG251" s="352"/>
      <c r="AH251" s="352"/>
      <c r="AI251" s="352"/>
      <c r="AJ251" s="352"/>
      <c r="AK251" s="352"/>
      <c r="AL251" s="352"/>
      <c r="AM251" s="352"/>
      <c r="AN251" s="352"/>
      <c r="AO251" s="352"/>
      <c r="AP251" s="352"/>
      <c r="AQ251" s="352"/>
      <c r="AR251" s="352"/>
      <c r="AS251" s="352"/>
      <c r="AT251" s="352"/>
      <c r="AU251" s="352"/>
      <c r="AV251" s="352"/>
      <c r="AW251" s="352"/>
      <c r="AX251" s="352"/>
      <c r="AY251" s="352"/>
      <c r="AZ251" s="352"/>
      <c r="BA251" s="352"/>
      <c r="BB251" s="352"/>
      <c r="BC251" s="352"/>
      <c r="BD251" s="352"/>
      <c r="BE251" s="352"/>
      <c r="BF251" s="352"/>
      <c r="BG251" s="352"/>
      <c r="BH251" s="352"/>
      <c r="BI251" s="352"/>
      <c r="BJ251" s="352"/>
      <c r="BK251" s="352"/>
      <c r="BL251" s="352"/>
      <c r="BM251" s="352"/>
      <c r="BN251" s="352"/>
      <c r="BO251" s="352"/>
      <c r="BP251" s="352"/>
      <c r="BQ251" s="352"/>
      <c r="BR251" s="352"/>
      <c r="BS251" s="352"/>
      <c r="BT251" s="352"/>
      <c r="BU251" s="352"/>
      <c r="BV251" s="352"/>
      <c r="BW251" s="352"/>
      <c r="BX251" s="352"/>
      <c r="BY251" s="352"/>
      <c r="BZ251" s="352"/>
      <c r="CA251" s="352"/>
      <c r="CB251" s="352"/>
      <c r="CC251" s="352"/>
      <c r="CD251" s="352"/>
      <c r="CE251" s="352"/>
      <c r="CF251" s="352"/>
      <c r="CG251" s="352"/>
      <c r="CH251" s="352"/>
      <c r="CI251" s="352"/>
      <c r="CJ251" s="352"/>
      <c r="CK251" s="352"/>
      <c r="CL251" s="352"/>
      <c r="CM251" s="352"/>
      <c r="CN251" s="352"/>
      <c r="CO251" s="352"/>
      <c r="CP251" s="352"/>
      <c r="CQ251" s="352"/>
      <c r="CR251" s="352"/>
      <c r="CS251" s="352"/>
      <c r="CT251" s="352"/>
      <c r="CU251" s="352"/>
      <c r="CV251" s="352"/>
      <c r="CW251" s="352"/>
      <c r="CX251" s="352"/>
      <c r="CY251" s="352"/>
      <c r="CZ251" s="352"/>
      <c r="DA251" s="352"/>
      <c r="DB251" s="352"/>
      <c r="DC251" s="352"/>
      <c r="DD251" s="352"/>
      <c r="DE251" s="352"/>
      <c r="DF251" s="352"/>
      <c r="DG251" s="352"/>
      <c r="DH251" s="352"/>
      <c r="DI251" s="352"/>
      <c r="DJ251" s="352"/>
      <c r="DK251" s="352"/>
      <c r="DL251" s="352"/>
      <c r="DM251" s="352"/>
      <c r="DN251" s="352"/>
      <c r="DO251" s="352"/>
      <c r="DP251" s="352"/>
      <c r="DQ251" s="352"/>
      <c r="DR251" s="352"/>
      <c r="DS251" s="352"/>
      <c r="DT251" s="352"/>
      <c r="DU251" s="352"/>
      <c r="DV251" s="352"/>
      <c r="DW251" s="352"/>
      <c r="DX251" s="352"/>
      <c r="DY251" s="352"/>
      <c r="DZ251" s="352"/>
      <c r="EA251" s="352"/>
      <c r="EB251" s="352"/>
      <c r="EC251" s="352"/>
      <c r="ED251" s="352"/>
      <c r="EE251" s="352"/>
      <c r="EF251" s="352"/>
      <c r="EG251" s="352"/>
      <c r="EH251" s="352"/>
      <c r="EI251" s="352"/>
      <c r="EJ251" s="352"/>
      <c r="EK251" s="352"/>
      <c r="EL251" s="352"/>
      <c r="EM251" s="352"/>
      <c r="EN251" s="352"/>
    </row>
    <row r="252" spans="1:144" s="188" customFormat="1" ht="20.100000000000001" customHeight="1">
      <c r="A252" s="179" t="s">
        <v>82</v>
      </c>
      <c r="B252" s="179" t="s">
        <v>633</v>
      </c>
      <c r="C252" s="180">
        <v>0</v>
      </c>
      <c r="D252" s="181">
        <f>'Sectors % GDP'!G21</f>
        <v>34141.343999999997</v>
      </c>
      <c r="E252" s="181">
        <f t="shared" si="6"/>
        <v>0</v>
      </c>
      <c r="F252" s="184">
        <v>0</v>
      </c>
      <c r="G252" s="181">
        <v>0</v>
      </c>
      <c r="H252" s="183">
        <v>12.74</v>
      </c>
      <c r="I252" s="183">
        <v>46.24</v>
      </c>
      <c r="J252" s="183">
        <v>8.36</v>
      </c>
      <c r="K252" s="184">
        <v>6.46</v>
      </c>
      <c r="L252" s="184">
        <f t="shared" si="7"/>
        <v>3.8</v>
      </c>
      <c r="M252" s="185">
        <v>3.7999999999999999E-2</v>
      </c>
      <c r="N252" s="185">
        <v>5</v>
      </c>
      <c r="O252" s="186">
        <f>'Trade Data'!D17</f>
        <v>0.21478515098898887</v>
      </c>
      <c r="P252" s="189">
        <v>1</v>
      </c>
      <c r="Q252" s="352"/>
      <c r="R252" s="352"/>
      <c r="S252" s="352"/>
      <c r="T252" s="352"/>
      <c r="U252" s="352"/>
      <c r="V252" s="352"/>
      <c r="W252" s="352"/>
      <c r="X252" s="352"/>
      <c r="Y252" s="352"/>
      <c r="Z252" s="352"/>
      <c r="AA252" s="352"/>
      <c r="AB252" s="352"/>
      <c r="AC252" s="352"/>
      <c r="AD252" s="352"/>
      <c r="AE252" s="352"/>
      <c r="AF252" s="352"/>
      <c r="AG252" s="352"/>
      <c r="AH252" s="352"/>
      <c r="AI252" s="352"/>
      <c r="AJ252" s="352"/>
      <c r="AK252" s="352"/>
      <c r="AL252" s="352"/>
      <c r="AM252" s="352"/>
      <c r="AN252" s="352"/>
      <c r="AO252" s="352"/>
      <c r="AP252" s="352"/>
      <c r="AQ252" s="352"/>
      <c r="AR252" s="352"/>
      <c r="AS252" s="352"/>
      <c r="AT252" s="352"/>
      <c r="AU252" s="352"/>
      <c r="AV252" s="352"/>
      <c r="AW252" s="352"/>
      <c r="AX252" s="352"/>
      <c r="AY252" s="352"/>
      <c r="AZ252" s="352"/>
      <c r="BA252" s="352"/>
      <c r="BB252" s="352"/>
      <c r="BC252" s="352"/>
      <c r="BD252" s="352"/>
      <c r="BE252" s="352"/>
      <c r="BF252" s="352"/>
      <c r="BG252" s="352"/>
      <c r="BH252" s="352"/>
      <c r="BI252" s="352"/>
      <c r="BJ252" s="352"/>
      <c r="BK252" s="352"/>
      <c r="BL252" s="352"/>
      <c r="BM252" s="352"/>
      <c r="BN252" s="352"/>
      <c r="BO252" s="352"/>
      <c r="BP252" s="352"/>
      <c r="BQ252" s="352"/>
      <c r="BR252" s="352"/>
      <c r="BS252" s="352"/>
      <c r="BT252" s="352"/>
      <c r="BU252" s="352"/>
      <c r="BV252" s="352"/>
      <c r="BW252" s="352"/>
      <c r="BX252" s="352"/>
      <c r="BY252" s="352"/>
      <c r="BZ252" s="352"/>
      <c r="CA252" s="352"/>
      <c r="CB252" s="352"/>
      <c r="CC252" s="352"/>
      <c r="CD252" s="352"/>
      <c r="CE252" s="352"/>
      <c r="CF252" s="352"/>
      <c r="CG252" s="352"/>
      <c r="CH252" s="352"/>
      <c r="CI252" s="352"/>
      <c r="CJ252" s="352"/>
      <c r="CK252" s="352"/>
      <c r="CL252" s="352"/>
      <c r="CM252" s="352"/>
      <c r="CN252" s="352"/>
      <c r="CO252" s="352"/>
      <c r="CP252" s="352"/>
      <c r="CQ252" s="352"/>
      <c r="CR252" s="352"/>
      <c r="CS252" s="352"/>
      <c r="CT252" s="352"/>
      <c r="CU252" s="352"/>
      <c r="CV252" s="352"/>
      <c r="CW252" s="352"/>
      <c r="CX252" s="352"/>
      <c r="CY252" s="352"/>
      <c r="CZ252" s="352"/>
      <c r="DA252" s="352"/>
      <c r="DB252" s="352"/>
      <c r="DC252" s="352"/>
      <c r="DD252" s="352"/>
      <c r="DE252" s="352"/>
      <c r="DF252" s="352"/>
      <c r="DG252" s="352"/>
      <c r="DH252" s="352"/>
      <c r="DI252" s="352"/>
      <c r="DJ252" s="352"/>
      <c r="DK252" s="352"/>
      <c r="DL252" s="352"/>
      <c r="DM252" s="352"/>
      <c r="DN252" s="352"/>
      <c r="DO252" s="352"/>
      <c r="DP252" s="352"/>
      <c r="DQ252" s="352"/>
      <c r="DR252" s="352"/>
      <c r="DS252" s="352"/>
      <c r="DT252" s="352"/>
      <c r="DU252" s="352"/>
      <c r="DV252" s="352"/>
      <c r="DW252" s="352"/>
      <c r="DX252" s="352"/>
      <c r="DY252" s="352"/>
      <c r="DZ252" s="352"/>
      <c r="EA252" s="352"/>
      <c r="EB252" s="352"/>
      <c r="EC252" s="352"/>
      <c r="ED252" s="352"/>
      <c r="EE252" s="352"/>
      <c r="EF252" s="352"/>
      <c r="EG252" s="352"/>
      <c r="EH252" s="352"/>
      <c r="EI252" s="352"/>
      <c r="EJ252" s="352"/>
      <c r="EK252" s="352"/>
      <c r="EL252" s="352"/>
      <c r="EM252" s="352"/>
      <c r="EN252" s="352"/>
    </row>
    <row r="253" spans="1:144" ht="20.100000000000001" customHeight="1">
      <c r="A253" s="118" t="s">
        <v>82</v>
      </c>
      <c r="B253" s="118" t="s">
        <v>632</v>
      </c>
      <c r="C253" s="119">
        <v>0</v>
      </c>
      <c r="D253" s="120">
        <f>'Sectors % GDP'!G22</f>
        <v>55910.458000000006</v>
      </c>
      <c r="E253" s="120">
        <f t="shared" si="6"/>
        <v>0</v>
      </c>
      <c r="F253" s="123">
        <v>0</v>
      </c>
      <c r="G253" s="120">
        <v>0</v>
      </c>
      <c r="H253" s="122">
        <v>12.74</v>
      </c>
      <c r="I253" s="122">
        <v>46.24</v>
      </c>
      <c r="J253" s="122">
        <v>8.36</v>
      </c>
      <c r="K253" s="123">
        <v>6.46</v>
      </c>
      <c r="L253" s="123">
        <f t="shared" si="7"/>
        <v>3.8</v>
      </c>
      <c r="M253" s="124">
        <v>3.7999999999999999E-2</v>
      </c>
      <c r="N253" s="124">
        <v>5</v>
      </c>
      <c r="O253" s="125">
        <f>'Trade Data'!D17</f>
        <v>0.21478515098898887</v>
      </c>
      <c r="P253" s="127">
        <v>1</v>
      </c>
      <c r="Q253" s="352"/>
      <c r="R253" s="352"/>
      <c r="S253" s="352"/>
      <c r="T253" s="352"/>
      <c r="U253" s="352"/>
      <c r="V253" s="352"/>
      <c r="W253" s="352"/>
      <c r="X253" s="352"/>
      <c r="Y253" s="352"/>
      <c r="Z253" s="352"/>
      <c r="AA253" s="352"/>
      <c r="AB253" s="352"/>
      <c r="AC253" s="352"/>
      <c r="AD253" s="352"/>
      <c r="AE253" s="352"/>
      <c r="AF253" s="352"/>
      <c r="AG253" s="352"/>
      <c r="AH253" s="352"/>
      <c r="AI253" s="352"/>
      <c r="AJ253" s="352"/>
      <c r="AK253" s="352"/>
      <c r="AL253" s="352"/>
      <c r="AM253" s="352"/>
      <c r="AN253" s="352"/>
      <c r="AO253" s="352"/>
      <c r="AP253" s="352"/>
      <c r="AQ253" s="352"/>
      <c r="AR253" s="352"/>
      <c r="AS253" s="352"/>
      <c r="AT253" s="352"/>
      <c r="AU253" s="352"/>
      <c r="AV253" s="352"/>
      <c r="AW253" s="352"/>
      <c r="AX253" s="352"/>
      <c r="AY253" s="352"/>
      <c r="AZ253" s="352"/>
      <c r="BA253" s="352"/>
      <c r="BB253" s="352"/>
      <c r="BC253" s="352"/>
      <c r="BD253" s="352"/>
      <c r="BE253" s="352"/>
      <c r="BF253" s="352"/>
      <c r="BG253" s="352"/>
      <c r="BH253" s="352"/>
      <c r="BI253" s="352"/>
      <c r="BJ253" s="352"/>
      <c r="BK253" s="352"/>
      <c r="BL253" s="352"/>
      <c r="BM253" s="352"/>
      <c r="BN253" s="352"/>
      <c r="BO253" s="352"/>
      <c r="BP253" s="352"/>
      <c r="BQ253" s="352"/>
      <c r="BR253" s="352"/>
      <c r="BS253" s="352"/>
      <c r="BT253" s="352"/>
      <c r="BU253" s="352"/>
      <c r="BV253" s="352"/>
      <c r="BW253" s="352"/>
      <c r="BX253" s="352"/>
      <c r="BY253" s="352"/>
      <c r="BZ253" s="352"/>
      <c r="CA253" s="352"/>
      <c r="CB253" s="352"/>
      <c r="CC253" s="352"/>
      <c r="CD253" s="352"/>
      <c r="CE253" s="352"/>
      <c r="CF253" s="352"/>
      <c r="CG253" s="352"/>
      <c r="CH253" s="352"/>
      <c r="CI253" s="352"/>
      <c r="CJ253" s="352"/>
      <c r="CK253" s="352"/>
      <c r="CL253" s="352"/>
      <c r="CM253" s="352"/>
      <c r="CN253" s="352"/>
      <c r="CO253" s="352"/>
      <c r="CP253" s="352"/>
      <c r="CQ253" s="352"/>
      <c r="CR253" s="352"/>
      <c r="CS253" s="352"/>
      <c r="CT253" s="352"/>
      <c r="CU253" s="352"/>
      <c r="CV253" s="352"/>
      <c r="CW253" s="352"/>
      <c r="CX253" s="352"/>
      <c r="CY253" s="352"/>
      <c r="CZ253" s="352"/>
      <c r="DA253" s="352"/>
      <c r="DB253" s="352"/>
      <c r="DC253" s="352"/>
      <c r="DD253" s="352"/>
      <c r="DE253" s="352"/>
      <c r="DF253" s="352"/>
      <c r="DG253" s="352"/>
      <c r="DH253" s="352"/>
      <c r="DI253" s="352"/>
      <c r="DJ253" s="352"/>
      <c r="DK253" s="352"/>
      <c r="DL253" s="352"/>
      <c r="DM253" s="352"/>
      <c r="DN253" s="352"/>
      <c r="DO253" s="352"/>
      <c r="DP253" s="352"/>
      <c r="DQ253" s="352"/>
      <c r="DR253" s="352"/>
      <c r="DS253" s="352"/>
      <c r="DT253" s="352"/>
      <c r="DU253" s="352"/>
      <c r="DV253" s="352"/>
      <c r="DW253" s="352"/>
      <c r="DX253" s="352"/>
      <c r="DY253" s="352"/>
      <c r="DZ253" s="352"/>
      <c r="EA253" s="352"/>
      <c r="EB253" s="352"/>
      <c r="EC253" s="352"/>
      <c r="ED253" s="352"/>
      <c r="EE253" s="352"/>
      <c r="EF253" s="352"/>
      <c r="EG253" s="352"/>
      <c r="EH253" s="352"/>
      <c r="EI253" s="352"/>
      <c r="EJ253" s="352"/>
      <c r="EK253" s="352"/>
      <c r="EL253" s="352"/>
      <c r="EM253" s="352"/>
      <c r="EN253" s="352"/>
    </row>
    <row r="254" spans="1:144" s="169" customFormat="1" ht="20.100000000000001" customHeight="1">
      <c r="A254" s="160" t="s">
        <v>83</v>
      </c>
      <c r="B254" s="160" t="s">
        <v>631</v>
      </c>
      <c r="C254" s="161">
        <v>0</v>
      </c>
      <c r="D254" s="162">
        <f>'Sectors % GDP'!G20</f>
        <v>10128.198</v>
      </c>
      <c r="E254" s="162">
        <f t="shared" si="6"/>
        <v>0</v>
      </c>
      <c r="F254" s="165">
        <v>0</v>
      </c>
      <c r="G254" s="162">
        <v>0</v>
      </c>
      <c r="H254" s="164">
        <v>12.69</v>
      </c>
      <c r="I254" s="164">
        <v>35.590000000000003</v>
      </c>
      <c r="J254" s="164">
        <v>13.46</v>
      </c>
      <c r="K254" s="165">
        <v>6.46</v>
      </c>
      <c r="L254" s="165">
        <f t="shared" si="7"/>
        <v>1</v>
      </c>
      <c r="M254" s="166">
        <v>0.01</v>
      </c>
      <c r="N254" s="166">
        <v>5.75</v>
      </c>
      <c r="O254" s="167">
        <f>'Trade Data'!F17</f>
        <v>0.18924668917039178</v>
      </c>
      <c r="P254" s="168">
        <v>0</v>
      </c>
      <c r="Q254" s="352"/>
      <c r="R254" s="352"/>
      <c r="S254" s="352"/>
      <c r="T254" s="352"/>
      <c r="U254" s="352"/>
      <c r="V254" s="352"/>
      <c r="W254" s="352"/>
      <c r="X254" s="352"/>
      <c r="Y254" s="352"/>
      <c r="Z254" s="352"/>
      <c r="AA254" s="352"/>
      <c r="AB254" s="352"/>
      <c r="AC254" s="352"/>
      <c r="AD254" s="352"/>
      <c r="AE254" s="352"/>
      <c r="AF254" s="352"/>
      <c r="AG254" s="352"/>
      <c r="AH254" s="352"/>
      <c r="AI254" s="352"/>
      <c r="AJ254" s="352"/>
      <c r="AK254" s="352"/>
      <c r="AL254" s="352"/>
      <c r="AM254" s="352"/>
      <c r="AN254" s="352"/>
      <c r="AO254" s="352"/>
      <c r="AP254" s="352"/>
      <c r="AQ254" s="352"/>
      <c r="AR254" s="352"/>
      <c r="AS254" s="352"/>
      <c r="AT254" s="352"/>
      <c r="AU254" s="352"/>
      <c r="AV254" s="352"/>
      <c r="AW254" s="352"/>
      <c r="AX254" s="352"/>
      <c r="AY254" s="352"/>
      <c r="AZ254" s="352"/>
      <c r="BA254" s="352"/>
      <c r="BB254" s="352"/>
      <c r="BC254" s="352"/>
      <c r="BD254" s="352"/>
      <c r="BE254" s="352"/>
      <c r="BF254" s="352"/>
      <c r="BG254" s="352"/>
      <c r="BH254" s="352"/>
      <c r="BI254" s="352"/>
      <c r="BJ254" s="352"/>
      <c r="BK254" s="352"/>
      <c r="BL254" s="352"/>
      <c r="BM254" s="352"/>
      <c r="BN254" s="352"/>
      <c r="BO254" s="352"/>
      <c r="BP254" s="352"/>
      <c r="BQ254" s="352"/>
      <c r="BR254" s="352"/>
      <c r="BS254" s="352"/>
      <c r="BT254" s="352"/>
      <c r="BU254" s="352"/>
      <c r="BV254" s="352"/>
      <c r="BW254" s="352"/>
      <c r="BX254" s="352"/>
      <c r="BY254" s="352"/>
      <c r="BZ254" s="352"/>
      <c r="CA254" s="352"/>
      <c r="CB254" s="352"/>
      <c r="CC254" s="352"/>
      <c r="CD254" s="352"/>
      <c r="CE254" s="352"/>
      <c r="CF254" s="352"/>
      <c r="CG254" s="352"/>
      <c r="CH254" s="352"/>
      <c r="CI254" s="352"/>
      <c r="CJ254" s="352"/>
      <c r="CK254" s="352"/>
      <c r="CL254" s="352"/>
      <c r="CM254" s="352"/>
      <c r="CN254" s="352"/>
      <c r="CO254" s="352"/>
      <c r="CP254" s="352"/>
      <c r="CQ254" s="352"/>
      <c r="CR254" s="352"/>
      <c r="CS254" s="352"/>
      <c r="CT254" s="352"/>
      <c r="CU254" s="352"/>
      <c r="CV254" s="352"/>
      <c r="CW254" s="352"/>
      <c r="CX254" s="352"/>
      <c r="CY254" s="352"/>
      <c r="CZ254" s="352"/>
      <c r="DA254" s="352"/>
      <c r="DB254" s="352"/>
      <c r="DC254" s="352"/>
      <c r="DD254" s="352"/>
      <c r="DE254" s="352"/>
      <c r="DF254" s="352"/>
      <c r="DG254" s="352"/>
      <c r="DH254" s="352"/>
      <c r="DI254" s="352"/>
      <c r="DJ254" s="352"/>
      <c r="DK254" s="352"/>
      <c r="DL254" s="352"/>
      <c r="DM254" s="352"/>
      <c r="DN254" s="352"/>
      <c r="DO254" s="352"/>
      <c r="DP254" s="352"/>
      <c r="DQ254" s="352"/>
      <c r="DR254" s="352"/>
      <c r="DS254" s="352"/>
      <c r="DT254" s="352"/>
      <c r="DU254" s="352"/>
      <c r="DV254" s="352"/>
      <c r="DW254" s="352"/>
      <c r="DX254" s="352"/>
      <c r="DY254" s="352"/>
      <c r="DZ254" s="352"/>
      <c r="EA254" s="352"/>
      <c r="EB254" s="352"/>
      <c r="EC254" s="352"/>
      <c r="ED254" s="352"/>
      <c r="EE254" s="352"/>
      <c r="EF254" s="352"/>
      <c r="EG254" s="352"/>
      <c r="EH254" s="352"/>
      <c r="EI254" s="352"/>
      <c r="EJ254" s="352"/>
      <c r="EK254" s="352"/>
      <c r="EL254" s="352"/>
      <c r="EM254" s="352"/>
      <c r="EN254" s="352"/>
    </row>
    <row r="255" spans="1:144" s="188" customFormat="1" ht="20.100000000000001" customHeight="1">
      <c r="A255" s="179" t="s">
        <v>83</v>
      </c>
      <c r="B255" s="179" t="s">
        <v>630</v>
      </c>
      <c r="C255" s="180">
        <v>0</v>
      </c>
      <c r="D255" s="181">
        <f>'Sectors % GDP'!G21</f>
        <v>34141.343999999997</v>
      </c>
      <c r="E255" s="181">
        <f t="shared" si="6"/>
        <v>0</v>
      </c>
      <c r="F255" s="184">
        <v>0</v>
      </c>
      <c r="G255" s="181">
        <v>0</v>
      </c>
      <c r="H255" s="183">
        <v>12.69</v>
      </c>
      <c r="I255" s="183">
        <v>35.590000000000003</v>
      </c>
      <c r="J255" s="183">
        <v>13.46</v>
      </c>
      <c r="K255" s="184">
        <v>6.46</v>
      </c>
      <c r="L255" s="184">
        <f t="shared" si="7"/>
        <v>1</v>
      </c>
      <c r="M255" s="185">
        <v>0.01</v>
      </c>
      <c r="N255" s="185">
        <v>5.75</v>
      </c>
      <c r="O255" s="186">
        <f>'Trade Data'!F17</f>
        <v>0.18924668917039178</v>
      </c>
      <c r="P255" s="187">
        <v>1</v>
      </c>
      <c r="Q255" s="352"/>
      <c r="R255" s="352"/>
      <c r="S255" s="352"/>
      <c r="T255" s="352"/>
      <c r="U255" s="352"/>
      <c r="V255" s="352"/>
      <c r="W255" s="352"/>
      <c r="X255" s="352"/>
      <c r="Y255" s="352"/>
      <c r="Z255" s="352"/>
      <c r="AA255" s="352"/>
      <c r="AB255" s="352"/>
      <c r="AC255" s="352"/>
      <c r="AD255" s="352"/>
      <c r="AE255" s="352"/>
      <c r="AF255" s="352"/>
      <c r="AG255" s="352"/>
      <c r="AH255" s="352"/>
      <c r="AI255" s="352"/>
      <c r="AJ255" s="352"/>
      <c r="AK255" s="352"/>
      <c r="AL255" s="352"/>
      <c r="AM255" s="352"/>
      <c r="AN255" s="352"/>
      <c r="AO255" s="352"/>
      <c r="AP255" s="352"/>
      <c r="AQ255" s="352"/>
      <c r="AR255" s="352"/>
      <c r="AS255" s="352"/>
      <c r="AT255" s="352"/>
      <c r="AU255" s="352"/>
      <c r="AV255" s="352"/>
      <c r="AW255" s="352"/>
      <c r="AX255" s="352"/>
      <c r="AY255" s="352"/>
      <c r="AZ255" s="352"/>
      <c r="BA255" s="352"/>
      <c r="BB255" s="352"/>
      <c r="BC255" s="352"/>
      <c r="BD255" s="352"/>
      <c r="BE255" s="352"/>
      <c r="BF255" s="352"/>
      <c r="BG255" s="352"/>
      <c r="BH255" s="352"/>
      <c r="BI255" s="352"/>
      <c r="BJ255" s="352"/>
      <c r="BK255" s="352"/>
      <c r="BL255" s="352"/>
      <c r="BM255" s="352"/>
      <c r="BN255" s="352"/>
      <c r="BO255" s="352"/>
      <c r="BP255" s="352"/>
      <c r="BQ255" s="352"/>
      <c r="BR255" s="352"/>
      <c r="BS255" s="352"/>
      <c r="BT255" s="352"/>
      <c r="BU255" s="352"/>
      <c r="BV255" s="352"/>
      <c r="BW255" s="352"/>
      <c r="BX255" s="352"/>
      <c r="BY255" s="352"/>
      <c r="BZ255" s="352"/>
      <c r="CA255" s="352"/>
      <c r="CB255" s="352"/>
      <c r="CC255" s="352"/>
      <c r="CD255" s="352"/>
      <c r="CE255" s="352"/>
      <c r="CF255" s="352"/>
      <c r="CG255" s="352"/>
      <c r="CH255" s="352"/>
      <c r="CI255" s="352"/>
      <c r="CJ255" s="352"/>
      <c r="CK255" s="352"/>
      <c r="CL255" s="352"/>
      <c r="CM255" s="352"/>
      <c r="CN255" s="352"/>
      <c r="CO255" s="352"/>
      <c r="CP255" s="352"/>
      <c r="CQ255" s="352"/>
      <c r="CR255" s="352"/>
      <c r="CS255" s="352"/>
      <c r="CT255" s="352"/>
      <c r="CU255" s="352"/>
      <c r="CV255" s="352"/>
      <c r="CW255" s="352"/>
      <c r="CX255" s="352"/>
      <c r="CY255" s="352"/>
      <c r="CZ255" s="352"/>
      <c r="DA255" s="352"/>
      <c r="DB255" s="352"/>
      <c r="DC255" s="352"/>
      <c r="DD255" s="352"/>
      <c r="DE255" s="352"/>
      <c r="DF255" s="352"/>
      <c r="DG255" s="352"/>
      <c r="DH255" s="352"/>
      <c r="DI255" s="352"/>
      <c r="DJ255" s="352"/>
      <c r="DK255" s="352"/>
      <c r="DL255" s="352"/>
      <c r="DM255" s="352"/>
      <c r="DN255" s="352"/>
      <c r="DO255" s="352"/>
      <c r="DP255" s="352"/>
      <c r="DQ255" s="352"/>
      <c r="DR255" s="352"/>
      <c r="DS255" s="352"/>
      <c r="DT255" s="352"/>
      <c r="DU255" s="352"/>
      <c r="DV255" s="352"/>
      <c r="DW255" s="352"/>
      <c r="DX255" s="352"/>
      <c r="DY255" s="352"/>
      <c r="DZ255" s="352"/>
      <c r="EA255" s="352"/>
      <c r="EB255" s="352"/>
      <c r="EC255" s="352"/>
      <c r="ED255" s="352"/>
      <c r="EE255" s="352"/>
      <c r="EF255" s="352"/>
      <c r="EG255" s="352"/>
      <c r="EH255" s="352"/>
      <c r="EI255" s="352"/>
      <c r="EJ255" s="352"/>
      <c r="EK255" s="352"/>
      <c r="EL255" s="352"/>
      <c r="EM255" s="352"/>
      <c r="EN255" s="352"/>
    </row>
    <row r="256" spans="1:144" ht="20.100000000000001" customHeight="1">
      <c r="A256" s="118" t="s">
        <v>83</v>
      </c>
      <c r="B256" s="118" t="s">
        <v>629</v>
      </c>
      <c r="C256" s="119">
        <v>0</v>
      </c>
      <c r="D256" s="120">
        <f>'Sectors % GDP'!G22</f>
        <v>55910.458000000006</v>
      </c>
      <c r="E256" s="120">
        <f t="shared" si="6"/>
        <v>0</v>
      </c>
      <c r="F256" s="123">
        <v>0</v>
      </c>
      <c r="G256" s="120">
        <v>0</v>
      </c>
      <c r="H256" s="122">
        <v>12.69</v>
      </c>
      <c r="I256" s="122">
        <v>35.590000000000003</v>
      </c>
      <c r="J256" s="122">
        <v>13.46</v>
      </c>
      <c r="K256" s="123">
        <v>6.46</v>
      </c>
      <c r="L256" s="123">
        <f t="shared" si="7"/>
        <v>1</v>
      </c>
      <c r="M256" s="124">
        <v>0.01</v>
      </c>
      <c r="N256" s="124">
        <v>5.75</v>
      </c>
      <c r="O256" s="125">
        <f>'Trade Data'!F17</f>
        <v>0.18924668917039178</v>
      </c>
      <c r="P256" s="126">
        <v>1</v>
      </c>
      <c r="Q256" s="352"/>
      <c r="R256" s="352"/>
      <c r="S256" s="352"/>
      <c r="T256" s="352"/>
      <c r="U256" s="352"/>
      <c r="V256" s="352"/>
      <c r="W256" s="352"/>
      <c r="X256" s="352"/>
      <c r="Y256" s="352"/>
      <c r="Z256" s="352"/>
      <c r="AA256" s="352"/>
      <c r="AB256" s="352"/>
      <c r="AC256" s="352"/>
      <c r="AD256" s="352"/>
      <c r="AE256" s="352"/>
      <c r="AF256" s="352"/>
      <c r="AG256" s="352"/>
      <c r="AH256" s="352"/>
      <c r="AI256" s="352"/>
      <c r="AJ256" s="352"/>
      <c r="AK256" s="352"/>
      <c r="AL256" s="352"/>
      <c r="AM256" s="352"/>
      <c r="AN256" s="352"/>
      <c r="AO256" s="352"/>
      <c r="AP256" s="352"/>
      <c r="AQ256" s="352"/>
      <c r="AR256" s="352"/>
      <c r="AS256" s="352"/>
      <c r="AT256" s="352"/>
      <c r="AU256" s="352"/>
      <c r="AV256" s="352"/>
      <c r="AW256" s="352"/>
      <c r="AX256" s="352"/>
      <c r="AY256" s="352"/>
      <c r="AZ256" s="352"/>
      <c r="BA256" s="352"/>
      <c r="BB256" s="352"/>
      <c r="BC256" s="352"/>
      <c r="BD256" s="352"/>
      <c r="BE256" s="352"/>
      <c r="BF256" s="352"/>
      <c r="BG256" s="352"/>
      <c r="BH256" s="352"/>
      <c r="BI256" s="352"/>
      <c r="BJ256" s="352"/>
      <c r="BK256" s="352"/>
      <c r="BL256" s="352"/>
      <c r="BM256" s="352"/>
      <c r="BN256" s="352"/>
      <c r="BO256" s="352"/>
      <c r="BP256" s="352"/>
      <c r="BQ256" s="352"/>
      <c r="BR256" s="352"/>
      <c r="BS256" s="352"/>
      <c r="BT256" s="352"/>
      <c r="BU256" s="352"/>
      <c r="BV256" s="352"/>
      <c r="BW256" s="352"/>
      <c r="BX256" s="352"/>
      <c r="BY256" s="352"/>
      <c r="BZ256" s="352"/>
      <c r="CA256" s="352"/>
      <c r="CB256" s="352"/>
      <c r="CC256" s="352"/>
      <c r="CD256" s="352"/>
      <c r="CE256" s="352"/>
      <c r="CF256" s="352"/>
      <c r="CG256" s="352"/>
      <c r="CH256" s="352"/>
      <c r="CI256" s="352"/>
      <c r="CJ256" s="352"/>
      <c r="CK256" s="352"/>
      <c r="CL256" s="352"/>
      <c r="CM256" s="352"/>
      <c r="CN256" s="352"/>
      <c r="CO256" s="352"/>
      <c r="CP256" s="352"/>
      <c r="CQ256" s="352"/>
      <c r="CR256" s="352"/>
      <c r="CS256" s="352"/>
      <c r="CT256" s="352"/>
      <c r="CU256" s="352"/>
      <c r="CV256" s="352"/>
      <c r="CW256" s="352"/>
      <c r="CX256" s="352"/>
      <c r="CY256" s="352"/>
      <c r="CZ256" s="352"/>
      <c r="DA256" s="352"/>
      <c r="DB256" s="352"/>
      <c r="DC256" s="352"/>
      <c r="DD256" s="352"/>
      <c r="DE256" s="352"/>
      <c r="DF256" s="352"/>
      <c r="DG256" s="352"/>
      <c r="DH256" s="352"/>
      <c r="DI256" s="352"/>
      <c r="DJ256" s="352"/>
      <c r="DK256" s="352"/>
      <c r="DL256" s="352"/>
      <c r="DM256" s="352"/>
      <c r="DN256" s="352"/>
      <c r="DO256" s="352"/>
      <c r="DP256" s="352"/>
      <c r="DQ256" s="352"/>
      <c r="DR256" s="352"/>
      <c r="DS256" s="352"/>
      <c r="DT256" s="352"/>
      <c r="DU256" s="352"/>
      <c r="DV256" s="352"/>
      <c r="DW256" s="352"/>
      <c r="DX256" s="352"/>
      <c r="DY256" s="352"/>
      <c r="DZ256" s="352"/>
      <c r="EA256" s="352"/>
      <c r="EB256" s="352"/>
      <c r="EC256" s="352"/>
      <c r="ED256" s="352"/>
      <c r="EE256" s="352"/>
      <c r="EF256" s="352"/>
      <c r="EG256" s="352"/>
      <c r="EH256" s="352"/>
      <c r="EI256" s="352"/>
      <c r="EJ256" s="352"/>
      <c r="EK256" s="352"/>
      <c r="EL256" s="352"/>
      <c r="EM256" s="352"/>
      <c r="EN256" s="352"/>
    </row>
    <row r="257" spans="1:144" s="169" customFormat="1" ht="20.100000000000001" customHeight="1">
      <c r="A257" s="160" t="s">
        <v>88</v>
      </c>
      <c r="B257" s="160" t="s">
        <v>628</v>
      </c>
      <c r="C257" s="161">
        <v>0</v>
      </c>
      <c r="D257" s="162">
        <f>'Sectors % GDP'!G20</f>
        <v>10128.198</v>
      </c>
      <c r="E257" s="162">
        <f t="shared" si="6"/>
        <v>0</v>
      </c>
      <c r="F257" s="165">
        <v>0</v>
      </c>
      <c r="G257" s="162">
        <v>0</v>
      </c>
      <c r="H257" s="164">
        <v>12.75</v>
      </c>
      <c r="I257" s="164">
        <v>34.380000000000003</v>
      </c>
      <c r="J257" s="164">
        <v>18.07</v>
      </c>
      <c r="K257" s="165">
        <v>6.46</v>
      </c>
      <c r="L257" s="165">
        <f t="shared" si="7"/>
        <v>1</v>
      </c>
      <c r="M257" s="166">
        <v>0.01</v>
      </c>
      <c r="N257" s="166">
        <v>5.75</v>
      </c>
      <c r="O257" s="167">
        <f>'Trade Data'!F17</f>
        <v>0.18924668917039178</v>
      </c>
      <c r="P257" s="170">
        <v>0</v>
      </c>
      <c r="Q257" s="352"/>
      <c r="R257" s="352"/>
      <c r="S257" s="352"/>
      <c r="T257" s="352"/>
      <c r="U257" s="352"/>
      <c r="V257" s="352"/>
      <c r="W257" s="352"/>
      <c r="X257" s="352"/>
      <c r="Y257" s="352"/>
      <c r="Z257" s="352"/>
      <c r="AA257" s="352"/>
      <c r="AB257" s="352"/>
      <c r="AC257" s="352"/>
      <c r="AD257" s="352"/>
      <c r="AE257" s="352"/>
      <c r="AF257" s="352"/>
      <c r="AG257" s="352"/>
      <c r="AH257" s="352"/>
      <c r="AI257" s="352"/>
      <c r="AJ257" s="352"/>
      <c r="AK257" s="352"/>
      <c r="AL257" s="352"/>
      <c r="AM257" s="352"/>
      <c r="AN257" s="352"/>
      <c r="AO257" s="352"/>
      <c r="AP257" s="352"/>
      <c r="AQ257" s="352"/>
      <c r="AR257" s="352"/>
      <c r="AS257" s="352"/>
      <c r="AT257" s="352"/>
      <c r="AU257" s="352"/>
      <c r="AV257" s="352"/>
      <c r="AW257" s="352"/>
      <c r="AX257" s="352"/>
      <c r="AY257" s="352"/>
      <c r="AZ257" s="352"/>
      <c r="BA257" s="352"/>
      <c r="BB257" s="352"/>
      <c r="BC257" s="352"/>
      <c r="BD257" s="352"/>
      <c r="BE257" s="352"/>
      <c r="BF257" s="352"/>
      <c r="BG257" s="352"/>
      <c r="BH257" s="352"/>
      <c r="BI257" s="352"/>
      <c r="BJ257" s="352"/>
      <c r="BK257" s="352"/>
      <c r="BL257" s="352"/>
      <c r="BM257" s="352"/>
      <c r="BN257" s="352"/>
      <c r="BO257" s="352"/>
      <c r="BP257" s="352"/>
      <c r="BQ257" s="352"/>
      <c r="BR257" s="352"/>
      <c r="BS257" s="352"/>
      <c r="BT257" s="352"/>
      <c r="BU257" s="352"/>
      <c r="BV257" s="352"/>
      <c r="BW257" s="352"/>
      <c r="BX257" s="352"/>
      <c r="BY257" s="352"/>
      <c r="BZ257" s="352"/>
      <c r="CA257" s="352"/>
      <c r="CB257" s="352"/>
      <c r="CC257" s="352"/>
      <c r="CD257" s="352"/>
      <c r="CE257" s="352"/>
      <c r="CF257" s="352"/>
      <c r="CG257" s="352"/>
      <c r="CH257" s="352"/>
      <c r="CI257" s="352"/>
      <c r="CJ257" s="352"/>
      <c r="CK257" s="352"/>
      <c r="CL257" s="352"/>
      <c r="CM257" s="352"/>
      <c r="CN257" s="352"/>
      <c r="CO257" s="352"/>
      <c r="CP257" s="352"/>
      <c r="CQ257" s="352"/>
      <c r="CR257" s="352"/>
      <c r="CS257" s="352"/>
      <c r="CT257" s="352"/>
      <c r="CU257" s="352"/>
      <c r="CV257" s="352"/>
      <c r="CW257" s="352"/>
      <c r="CX257" s="352"/>
      <c r="CY257" s="352"/>
      <c r="CZ257" s="352"/>
      <c r="DA257" s="352"/>
      <c r="DB257" s="352"/>
      <c r="DC257" s="352"/>
      <c r="DD257" s="352"/>
      <c r="DE257" s="352"/>
      <c r="DF257" s="352"/>
      <c r="DG257" s="352"/>
      <c r="DH257" s="352"/>
      <c r="DI257" s="352"/>
      <c r="DJ257" s="352"/>
      <c r="DK257" s="352"/>
      <c r="DL257" s="352"/>
      <c r="DM257" s="352"/>
      <c r="DN257" s="352"/>
      <c r="DO257" s="352"/>
      <c r="DP257" s="352"/>
      <c r="DQ257" s="352"/>
      <c r="DR257" s="352"/>
      <c r="DS257" s="352"/>
      <c r="DT257" s="352"/>
      <c r="DU257" s="352"/>
      <c r="DV257" s="352"/>
      <c r="DW257" s="352"/>
      <c r="DX257" s="352"/>
      <c r="DY257" s="352"/>
      <c r="DZ257" s="352"/>
      <c r="EA257" s="352"/>
      <c r="EB257" s="352"/>
      <c r="EC257" s="352"/>
      <c r="ED257" s="352"/>
      <c r="EE257" s="352"/>
      <c r="EF257" s="352"/>
      <c r="EG257" s="352"/>
      <c r="EH257" s="352"/>
      <c r="EI257" s="352"/>
      <c r="EJ257" s="352"/>
      <c r="EK257" s="352"/>
      <c r="EL257" s="352"/>
      <c r="EM257" s="352"/>
      <c r="EN257" s="352"/>
    </row>
    <row r="258" spans="1:144" s="188" customFormat="1" ht="20.100000000000001" customHeight="1">
      <c r="A258" s="179" t="s">
        <v>88</v>
      </c>
      <c r="B258" s="179" t="s">
        <v>627</v>
      </c>
      <c r="C258" s="180">
        <f>'Thomson Reuters IMA  ($)'!I511</f>
        <v>0.38100000000000001</v>
      </c>
      <c r="D258" s="181">
        <f>'Sectors % GDP'!G21</f>
        <v>34141.343999999997</v>
      </c>
      <c r="E258" s="181">
        <f t="shared" ref="E258:E321" si="8">C258/D258</f>
        <v>1.1159490382100952E-5</v>
      </c>
      <c r="F258" s="184">
        <v>1</v>
      </c>
      <c r="G258" s="181">
        <v>1</v>
      </c>
      <c r="H258" s="183">
        <v>12.75</v>
      </c>
      <c r="I258" s="183">
        <v>34.380000000000003</v>
      </c>
      <c r="J258" s="183">
        <v>18.07</v>
      </c>
      <c r="K258" s="184">
        <v>6.46</v>
      </c>
      <c r="L258" s="184">
        <f t="shared" si="7"/>
        <v>1</v>
      </c>
      <c r="M258" s="185">
        <v>0.01</v>
      </c>
      <c r="N258" s="185">
        <v>5.75</v>
      </c>
      <c r="O258" s="186">
        <f>'Trade Data'!F17</f>
        <v>0.18924668917039178</v>
      </c>
      <c r="P258" s="189">
        <v>1</v>
      </c>
      <c r="Q258" s="352"/>
      <c r="R258" s="352"/>
      <c r="S258" s="352"/>
      <c r="T258" s="352"/>
      <c r="U258" s="352"/>
      <c r="V258" s="352"/>
      <c r="W258" s="352"/>
      <c r="X258" s="352"/>
      <c r="Y258" s="352"/>
      <c r="Z258" s="352"/>
      <c r="AA258" s="352"/>
      <c r="AB258" s="352"/>
      <c r="AC258" s="352"/>
      <c r="AD258" s="352"/>
      <c r="AE258" s="352"/>
      <c r="AF258" s="352"/>
      <c r="AG258" s="352"/>
      <c r="AH258" s="352"/>
      <c r="AI258" s="352"/>
      <c r="AJ258" s="352"/>
      <c r="AK258" s="352"/>
      <c r="AL258" s="352"/>
      <c r="AM258" s="352"/>
      <c r="AN258" s="352"/>
      <c r="AO258" s="352"/>
      <c r="AP258" s="352"/>
      <c r="AQ258" s="352"/>
      <c r="AR258" s="352"/>
      <c r="AS258" s="352"/>
      <c r="AT258" s="352"/>
      <c r="AU258" s="352"/>
      <c r="AV258" s="352"/>
      <c r="AW258" s="352"/>
      <c r="AX258" s="352"/>
      <c r="AY258" s="352"/>
      <c r="AZ258" s="352"/>
      <c r="BA258" s="352"/>
      <c r="BB258" s="352"/>
      <c r="BC258" s="352"/>
      <c r="BD258" s="352"/>
      <c r="BE258" s="352"/>
      <c r="BF258" s="352"/>
      <c r="BG258" s="352"/>
      <c r="BH258" s="352"/>
      <c r="BI258" s="352"/>
      <c r="BJ258" s="352"/>
      <c r="BK258" s="352"/>
      <c r="BL258" s="352"/>
      <c r="BM258" s="352"/>
      <c r="BN258" s="352"/>
      <c r="BO258" s="352"/>
      <c r="BP258" s="352"/>
      <c r="BQ258" s="352"/>
      <c r="BR258" s="352"/>
      <c r="BS258" s="352"/>
      <c r="BT258" s="352"/>
      <c r="BU258" s="352"/>
      <c r="BV258" s="352"/>
      <c r="BW258" s="352"/>
      <c r="BX258" s="352"/>
      <c r="BY258" s="352"/>
      <c r="BZ258" s="352"/>
      <c r="CA258" s="352"/>
      <c r="CB258" s="352"/>
      <c r="CC258" s="352"/>
      <c r="CD258" s="352"/>
      <c r="CE258" s="352"/>
      <c r="CF258" s="352"/>
      <c r="CG258" s="352"/>
      <c r="CH258" s="352"/>
      <c r="CI258" s="352"/>
      <c r="CJ258" s="352"/>
      <c r="CK258" s="352"/>
      <c r="CL258" s="352"/>
      <c r="CM258" s="352"/>
      <c r="CN258" s="352"/>
      <c r="CO258" s="352"/>
      <c r="CP258" s="352"/>
      <c r="CQ258" s="352"/>
      <c r="CR258" s="352"/>
      <c r="CS258" s="352"/>
      <c r="CT258" s="352"/>
      <c r="CU258" s="352"/>
      <c r="CV258" s="352"/>
      <c r="CW258" s="352"/>
      <c r="CX258" s="352"/>
      <c r="CY258" s="352"/>
      <c r="CZ258" s="352"/>
      <c r="DA258" s="352"/>
      <c r="DB258" s="352"/>
      <c r="DC258" s="352"/>
      <c r="DD258" s="352"/>
      <c r="DE258" s="352"/>
      <c r="DF258" s="352"/>
      <c r="DG258" s="352"/>
      <c r="DH258" s="352"/>
      <c r="DI258" s="352"/>
      <c r="DJ258" s="352"/>
      <c r="DK258" s="352"/>
      <c r="DL258" s="352"/>
      <c r="DM258" s="352"/>
      <c r="DN258" s="352"/>
      <c r="DO258" s="352"/>
      <c r="DP258" s="352"/>
      <c r="DQ258" s="352"/>
      <c r="DR258" s="352"/>
      <c r="DS258" s="352"/>
      <c r="DT258" s="352"/>
      <c r="DU258" s="352"/>
      <c r="DV258" s="352"/>
      <c r="DW258" s="352"/>
      <c r="DX258" s="352"/>
      <c r="DY258" s="352"/>
      <c r="DZ258" s="352"/>
      <c r="EA258" s="352"/>
      <c r="EB258" s="352"/>
      <c r="EC258" s="352"/>
      <c r="ED258" s="352"/>
      <c r="EE258" s="352"/>
      <c r="EF258" s="352"/>
      <c r="EG258" s="352"/>
      <c r="EH258" s="352"/>
      <c r="EI258" s="352"/>
      <c r="EJ258" s="352"/>
      <c r="EK258" s="352"/>
      <c r="EL258" s="352"/>
      <c r="EM258" s="352"/>
      <c r="EN258" s="352"/>
    </row>
    <row r="259" spans="1:144" ht="20.100000000000001" customHeight="1">
      <c r="A259" s="118" t="s">
        <v>88</v>
      </c>
      <c r="B259" s="118" t="s">
        <v>626</v>
      </c>
      <c r="C259" s="119">
        <v>0</v>
      </c>
      <c r="D259" s="120">
        <f>'Sectors % GDP'!G22</f>
        <v>55910.458000000006</v>
      </c>
      <c r="E259" s="120">
        <f t="shared" si="8"/>
        <v>0</v>
      </c>
      <c r="F259" s="123">
        <v>1</v>
      </c>
      <c r="G259" s="120">
        <v>1</v>
      </c>
      <c r="H259" s="122">
        <v>12.75</v>
      </c>
      <c r="I259" s="122">
        <v>34.380000000000003</v>
      </c>
      <c r="J259" s="122">
        <v>18.07</v>
      </c>
      <c r="K259" s="123">
        <v>6.46</v>
      </c>
      <c r="L259" s="123">
        <f t="shared" ref="L259:L322" si="9">M259*100</f>
        <v>1</v>
      </c>
      <c r="M259" s="124">
        <v>0.01</v>
      </c>
      <c r="N259" s="124">
        <v>5.75</v>
      </c>
      <c r="O259" s="125">
        <f>'Trade Data'!F17</f>
        <v>0.18924668917039178</v>
      </c>
      <c r="P259" s="127">
        <v>1</v>
      </c>
      <c r="Q259" s="352"/>
      <c r="R259" s="352"/>
      <c r="S259" s="352"/>
      <c r="T259" s="352"/>
      <c r="U259" s="352"/>
      <c r="V259" s="352"/>
      <c r="W259" s="352"/>
      <c r="X259" s="352"/>
      <c r="Y259" s="352"/>
      <c r="Z259" s="352"/>
      <c r="AA259" s="352"/>
      <c r="AB259" s="352"/>
      <c r="AC259" s="352"/>
      <c r="AD259" s="352"/>
      <c r="AE259" s="352"/>
      <c r="AF259" s="352"/>
      <c r="AG259" s="352"/>
      <c r="AH259" s="352"/>
      <c r="AI259" s="352"/>
      <c r="AJ259" s="352"/>
      <c r="AK259" s="352"/>
      <c r="AL259" s="352"/>
      <c r="AM259" s="352"/>
      <c r="AN259" s="352"/>
      <c r="AO259" s="352"/>
      <c r="AP259" s="352"/>
      <c r="AQ259" s="352"/>
      <c r="AR259" s="352"/>
      <c r="AS259" s="352"/>
      <c r="AT259" s="352"/>
      <c r="AU259" s="352"/>
      <c r="AV259" s="352"/>
      <c r="AW259" s="352"/>
      <c r="AX259" s="352"/>
      <c r="AY259" s="352"/>
      <c r="AZ259" s="352"/>
      <c r="BA259" s="352"/>
      <c r="BB259" s="352"/>
      <c r="BC259" s="352"/>
      <c r="BD259" s="352"/>
      <c r="BE259" s="352"/>
      <c r="BF259" s="352"/>
      <c r="BG259" s="352"/>
      <c r="BH259" s="352"/>
      <c r="BI259" s="352"/>
      <c r="BJ259" s="352"/>
      <c r="BK259" s="352"/>
      <c r="BL259" s="352"/>
      <c r="BM259" s="352"/>
      <c r="BN259" s="352"/>
      <c r="BO259" s="352"/>
      <c r="BP259" s="352"/>
      <c r="BQ259" s="352"/>
      <c r="BR259" s="352"/>
      <c r="BS259" s="352"/>
      <c r="BT259" s="352"/>
      <c r="BU259" s="352"/>
      <c r="BV259" s="352"/>
      <c r="BW259" s="352"/>
      <c r="BX259" s="352"/>
      <c r="BY259" s="352"/>
      <c r="BZ259" s="352"/>
      <c r="CA259" s="352"/>
      <c r="CB259" s="352"/>
      <c r="CC259" s="352"/>
      <c r="CD259" s="352"/>
      <c r="CE259" s="352"/>
      <c r="CF259" s="352"/>
      <c r="CG259" s="352"/>
      <c r="CH259" s="352"/>
      <c r="CI259" s="352"/>
      <c r="CJ259" s="352"/>
      <c r="CK259" s="352"/>
      <c r="CL259" s="352"/>
      <c r="CM259" s="352"/>
      <c r="CN259" s="352"/>
      <c r="CO259" s="352"/>
      <c r="CP259" s="352"/>
      <c r="CQ259" s="352"/>
      <c r="CR259" s="352"/>
      <c r="CS259" s="352"/>
      <c r="CT259" s="352"/>
      <c r="CU259" s="352"/>
      <c r="CV259" s="352"/>
      <c r="CW259" s="352"/>
      <c r="CX259" s="352"/>
      <c r="CY259" s="352"/>
      <c r="CZ259" s="352"/>
      <c r="DA259" s="352"/>
      <c r="DB259" s="352"/>
      <c r="DC259" s="352"/>
      <c r="DD259" s="352"/>
      <c r="DE259" s="352"/>
      <c r="DF259" s="352"/>
      <c r="DG259" s="352"/>
      <c r="DH259" s="352"/>
      <c r="DI259" s="352"/>
      <c r="DJ259" s="352"/>
      <c r="DK259" s="352"/>
      <c r="DL259" s="352"/>
      <c r="DM259" s="352"/>
      <c r="DN259" s="352"/>
      <c r="DO259" s="352"/>
      <c r="DP259" s="352"/>
      <c r="DQ259" s="352"/>
      <c r="DR259" s="352"/>
      <c r="DS259" s="352"/>
      <c r="DT259" s="352"/>
      <c r="DU259" s="352"/>
      <c r="DV259" s="352"/>
      <c r="DW259" s="352"/>
      <c r="DX259" s="352"/>
      <c r="DY259" s="352"/>
      <c r="DZ259" s="352"/>
      <c r="EA259" s="352"/>
      <c r="EB259" s="352"/>
      <c r="EC259" s="352"/>
      <c r="ED259" s="352"/>
      <c r="EE259" s="352"/>
      <c r="EF259" s="352"/>
      <c r="EG259" s="352"/>
      <c r="EH259" s="352"/>
      <c r="EI259" s="352"/>
      <c r="EJ259" s="352"/>
      <c r="EK259" s="352"/>
      <c r="EL259" s="352"/>
      <c r="EM259" s="352"/>
      <c r="EN259" s="352"/>
    </row>
    <row r="260" spans="1:144" s="169" customFormat="1" ht="20.100000000000001" customHeight="1">
      <c r="A260" s="160" t="s">
        <v>89</v>
      </c>
      <c r="B260" s="160" t="s">
        <v>625</v>
      </c>
      <c r="C260" s="161">
        <v>0</v>
      </c>
      <c r="D260" s="162">
        <f>'Sectors % GDP'!G20</f>
        <v>10128.198</v>
      </c>
      <c r="E260" s="162">
        <f t="shared" si="8"/>
        <v>0</v>
      </c>
      <c r="F260" s="165">
        <v>0</v>
      </c>
      <c r="G260" s="162">
        <v>0</v>
      </c>
      <c r="H260" s="164">
        <v>9.73</v>
      </c>
      <c r="I260" s="164">
        <v>44.05</v>
      </c>
      <c r="J260" s="165">
        <v>5.41</v>
      </c>
      <c r="K260" s="165">
        <v>6.46</v>
      </c>
      <c r="L260" s="165">
        <f t="shared" si="9"/>
        <v>1</v>
      </c>
      <c r="M260" s="166">
        <v>0.01</v>
      </c>
      <c r="N260" s="166">
        <v>5.75</v>
      </c>
      <c r="O260" s="167">
        <f>'Trade Data'!F17</f>
        <v>0.18924668917039178</v>
      </c>
      <c r="P260" s="168">
        <v>0</v>
      </c>
      <c r="Q260" s="352"/>
      <c r="R260" s="352"/>
      <c r="S260" s="352"/>
      <c r="T260" s="352"/>
      <c r="U260" s="352"/>
      <c r="V260" s="352"/>
      <c r="W260" s="352"/>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c r="AS260" s="352"/>
      <c r="AT260" s="352"/>
      <c r="AU260" s="352"/>
      <c r="AV260" s="352"/>
      <c r="AW260" s="352"/>
      <c r="AX260" s="352"/>
      <c r="AY260" s="352"/>
      <c r="AZ260" s="352"/>
      <c r="BA260" s="352"/>
      <c r="BB260" s="352"/>
      <c r="BC260" s="352"/>
      <c r="BD260" s="352"/>
      <c r="BE260" s="352"/>
      <c r="BF260" s="352"/>
      <c r="BG260" s="352"/>
      <c r="BH260" s="352"/>
      <c r="BI260" s="352"/>
      <c r="BJ260" s="352"/>
      <c r="BK260" s="352"/>
      <c r="BL260" s="352"/>
      <c r="BM260" s="352"/>
      <c r="BN260" s="352"/>
      <c r="BO260" s="352"/>
      <c r="BP260" s="352"/>
      <c r="BQ260" s="352"/>
      <c r="BR260" s="352"/>
      <c r="BS260" s="352"/>
      <c r="BT260" s="352"/>
      <c r="BU260" s="352"/>
      <c r="BV260" s="352"/>
      <c r="BW260" s="352"/>
      <c r="BX260" s="352"/>
      <c r="BY260" s="352"/>
      <c r="BZ260" s="352"/>
      <c r="CA260" s="352"/>
      <c r="CB260" s="352"/>
      <c r="CC260" s="352"/>
      <c r="CD260" s="352"/>
      <c r="CE260" s="352"/>
      <c r="CF260" s="352"/>
      <c r="CG260" s="352"/>
      <c r="CH260" s="352"/>
      <c r="CI260" s="352"/>
      <c r="CJ260" s="352"/>
      <c r="CK260" s="352"/>
      <c r="CL260" s="352"/>
      <c r="CM260" s="352"/>
      <c r="CN260" s="352"/>
      <c r="CO260" s="352"/>
      <c r="CP260" s="352"/>
      <c r="CQ260" s="352"/>
      <c r="CR260" s="352"/>
      <c r="CS260" s="352"/>
      <c r="CT260" s="352"/>
      <c r="CU260" s="352"/>
      <c r="CV260" s="352"/>
      <c r="CW260" s="352"/>
      <c r="CX260" s="352"/>
      <c r="CY260" s="352"/>
      <c r="CZ260" s="352"/>
      <c r="DA260" s="352"/>
      <c r="DB260" s="352"/>
      <c r="DC260" s="352"/>
      <c r="DD260" s="352"/>
      <c r="DE260" s="352"/>
      <c r="DF260" s="352"/>
      <c r="DG260" s="352"/>
      <c r="DH260" s="352"/>
      <c r="DI260" s="352"/>
      <c r="DJ260" s="352"/>
      <c r="DK260" s="352"/>
      <c r="DL260" s="352"/>
      <c r="DM260" s="352"/>
      <c r="DN260" s="352"/>
      <c r="DO260" s="352"/>
      <c r="DP260" s="352"/>
      <c r="DQ260" s="352"/>
      <c r="DR260" s="352"/>
      <c r="DS260" s="352"/>
      <c r="DT260" s="352"/>
      <c r="DU260" s="352"/>
      <c r="DV260" s="352"/>
      <c r="DW260" s="352"/>
      <c r="DX260" s="352"/>
      <c r="DY260" s="352"/>
      <c r="DZ260" s="352"/>
      <c r="EA260" s="352"/>
      <c r="EB260" s="352"/>
      <c r="EC260" s="352"/>
      <c r="ED260" s="352"/>
      <c r="EE260" s="352"/>
      <c r="EF260" s="352"/>
      <c r="EG260" s="352"/>
      <c r="EH260" s="352"/>
      <c r="EI260" s="352"/>
      <c r="EJ260" s="352"/>
      <c r="EK260" s="352"/>
      <c r="EL260" s="352"/>
      <c r="EM260" s="352"/>
      <c r="EN260" s="352"/>
    </row>
    <row r="261" spans="1:144" s="188" customFormat="1" ht="20.100000000000001" customHeight="1">
      <c r="A261" s="179" t="s">
        <v>89</v>
      </c>
      <c r="B261" s="179" t="s">
        <v>624</v>
      </c>
      <c r="C261" s="180">
        <v>0</v>
      </c>
      <c r="D261" s="181">
        <f>'Sectors % GDP'!G21</f>
        <v>34141.343999999997</v>
      </c>
      <c r="E261" s="181">
        <f t="shared" si="8"/>
        <v>0</v>
      </c>
      <c r="F261" s="184">
        <v>1</v>
      </c>
      <c r="G261" s="181">
        <v>1</v>
      </c>
      <c r="H261" s="183">
        <v>9.73</v>
      </c>
      <c r="I261" s="183">
        <v>44.05</v>
      </c>
      <c r="J261" s="184">
        <v>5.41</v>
      </c>
      <c r="K261" s="184">
        <v>6.46</v>
      </c>
      <c r="L261" s="184">
        <f t="shared" si="9"/>
        <v>1</v>
      </c>
      <c r="M261" s="185">
        <v>0.01</v>
      </c>
      <c r="N261" s="185">
        <v>5.75</v>
      </c>
      <c r="O261" s="186">
        <f>'Trade Data'!F17</f>
        <v>0.18924668917039178</v>
      </c>
      <c r="P261" s="187">
        <v>1</v>
      </c>
      <c r="Q261" s="352"/>
      <c r="R261" s="352"/>
      <c r="S261" s="352"/>
      <c r="T261" s="352"/>
      <c r="U261" s="352"/>
      <c r="V261" s="352"/>
      <c r="W261" s="352"/>
      <c r="X261" s="352"/>
      <c r="Y261" s="352"/>
      <c r="Z261" s="352"/>
      <c r="AA261" s="352"/>
      <c r="AB261" s="352"/>
      <c r="AC261" s="352"/>
      <c r="AD261" s="352"/>
      <c r="AE261" s="352"/>
      <c r="AF261" s="352"/>
      <c r="AG261" s="352"/>
      <c r="AH261" s="352"/>
      <c r="AI261" s="352"/>
      <c r="AJ261" s="352"/>
      <c r="AK261" s="352"/>
      <c r="AL261" s="352"/>
      <c r="AM261" s="352"/>
      <c r="AN261" s="352"/>
      <c r="AO261" s="352"/>
      <c r="AP261" s="352"/>
      <c r="AQ261" s="352"/>
      <c r="AR261" s="352"/>
      <c r="AS261" s="352"/>
      <c r="AT261" s="352"/>
      <c r="AU261" s="352"/>
      <c r="AV261" s="352"/>
      <c r="AW261" s="352"/>
      <c r="AX261" s="352"/>
      <c r="AY261" s="352"/>
      <c r="AZ261" s="352"/>
      <c r="BA261" s="352"/>
      <c r="BB261" s="352"/>
      <c r="BC261" s="352"/>
      <c r="BD261" s="352"/>
      <c r="BE261" s="352"/>
      <c r="BF261" s="352"/>
      <c r="BG261" s="352"/>
      <c r="BH261" s="352"/>
      <c r="BI261" s="352"/>
      <c r="BJ261" s="352"/>
      <c r="BK261" s="352"/>
      <c r="BL261" s="352"/>
      <c r="BM261" s="352"/>
      <c r="BN261" s="352"/>
      <c r="BO261" s="352"/>
      <c r="BP261" s="352"/>
      <c r="BQ261" s="352"/>
      <c r="BR261" s="352"/>
      <c r="BS261" s="352"/>
      <c r="BT261" s="352"/>
      <c r="BU261" s="352"/>
      <c r="BV261" s="352"/>
      <c r="BW261" s="352"/>
      <c r="BX261" s="352"/>
      <c r="BY261" s="352"/>
      <c r="BZ261" s="352"/>
      <c r="CA261" s="352"/>
      <c r="CB261" s="352"/>
      <c r="CC261" s="352"/>
      <c r="CD261" s="352"/>
      <c r="CE261" s="352"/>
      <c r="CF261" s="352"/>
      <c r="CG261" s="352"/>
      <c r="CH261" s="352"/>
      <c r="CI261" s="352"/>
      <c r="CJ261" s="352"/>
      <c r="CK261" s="352"/>
      <c r="CL261" s="352"/>
      <c r="CM261" s="352"/>
      <c r="CN261" s="352"/>
      <c r="CO261" s="352"/>
      <c r="CP261" s="352"/>
      <c r="CQ261" s="352"/>
      <c r="CR261" s="352"/>
      <c r="CS261" s="352"/>
      <c r="CT261" s="352"/>
      <c r="CU261" s="352"/>
      <c r="CV261" s="352"/>
      <c r="CW261" s="352"/>
      <c r="CX261" s="352"/>
      <c r="CY261" s="352"/>
      <c r="CZ261" s="352"/>
      <c r="DA261" s="352"/>
      <c r="DB261" s="352"/>
      <c r="DC261" s="352"/>
      <c r="DD261" s="352"/>
      <c r="DE261" s="352"/>
      <c r="DF261" s="352"/>
      <c r="DG261" s="352"/>
      <c r="DH261" s="352"/>
      <c r="DI261" s="352"/>
      <c r="DJ261" s="352"/>
      <c r="DK261" s="352"/>
      <c r="DL261" s="352"/>
      <c r="DM261" s="352"/>
      <c r="DN261" s="352"/>
      <c r="DO261" s="352"/>
      <c r="DP261" s="352"/>
      <c r="DQ261" s="352"/>
      <c r="DR261" s="352"/>
      <c r="DS261" s="352"/>
      <c r="DT261" s="352"/>
      <c r="DU261" s="352"/>
      <c r="DV261" s="352"/>
      <c r="DW261" s="352"/>
      <c r="DX261" s="352"/>
      <c r="DY261" s="352"/>
      <c r="DZ261" s="352"/>
      <c r="EA261" s="352"/>
      <c r="EB261" s="352"/>
      <c r="EC261" s="352"/>
      <c r="ED261" s="352"/>
      <c r="EE261" s="352"/>
      <c r="EF261" s="352"/>
      <c r="EG261" s="352"/>
      <c r="EH261" s="352"/>
      <c r="EI261" s="352"/>
      <c r="EJ261" s="352"/>
      <c r="EK261" s="352"/>
      <c r="EL261" s="352"/>
      <c r="EM261" s="352"/>
      <c r="EN261" s="352"/>
    </row>
    <row r="262" spans="1:144" ht="20.100000000000001" customHeight="1">
      <c r="A262" s="118" t="s">
        <v>89</v>
      </c>
      <c r="B262" s="118" t="s">
        <v>623</v>
      </c>
      <c r="C262" s="119">
        <v>0</v>
      </c>
      <c r="D262" s="120">
        <f>'Sectors % GDP'!G22</f>
        <v>55910.458000000006</v>
      </c>
      <c r="E262" s="120">
        <f t="shared" si="8"/>
        <v>0</v>
      </c>
      <c r="F262" s="123">
        <v>0</v>
      </c>
      <c r="G262" s="120">
        <v>0</v>
      </c>
      <c r="H262" s="122">
        <v>9.73</v>
      </c>
      <c r="I262" s="122">
        <v>44.05</v>
      </c>
      <c r="J262" s="123">
        <v>5.41</v>
      </c>
      <c r="K262" s="123">
        <v>6.46</v>
      </c>
      <c r="L262" s="123">
        <f t="shared" si="9"/>
        <v>1</v>
      </c>
      <c r="M262" s="124">
        <v>0.01</v>
      </c>
      <c r="N262" s="124">
        <v>5.75</v>
      </c>
      <c r="O262" s="125">
        <f>'Trade Data'!F17</f>
        <v>0.18924668917039178</v>
      </c>
      <c r="P262" s="126">
        <v>1</v>
      </c>
      <c r="Q262" s="352"/>
      <c r="R262" s="352"/>
      <c r="S262" s="352"/>
      <c r="T262" s="352"/>
      <c r="U262" s="352"/>
      <c r="V262" s="352"/>
      <c r="W262" s="352"/>
      <c r="X262" s="352"/>
      <c r="Y262" s="352"/>
      <c r="Z262" s="352"/>
      <c r="AA262" s="352"/>
      <c r="AB262" s="352"/>
      <c r="AC262" s="352"/>
      <c r="AD262" s="352"/>
      <c r="AE262" s="352"/>
      <c r="AF262" s="352"/>
      <c r="AG262" s="352"/>
      <c r="AH262" s="352"/>
      <c r="AI262" s="352"/>
      <c r="AJ262" s="352"/>
      <c r="AK262" s="352"/>
      <c r="AL262" s="352"/>
      <c r="AM262" s="352"/>
      <c r="AN262" s="352"/>
      <c r="AO262" s="352"/>
      <c r="AP262" s="352"/>
      <c r="AQ262" s="352"/>
      <c r="AR262" s="352"/>
      <c r="AS262" s="352"/>
      <c r="AT262" s="352"/>
      <c r="AU262" s="352"/>
      <c r="AV262" s="352"/>
      <c r="AW262" s="352"/>
      <c r="AX262" s="352"/>
      <c r="AY262" s="352"/>
      <c r="AZ262" s="352"/>
      <c r="BA262" s="352"/>
      <c r="BB262" s="352"/>
      <c r="BC262" s="352"/>
      <c r="BD262" s="352"/>
      <c r="BE262" s="352"/>
      <c r="BF262" s="352"/>
      <c r="BG262" s="352"/>
      <c r="BH262" s="352"/>
      <c r="BI262" s="352"/>
      <c r="BJ262" s="352"/>
      <c r="BK262" s="352"/>
      <c r="BL262" s="352"/>
      <c r="BM262" s="352"/>
      <c r="BN262" s="352"/>
      <c r="BO262" s="352"/>
      <c r="BP262" s="352"/>
      <c r="BQ262" s="352"/>
      <c r="BR262" s="352"/>
      <c r="BS262" s="352"/>
      <c r="BT262" s="352"/>
      <c r="BU262" s="352"/>
      <c r="BV262" s="352"/>
      <c r="BW262" s="352"/>
      <c r="BX262" s="352"/>
      <c r="BY262" s="352"/>
      <c r="BZ262" s="352"/>
      <c r="CA262" s="352"/>
      <c r="CB262" s="352"/>
      <c r="CC262" s="352"/>
      <c r="CD262" s="352"/>
      <c r="CE262" s="352"/>
      <c r="CF262" s="352"/>
      <c r="CG262" s="352"/>
      <c r="CH262" s="352"/>
      <c r="CI262" s="352"/>
      <c r="CJ262" s="352"/>
      <c r="CK262" s="352"/>
      <c r="CL262" s="352"/>
      <c r="CM262" s="352"/>
      <c r="CN262" s="352"/>
      <c r="CO262" s="352"/>
      <c r="CP262" s="352"/>
      <c r="CQ262" s="352"/>
      <c r="CR262" s="352"/>
      <c r="CS262" s="352"/>
      <c r="CT262" s="352"/>
      <c r="CU262" s="352"/>
      <c r="CV262" s="352"/>
      <c r="CW262" s="352"/>
      <c r="CX262" s="352"/>
      <c r="CY262" s="352"/>
      <c r="CZ262" s="352"/>
      <c r="DA262" s="352"/>
      <c r="DB262" s="352"/>
      <c r="DC262" s="352"/>
      <c r="DD262" s="352"/>
      <c r="DE262" s="352"/>
      <c r="DF262" s="352"/>
      <c r="DG262" s="352"/>
      <c r="DH262" s="352"/>
      <c r="DI262" s="352"/>
      <c r="DJ262" s="352"/>
      <c r="DK262" s="352"/>
      <c r="DL262" s="352"/>
      <c r="DM262" s="352"/>
      <c r="DN262" s="352"/>
      <c r="DO262" s="352"/>
      <c r="DP262" s="352"/>
      <c r="DQ262" s="352"/>
      <c r="DR262" s="352"/>
      <c r="DS262" s="352"/>
      <c r="DT262" s="352"/>
      <c r="DU262" s="352"/>
      <c r="DV262" s="352"/>
      <c r="DW262" s="352"/>
      <c r="DX262" s="352"/>
      <c r="DY262" s="352"/>
      <c r="DZ262" s="352"/>
      <c r="EA262" s="352"/>
      <c r="EB262" s="352"/>
      <c r="EC262" s="352"/>
      <c r="ED262" s="352"/>
      <c r="EE262" s="352"/>
      <c r="EF262" s="352"/>
      <c r="EG262" s="352"/>
      <c r="EH262" s="352"/>
      <c r="EI262" s="352"/>
      <c r="EJ262" s="352"/>
      <c r="EK262" s="352"/>
      <c r="EL262" s="352"/>
      <c r="EM262" s="352"/>
      <c r="EN262" s="352"/>
    </row>
    <row r="263" spans="1:144" s="169" customFormat="1" ht="20.100000000000001" customHeight="1">
      <c r="A263" s="160" t="s">
        <v>90</v>
      </c>
      <c r="B263" s="160" t="s">
        <v>622</v>
      </c>
      <c r="C263" s="161">
        <v>0</v>
      </c>
      <c r="D263" s="162">
        <f>'Sectors % GDP'!I20</f>
        <v>10200.540000000001</v>
      </c>
      <c r="E263" s="162">
        <f t="shared" si="8"/>
        <v>0</v>
      </c>
      <c r="F263" s="165">
        <v>0</v>
      </c>
      <c r="G263" s="162">
        <v>0</v>
      </c>
      <c r="H263" s="164">
        <v>8.09</v>
      </c>
      <c r="I263" s="164">
        <v>31.46</v>
      </c>
      <c r="J263" s="164">
        <v>4.5199999999999996</v>
      </c>
      <c r="K263" s="165">
        <v>6.82</v>
      </c>
      <c r="L263" s="165">
        <f t="shared" si="9"/>
        <v>1</v>
      </c>
      <c r="M263" s="166">
        <v>0.01</v>
      </c>
      <c r="N263" s="166">
        <v>5.75</v>
      </c>
      <c r="O263" s="167">
        <f>'Trade Data'!F17</f>
        <v>0.18924668917039178</v>
      </c>
      <c r="P263" s="170">
        <v>0</v>
      </c>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P263" s="352"/>
      <c r="AQ263" s="352"/>
      <c r="AR263" s="352"/>
      <c r="AS263" s="352"/>
      <c r="AT263" s="352"/>
      <c r="AU263" s="352"/>
      <c r="AV263" s="352"/>
      <c r="AW263" s="352"/>
      <c r="AX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BT263" s="352"/>
      <c r="BU263" s="352"/>
      <c r="BV263" s="352"/>
      <c r="BW263" s="352"/>
      <c r="BX263" s="352"/>
      <c r="BY263" s="352"/>
      <c r="BZ263" s="352"/>
      <c r="CA263" s="352"/>
      <c r="CB263" s="352"/>
      <c r="CC263" s="352"/>
      <c r="CD263" s="352"/>
      <c r="CE263" s="352"/>
      <c r="CF263" s="352"/>
      <c r="CG263" s="352"/>
      <c r="CH263" s="352"/>
      <c r="CI263" s="352"/>
      <c r="CJ263" s="352"/>
      <c r="CK263" s="352"/>
      <c r="CL263" s="352"/>
      <c r="CM263" s="352"/>
      <c r="CN263" s="352"/>
      <c r="CO263" s="352"/>
      <c r="CP263" s="352"/>
      <c r="CQ263" s="352"/>
      <c r="CR263" s="352"/>
      <c r="CS263" s="352"/>
      <c r="CT263" s="352"/>
      <c r="CU263" s="352"/>
      <c r="CV263" s="352"/>
      <c r="CW263" s="352"/>
      <c r="CX263" s="352"/>
      <c r="CY263" s="352"/>
      <c r="CZ263" s="352"/>
      <c r="DA263" s="352"/>
      <c r="DB263" s="352"/>
      <c r="DC263" s="352"/>
      <c r="DD263" s="352"/>
      <c r="DE263" s="352"/>
      <c r="DF263" s="352"/>
      <c r="DG263" s="352"/>
      <c r="DH263" s="352"/>
      <c r="DI263" s="352"/>
      <c r="DJ263" s="352"/>
      <c r="DK263" s="352"/>
      <c r="DL263" s="352"/>
      <c r="DM263" s="352"/>
      <c r="DN263" s="352"/>
      <c r="DO263" s="352"/>
      <c r="DP263" s="352"/>
      <c r="DQ263" s="352"/>
      <c r="DR263" s="352"/>
      <c r="DS263" s="352"/>
      <c r="DT263" s="352"/>
      <c r="DU263" s="352"/>
      <c r="DV263" s="352"/>
      <c r="DW263" s="352"/>
      <c r="DX263" s="352"/>
      <c r="DY263" s="352"/>
      <c r="DZ263" s="352"/>
      <c r="EA263" s="352"/>
      <c r="EB263" s="352"/>
      <c r="EC263" s="352"/>
      <c r="ED263" s="352"/>
      <c r="EE263" s="352"/>
      <c r="EF263" s="352"/>
      <c r="EG263" s="352"/>
      <c r="EH263" s="352"/>
      <c r="EI263" s="352"/>
      <c r="EJ263" s="352"/>
      <c r="EK263" s="352"/>
      <c r="EL263" s="352"/>
      <c r="EM263" s="352"/>
      <c r="EN263" s="352"/>
    </row>
    <row r="264" spans="1:144" s="188" customFormat="1" ht="20.100000000000001" customHeight="1">
      <c r="A264" s="179" t="s">
        <v>90</v>
      </c>
      <c r="B264" s="179" t="s">
        <v>621</v>
      </c>
      <c r="C264" s="180">
        <v>0</v>
      </c>
      <c r="D264" s="181">
        <f>'Sectors % GDP'!I21</f>
        <v>32694.539999999997</v>
      </c>
      <c r="E264" s="181">
        <f t="shared" si="8"/>
        <v>0</v>
      </c>
      <c r="F264" s="184">
        <v>1</v>
      </c>
      <c r="G264" s="181">
        <v>2</v>
      </c>
      <c r="H264" s="183">
        <v>8.09</v>
      </c>
      <c r="I264" s="183">
        <v>31.46</v>
      </c>
      <c r="J264" s="183">
        <v>4.5199999999999996</v>
      </c>
      <c r="K264" s="184">
        <v>6.82</v>
      </c>
      <c r="L264" s="184">
        <f t="shared" si="9"/>
        <v>1</v>
      </c>
      <c r="M264" s="185">
        <v>0.01</v>
      </c>
      <c r="N264" s="185">
        <v>5.75</v>
      </c>
      <c r="O264" s="186">
        <f>'Trade Data'!F17</f>
        <v>0.18924668917039178</v>
      </c>
      <c r="P264" s="189">
        <v>1</v>
      </c>
      <c r="Q264" s="352"/>
      <c r="R264" s="352"/>
      <c r="S264" s="352"/>
      <c r="T264" s="352"/>
      <c r="U264" s="352"/>
      <c r="V264" s="352"/>
      <c r="W264" s="352"/>
      <c r="X264" s="352"/>
      <c r="Y264" s="352"/>
      <c r="Z264" s="352"/>
      <c r="AA264" s="352"/>
      <c r="AB264" s="352"/>
      <c r="AC264" s="352"/>
      <c r="AD264" s="352"/>
      <c r="AE264" s="352"/>
      <c r="AF264" s="352"/>
      <c r="AG264" s="352"/>
      <c r="AH264" s="352"/>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BT264" s="352"/>
      <c r="BU264" s="352"/>
      <c r="BV264" s="352"/>
      <c r="BW264" s="352"/>
      <c r="BX264" s="352"/>
      <c r="BY264" s="352"/>
      <c r="BZ264" s="352"/>
      <c r="CA264" s="352"/>
      <c r="CB264" s="352"/>
      <c r="CC264" s="352"/>
      <c r="CD264" s="352"/>
      <c r="CE264" s="352"/>
      <c r="CF264" s="352"/>
      <c r="CG264" s="352"/>
      <c r="CH264" s="352"/>
      <c r="CI264" s="352"/>
      <c r="CJ264" s="352"/>
      <c r="CK264" s="352"/>
      <c r="CL264" s="352"/>
      <c r="CM264" s="352"/>
      <c r="CN264" s="352"/>
      <c r="CO264" s="352"/>
      <c r="CP264" s="352"/>
      <c r="CQ264" s="352"/>
      <c r="CR264" s="352"/>
      <c r="CS264" s="352"/>
      <c r="CT264" s="352"/>
      <c r="CU264" s="352"/>
      <c r="CV264" s="352"/>
      <c r="CW264" s="352"/>
      <c r="CX264" s="352"/>
      <c r="CY264" s="352"/>
      <c r="CZ264" s="352"/>
      <c r="DA264" s="352"/>
      <c r="DB264" s="352"/>
      <c r="DC264" s="352"/>
      <c r="DD264" s="352"/>
      <c r="DE264" s="352"/>
      <c r="DF264" s="352"/>
      <c r="DG264" s="352"/>
      <c r="DH264" s="352"/>
      <c r="DI264" s="352"/>
      <c r="DJ264" s="352"/>
      <c r="DK264" s="352"/>
      <c r="DL264" s="352"/>
      <c r="DM264" s="352"/>
      <c r="DN264" s="352"/>
      <c r="DO264" s="352"/>
      <c r="DP264" s="352"/>
      <c r="DQ264" s="352"/>
      <c r="DR264" s="352"/>
      <c r="DS264" s="352"/>
      <c r="DT264" s="352"/>
      <c r="DU264" s="352"/>
      <c r="DV264" s="352"/>
      <c r="DW264" s="352"/>
      <c r="DX264" s="352"/>
      <c r="DY264" s="352"/>
      <c r="DZ264" s="352"/>
      <c r="EA264" s="352"/>
      <c r="EB264" s="352"/>
      <c r="EC264" s="352"/>
      <c r="ED264" s="352"/>
      <c r="EE264" s="352"/>
      <c r="EF264" s="352"/>
      <c r="EG264" s="352"/>
      <c r="EH264" s="352"/>
      <c r="EI264" s="352"/>
      <c r="EJ264" s="352"/>
      <c r="EK264" s="352"/>
      <c r="EL264" s="352"/>
      <c r="EM264" s="352"/>
      <c r="EN264" s="352"/>
    </row>
    <row r="265" spans="1:144" ht="20.100000000000001" customHeight="1">
      <c r="A265" s="118" t="s">
        <v>90</v>
      </c>
      <c r="B265" s="118" t="s">
        <v>620</v>
      </c>
      <c r="C265" s="119">
        <v>0</v>
      </c>
      <c r="D265" s="120">
        <f>'Sectors % GDP'!I22</f>
        <v>54904.92</v>
      </c>
      <c r="E265" s="120">
        <f t="shared" si="8"/>
        <v>0</v>
      </c>
      <c r="F265" s="123">
        <v>0</v>
      </c>
      <c r="G265" s="120">
        <v>0</v>
      </c>
      <c r="H265" s="122">
        <v>8.09</v>
      </c>
      <c r="I265" s="122">
        <v>31.46</v>
      </c>
      <c r="J265" s="122">
        <v>4.5199999999999996</v>
      </c>
      <c r="K265" s="123">
        <v>6.82</v>
      </c>
      <c r="L265" s="123">
        <f t="shared" si="9"/>
        <v>1</v>
      </c>
      <c r="M265" s="124">
        <v>0.01</v>
      </c>
      <c r="N265" s="124">
        <v>5.75</v>
      </c>
      <c r="O265" s="125">
        <f>'Trade Data'!F17</f>
        <v>0.18924668917039178</v>
      </c>
      <c r="P265" s="127">
        <v>1</v>
      </c>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BT265" s="352"/>
      <c r="BU265" s="352"/>
      <c r="BV265" s="352"/>
      <c r="BW265" s="352"/>
      <c r="BX265" s="352"/>
      <c r="BY265" s="352"/>
      <c r="BZ265" s="352"/>
      <c r="CA265" s="352"/>
      <c r="CB265" s="352"/>
      <c r="CC265" s="352"/>
      <c r="CD265" s="352"/>
      <c r="CE265" s="352"/>
      <c r="CF265" s="352"/>
      <c r="CG265" s="352"/>
      <c r="CH265" s="352"/>
      <c r="CI265" s="352"/>
      <c r="CJ265" s="352"/>
      <c r="CK265" s="352"/>
      <c r="CL265" s="352"/>
      <c r="CM265" s="352"/>
      <c r="CN265" s="352"/>
      <c r="CO265" s="352"/>
      <c r="CP265" s="352"/>
      <c r="CQ265" s="352"/>
      <c r="CR265" s="352"/>
      <c r="CS265" s="352"/>
      <c r="CT265" s="352"/>
      <c r="CU265" s="352"/>
      <c r="CV265" s="352"/>
      <c r="CW265" s="352"/>
      <c r="CX265" s="352"/>
      <c r="CY265" s="352"/>
      <c r="CZ265" s="352"/>
      <c r="DA265" s="352"/>
      <c r="DB265" s="352"/>
      <c r="DC265" s="352"/>
      <c r="DD265" s="352"/>
      <c r="DE265" s="352"/>
      <c r="DF265" s="352"/>
      <c r="DG265" s="352"/>
      <c r="DH265" s="352"/>
      <c r="DI265" s="352"/>
      <c r="DJ265" s="352"/>
      <c r="DK265" s="352"/>
      <c r="DL265" s="352"/>
      <c r="DM265" s="352"/>
      <c r="DN265" s="352"/>
      <c r="DO265" s="352"/>
      <c r="DP265" s="352"/>
      <c r="DQ265" s="352"/>
      <c r="DR265" s="352"/>
      <c r="DS265" s="352"/>
      <c r="DT265" s="352"/>
      <c r="DU265" s="352"/>
      <c r="DV265" s="352"/>
      <c r="DW265" s="352"/>
      <c r="DX265" s="352"/>
      <c r="DY265" s="352"/>
      <c r="DZ265" s="352"/>
      <c r="EA265" s="352"/>
      <c r="EB265" s="352"/>
      <c r="EC265" s="352"/>
      <c r="ED265" s="352"/>
      <c r="EE265" s="352"/>
      <c r="EF265" s="352"/>
      <c r="EG265" s="352"/>
      <c r="EH265" s="352"/>
      <c r="EI265" s="352"/>
      <c r="EJ265" s="352"/>
      <c r="EK265" s="352"/>
      <c r="EL265" s="352"/>
      <c r="EM265" s="352"/>
      <c r="EN265" s="352"/>
    </row>
    <row r="266" spans="1:144" s="169" customFormat="1" ht="20.100000000000001" customHeight="1">
      <c r="A266" s="160" t="s">
        <v>91</v>
      </c>
      <c r="B266" s="160" t="s">
        <v>619</v>
      </c>
      <c r="C266" s="161">
        <v>0</v>
      </c>
      <c r="D266" s="162">
        <f>'Sectors % GDP'!I20</f>
        <v>10200.540000000001</v>
      </c>
      <c r="E266" s="162">
        <f t="shared" si="8"/>
        <v>0</v>
      </c>
      <c r="F266" s="165">
        <v>0</v>
      </c>
      <c r="G266" s="162">
        <v>0</v>
      </c>
      <c r="H266" s="164">
        <v>7.99</v>
      </c>
      <c r="I266" s="164">
        <v>29.73</v>
      </c>
      <c r="J266" s="164">
        <v>7.12</v>
      </c>
      <c r="K266" s="165">
        <v>6.82</v>
      </c>
      <c r="L266" s="165">
        <f t="shared" si="9"/>
        <v>-1.6</v>
      </c>
      <c r="M266" s="166">
        <v>-1.6E-2</v>
      </c>
      <c r="N266" s="166">
        <v>6.25</v>
      </c>
      <c r="O266" s="167">
        <f>'Trade Data'!H17</f>
        <v>0.1716585196910696</v>
      </c>
      <c r="P266" s="168">
        <v>0</v>
      </c>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BT266" s="352"/>
      <c r="BU266" s="352"/>
      <c r="BV266" s="352"/>
      <c r="BW266" s="352"/>
      <c r="BX266" s="352"/>
      <c r="BY266" s="352"/>
      <c r="BZ266" s="352"/>
      <c r="CA266" s="352"/>
      <c r="CB266" s="352"/>
      <c r="CC266" s="352"/>
      <c r="CD266" s="352"/>
      <c r="CE266" s="352"/>
      <c r="CF266" s="352"/>
      <c r="CG266" s="352"/>
      <c r="CH266" s="352"/>
      <c r="CI266" s="352"/>
      <c r="CJ266" s="352"/>
      <c r="CK266" s="352"/>
      <c r="CL266" s="352"/>
      <c r="CM266" s="352"/>
      <c r="CN266" s="352"/>
      <c r="CO266" s="352"/>
      <c r="CP266" s="352"/>
      <c r="CQ266" s="352"/>
      <c r="CR266" s="352"/>
      <c r="CS266" s="352"/>
      <c r="CT266" s="352"/>
      <c r="CU266" s="352"/>
      <c r="CV266" s="352"/>
      <c r="CW266" s="352"/>
      <c r="CX266" s="352"/>
      <c r="CY266" s="352"/>
      <c r="CZ266" s="352"/>
      <c r="DA266" s="352"/>
      <c r="DB266" s="352"/>
      <c r="DC266" s="352"/>
      <c r="DD266" s="352"/>
      <c r="DE266" s="352"/>
      <c r="DF266" s="352"/>
      <c r="DG266" s="352"/>
      <c r="DH266" s="352"/>
      <c r="DI266" s="352"/>
      <c r="DJ266" s="352"/>
      <c r="DK266" s="352"/>
      <c r="DL266" s="352"/>
      <c r="DM266" s="352"/>
      <c r="DN266" s="352"/>
      <c r="DO266" s="352"/>
      <c r="DP266" s="352"/>
      <c r="DQ266" s="352"/>
      <c r="DR266" s="352"/>
      <c r="DS266" s="352"/>
      <c r="DT266" s="352"/>
      <c r="DU266" s="352"/>
      <c r="DV266" s="352"/>
      <c r="DW266" s="352"/>
      <c r="DX266" s="352"/>
      <c r="DY266" s="352"/>
      <c r="DZ266" s="352"/>
      <c r="EA266" s="352"/>
      <c r="EB266" s="352"/>
      <c r="EC266" s="352"/>
      <c r="ED266" s="352"/>
      <c r="EE266" s="352"/>
      <c r="EF266" s="352"/>
      <c r="EG266" s="352"/>
      <c r="EH266" s="352"/>
      <c r="EI266" s="352"/>
      <c r="EJ266" s="352"/>
      <c r="EK266" s="352"/>
      <c r="EL266" s="352"/>
      <c r="EM266" s="352"/>
      <c r="EN266" s="352"/>
    </row>
    <row r="267" spans="1:144" s="188" customFormat="1" ht="20.100000000000001" customHeight="1">
      <c r="A267" s="179" t="s">
        <v>91</v>
      </c>
      <c r="B267" s="179" t="s">
        <v>618</v>
      </c>
      <c r="C267" s="180">
        <v>0</v>
      </c>
      <c r="D267" s="181">
        <f>'Sectors % GDP'!I21</f>
        <v>32694.539999999997</v>
      </c>
      <c r="E267" s="181">
        <f t="shared" si="8"/>
        <v>0</v>
      </c>
      <c r="F267" s="184">
        <v>0</v>
      </c>
      <c r="G267" s="181">
        <v>0</v>
      </c>
      <c r="H267" s="183">
        <v>7.99</v>
      </c>
      <c r="I267" s="183">
        <v>29.73</v>
      </c>
      <c r="J267" s="183">
        <v>7.12</v>
      </c>
      <c r="K267" s="184">
        <v>6.82</v>
      </c>
      <c r="L267" s="184">
        <f t="shared" si="9"/>
        <v>-1.6</v>
      </c>
      <c r="M267" s="185">
        <v>-1.6E-2</v>
      </c>
      <c r="N267" s="185">
        <v>6.25</v>
      </c>
      <c r="O267" s="186">
        <f>'Trade Data'!H17</f>
        <v>0.1716585196910696</v>
      </c>
      <c r="P267" s="187">
        <v>1</v>
      </c>
      <c r="Q267" s="352"/>
      <c r="R267" s="352"/>
      <c r="S267" s="352"/>
      <c r="T267" s="352"/>
      <c r="U267" s="352"/>
      <c r="V267" s="352"/>
      <c r="W267" s="352"/>
      <c r="X267" s="352"/>
      <c r="Y267" s="352"/>
      <c r="Z267" s="352"/>
      <c r="AA267" s="352"/>
      <c r="AB267" s="352"/>
      <c r="AC267" s="352"/>
      <c r="AD267" s="352"/>
      <c r="AE267" s="352"/>
      <c r="AF267" s="352"/>
      <c r="AG267" s="352"/>
      <c r="AH267" s="352"/>
      <c r="AI267" s="352"/>
      <c r="AJ267" s="352"/>
      <c r="AK267" s="352"/>
      <c r="AL267" s="352"/>
      <c r="AM267" s="352"/>
      <c r="AN267" s="352"/>
      <c r="AO267" s="352"/>
      <c r="AP267" s="352"/>
      <c r="AQ267" s="352"/>
      <c r="AR267" s="352"/>
      <c r="AS267" s="352"/>
      <c r="AT267" s="352"/>
      <c r="AU267" s="352"/>
      <c r="AV267" s="352"/>
      <c r="AW267" s="352"/>
      <c r="AX267" s="352"/>
      <c r="AY267" s="352"/>
      <c r="AZ267" s="352"/>
      <c r="BA267" s="352"/>
      <c r="BB267" s="352"/>
      <c r="BC267" s="352"/>
      <c r="BD267" s="352"/>
      <c r="BE267" s="352"/>
      <c r="BF267" s="352"/>
      <c r="BG267" s="352"/>
      <c r="BH267" s="352"/>
      <c r="BI267" s="352"/>
      <c r="BJ267" s="352"/>
      <c r="BK267" s="352"/>
      <c r="BL267" s="352"/>
      <c r="BM267" s="352"/>
      <c r="BN267" s="352"/>
      <c r="BO267" s="352"/>
      <c r="BP267" s="352"/>
      <c r="BQ267" s="352"/>
      <c r="BR267" s="352"/>
      <c r="BS267" s="352"/>
      <c r="BT267" s="352"/>
      <c r="BU267" s="352"/>
      <c r="BV267" s="352"/>
      <c r="BW267" s="352"/>
      <c r="BX267" s="352"/>
      <c r="BY267" s="352"/>
      <c r="BZ267" s="352"/>
      <c r="CA267" s="352"/>
      <c r="CB267" s="352"/>
      <c r="CC267" s="352"/>
      <c r="CD267" s="352"/>
      <c r="CE267" s="352"/>
      <c r="CF267" s="352"/>
      <c r="CG267" s="352"/>
      <c r="CH267" s="352"/>
      <c r="CI267" s="352"/>
      <c r="CJ267" s="352"/>
      <c r="CK267" s="352"/>
      <c r="CL267" s="352"/>
      <c r="CM267" s="352"/>
      <c r="CN267" s="352"/>
      <c r="CO267" s="352"/>
      <c r="CP267" s="352"/>
      <c r="CQ267" s="352"/>
      <c r="CR267" s="352"/>
      <c r="CS267" s="352"/>
      <c r="CT267" s="352"/>
      <c r="CU267" s="352"/>
      <c r="CV267" s="352"/>
      <c r="CW267" s="352"/>
      <c r="CX267" s="352"/>
      <c r="CY267" s="352"/>
      <c r="CZ267" s="352"/>
      <c r="DA267" s="352"/>
      <c r="DB267" s="352"/>
      <c r="DC267" s="352"/>
      <c r="DD267" s="352"/>
      <c r="DE267" s="352"/>
      <c r="DF267" s="352"/>
      <c r="DG267" s="352"/>
      <c r="DH267" s="352"/>
      <c r="DI267" s="352"/>
      <c r="DJ267" s="352"/>
      <c r="DK267" s="352"/>
      <c r="DL267" s="352"/>
      <c r="DM267" s="352"/>
      <c r="DN267" s="352"/>
      <c r="DO267" s="352"/>
      <c r="DP267" s="352"/>
      <c r="DQ267" s="352"/>
      <c r="DR267" s="352"/>
      <c r="DS267" s="352"/>
      <c r="DT267" s="352"/>
      <c r="DU267" s="352"/>
      <c r="DV267" s="352"/>
      <c r="DW267" s="352"/>
      <c r="DX267" s="352"/>
      <c r="DY267" s="352"/>
      <c r="DZ267" s="352"/>
      <c r="EA267" s="352"/>
      <c r="EB267" s="352"/>
      <c r="EC267" s="352"/>
      <c r="ED267" s="352"/>
      <c r="EE267" s="352"/>
      <c r="EF267" s="352"/>
      <c r="EG267" s="352"/>
      <c r="EH267" s="352"/>
      <c r="EI267" s="352"/>
      <c r="EJ267" s="352"/>
      <c r="EK267" s="352"/>
      <c r="EL267" s="352"/>
      <c r="EM267" s="352"/>
      <c r="EN267" s="352"/>
    </row>
    <row r="268" spans="1:144" ht="20.100000000000001" customHeight="1">
      <c r="A268" s="118" t="s">
        <v>91</v>
      </c>
      <c r="B268" s="118" t="s">
        <v>617</v>
      </c>
      <c r="C268" s="119">
        <v>0</v>
      </c>
      <c r="D268" s="120">
        <f>'Sectors % GDP'!I22</f>
        <v>54904.92</v>
      </c>
      <c r="E268" s="120">
        <f t="shared" si="8"/>
        <v>0</v>
      </c>
      <c r="F268" s="123">
        <v>1</v>
      </c>
      <c r="G268" s="120">
        <v>1</v>
      </c>
      <c r="H268" s="122">
        <v>7.99</v>
      </c>
      <c r="I268" s="122">
        <v>29.73</v>
      </c>
      <c r="J268" s="123">
        <v>7.12</v>
      </c>
      <c r="K268" s="123">
        <v>6.82</v>
      </c>
      <c r="L268" s="123">
        <f t="shared" si="9"/>
        <v>-1.6</v>
      </c>
      <c r="M268" s="124">
        <v>-1.6E-2</v>
      </c>
      <c r="N268" s="124">
        <v>6.25</v>
      </c>
      <c r="O268" s="125">
        <f>'Trade Data'!H17</f>
        <v>0.1716585196910696</v>
      </c>
      <c r="P268" s="126">
        <v>1</v>
      </c>
      <c r="Q268" s="352"/>
      <c r="R268" s="352"/>
      <c r="S268" s="352"/>
      <c r="T268" s="352"/>
      <c r="U268" s="352"/>
      <c r="V268" s="352"/>
      <c r="W268" s="352"/>
      <c r="X268" s="352"/>
      <c r="Y268" s="352"/>
      <c r="Z268" s="352"/>
      <c r="AA268" s="352"/>
      <c r="AB268" s="352"/>
      <c r="AC268" s="352"/>
      <c r="AD268" s="352"/>
      <c r="AE268" s="352"/>
      <c r="AF268" s="352"/>
      <c r="AG268" s="352"/>
      <c r="AH268" s="352"/>
      <c r="AI268" s="352"/>
      <c r="AJ268" s="352"/>
      <c r="AK268" s="352"/>
      <c r="AL268" s="352"/>
      <c r="AM268" s="352"/>
      <c r="AN268" s="352"/>
      <c r="AO268" s="352"/>
      <c r="AP268" s="352"/>
      <c r="AQ268" s="352"/>
      <c r="AR268" s="352"/>
      <c r="AS268" s="352"/>
      <c r="AT268" s="352"/>
      <c r="AU268" s="352"/>
      <c r="AV268" s="352"/>
      <c r="AW268" s="352"/>
      <c r="AX268" s="352"/>
      <c r="AY268" s="352"/>
      <c r="AZ268" s="352"/>
      <c r="BA268" s="352"/>
      <c r="BB268" s="352"/>
      <c r="BC268" s="352"/>
      <c r="BD268" s="352"/>
      <c r="BE268" s="352"/>
      <c r="BF268" s="352"/>
      <c r="BG268" s="352"/>
      <c r="BH268" s="352"/>
      <c r="BI268" s="352"/>
      <c r="BJ268" s="352"/>
      <c r="BK268" s="352"/>
      <c r="BL268" s="352"/>
      <c r="BM268" s="352"/>
      <c r="BN268" s="352"/>
      <c r="BO268" s="352"/>
      <c r="BP268" s="352"/>
      <c r="BQ268" s="352"/>
      <c r="BR268" s="352"/>
      <c r="BS268" s="352"/>
      <c r="BT268" s="352"/>
      <c r="BU268" s="352"/>
      <c r="BV268" s="352"/>
      <c r="BW268" s="352"/>
      <c r="BX268" s="352"/>
      <c r="BY268" s="352"/>
      <c r="BZ268" s="352"/>
      <c r="CA268" s="352"/>
      <c r="CB268" s="352"/>
      <c r="CC268" s="352"/>
      <c r="CD268" s="352"/>
      <c r="CE268" s="352"/>
      <c r="CF268" s="352"/>
      <c r="CG268" s="352"/>
      <c r="CH268" s="352"/>
      <c r="CI268" s="352"/>
      <c r="CJ268" s="352"/>
      <c r="CK268" s="352"/>
      <c r="CL268" s="352"/>
      <c r="CM268" s="352"/>
      <c r="CN268" s="352"/>
      <c r="CO268" s="352"/>
      <c r="CP268" s="352"/>
      <c r="CQ268" s="352"/>
      <c r="CR268" s="352"/>
      <c r="CS268" s="352"/>
      <c r="CT268" s="352"/>
      <c r="CU268" s="352"/>
      <c r="CV268" s="352"/>
      <c r="CW268" s="352"/>
      <c r="CX268" s="352"/>
      <c r="CY268" s="352"/>
      <c r="CZ268" s="352"/>
      <c r="DA268" s="352"/>
      <c r="DB268" s="352"/>
      <c r="DC268" s="352"/>
      <c r="DD268" s="352"/>
      <c r="DE268" s="352"/>
      <c r="DF268" s="352"/>
      <c r="DG268" s="352"/>
      <c r="DH268" s="352"/>
      <c r="DI268" s="352"/>
      <c r="DJ268" s="352"/>
      <c r="DK268" s="352"/>
      <c r="DL268" s="352"/>
      <c r="DM268" s="352"/>
      <c r="DN268" s="352"/>
      <c r="DO268" s="352"/>
      <c r="DP268" s="352"/>
      <c r="DQ268" s="352"/>
      <c r="DR268" s="352"/>
      <c r="DS268" s="352"/>
      <c r="DT268" s="352"/>
      <c r="DU268" s="352"/>
      <c r="DV268" s="352"/>
      <c r="DW268" s="352"/>
      <c r="DX268" s="352"/>
      <c r="DY268" s="352"/>
      <c r="DZ268" s="352"/>
      <c r="EA268" s="352"/>
      <c r="EB268" s="352"/>
      <c r="EC268" s="352"/>
      <c r="ED268" s="352"/>
      <c r="EE268" s="352"/>
      <c r="EF268" s="352"/>
      <c r="EG268" s="352"/>
      <c r="EH268" s="352"/>
      <c r="EI268" s="352"/>
      <c r="EJ268" s="352"/>
      <c r="EK268" s="352"/>
      <c r="EL268" s="352"/>
      <c r="EM268" s="352"/>
      <c r="EN268" s="352"/>
    </row>
    <row r="269" spans="1:144" s="169" customFormat="1" ht="20.100000000000001" customHeight="1">
      <c r="A269" s="160" t="s">
        <v>88</v>
      </c>
      <c r="B269" s="160" t="s">
        <v>616</v>
      </c>
      <c r="C269" s="161">
        <v>0</v>
      </c>
      <c r="D269" s="162">
        <f>'Sectors % GDP'!I20</f>
        <v>10200.540000000001</v>
      </c>
      <c r="E269" s="162">
        <f t="shared" si="8"/>
        <v>0</v>
      </c>
      <c r="F269" s="165">
        <v>0</v>
      </c>
      <c r="G269" s="162">
        <v>0</v>
      </c>
      <c r="H269" s="164">
        <v>11.56</v>
      </c>
      <c r="I269" s="164">
        <v>32.729999999999997</v>
      </c>
      <c r="J269" s="165">
        <v>15.25</v>
      </c>
      <c r="K269" s="165">
        <v>6.82</v>
      </c>
      <c r="L269" s="165">
        <f t="shared" si="9"/>
        <v>-1.6</v>
      </c>
      <c r="M269" s="166">
        <v>-1.6E-2</v>
      </c>
      <c r="N269" s="166">
        <v>6.25</v>
      </c>
      <c r="O269" s="167">
        <f>'Trade Data'!H17</f>
        <v>0.1716585196910696</v>
      </c>
      <c r="P269" s="170">
        <v>0</v>
      </c>
      <c r="Q269" s="352"/>
      <c r="R269" s="352"/>
      <c r="S269" s="352"/>
      <c r="T269" s="352"/>
      <c r="U269" s="352"/>
      <c r="V269" s="352"/>
      <c r="W269" s="352"/>
      <c r="X269" s="352"/>
      <c r="Y269" s="352"/>
      <c r="Z269" s="352"/>
      <c r="AA269" s="352"/>
      <c r="AB269" s="352"/>
      <c r="AC269" s="352"/>
      <c r="AD269" s="352"/>
      <c r="AE269" s="352"/>
      <c r="AF269" s="352"/>
      <c r="AG269" s="352"/>
      <c r="AH269" s="352"/>
      <c r="AI269" s="352"/>
      <c r="AJ269" s="352"/>
      <c r="AK269" s="352"/>
      <c r="AL269" s="352"/>
      <c r="AM269" s="352"/>
      <c r="AN269" s="352"/>
      <c r="AO269" s="352"/>
      <c r="AP269" s="352"/>
      <c r="AQ269" s="352"/>
      <c r="AR269" s="352"/>
      <c r="AS269" s="352"/>
      <c r="AT269" s="352"/>
      <c r="AU269" s="352"/>
      <c r="AV269" s="352"/>
      <c r="AW269" s="352"/>
      <c r="AX269" s="352"/>
      <c r="AY269" s="352"/>
      <c r="AZ269" s="352"/>
      <c r="BA269" s="352"/>
      <c r="BB269" s="352"/>
      <c r="BC269" s="352"/>
      <c r="BD269" s="352"/>
      <c r="BE269" s="352"/>
      <c r="BF269" s="352"/>
      <c r="BG269" s="352"/>
      <c r="BH269" s="352"/>
      <c r="BI269" s="352"/>
      <c r="BJ269" s="352"/>
      <c r="BK269" s="352"/>
      <c r="BL269" s="352"/>
      <c r="BM269" s="352"/>
      <c r="BN269" s="352"/>
      <c r="BO269" s="352"/>
      <c r="BP269" s="352"/>
      <c r="BQ269" s="352"/>
      <c r="BR269" s="352"/>
      <c r="BS269" s="352"/>
      <c r="BT269" s="352"/>
      <c r="BU269" s="352"/>
      <c r="BV269" s="352"/>
      <c r="BW269" s="352"/>
      <c r="BX269" s="352"/>
      <c r="BY269" s="352"/>
      <c r="BZ269" s="352"/>
      <c r="CA269" s="352"/>
      <c r="CB269" s="352"/>
      <c r="CC269" s="352"/>
      <c r="CD269" s="352"/>
      <c r="CE269" s="352"/>
      <c r="CF269" s="352"/>
      <c r="CG269" s="352"/>
      <c r="CH269" s="352"/>
      <c r="CI269" s="352"/>
      <c r="CJ269" s="352"/>
      <c r="CK269" s="352"/>
      <c r="CL269" s="352"/>
      <c r="CM269" s="352"/>
      <c r="CN269" s="352"/>
      <c r="CO269" s="352"/>
      <c r="CP269" s="352"/>
      <c r="CQ269" s="352"/>
      <c r="CR269" s="352"/>
      <c r="CS269" s="352"/>
      <c r="CT269" s="352"/>
      <c r="CU269" s="352"/>
      <c r="CV269" s="352"/>
      <c r="CW269" s="352"/>
      <c r="CX269" s="352"/>
      <c r="CY269" s="352"/>
      <c r="CZ269" s="352"/>
      <c r="DA269" s="352"/>
      <c r="DB269" s="352"/>
      <c r="DC269" s="352"/>
      <c r="DD269" s="352"/>
      <c r="DE269" s="352"/>
      <c r="DF269" s="352"/>
      <c r="DG269" s="352"/>
      <c r="DH269" s="352"/>
      <c r="DI269" s="352"/>
      <c r="DJ269" s="352"/>
      <c r="DK269" s="352"/>
      <c r="DL269" s="352"/>
      <c r="DM269" s="352"/>
      <c r="DN269" s="352"/>
      <c r="DO269" s="352"/>
      <c r="DP269" s="352"/>
      <c r="DQ269" s="352"/>
      <c r="DR269" s="352"/>
      <c r="DS269" s="352"/>
      <c r="DT269" s="352"/>
      <c r="DU269" s="352"/>
      <c r="DV269" s="352"/>
      <c r="DW269" s="352"/>
      <c r="DX269" s="352"/>
      <c r="DY269" s="352"/>
      <c r="DZ269" s="352"/>
      <c r="EA269" s="352"/>
      <c r="EB269" s="352"/>
      <c r="EC269" s="352"/>
      <c r="ED269" s="352"/>
      <c r="EE269" s="352"/>
      <c r="EF269" s="352"/>
      <c r="EG269" s="352"/>
      <c r="EH269" s="352"/>
      <c r="EI269" s="352"/>
      <c r="EJ269" s="352"/>
      <c r="EK269" s="352"/>
      <c r="EL269" s="352"/>
      <c r="EM269" s="352"/>
      <c r="EN269" s="352"/>
    </row>
    <row r="270" spans="1:144" s="188" customFormat="1" ht="20.100000000000001" customHeight="1">
      <c r="A270" s="179" t="s">
        <v>88</v>
      </c>
      <c r="B270" s="179" t="s">
        <v>615</v>
      </c>
      <c r="C270" s="180">
        <v>0</v>
      </c>
      <c r="D270" s="181">
        <f>'Sectors % GDP'!I21</f>
        <v>32694.539999999997</v>
      </c>
      <c r="E270" s="181">
        <f t="shared" si="8"/>
        <v>0</v>
      </c>
      <c r="F270" s="184">
        <v>1</v>
      </c>
      <c r="G270" s="181">
        <v>1</v>
      </c>
      <c r="H270" s="183">
        <v>11.56</v>
      </c>
      <c r="I270" s="183">
        <v>32.729999999999997</v>
      </c>
      <c r="J270" s="184">
        <v>15.25</v>
      </c>
      <c r="K270" s="184">
        <v>6.82</v>
      </c>
      <c r="L270" s="184">
        <f t="shared" si="9"/>
        <v>-1.6</v>
      </c>
      <c r="M270" s="185">
        <v>-1.6E-2</v>
      </c>
      <c r="N270" s="185">
        <v>6.25</v>
      </c>
      <c r="O270" s="186">
        <f>'Trade Data'!H17</f>
        <v>0.1716585196910696</v>
      </c>
      <c r="P270" s="189">
        <v>1</v>
      </c>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2"/>
      <c r="BB270" s="352"/>
      <c r="BC270" s="352"/>
      <c r="BD270" s="352"/>
      <c r="BE270" s="352"/>
      <c r="BF270" s="352"/>
      <c r="BG270" s="352"/>
      <c r="BH270" s="352"/>
      <c r="BI270" s="352"/>
      <c r="BJ270" s="352"/>
      <c r="BK270" s="352"/>
      <c r="BL270" s="352"/>
      <c r="BM270" s="352"/>
      <c r="BN270" s="352"/>
      <c r="BO270" s="352"/>
      <c r="BP270" s="352"/>
      <c r="BQ270" s="352"/>
      <c r="BR270" s="352"/>
      <c r="BS270" s="352"/>
      <c r="BT270" s="352"/>
      <c r="BU270" s="352"/>
      <c r="BV270" s="352"/>
      <c r="BW270" s="352"/>
      <c r="BX270" s="352"/>
      <c r="BY270" s="352"/>
      <c r="BZ270" s="352"/>
      <c r="CA270" s="352"/>
      <c r="CB270" s="352"/>
      <c r="CC270" s="352"/>
      <c r="CD270" s="352"/>
      <c r="CE270" s="352"/>
      <c r="CF270" s="352"/>
      <c r="CG270" s="352"/>
      <c r="CH270" s="352"/>
      <c r="CI270" s="352"/>
      <c r="CJ270" s="352"/>
      <c r="CK270" s="352"/>
      <c r="CL270" s="352"/>
      <c r="CM270" s="352"/>
      <c r="CN270" s="352"/>
      <c r="CO270" s="352"/>
      <c r="CP270" s="352"/>
      <c r="CQ270" s="352"/>
      <c r="CR270" s="352"/>
      <c r="CS270" s="352"/>
      <c r="CT270" s="352"/>
      <c r="CU270" s="352"/>
      <c r="CV270" s="352"/>
      <c r="CW270" s="352"/>
      <c r="CX270" s="352"/>
      <c r="CY270" s="352"/>
      <c r="CZ270" s="352"/>
      <c r="DA270" s="352"/>
      <c r="DB270" s="352"/>
      <c r="DC270" s="352"/>
      <c r="DD270" s="352"/>
      <c r="DE270" s="352"/>
      <c r="DF270" s="352"/>
      <c r="DG270" s="352"/>
      <c r="DH270" s="352"/>
      <c r="DI270" s="352"/>
      <c r="DJ270" s="352"/>
      <c r="DK270" s="352"/>
      <c r="DL270" s="352"/>
      <c r="DM270" s="352"/>
      <c r="DN270" s="352"/>
      <c r="DO270" s="352"/>
      <c r="DP270" s="352"/>
      <c r="DQ270" s="352"/>
      <c r="DR270" s="352"/>
      <c r="DS270" s="352"/>
      <c r="DT270" s="352"/>
      <c r="DU270" s="352"/>
      <c r="DV270" s="352"/>
      <c r="DW270" s="352"/>
      <c r="DX270" s="352"/>
      <c r="DY270" s="352"/>
      <c r="DZ270" s="352"/>
      <c r="EA270" s="352"/>
      <c r="EB270" s="352"/>
      <c r="EC270" s="352"/>
      <c r="ED270" s="352"/>
      <c r="EE270" s="352"/>
      <c r="EF270" s="352"/>
      <c r="EG270" s="352"/>
      <c r="EH270" s="352"/>
      <c r="EI270" s="352"/>
      <c r="EJ270" s="352"/>
      <c r="EK270" s="352"/>
      <c r="EL270" s="352"/>
      <c r="EM270" s="352"/>
      <c r="EN270" s="352"/>
    </row>
    <row r="271" spans="1:144" ht="20.100000000000001" customHeight="1">
      <c r="A271" s="118" t="s">
        <v>88</v>
      </c>
      <c r="B271" s="118" t="s">
        <v>614</v>
      </c>
      <c r="C271" s="119">
        <v>0</v>
      </c>
      <c r="D271" s="120">
        <f>'Sectors % GDP'!I22</f>
        <v>54904.92</v>
      </c>
      <c r="E271" s="120">
        <f t="shared" si="8"/>
        <v>0</v>
      </c>
      <c r="F271" s="123">
        <v>0</v>
      </c>
      <c r="G271" s="120">
        <v>0</v>
      </c>
      <c r="H271" s="122">
        <v>11.56</v>
      </c>
      <c r="I271" s="122">
        <v>32.729999999999997</v>
      </c>
      <c r="J271" s="123">
        <v>15.25</v>
      </c>
      <c r="K271" s="123">
        <v>6.82</v>
      </c>
      <c r="L271" s="123">
        <f t="shared" si="9"/>
        <v>-1.6</v>
      </c>
      <c r="M271" s="124">
        <v>-1.6E-2</v>
      </c>
      <c r="N271" s="124">
        <v>6.25</v>
      </c>
      <c r="O271" s="125">
        <f>'Trade Data'!H17</f>
        <v>0.1716585196910696</v>
      </c>
      <c r="P271" s="127">
        <v>1</v>
      </c>
      <c r="Q271" s="352"/>
      <c r="R271" s="352"/>
      <c r="S271" s="352"/>
      <c r="T271" s="352"/>
      <c r="U271" s="352"/>
      <c r="V271" s="352"/>
      <c r="W271" s="352"/>
      <c r="X271" s="352"/>
      <c r="Y271" s="352"/>
      <c r="Z271" s="352"/>
      <c r="AA271" s="352"/>
      <c r="AB271" s="352"/>
      <c r="AC271" s="352"/>
      <c r="AD271" s="352"/>
      <c r="AE271" s="352"/>
      <c r="AF271" s="352"/>
      <c r="AG271" s="352"/>
      <c r="AH271" s="352"/>
      <c r="AI271" s="352"/>
      <c r="AJ271" s="352"/>
      <c r="AK271" s="352"/>
      <c r="AL271" s="352"/>
      <c r="AM271" s="352"/>
      <c r="AN271" s="352"/>
      <c r="AO271" s="352"/>
      <c r="AP271" s="352"/>
      <c r="AQ271" s="352"/>
      <c r="AR271" s="352"/>
      <c r="AS271" s="352"/>
      <c r="AT271" s="352"/>
      <c r="AU271" s="352"/>
      <c r="AV271" s="352"/>
      <c r="AW271" s="352"/>
      <c r="AX271" s="352"/>
      <c r="AY271" s="352"/>
      <c r="AZ271" s="352"/>
      <c r="BA271" s="352"/>
      <c r="BB271" s="352"/>
      <c r="BC271" s="352"/>
      <c r="BD271" s="352"/>
      <c r="BE271" s="352"/>
      <c r="BF271" s="352"/>
      <c r="BG271" s="352"/>
      <c r="BH271" s="352"/>
      <c r="BI271" s="352"/>
      <c r="BJ271" s="352"/>
      <c r="BK271" s="352"/>
      <c r="BL271" s="352"/>
      <c r="BM271" s="352"/>
      <c r="BN271" s="352"/>
      <c r="BO271" s="352"/>
      <c r="BP271" s="352"/>
      <c r="BQ271" s="352"/>
      <c r="BR271" s="352"/>
      <c r="BS271" s="352"/>
      <c r="BT271" s="352"/>
      <c r="BU271" s="352"/>
      <c r="BV271" s="352"/>
      <c r="BW271" s="352"/>
      <c r="BX271" s="352"/>
      <c r="BY271" s="352"/>
      <c r="BZ271" s="352"/>
      <c r="CA271" s="352"/>
      <c r="CB271" s="352"/>
      <c r="CC271" s="352"/>
      <c r="CD271" s="352"/>
      <c r="CE271" s="352"/>
      <c r="CF271" s="352"/>
      <c r="CG271" s="352"/>
      <c r="CH271" s="352"/>
      <c r="CI271" s="352"/>
      <c r="CJ271" s="352"/>
      <c r="CK271" s="352"/>
      <c r="CL271" s="352"/>
      <c r="CM271" s="352"/>
      <c r="CN271" s="352"/>
      <c r="CO271" s="352"/>
      <c r="CP271" s="352"/>
      <c r="CQ271" s="352"/>
      <c r="CR271" s="352"/>
      <c r="CS271" s="352"/>
      <c r="CT271" s="352"/>
      <c r="CU271" s="352"/>
      <c r="CV271" s="352"/>
      <c r="CW271" s="352"/>
      <c r="CX271" s="352"/>
      <c r="CY271" s="352"/>
      <c r="CZ271" s="352"/>
      <c r="DA271" s="352"/>
      <c r="DB271" s="352"/>
      <c r="DC271" s="352"/>
      <c r="DD271" s="352"/>
      <c r="DE271" s="352"/>
      <c r="DF271" s="352"/>
      <c r="DG271" s="352"/>
      <c r="DH271" s="352"/>
      <c r="DI271" s="352"/>
      <c r="DJ271" s="352"/>
      <c r="DK271" s="352"/>
      <c r="DL271" s="352"/>
      <c r="DM271" s="352"/>
      <c r="DN271" s="352"/>
      <c r="DO271" s="352"/>
      <c r="DP271" s="352"/>
      <c r="DQ271" s="352"/>
      <c r="DR271" s="352"/>
      <c r="DS271" s="352"/>
      <c r="DT271" s="352"/>
      <c r="DU271" s="352"/>
      <c r="DV271" s="352"/>
      <c r="DW271" s="352"/>
      <c r="DX271" s="352"/>
      <c r="DY271" s="352"/>
      <c r="DZ271" s="352"/>
      <c r="EA271" s="352"/>
      <c r="EB271" s="352"/>
      <c r="EC271" s="352"/>
      <c r="ED271" s="352"/>
      <c r="EE271" s="352"/>
      <c r="EF271" s="352"/>
      <c r="EG271" s="352"/>
      <c r="EH271" s="352"/>
      <c r="EI271" s="352"/>
      <c r="EJ271" s="352"/>
      <c r="EK271" s="352"/>
      <c r="EL271" s="352"/>
      <c r="EM271" s="352"/>
      <c r="EN271" s="352"/>
    </row>
    <row r="272" spans="1:144" s="169" customFormat="1" ht="20.100000000000001" customHeight="1">
      <c r="A272" s="160" t="s">
        <v>89</v>
      </c>
      <c r="B272" s="160" t="s">
        <v>613</v>
      </c>
      <c r="C272" s="161">
        <v>0</v>
      </c>
      <c r="D272" s="162">
        <f>'Sectors % GDP'!I20</f>
        <v>10200.540000000001</v>
      </c>
      <c r="E272" s="162">
        <f t="shared" si="8"/>
        <v>0</v>
      </c>
      <c r="F272" s="165">
        <v>0</v>
      </c>
      <c r="G272" s="162">
        <v>0</v>
      </c>
      <c r="H272" s="164">
        <v>9.7100000000000009</v>
      </c>
      <c r="I272" s="164">
        <v>22.85</v>
      </c>
      <c r="J272" s="165">
        <v>14.48</v>
      </c>
      <c r="K272" s="165">
        <v>6.82</v>
      </c>
      <c r="L272" s="165">
        <f t="shared" si="9"/>
        <v>-1.6</v>
      </c>
      <c r="M272" s="166">
        <v>-1.6E-2</v>
      </c>
      <c r="N272" s="166">
        <v>6.25</v>
      </c>
      <c r="O272" s="167">
        <f>'Trade Data'!H17</f>
        <v>0.1716585196910696</v>
      </c>
      <c r="P272" s="168">
        <v>0</v>
      </c>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2"/>
      <c r="BB272" s="352"/>
      <c r="BC272" s="352"/>
      <c r="BD272" s="352"/>
      <c r="BE272" s="352"/>
      <c r="BF272" s="352"/>
      <c r="BG272" s="352"/>
      <c r="BH272" s="352"/>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c r="CE272" s="352"/>
      <c r="CF272" s="352"/>
      <c r="CG272" s="352"/>
      <c r="CH272" s="352"/>
      <c r="CI272" s="352"/>
      <c r="CJ272" s="352"/>
      <c r="CK272" s="352"/>
      <c r="CL272" s="352"/>
      <c r="CM272" s="352"/>
      <c r="CN272" s="352"/>
      <c r="CO272" s="352"/>
      <c r="CP272" s="352"/>
      <c r="CQ272" s="352"/>
      <c r="CR272" s="352"/>
      <c r="CS272" s="352"/>
      <c r="CT272" s="352"/>
      <c r="CU272" s="352"/>
      <c r="CV272" s="352"/>
      <c r="CW272" s="352"/>
      <c r="CX272" s="352"/>
      <c r="CY272" s="352"/>
      <c r="CZ272" s="352"/>
      <c r="DA272" s="352"/>
      <c r="DB272" s="352"/>
      <c r="DC272" s="352"/>
      <c r="DD272" s="352"/>
      <c r="DE272" s="352"/>
      <c r="DF272" s="352"/>
      <c r="DG272" s="352"/>
      <c r="DH272" s="352"/>
      <c r="DI272" s="352"/>
      <c r="DJ272" s="352"/>
      <c r="DK272" s="352"/>
      <c r="DL272" s="352"/>
      <c r="DM272" s="352"/>
      <c r="DN272" s="352"/>
      <c r="DO272" s="352"/>
      <c r="DP272" s="352"/>
      <c r="DQ272" s="352"/>
      <c r="DR272" s="352"/>
      <c r="DS272" s="352"/>
      <c r="DT272" s="352"/>
      <c r="DU272" s="352"/>
      <c r="DV272" s="352"/>
      <c r="DW272" s="352"/>
      <c r="DX272" s="352"/>
      <c r="DY272" s="352"/>
      <c r="DZ272" s="352"/>
      <c r="EA272" s="352"/>
      <c r="EB272" s="352"/>
      <c r="EC272" s="352"/>
      <c r="ED272" s="352"/>
      <c r="EE272" s="352"/>
      <c r="EF272" s="352"/>
      <c r="EG272" s="352"/>
      <c r="EH272" s="352"/>
      <c r="EI272" s="352"/>
      <c r="EJ272" s="352"/>
      <c r="EK272" s="352"/>
      <c r="EL272" s="352"/>
      <c r="EM272" s="352"/>
      <c r="EN272" s="352"/>
    </row>
    <row r="273" spans="1:144" s="188" customFormat="1" ht="20.100000000000001" customHeight="1">
      <c r="A273" s="179" t="s">
        <v>89</v>
      </c>
      <c r="B273" s="179" t="s">
        <v>612</v>
      </c>
      <c r="C273" s="180">
        <f>'Thomson Reuters IMA  ($)'!I512+'Thomson Reuters IMA  ($)'!I513</f>
        <v>275.05</v>
      </c>
      <c r="D273" s="181">
        <f>'Sectors % GDP'!I21</f>
        <v>32694.539999999997</v>
      </c>
      <c r="E273" s="181">
        <f t="shared" si="8"/>
        <v>8.4127196773528552E-3</v>
      </c>
      <c r="F273" s="184">
        <v>1</v>
      </c>
      <c r="G273" s="181">
        <v>3</v>
      </c>
      <c r="H273" s="183">
        <v>9.7100000000000009</v>
      </c>
      <c r="I273" s="183">
        <v>22.85</v>
      </c>
      <c r="J273" s="184">
        <v>14.48</v>
      </c>
      <c r="K273" s="184">
        <v>6.82</v>
      </c>
      <c r="L273" s="184">
        <f t="shared" si="9"/>
        <v>-1.6</v>
      </c>
      <c r="M273" s="185">
        <v>-1.6E-2</v>
      </c>
      <c r="N273" s="185">
        <v>6.25</v>
      </c>
      <c r="O273" s="186">
        <f>'Trade Data'!H17</f>
        <v>0.1716585196910696</v>
      </c>
      <c r="P273" s="187">
        <v>1</v>
      </c>
      <c r="Q273" s="352"/>
      <c r="R273" s="352"/>
      <c r="S273" s="352"/>
      <c r="T273" s="352"/>
      <c r="U273" s="352"/>
      <c r="V273" s="352"/>
      <c r="W273" s="352"/>
      <c r="X273" s="352"/>
      <c r="Y273" s="352"/>
      <c r="Z273" s="352"/>
      <c r="AA273" s="352"/>
      <c r="AB273" s="352"/>
      <c r="AC273" s="352"/>
      <c r="AD273" s="352"/>
      <c r="AE273" s="352"/>
      <c r="AF273" s="352"/>
      <c r="AG273" s="352"/>
      <c r="AH273" s="352"/>
      <c r="AI273" s="352"/>
      <c r="AJ273" s="352"/>
      <c r="AK273" s="352"/>
      <c r="AL273" s="352"/>
      <c r="AM273" s="352"/>
      <c r="AN273" s="352"/>
      <c r="AO273" s="352"/>
      <c r="AP273" s="352"/>
      <c r="AQ273" s="352"/>
      <c r="AR273" s="352"/>
      <c r="AS273" s="352"/>
      <c r="AT273" s="352"/>
      <c r="AU273" s="352"/>
      <c r="AV273" s="352"/>
      <c r="AW273" s="352"/>
      <c r="AX273" s="352"/>
      <c r="AY273" s="352"/>
      <c r="AZ273" s="352"/>
      <c r="BA273" s="352"/>
      <c r="BB273" s="352"/>
      <c r="BC273" s="352"/>
      <c r="BD273" s="352"/>
      <c r="BE273" s="352"/>
      <c r="BF273" s="352"/>
      <c r="BG273" s="352"/>
      <c r="BH273" s="352"/>
      <c r="BI273" s="352"/>
      <c r="BJ273" s="352"/>
      <c r="BK273" s="352"/>
      <c r="BL273" s="352"/>
      <c r="BM273" s="352"/>
      <c r="BN273" s="352"/>
      <c r="BO273" s="352"/>
      <c r="BP273" s="352"/>
      <c r="BQ273" s="352"/>
      <c r="BR273" s="352"/>
      <c r="BS273" s="352"/>
      <c r="BT273" s="352"/>
      <c r="BU273" s="352"/>
      <c r="BV273" s="352"/>
      <c r="BW273" s="352"/>
      <c r="BX273" s="352"/>
      <c r="BY273" s="352"/>
      <c r="BZ273" s="352"/>
      <c r="CA273" s="352"/>
      <c r="CB273" s="352"/>
      <c r="CC273" s="352"/>
      <c r="CD273" s="352"/>
      <c r="CE273" s="352"/>
      <c r="CF273" s="352"/>
      <c r="CG273" s="352"/>
      <c r="CH273" s="352"/>
      <c r="CI273" s="352"/>
      <c r="CJ273" s="352"/>
      <c r="CK273" s="352"/>
      <c r="CL273" s="352"/>
      <c r="CM273" s="352"/>
      <c r="CN273" s="352"/>
      <c r="CO273" s="352"/>
      <c r="CP273" s="352"/>
      <c r="CQ273" s="352"/>
      <c r="CR273" s="352"/>
      <c r="CS273" s="352"/>
      <c r="CT273" s="352"/>
      <c r="CU273" s="352"/>
      <c r="CV273" s="352"/>
      <c r="CW273" s="352"/>
      <c r="CX273" s="352"/>
      <c r="CY273" s="352"/>
      <c r="CZ273" s="352"/>
      <c r="DA273" s="352"/>
      <c r="DB273" s="352"/>
      <c r="DC273" s="352"/>
      <c r="DD273" s="352"/>
      <c r="DE273" s="352"/>
      <c r="DF273" s="352"/>
      <c r="DG273" s="352"/>
      <c r="DH273" s="352"/>
      <c r="DI273" s="352"/>
      <c r="DJ273" s="352"/>
      <c r="DK273" s="352"/>
      <c r="DL273" s="352"/>
      <c r="DM273" s="352"/>
      <c r="DN273" s="352"/>
      <c r="DO273" s="352"/>
      <c r="DP273" s="352"/>
      <c r="DQ273" s="352"/>
      <c r="DR273" s="352"/>
      <c r="DS273" s="352"/>
      <c r="DT273" s="352"/>
      <c r="DU273" s="352"/>
      <c r="DV273" s="352"/>
      <c r="DW273" s="352"/>
      <c r="DX273" s="352"/>
      <c r="DY273" s="352"/>
      <c r="DZ273" s="352"/>
      <c r="EA273" s="352"/>
      <c r="EB273" s="352"/>
      <c r="EC273" s="352"/>
      <c r="ED273" s="352"/>
      <c r="EE273" s="352"/>
      <c r="EF273" s="352"/>
      <c r="EG273" s="352"/>
      <c r="EH273" s="352"/>
      <c r="EI273" s="352"/>
      <c r="EJ273" s="352"/>
      <c r="EK273" s="352"/>
      <c r="EL273" s="352"/>
      <c r="EM273" s="352"/>
      <c r="EN273" s="352"/>
    </row>
    <row r="274" spans="1:144" ht="20.100000000000001" customHeight="1">
      <c r="A274" s="118" t="s">
        <v>89</v>
      </c>
      <c r="B274" s="118" t="s">
        <v>611</v>
      </c>
      <c r="C274" s="119">
        <v>0</v>
      </c>
      <c r="D274" s="120">
        <f>'Sectors % GDP'!I22</f>
        <v>54904.92</v>
      </c>
      <c r="E274" s="120">
        <f t="shared" si="8"/>
        <v>0</v>
      </c>
      <c r="F274" s="123">
        <v>0</v>
      </c>
      <c r="G274" s="120">
        <v>0</v>
      </c>
      <c r="H274" s="122">
        <v>9.7100000000000009</v>
      </c>
      <c r="I274" s="122">
        <v>22.85</v>
      </c>
      <c r="J274" s="123">
        <v>14.48</v>
      </c>
      <c r="K274" s="123">
        <v>6.82</v>
      </c>
      <c r="L274" s="123">
        <f t="shared" si="9"/>
        <v>-1.6</v>
      </c>
      <c r="M274" s="124">
        <v>-1.6E-2</v>
      </c>
      <c r="N274" s="124">
        <v>6.25</v>
      </c>
      <c r="O274" s="125">
        <f>'Trade Data'!H17</f>
        <v>0.1716585196910696</v>
      </c>
      <c r="P274" s="126">
        <v>1</v>
      </c>
      <c r="Q274" s="352"/>
      <c r="R274" s="352"/>
      <c r="S274" s="352"/>
      <c r="T274" s="352"/>
      <c r="U274" s="352"/>
      <c r="V274" s="352"/>
      <c r="W274" s="352"/>
      <c r="X274" s="352"/>
      <c r="Y274" s="352"/>
      <c r="Z274" s="352"/>
      <c r="AA274" s="352"/>
      <c r="AB274" s="352"/>
      <c r="AC274" s="352"/>
      <c r="AD274" s="352"/>
      <c r="AE274" s="352"/>
      <c r="AF274" s="352"/>
      <c r="AG274" s="352"/>
      <c r="AH274" s="352"/>
      <c r="AI274" s="352"/>
      <c r="AJ274" s="352"/>
      <c r="AK274" s="352"/>
      <c r="AL274" s="352"/>
      <c r="AM274" s="352"/>
      <c r="AN274" s="352"/>
      <c r="AO274" s="352"/>
      <c r="AP274" s="352"/>
      <c r="AQ274" s="352"/>
      <c r="AR274" s="352"/>
      <c r="AS274" s="352"/>
      <c r="AT274" s="352"/>
      <c r="AU274" s="352"/>
      <c r="AV274" s="352"/>
      <c r="AW274" s="352"/>
      <c r="AX274" s="352"/>
      <c r="AY274" s="352"/>
      <c r="AZ274" s="352"/>
      <c r="BA274" s="352"/>
      <c r="BB274" s="352"/>
      <c r="BC274" s="352"/>
      <c r="BD274" s="352"/>
      <c r="BE274" s="352"/>
      <c r="BF274" s="352"/>
      <c r="BG274" s="352"/>
      <c r="BH274" s="352"/>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c r="CE274" s="352"/>
      <c r="CF274" s="352"/>
      <c r="CG274" s="352"/>
      <c r="CH274" s="352"/>
      <c r="CI274" s="352"/>
      <c r="CJ274" s="352"/>
      <c r="CK274" s="352"/>
      <c r="CL274" s="352"/>
      <c r="CM274" s="352"/>
      <c r="CN274" s="352"/>
      <c r="CO274" s="352"/>
      <c r="CP274" s="352"/>
      <c r="CQ274" s="352"/>
      <c r="CR274" s="352"/>
      <c r="CS274" s="352"/>
      <c r="CT274" s="352"/>
      <c r="CU274" s="352"/>
      <c r="CV274" s="352"/>
      <c r="CW274" s="352"/>
      <c r="CX274" s="352"/>
      <c r="CY274" s="352"/>
      <c r="CZ274" s="352"/>
      <c r="DA274" s="352"/>
      <c r="DB274" s="352"/>
      <c r="DC274" s="352"/>
      <c r="DD274" s="352"/>
      <c r="DE274" s="352"/>
      <c r="DF274" s="352"/>
      <c r="DG274" s="352"/>
      <c r="DH274" s="352"/>
      <c r="DI274" s="352"/>
      <c r="DJ274" s="352"/>
      <c r="DK274" s="352"/>
      <c r="DL274" s="352"/>
      <c r="DM274" s="352"/>
      <c r="DN274" s="352"/>
      <c r="DO274" s="352"/>
      <c r="DP274" s="352"/>
      <c r="DQ274" s="352"/>
      <c r="DR274" s="352"/>
      <c r="DS274" s="352"/>
      <c r="DT274" s="352"/>
      <c r="DU274" s="352"/>
      <c r="DV274" s="352"/>
      <c r="DW274" s="352"/>
      <c r="DX274" s="352"/>
      <c r="DY274" s="352"/>
      <c r="DZ274" s="352"/>
      <c r="EA274" s="352"/>
      <c r="EB274" s="352"/>
      <c r="EC274" s="352"/>
      <c r="ED274" s="352"/>
      <c r="EE274" s="352"/>
      <c r="EF274" s="352"/>
      <c r="EG274" s="352"/>
      <c r="EH274" s="352"/>
      <c r="EI274" s="352"/>
      <c r="EJ274" s="352"/>
      <c r="EK274" s="352"/>
      <c r="EL274" s="352"/>
      <c r="EM274" s="352"/>
      <c r="EN274" s="352"/>
    </row>
    <row r="275" spans="1:144" s="169" customFormat="1" ht="20.100000000000001" customHeight="1">
      <c r="A275" s="160" t="s">
        <v>90</v>
      </c>
      <c r="B275" s="160" t="s">
        <v>610</v>
      </c>
      <c r="C275" s="161">
        <v>0</v>
      </c>
      <c r="D275" s="162">
        <f>'Sectors % GDP'!K20</f>
        <v>64077</v>
      </c>
      <c r="E275" s="162">
        <f t="shared" si="8"/>
        <v>0</v>
      </c>
      <c r="F275" s="165">
        <v>0</v>
      </c>
      <c r="G275" s="162">
        <v>0</v>
      </c>
      <c r="H275" s="164">
        <v>9.1999999999999993</v>
      </c>
      <c r="I275" s="164">
        <v>31.76</v>
      </c>
      <c r="J275" s="164">
        <v>7.19</v>
      </c>
      <c r="K275" s="165">
        <v>7.21</v>
      </c>
      <c r="L275" s="165">
        <f t="shared" si="9"/>
        <v>-1.6</v>
      </c>
      <c r="M275" s="166">
        <v>-1.6E-2</v>
      </c>
      <c r="N275" s="166">
        <v>6.25</v>
      </c>
      <c r="O275" s="167">
        <f>'Trade Data'!H17</f>
        <v>0.1716585196910696</v>
      </c>
      <c r="P275" s="170">
        <v>0</v>
      </c>
      <c r="Q275" s="352"/>
      <c r="R275" s="352"/>
      <c r="S275" s="352"/>
      <c r="T275" s="352"/>
      <c r="U275" s="352"/>
      <c r="V275" s="352"/>
      <c r="W275" s="352"/>
      <c r="X275" s="352"/>
      <c r="Y275" s="352"/>
      <c r="Z275" s="352"/>
      <c r="AA275" s="352"/>
      <c r="AB275" s="352"/>
      <c r="AC275" s="352"/>
      <c r="AD275" s="352"/>
      <c r="AE275" s="352"/>
      <c r="AF275" s="352"/>
      <c r="AG275" s="352"/>
      <c r="AH275" s="352"/>
      <c r="AI275" s="352"/>
      <c r="AJ275" s="352"/>
      <c r="AK275" s="352"/>
      <c r="AL275" s="352"/>
      <c r="AM275" s="352"/>
      <c r="AN275" s="352"/>
      <c r="AO275" s="352"/>
      <c r="AP275" s="352"/>
      <c r="AQ275" s="352"/>
      <c r="AR275" s="352"/>
      <c r="AS275" s="352"/>
      <c r="AT275" s="352"/>
      <c r="AU275" s="352"/>
      <c r="AV275" s="352"/>
      <c r="AW275" s="352"/>
      <c r="AX275" s="352"/>
      <c r="AY275" s="352"/>
      <c r="AZ275" s="352"/>
      <c r="BA275" s="352"/>
      <c r="BB275" s="352"/>
      <c r="BC275" s="352"/>
      <c r="BD275" s="352"/>
      <c r="BE275" s="352"/>
      <c r="BF275" s="352"/>
      <c r="BG275" s="352"/>
      <c r="BH275" s="352"/>
      <c r="BI275" s="352"/>
      <c r="BJ275" s="352"/>
      <c r="BK275" s="352"/>
      <c r="BL275" s="352"/>
      <c r="BM275" s="352"/>
      <c r="BN275" s="352"/>
      <c r="BO275" s="352"/>
      <c r="BP275" s="352"/>
      <c r="BQ275" s="352"/>
      <c r="BR275" s="352"/>
      <c r="BS275" s="352"/>
      <c r="BT275" s="352"/>
      <c r="BU275" s="352"/>
      <c r="BV275" s="352"/>
      <c r="BW275" s="352"/>
      <c r="BX275" s="352"/>
      <c r="BY275" s="352"/>
      <c r="BZ275" s="352"/>
      <c r="CA275" s="352"/>
      <c r="CB275" s="352"/>
      <c r="CC275" s="352"/>
      <c r="CD275" s="352"/>
      <c r="CE275" s="352"/>
      <c r="CF275" s="352"/>
      <c r="CG275" s="352"/>
      <c r="CH275" s="352"/>
      <c r="CI275" s="352"/>
      <c r="CJ275" s="352"/>
      <c r="CK275" s="352"/>
      <c r="CL275" s="352"/>
      <c r="CM275" s="352"/>
      <c r="CN275" s="352"/>
      <c r="CO275" s="352"/>
      <c r="CP275" s="352"/>
      <c r="CQ275" s="352"/>
      <c r="CR275" s="352"/>
      <c r="CS275" s="352"/>
      <c r="CT275" s="352"/>
      <c r="CU275" s="352"/>
      <c r="CV275" s="352"/>
      <c r="CW275" s="352"/>
      <c r="CX275" s="352"/>
      <c r="CY275" s="352"/>
      <c r="CZ275" s="352"/>
      <c r="DA275" s="352"/>
      <c r="DB275" s="352"/>
      <c r="DC275" s="352"/>
      <c r="DD275" s="352"/>
      <c r="DE275" s="352"/>
      <c r="DF275" s="352"/>
      <c r="DG275" s="352"/>
      <c r="DH275" s="352"/>
      <c r="DI275" s="352"/>
      <c r="DJ275" s="352"/>
      <c r="DK275" s="352"/>
      <c r="DL275" s="352"/>
      <c r="DM275" s="352"/>
      <c r="DN275" s="352"/>
      <c r="DO275" s="352"/>
      <c r="DP275" s="352"/>
      <c r="DQ275" s="352"/>
      <c r="DR275" s="352"/>
      <c r="DS275" s="352"/>
      <c r="DT275" s="352"/>
      <c r="DU275" s="352"/>
      <c r="DV275" s="352"/>
      <c r="DW275" s="352"/>
      <c r="DX275" s="352"/>
      <c r="DY275" s="352"/>
      <c r="DZ275" s="352"/>
      <c r="EA275" s="352"/>
      <c r="EB275" s="352"/>
      <c r="EC275" s="352"/>
      <c r="ED275" s="352"/>
      <c r="EE275" s="352"/>
      <c r="EF275" s="352"/>
      <c r="EG275" s="352"/>
      <c r="EH275" s="352"/>
      <c r="EI275" s="352"/>
      <c r="EJ275" s="352"/>
      <c r="EK275" s="352"/>
      <c r="EL275" s="352"/>
      <c r="EM275" s="352"/>
      <c r="EN275" s="352"/>
    </row>
    <row r="276" spans="1:144" s="188" customFormat="1" ht="20.100000000000001" customHeight="1">
      <c r="A276" s="179" t="s">
        <v>90</v>
      </c>
      <c r="B276" s="179" t="s">
        <v>609</v>
      </c>
      <c r="C276" s="180">
        <f>'Thomson Reuters IMA  ($)'!I514</f>
        <v>0.91500000000000004</v>
      </c>
      <c r="D276" s="181">
        <f>'Sectors % GDP'!K21</f>
        <v>333200.40000000002</v>
      </c>
      <c r="E276" s="181">
        <f t="shared" si="8"/>
        <v>2.7460951427429256E-6</v>
      </c>
      <c r="F276" s="184">
        <v>1</v>
      </c>
      <c r="G276" s="181">
        <v>1</v>
      </c>
      <c r="H276" s="183">
        <v>9.1999999999999993</v>
      </c>
      <c r="I276" s="183">
        <v>31.76</v>
      </c>
      <c r="J276" s="183">
        <v>7.19</v>
      </c>
      <c r="K276" s="184">
        <v>7.21</v>
      </c>
      <c r="L276" s="184">
        <f t="shared" si="9"/>
        <v>-1.6</v>
      </c>
      <c r="M276" s="185">
        <v>-1.6E-2</v>
      </c>
      <c r="N276" s="185">
        <v>6.25</v>
      </c>
      <c r="O276" s="186">
        <f>'Trade Data'!H17</f>
        <v>0.1716585196910696</v>
      </c>
      <c r="P276" s="189">
        <v>1</v>
      </c>
      <c r="Q276" s="352"/>
      <c r="R276" s="352"/>
      <c r="S276" s="352"/>
      <c r="T276" s="352"/>
      <c r="U276" s="352"/>
      <c r="V276" s="352"/>
      <c r="W276" s="352"/>
      <c r="X276" s="352"/>
      <c r="Y276" s="352"/>
      <c r="Z276" s="352"/>
      <c r="AA276" s="352"/>
      <c r="AB276" s="352"/>
      <c r="AC276" s="352"/>
      <c r="AD276" s="352"/>
      <c r="AE276" s="352"/>
      <c r="AF276" s="352"/>
      <c r="AG276" s="352"/>
      <c r="AH276" s="352"/>
      <c r="AI276" s="352"/>
      <c r="AJ276" s="352"/>
      <c r="AK276" s="352"/>
      <c r="AL276" s="352"/>
      <c r="AM276" s="352"/>
      <c r="AN276" s="352"/>
      <c r="AO276" s="352"/>
      <c r="AP276" s="352"/>
      <c r="AQ276" s="352"/>
      <c r="AR276" s="352"/>
      <c r="AS276" s="352"/>
      <c r="AT276" s="352"/>
      <c r="AU276" s="352"/>
      <c r="AV276" s="352"/>
      <c r="AW276" s="352"/>
      <c r="AX276" s="352"/>
      <c r="AY276" s="352"/>
      <c r="AZ276" s="352"/>
      <c r="BA276" s="352"/>
      <c r="BB276" s="352"/>
      <c r="BC276" s="352"/>
      <c r="BD276" s="352"/>
      <c r="BE276" s="352"/>
      <c r="BF276" s="352"/>
      <c r="BG276" s="352"/>
      <c r="BH276" s="352"/>
      <c r="BI276" s="352"/>
      <c r="BJ276" s="352"/>
      <c r="BK276" s="352"/>
      <c r="BL276" s="352"/>
      <c r="BM276" s="352"/>
      <c r="BN276" s="352"/>
      <c r="BO276" s="352"/>
      <c r="BP276" s="352"/>
      <c r="BQ276" s="352"/>
      <c r="BR276" s="352"/>
      <c r="BS276" s="352"/>
      <c r="BT276" s="352"/>
      <c r="BU276" s="352"/>
      <c r="BV276" s="352"/>
      <c r="BW276" s="352"/>
      <c r="BX276" s="352"/>
      <c r="BY276" s="352"/>
      <c r="BZ276" s="352"/>
      <c r="CA276" s="352"/>
      <c r="CB276" s="352"/>
      <c r="CC276" s="352"/>
      <c r="CD276" s="352"/>
      <c r="CE276" s="352"/>
      <c r="CF276" s="352"/>
      <c r="CG276" s="352"/>
      <c r="CH276" s="352"/>
      <c r="CI276" s="352"/>
      <c r="CJ276" s="352"/>
      <c r="CK276" s="352"/>
      <c r="CL276" s="352"/>
      <c r="CM276" s="352"/>
      <c r="CN276" s="352"/>
      <c r="CO276" s="352"/>
      <c r="CP276" s="352"/>
      <c r="CQ276" s="352"/>
      <c r="CR276" s="352"/>
      <c r="CS276" s="352"/>
      <c r="CT276" s="352"/>
      <c r="CU276" s="352"/>
      <c r="CV276" s="352"/>
      <c r="CW276" s="352"/>
      <c r="CX276" s="352"/>
      <c r="CY276" s="352"/>
      <c r="CZ276" s="352"/>
      <c r="DA276" s="352"/>
      <c r="DB276" s="352"/>
      <c r="DC276" s="352"/>
      <c r="DD276" s="352"/>
      <c r="DE276" s="352"/>
      <c r="DF276" s="352"/>
      <c r="DG276" s="352"/>
      <c r="DH276" s="352"/>
      <c r="DI276" s="352"/>
      <c r="DJ276" s="352"/>
      <c r="DK276" s="352"/>
      <c r="DL276" s="352"/>
      <c r="DM276" s="352"/>
      <c r="DN276" s="352"/>
      <c r="DO276" s="352"/>
      <c r="DP276" s="352"/>
      <c r="DQ276" s="352"/>
      <c r="DR276" s="352"/>
      <c r="DS276" s="352"/>
      <c r="DT276" s="352"/>
      <c r="DU276" s="352"/>
      <c r="DV276" s="352"/>
      <c r="DW276" s="352"/>
      <c r="DX276" s="352"/>
      <c r="DY276" s="352"/>
      <c r="DZ276" s="352"/>
      <c r="EA276" s="352"/>
      <c r="EB276" s="352"/>
      <c r="EC276" s="352"/>
      <c r="ED276" s="352"/>
      <c r="EE276" s="352"/>
      <c r="EF276" s="352"/>
      <c r="EG276" s="352"/>
      <c r="EH276" s="352"/>
      <c r="EI276" s="352"/>
      <c r="EJ276" s="352"/>
      <c r="EK276" s="352"/>
      <c r="EL276" s="352"/>
      <c r="EM276" s="352"/>
      <c r="EN276" s="352"/>
    </row>
    <row r="277" spans="1:144" ht="20.100000000000001" customHeight="1">
      <c r="A277" s="118" t="s">
        <v>90</v>
      </c>
      <c r="B277" s="118" t="s">
        <v>608</v>
      </c>
      <c r="C277" s="119">
        <v>0</v>
      </c>
      <c r="D277" s="120">
        <f>'Sectors % GDP'!K22</f>
        <v>588522.6</v>
      </c>
      <c r="E277" s="120">
        <f t="shared" si="8"/>
        <v>0</v>
      </c>
      <c r="F277" s="123">
        <v>0</v>
      </c>
      <c r="G277" s="120">
        <v>0</v>
      </c>
      <c r="H277" s="122">
        <v>9.1999999999999993</v>
      </c>
      <c r="I277" s="122">
        <v>31.76</v>
      </c>
      <c r="J277" s="122">
        <v>7.19</v>
      </c>
      <c r="K277" s="123">
        <v>7.21</v>
      </c>
      <c r="L277" s="123">
        <f t="shared" si="9"/>
        <v>-1.6</v>
      </c>
      <c r="M277" s="124">
        <v>-1.6E-2</v>
      </c>
      <c r="N277" s="124">
        <v>6.25</v>
      </c>
      <c r="O277" s="125">
        <f>'Trade Data'!H17</f>
        <v>0.1716585196910696</v>
      </c>
      <c r="P277" s="127">
        <v>1</v>
      </c>
      <c r="Q277" s="352"/>
      <c r="R277" s="352"/>
      <c r="S277" s="352"/>
      <c r="T277" s="352"/>
      <c r="U277" s="352"/>
      <c r="V277" s="352"/>
      <c r="W277" s="352"/>
      <c r="X277" s="352"/>
      <c r="Y277" s="352"/>
      <c r="Z277" s="352"/>
      <c r="AA277" s="352"/>
      <c r="AB277" s="352"/>
      <c r="AC277" s="352"/>
      <c r="AD277" s="352"/>
      <c r="AE277" s="352"/>
      <c r="AF277" s="352"/>
      <c r="AG277" s="352"/>
      <c r="AH277" s="352"/>
      <c r="AI277" s="352"/>
      <c r="AJ277" s="352"/>
      <c r="AK277" s="352"/>
      <c r="AL277" s="352"/>
      <c r="AM277" s="352"/>
      <c r="AN277" s="352"/>
      <c r="AO277" s="352"/>
      <c r="AP277" s="352"/>
      <c r="AQ277" s="352"/>
      <c r="AR277" s="352"/>
      <c r="AS277" s="352"/>
      <c r="AT277" s="352"/>
      <c r="AU277" s="352"/>
      <c r="AV277" s="352"/>
      <c r="AW277" s="352"/>
      <c r="AX277" s="352"/>
      <c r="AY277" s="352"/>
      <c r="AZ277" s="352"/>
      <c r="BA277" s="352"/>
      <c r="BB277" s="352"/>
      <c r="BC277" s="352"/>
      <c r="BD277" s="352"/>
      <c r="BE277" s="352"/>
      <c r="BF277" s="352"/>
      <c r="BG277" s="352"/>
      <c r="BH277" s="352"/>
      <c r="BI277" s="352"/>
      <c r="BJ277" s="352"/>
      <c r="BK277" s="352"/>
      <c r="BL277" s="352"/>
      <c r="BM277" s="352"/>
      <c r="BN277" s="352"/>
      <c r="BO277" s="352"/>
      <c r="BP277" s="352"/>
      <c r="BQ277" s="352"/>
      <c r="BR277" s="352"/>
      <c r="BS277" s="352"/>
      <c r="BT277" s="352"/>
      <c r="BU277" s="352"/>
      <c r="BV277" s="352"/>
      <c r="BW277" s="352"/>
      <c r="BX277" s="352"/>
      <c r="BY277" s="352"/>
      <c r="BZ277" s="352"/>
      <c r="CA277" s="352"/>
      <c r="CB277" s="352"/>
      <c r="CC277" s="352"/>
      <c r="CD277" s="352"/>
      <c r="CE277" s="352"/>
      <c r="CF277" s="352"/>
      <c r="CG277" s="352"/>
      <c r="CH277" s="352"/>
      <c r="CI277" s="352"/>
      <c r="CJ277" s="352"/>
      <c r="CK277" s="352"/>
      <c r="CL277" s="352"/>
      <c r="CM277" s="352"/>
      <c r="CN277" s="352"/>
      <c r="CO277" s="352"/>
      <c r="CP277" s="352"/>
      <c r="CQ277" s="352"/>
      <c r="CR277" s="352"/>
      <c r="CS277" s="352"/>
      <c r="CT277" s="352"/>
      <c r="CU277" s="352"/>
      <c r="CV277" s="352"/>
      <c r="CW277" s="352"/>
      <c r="CX277" s="352"/>
      <c r="CY277" s="352"/>
      <c r="CZ277" s="352"/>
      <c r="DA277" s="352"/>
      <c r="DB277" s="352"/>
      <c r="DC277" s="352"/>
      <c r="DD277" s="352"/>
      <c r="DE277" s="352"/>
      <c r="DF277" s="352"/>
      <c r="DG277" s="352"/>
      <c r="DH277" s="352"/>
      <c r="DI277" s="352"/>
      <c r="DJ277" s="352"/>
      <c r="DK277" s="352"/>
      <c r="DL277" s="352"/>
      <c r="DM277" s="352"/>
      <c r="DN277" s="352"/>
      <c r="DO277" s="352"/>
      <c r="DP277" s="352"/>
      <c r="DQ277" s="352"/>
      <c r="DR277" s="352"/>
      <c r="DS277" s="352"/>
      <c r="DT277" s="352"/>
      <c r="DU277" s="352"/>
      <c r="DV277" s="352"/>
      <c r="DW277" s="352"/>
      <c r="DX277" s="352"/>
      <c r="DY277" s="352"/>
      <c r="DZ277" s="352"/>
      <c r="EA277" s="352"/>
      <c r="EB277" s="352"/>
      <c r="EC277" s="352"/>
      <c r="ED277" s="352"/>
      <c r="EE277" s="352"/>
      <c r="EF277" s="352"/>
      <c r="EG277" s="352"/>
      <c r="EH277" s="352"/>
      <c r="EI277" s="352"/>
      <c r="EJ277" s="352"/>
      <c r="EK277" s="352"/>
      <c r="EL277" s="352"/>
      <c r="EM277" s="352"/>
      <c r="EN277" s="352"/>
    </row>
    <row r="278" spans="1:144" s="169" customFormat="1" ht="20.100000000000001" customHeight="1">
      <c r="A278" s="160" t="s">
        <v>91</v>
      </c>
      <c r="B278" s="160" t="s">
        <v>607</v>
      </c>
      <c r="C278" s="161">
        <v>0</v>
      </c>
      <c r="D278" s="162">
        <f>'Sectors % GDP'!K20</f>
        <v>64077</v>
      </c>
      <c r="E278" s="162">
        <f t="shared" si="8"/>
        <v>0</v>
      </c>
      <c r="F278" s="165">
        <v>0</v>
      </c>
      <c r="G278" s="162">
        <v>0</v>
      </c>
      <c r="H278" s="163">
        <v>11.61</v>
      </c>
      <c r="I278" s="163">
        <v>48.61</v>
      </c>
      <c r="J278" s="164">
        <v>6.47</v>
      </c>
      <c r="K278" s="165">
        <v>7.21</v>
      </c>
      <c r="L278" s="165">
        <f t="shared" si="9"/>
        <v>2.9000000000000004</v>
      </c>
      <c r="M278" s="166">
        <v>2.9000000000000001E-2</v>
      </c>
      <c r="N278" s="166">
        <v>5.69</v>
      </c>
      <c r="O278" s="167">
        <f>'Trade Data'!J17</f>
        <v>0.17936201392434084</v>
      </c>
      <c r="P278" s="168">
        <v>0</v>
      </c>
      <c r="Q278" s="352"/>
      <c r="R278" s="352"/>
      <c r="S278" s="352"/>
      <c r="T278" s="352"/>
      <c r="U278" s="352"/>
      <c r="V278" s="352"/>
      <c r="W278" s="352"/>
      <c r="X278" s="352"/>
      <c r="Y278" s="352"/>
      <c r="Z278" s="352"/>
      <c r="AA278" s="352"/>
      <c r="AB278" s="352"/>
      <c r="AC278" s="352"/>
      <c r="AD278" s="352"/>
      <c r="AE278" s="352"/>
      <c r="AF278" s="352"/>
      <c r="AG278" s="352"/>
      <c r="AH278" s="352"/>
      <c r="AI278" s="352"/>
      <c r="AJ278" s="352"/>
      <c r="AK278" s="352"/>
      <c r="AL278" s="352"/>
      <c r="AM278" s="352"/>
      <c r="AN278" s="352"/>
      <c r="AO278" s="352"/>
      <c r="AP278" s="352"/>
      <c r="AQ278" s="352"/>
      <c r="AR278" s="352"/>
      <c r="AS278" s="352"/>
      <c r="AT278" s="352"/>
      <c r="AU278" s="352"/>
      <c r="AV278" s="352"/>
      <c r="AW278" s="352"/>
      <c r="AX278" s="352"/>
      <c r="AY278" s="352"/>
      <c r="AZ278" s="352"/>
      <c r="BA278" s="352"/>
      <c r="BB278" s="352"/>
      <c r="BC278" s="352"/>
      <c r="BD278" s="352"/>
      <c r="BE278" s="352"/>
      <c r="BF278" s="352"/>
      <c r="BG278" s="352"/>
      <c r="BH278" s="352"/>
      <c r="BI278" s="352"/>
      <c r="BJ278" s="352"/>
      <c r="BK278" s="352"/>
      <c r="BL278" s="352"/>
      <c r="BM278" s="352"/>
      <c r="BN278" s="352"/>
      <c r="BO278" s="352"/>
      <c r="BP278" s="352"/>
      <c r="BQ278" s="352"/>
      <c r="BR278" s="352"/>
      <c r="BS278" s="352"/>
      <c r="BT278" s="352"/>
      <c r="BU278" s="352"/>
      <c r="BV278" s="352"/>
      <c r="BW278" s="352"/>
      <c r="BX278" s="352"/>
      <c r="BY278" s="352"/>
      <c r="BZ278" s="352"/>
      <c r="CA278" s="352"/>
      <c r="CB278" s="352"/>
      <c r="CC278" s="352"/>
      <c r="CD278" s="352"/>
      <c r="CE278" s="352"/>
      <c r="CF278" s="352"/>
      <c r="CG278" s="352"/>
      <c r="CH278" s="352"/>
      <c r="CI278" s="352"/>
      <c r="CJ278" s="352"/>
      <c r="CK278" s="352"/>
      <c r="CL278" s="352"/>
      <c r="CM278" s="352"/>
      <c r="CN278" s="352"/>
      <c r="CO278" s="352"/>
      <c r="CP278" s="352"/>
      <c r="CQ278" s="352"/>
      <c r="CR278" s="352"/>
      <c r="CS278" s="352"/>
      <c r="CT278" s="352"/>
      <c r="CU278" s="352"/>
      <c r="CV278" s="352"/>
      <c r="CW278" s="352"/>
      <c r="CX278" s="352"/>
      <c r="CY278" s="352"/>
      <c r="CZ278" s="352"/>
      <c r="DA278" s="352"/>
      <c r="DB278" s="352"/>
      <c r="DC278" s="352"/>
      <c r="DD278" s="352"/>
      <c r="DE278" s="352"/>
      <c r="DF278" s="352"/>
      <c r="DG278" s="352"/>
      <c r="DH278" s="352"/>
      <c r="DI278" s="352"/>
      <c r="DJ278" s="352"/>
      <c r="DK278" s="352"/>
      <c r="DL278" s="352"/>
      <c r="DM278" s="352"/>
      <c r="DN278" s="352"/>
      <c r="DO278" s="352"/>
      <c r="DP278" s="352"/>
      <c r="DQ278" s="352"/>
      <c r="DR278" s="352"/>
      <c r="DS278" s="352"/>
      <c r="DT278" s="352"/>
      <c r="DU278" s="352"/>
      <c r="DV278" s="352"/>
      <c r="DW278" s="352"/>
      <c r="DX278" s="352"/>
      <c r="DY278" s="352"/>
      <c r="DZ278" s="352"/>
      <c r="EA278" s="352"/>
      <c r="EB278" s="352"/>
      <c r="EC278" s="352"/>
      <c r="ED278" s="352"/>
      <c r="EE278" s="352"/>
      <c r="EF278" s="352"/>
      <c r="EG278" s="352"/>
      <c r="EH278" s="352"/>
      <c r="EI278" s="352"/>
      <c r="EJ278" s="352"/>
      <c r="EK278" s="352"/>
      <c r="EL278" s="352"/>
      <c r="EM278" s="352"/>
      <c r="EN278" s="352"/>
    </row>
    <row r="279" spans="1:144" s="188" customFormat="1" ht="20.100000000000001" customHeight="1">
      <c r="A279" s="179" t="s">
        <v>91</v>
      </c>
      <c r="B279" s="179" t="s">
        <v>606</v>
      </c>
      <c r="C279" s="180">
        <f>'Thomson Reuters IMA  ($)'!I515</f>
        <v>119</v>
      </c>
      <c r="D279" s="181">
        <f>'Sectors % GDP'!K21</f>
        <v>333200.40000000002</v>
      </c>
      <c r="E279" s="181">
        <f t="shared" si="8"/>
        <v>3.5714242840044605E-4</v>
      </c>
      <c r="F279" s="184">
        <v>1</v>
      </c>
      <c r="G279" s="181">
        <v>1</v>
      </c>
      <c r="H279" s="182">
        <v>11.61</v>
      </c>
      <c r="I279" s="182">
        <v>48.61</v>
      </c>
      <c r="J279" s="183">
        <v>6.47</v>
      </c>
      <c r="K279" s="184">
        <v>7.21</v>
      </c>
      <c r="L279" s="184">
        <f t="shared" si="9"/>
        <v>2.9000000000000004</v>
      </c>
      <c r="M279" s="185">
        <v>2.9000000000000001E-2</v>
      </c>
      <c r="N279" s="185">
        <v>5.69</v>
      </c>
      <c r="O279" s="186">
        <f>'Trade Data'!J17</f>
        <v>0.17936201392434084</v>
      </c>
      <c r="P279" s="187">
        <v>1</v>
      </c>
      <c r="Q279" s="352"/>
      <c r="R279" s="352"/>
      <c r="S279" s="352"/>
      <c r="T279" s="352"/>
      <c r="U279" s="352"/>
      <c r="V279" s="352"/>
      <c r="W279" s="352"/>
      <c r="X279" s="352"/>
      <c r="Y279" s="352"/>
      <c r="Z279" s="352"/>
      <c r="AA279" s="352"/>
      <c r="AB279" s="352"/>
      <c r="AC279" s="352"/>
      <c r="AD279" s="352"/>
      <c r="AE279" s="352"/>
      <c r="AF279" s="352"/>
      <c r="AG279" s="352"/>
      <c r="AH279" s="352"/>
      <c r="AI279" s="352"/>
      <c r="AJ279" s="352"/>
      <c r="AK279" s="352"/>
      <c r="AL279" s="352"/>
      <c r="AM279" s="352"/>
      <c r="AN279" s="352"/>
      <c r="AO279" s="352"/>
      <c r="AP279" s="352"/>
      <c r="AQ279" s="352"/>
      <c r="AR279" s="352"/>
      <c r="AS279" s="352"/>
      <c r="AT279" s="352"/>
      <c r="AU279" s="352"/>
      <c r="AV279" s="352"/>
      <c r="AW279" s="352"/>
      <c r="AX279" s="352"/>
      <c r="AY279" s="352"/>
      <c r="AZ279" s="352"/>
      <c r="BA279" s="352"/>
      <c r="BB279" s="352"/>
      <c r="BC279" s="352"/>
      <c r="BD279" s="352"/>
      <c r="BE279" s="352"/>
      <c r="BF279" s="352"/>
      <c r="BG279" s="352"/>
      <c r="BH279" s="352"/>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c r="CE279" s="352"/>
      <c r="CF279" s="352"/>
      <c r="CG279" s="352"/>
      <c r="CH279" s="352"/>
      <c r="CI279" s="352"/>
      <c r="CJ279" s="352"/>
      <c r="CK279" s="352"/>
      <c r="CL279" s="352"/>
      <c r="CM279" s="352"/>
      <c r="CN279" s="352"/>
      <c r="CO279" s="352"/>
      <c r="CP279" s="352"/>
      <c r="CQ279" s="352"/>
      <c r="CR279" s="352"/>
      <c r="CS279" s="352"/>
      <c r="CT279" s="352"/>
      <c r="CU279" s="352"/>
      <c r="CV279" s="352"/>
      <c r="CW279" s="352"/>
      <c r="CX279" s="352"/>
      <c r="CY279" s="352"/>
      <c r="CZ279" s="352"/>
      <c r="DA279" s="352"/>
      <c r="DB279" s="352"/>
      <c r="DC279" s="352"/>
      <c r="DD279" s="352"/>
      <c r="DE279" s="352"/>
      <c r="DF279" s="352"/>
      <c r="DG279" s="352"/>
      <c r="DH279" s="352"/>
      <c r="DI279" s="352"/>
      <c r="DJ279" s="352"/>
      <c r="DK279" s="352"/>
      <c r="DL279" s="352"/>
      <c r="DM279" s="352"/>
      <c r="DN279" s="352"/>
      <c r="DO279" s="352"/>
      <c r="DP279" s="352"/>
      <c r="DQ279" s="352"/>
      <c r="DR279" s="352"/>
      <c r="DS279" s="352"/>
      <c r="DT279" s="352"/>
      <c r="DU279" s="352"/>
      <c r="DV279" s="352"/>
      <c r="DW279" s="352"/>
      <c r="DX279" s="352"/>
      <c r="DY279" s="352"/>
      <c r="DZ279" s="352"/>
      <c r="EA279" s="352"/>
      <c r="EB279" s="352"/>
      <c r="EC279" s="352"/>
      <c r="ED279" s="352"/>
      <c r="EE279" s="352"/>
      <c r="EF279" s="352"/>
      <c r="EG279" s="352"/>
      <c r="EH279" s="352"/>
      <c r="EI279" s="352"/>
      <c r="EJ279" s="352"/>
      <c r="EK279" s="352"/>
      <c r="EL279" s="352"/>
      <c r="EM279" s="352"/>
      <c r="EN279" s="352"/>
    </row>
    <row r="280" spans="1:144" ht="20.100000000000001" customHeight="1">
      <c r="A280" s="118" t="s">
        <v>91</v>
      </c>
      <c r="B280" s="118" t="s">
        <v>605</v>
      </c>
      <c r="C280" s="119">
        <v>0</v>
      </c>
      <c r="D280" s="120">
        <f>'Sectors % GDP'!K22</f>
        <v>588522.6</v>
      </c>
      <c r="E280" s="120">
        <f t="shared" si="8"/>
        <v>0</v>
      </c>
      <c r="F280" s="123">
        <v>0</v>
      </c>
      <c r="G280" s="120">
        <v>0</v>
      </c>
      <c r="H280" s="121">
        <v>11.61</v>
      </c>
      <c r="I280" s="121">
        <v>48.61</v>
      </c>
      <c r="J280" s="122">
        <v>6.47</v>
      </c>
      <c r="K280" s="123">
        <v>7.21</v>
      </c>
      <c r="L280" s="123">
        <f t="shared" si="9"/>
        <v>2.9000000000000004</v>
      </c>
      <c r="M280" s="124">
        <v>2.9000000000000001E-2</v>
      </c>
      <c r="N280" s="124">
        <v>5.69</v>
      </c>
      <c r="O280" s="125">
        <f>'Trade Data'!J17</f>
        <v>0.17936201392434084</v>
      </c>
      <c r="P280" s="126">
        <v>1</v>
      </c>
      <c r="Q280" s="352"/>
      <c r="R280" s="352"/>
      <c r="S280" s="352"/>
      <c r="T280" s="352"/>
      <c r="U280" s="352"/>
      <c r="V280" s="352"/>
      <c r="W280" s="352"/>
      <c r="X280" s="352"/>
      <c r="Y280" s="352"/>
      <c r="Z280" s="352"/>
      <c r="AA280" s="352"/>
      <c r="AB280" s="352"/>
      <c r="AC280" s="352"/>
      <c r="AD280" s="352"/>
      <c r="AE280" s="352"/>
      <c r="AF280" s="352"/>
      <c r="AG280" s="352"/>
      <c r="AH280" s="352"/>
      <c r="AI280" s="352"/>
      <c r="AJ280" s="352"/>
      <c r="AK280" s="352"/>
      <c r="AL280" s="352"/>
      <c r="AM280" s="352"/>
      <c r="AN280" s="352"/>
      <c r="AO280" s="352"/>
      <c r="AP280" s="352"/>
      <c r="AQ280" s="352"/>
      <c r="AR280" s="352"/>
      <c r="AS280" s="352"/>
      <c r="AT280" s="352"/>
      <c r="AU280" s="352"/>
      <c r="AV280" s="352"/>
      <c r="AW280" s="352"/>
      <c r="AX280" s="352"/>
      <c r="AY280" s="352"/>
      <c r="AZ280" s="352"/>
      <c r="BA280" s="352"/>
      <c r="BB280" s="352"/>
      <c r="BC280" s="352"/>
      <c r="BD280" s="352"/>
      <c r="BE280" s="352"/>
      <c r="BF280" s="352"/>
      <c r="BG280" s="352"/>
      <c r="BH280" s="352"/>
      <c r="BI280" s="352"/>
      <c r="BJ280" s="352"/>
      <c r="BK280" s="352"/>
      <c r="BL280" s="352"/>
      <c r="BM280" s="352"/>
      <c r="BN280" s="352"/>
      <c r="BO280" s="352"/>
      <c r="BP280" s="352"/>
      <c r="BQ280" s="352"/>
      <c r="BR280" s="352"/>
      <c r="BS280" s="352"/>
      <c r="BT280" s="352"/>
      <c r="BU280" s="352"/>
      <c r="BV280" s="352"/>
      <c r="BW280" s="352"/>
      <c r="BX280" s="352"/>
      <c r="BY280" s="352"/>
      <c r="BZ280" s="352"/>
      <c r="CA280" s="352"/>
      <c r="CB280" s="352"/>
      <c r="CC280" s="352"/>
      <c r="CD280" s="352"/>
      <c r="CE280" s="352"/>
      <c r="CF280" s="352"/>
      <c r="CG280" s="352"/>
      <c r="CH280" s="352"/>
      <c r="CI280" s="352"/>
      <c r="CJ280" s="352"/>
      <c r="CK280" s="352"/>
      <c r="CL280" s="352"/>
      <c r="CM280" s="352"/>
      <c r="CN280" s="352"/>
      <c r="CO280" s="352"/>
      <c r="CP280" s="352"/>
      <c r="CQ280" s="352"/>
      <c r="CR280" s="352"/>
      <c r="CS280" s="352"/>
      <c r="CT280" s="352"/>
      <c r="CU280" s="352"/>
      <c r="CV280" s="352"/>
      <c r="CW280" s="352"/>
      <c r="CX280" s="352"/>
      <c r="CY280" s="352"/>
      <c r="CZ280" s="352"/>
      <c r="DA280" s="352"/>
      <c r="DB280" s="352"/>
      <c r="DC280" s="352"/>
      <c r="DD280" s="352"/>
      <c r="DE280" s="352"/>
      <c r="DF280" s="352"/>
      <c r="DG280" s="352"/>
      <c r="DH280" s="352"/>
      <c r="DI280" s="352"/>
      <c r="DJ280" s="352"/>
      <c r="DK280" s="352"/>
      <c r="DL280" s="352"/>
      <c r="DM280" s="352"/>
      <c r="DN280" s="352"/>
      <c r="DO280" s="352"/>
      <c r="DP280" s="352"/>
      <c r="DQ280" s="352"/>
      <c r="DR280" s="352"/>
      <c r="DS280" s="352"/>
      <c r="DT280" s="352"/>
      <c r="DU280" s="352"/>
      <c r="DV280" s="352"/>
      <c r="DW280" s="352"/>
      <c r="DX280" s="352"/>
      <c r="DY280" s="352"/>
      <c r="DZ280" s="352"/>
      <c r="EA280" s="352"/>
      <c r="EB280" s="352"/>
      <c r="EC280" s="352"/>
      <c r="ED280" s="352"/>
      <c r="EE280" s="352"/>
      <c r="EF280" s="352"/>
      <c r="EG280" s="352"/>
      <c r="EH280" s="352"/>
      <c r="EI280" s="352"/>
      <c r="EJ280" s="352"/>
      <c r="EK280" s="352"/>
      <c r="EL280" s="352"/>
      <c r="EM280" s="352"/>
      <c r="EN280" s="352"/>
    </row>
    <row r="281" spans="1:144" s="169" customFormat="1" ht="20.100000000000001" customHeight="1">
      <c r="A281" s="160" t="s">
        <v>92</v>
      </c>
      <c r="B281" s="160" t="s">
        <v>604</v>
      </c>
      <c r="C281" s="161">
        <v>0</v>
      </c>
      <c r="D281" s="162">
        <f>'Sectors % GDP'!K20</f>
        <v>64077</v>
      </c>
      <c r="E281" s="162">
        <f t="shared" si="8"/>
        <v>0</v>
      </c>
      <c r="F281" s="165">
        <v>0</v>
      </c>
      <c r="G281" s="162">
        <v>0</v>
      </c>
      <c r="H281" s="164">
        <v>17.98</v>
      </c>
      <c r="I281" s="164">
        <v>51.35</v>
      </c>
      <c r="J281" s="164">
        <v>19.940000000000001</v>
      </c>
      <c r="K281" s="165">
        <v>7.21</v>
      </c>
      <c r="L281" s="165">
        <f t="shared" si="9"/>
        <v>2.9000000000000004</v>
      </c>
      <c r="M281" s="166">
        <v>2.9000000000000001E-2</v>
      </c>
      <c r="N281" s="166">
        <v>5.69</v>
      </c>
      <c r="O281" s="167">
        <f>'Trade Data'!J17</f>
        <v>0.17936201392434084</v>
      </c>
      <c r="P281" s="170">
        <v>0</v>
      </c>
      <c r="Q281" s="352"/>
      <c r="R281" s="352"/>
      <c r="S281" s="352"/>
      <c r="T281" s="352"/>
      <c r="U281" s="352"/>
      <c r="V281" s="352"/>
      <c r="W281" s="352"/>
      <c r="X281" s="352"/>
      <c r="Y281" s="352"/>
      <c r="Z281" s="352"/>
      <c r="AA281" s="352"/>
      <c r="AB281" s="352"/>
      <c r="AC281" s="352"/>
      <c r="AD281" s="352"/>
      <c r="AE281" s="352"/>
      <c r="AF281" s="352"/>
      <c r="AG281" s="352"/>
      <c r="AH281" s="352"/>
      <c r="AI281" s="352"/>
      <c r="AJ281" s="352"/>
      <c r="AK281" s="352"/>
      <c r="AL281" s="352"/>
      <c r="AM281" s="352"/>
      <c r="AN281" s="352"/>
      <c r="AO281" s="352"/>
      <c r="AP281" s="352"/>
      <c r="AQ281" s="352"/>
      <c r="AR281" s="352"/>
      <c r="AS281" s="352"/>
      <c r="AT281" s="352"/>
      <c r="AU281" s="352"/>
      <c r="AV281" s="352"/>
      <c r="AW281" s="352"/>
      <c r="AX281" s="352"/>
      <c r="AY281" s="352"/>
      <c r="AZ281" s="352"/>
      <c r="BA281" s="352"/>
      <c r="BB281" s="352"/>
      <c r="BC281" s="352"/>
      <c r="BD281" s="352"/>
      <c r="BE281" s="352"/>
      <c r="BF281" s="352"/>
      <c r="BG281" s="352"/>
      <c r="BH281" s="352"/>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c r="CE281" s="352"/>
      <c r="CF281" s="352"/>
      <c r="CG281" s="352"/>
      <c r="CH281" s="352"/>
      <c r="CI281" s="352"/>
      <c r="CJ281" s="352"/>
      <c r="CK281" s="352"/>
      <c r="CL281" s="352"/>
      <c r="CM281" s="352"/>
      <c r="CN281" s="352"/>
      <c r="CO281" s="352"/>
      <c r="CP281" s="352"/>
      <c r="CQ281" s="352"/>
      <c r="CR281" s="352"/>
      <c r="CS281" s="352"/>
      <c r="CT281" s="352"/>
      <c r="CU281" s="352"/>
      <c r="CV281" s="352"/>
      <c r="CW281" s="352"/>
      <c r="CX281" s="352"/>
      <c r="CY281" s="352"/>
      <c r="CZ281" s="352"/>
      <c r="DA281" s="352"/>
      <c r="DB281" s="352"/>
      <c r="DC281" s="352"/>
      <c r="DD281" s="352"/>
      <c r="DE281" s="352"/>
      <c r="DF281" s="352"/>
      <c r="DG281" s="352"/>
      <c r="DH281" s="352"/>
      <c r="DI281" s="352"/>
      <c r="DJ281" s="352"/>
      <c r="DK281" s="352"/>
      <c r="DL281" s="352"/>
      <c r="DM281" s="352"/>
      <c r="DN281" s="352"/>
      <c r="DO281" s="352"/>
      <c r="DP281" s="352"/>
      <c r="DQ281" s="352"/>
      <c r="DR281" s="352"/>
      <c r="DS281" s="352"/>
      <c r="DT281" s="352"/>
      <c r="DU281" s="352"/>
      <c r="DV281" s="352"/>
      <c r="DW281" s="352"/>
      <c r="DX281" s="352"/>
      <c r="DY281" s="352"/>
      <c r="DZ281" s="352"/>
      <c r="EA281" s="352"/>
      <c r="EB281" s="352"/>
      <c r="EC281" s="352"/>
      <c r="ED281" s="352"/>
      <c r="EE281" s="352"/>
      <c r="EF281" s="352"/>
      <c r="EG281" s="352"/>
      <c r="EH281" s="352"/>
      <c r="EI281" s="352"/>
      <c r="EJ281" s="352"/>
      <c r="EK281" s="352"/>
      <c r="EL281" s="352"/>
      <c r="EM281" s="352"/>
      <c r="EN281" s="352"/>
    </row>
    <row r="282" spans="1:144" s="188" customFormat="1" ht="20.100000000000001" customHeight="1">
      <c r="A282" s="179" t="s">
        <v>92</v>
      </c>
      <c r="B282" s="179" t="s">
        <v>603</v>
      </c>
      <c r="C282" s="180">
        <v>0</v>
      </c>
      <c r="D282" s="181">
        <f>'Sectors % GDP'!K21</f>
        <v>333200.40000000002</v>
      </c>
      <c r="E282" s="181">
        <f t="shared" si="8"/>
        <v>0</v>
      </c>
      <c r="F282" s="184">
        <v>0</v>
      </c>
      <c r="G282" s="181">
        <v>0</v>
      </c>
      <c r="H282" s="183">
        <v>17.98</v>
      </c>
      <c r="I282" s="183">
        <v>51.35</v>
      </c>
      <c r="J282" s="183">
        <v>19.940000000000001</v>
      </c>
      <c r="K282" s="184">
        <v>7.21</v>
      </c>
      <c r="L282" s="184">
        <f t="shared" si="9"/>
        <v>2.9000000000000004</v>
      </c>
      <c r="M282" s="185">
        <v>2.9000000000000001E-2</v>
      </c>
      <c r="N282" s="185">
        <v>5.69</v>
      </c>
      <c r="O282" s="186">
        <f>'Trade Data'!J17</f>
        <v>0.17936201392434084</v>
      </c>
      <c r="P282" s="189">
        <v>1</v>
      </c>
      <c r="Q282" s="352"/>
      <c r="R282" s="352"/>
      <c r="S282" s="352"/>
      <c r="T282" s="352"/>
      <c r="U282" s="352"/>
      <c r="V282" s="352"/>
      <c r="W282" s="352"/>
      <c r="X282" s="352"/>
      <c r="Y282" s="352"/>
      <c r="Z282" s="352"/>
      <c r="AA282" s="352"/>
      <c r="AB282" s="352"/>
      <c r="AC282" s="352"/>
      <c r="AD282" s="352"/>
      <c r="AE282" s="352"/>
      <c r="AF282" s="352"/>
      <c r="AG282" s="352"/>
      <c r="AH282" s="352"/>
      <c r="AI282" s="352"/>
      <c r="AJ282" s="352"/>
      <c r="AK282" s="352"/>
      <c r="AL282" s="352"/>
      <c r="AM282" s="352"/>
      <c r="AN282" s="352"/>
      <c r="AO282" s="352"/>
      <c r="AP282" s="352"/>
      <c r="AQ282" s="352"/>
      <c r="AR282" s="352"/>
      <c r="AS282" s="352"/>
      <c r="AT282" s="352"/>
      <c r="AU282" s="352"/>
      <c r="AV282" s="352"/>
      <c r="AW282" s="352"/>
      <c r="AX282" s="352"/>
      <c r="AY282" s="352"/>
      <c r="AZ282" s="352"/>
      <c r="BA282" s="352"/>
      <c r="BB282" s="352"/>
      <c r="BC282" s="352"/>
      <c r="BD282" s="352"/>
      <c r="BE282" s="352"/>
      <c r="BF282" s="352"/>
      <c r="BG282" s="352"/>
      <c r="BH282" s="352"/>
      <c r="BI282" s="352"/>
      <c r="BJ282" s="352"/>
      <c r="BK282" s="352"/>
      <c r="BL282" s="352"/>
      <c r="BM282" s="352"/>
      <c r="BN282" s="352"/>
      <c r="BO282" s="352"/>
      <c r="BP282" s="352"/>
      <c r="BQ282" s="352"/>
      <c r="BR282" s="352"/>
      <c r="BS282" s="352"/>
      <c r="BT282" s="352"/>
      <c r="BU282" s="352"/>
      <c r="BV282" s="352"/>
      <c r="BW282" s="352"/>
      <c r="BX282" s="352"/>
      <c r="BY282" s="352"/>
      <c r="BZ282" s="352"/>
      <c r="CA282" s="352"/>
      <c r="CB282" s="352"/>
      <c r="CC282" s="352"/>
      <c r="CD282" s="352"/>
      <c r="CE282" s="352"/>
      <c r="CF282" s="352"/>
      <c r="CG282" s="352"/>
      <c r="CH282" s="352"/>
      <c r="CI282" s="352"/>
      <c r="CJ282" s="352"/>
      <c r="CK282" s="352"/>
      <c r="CL282" s="352"/>
      <c r="CM282" s="352"/>
      <c r="CN282" s="352"/>
      <c r="CO282" s="352"/>
      <c r="CP282" s="352"/>
      <c r="CQ282" s="352"/>
      <c r="CR282" s="352"/>
      <c r="CS282" s="352"/>
      <c r="CT282" s="352"/>
      <c r="CU282" s="352"/>
      <c r="CV282" s="352"/>
      <c r="CW282" s="352"/>
      <c r="CX282" s="352"/>
      <c r="CY282" s="352"/>
      <c r="CZ282" s="352"/>
      <c r="DA282" s="352"/>
      <c r="DB282" s="352"/>
      <c r="DC282" s="352"/>
      <c r="DD282" s="352"/>
      <c r="DE282" s="352"/>
      <c r="DF282" s="352"/>
      <c r="DG282" s="352"/>
      <c r="DH282" s="352"/>
      <c r="DI282" s="352"/>
      <c r="DJ282" s="352"/>
      <c r="DK282" s="352"/>
      <c r="DL282" s="352"/>
      <c r="DM282" s="352"/>
      <c r="DN282" s="352"/>
      <c r="DO282" s="352"/>
      <c r="DP282" s="352"/>
      <c r="DQ282" s="352"/>
      <c r="DR282" s="352"/>
      <c r="DS282" s="352"/>
      <c r="DT282" s="352"/>
      <c r="DU282" s="352"/>
      <c r="DV282" s="352"/>
      <c r="DW282" s="352"/>
      <c r="DX282" s="352"/>
      <c r="DY282" s="352"/>
      <c r="DZ282" s="352"/>
      <c r="EA282" s="352"/>
      <c r="EB282" s="352"/>
      <c r="EC282" s="352"/>
      <c r="ED282" s="352"/>
      <c r="EE282" s="352"/>
      <c r="EF282" s="352"/>
      <c r="EG282" s="352"/>
      <c r="EH282" s="352"/>
      <c r="EI282" s="352"/>
      <c r="EJ282" s="352"/>
      <c r="EK282" s="352"/>
      <c r="EL282" s="352"/>
      <c r="EM282" s="352"/>
      <c r="EN282" s="352"/>
    </row>
    <row r="283" spans="1:144" ht="20.100000000000001" customHeight="1">
      <c r="A283" s="118" t="s">
        <v>92</v>
      </c>
      <c r="B283" s="118" t="s">
        <v>602</v>
      </c>
      <c r="C283" s="119">
        <v>0</v>
      </c>
      <c r="D283" s="120">
        <f>'Sectors % GDP'!K22</f>
        <v>588522.6</v>
      </c>
      <c r="E283" s="120">
        <f t="shared" si="8"/>
        <v>0</v>
      </c>
      <c r="F283" s="123">
        <v>0</v>
      </c>
      <c r="G283" s="120">
        <v>0</v>
      </c>
      <c r="H283" s="122">
        <v>17.98</v>
      </c>
      <c r="I283" s="122">
        <v>51.35</v>
      </c>
      <c r="J283" s="122">
        <v>19.940000000000001</v>
      </c>
      <c r="K283" s="123">
        <v>7.21</v>
      </c>
      <c r="L283" s="123">
        <f t="shared" si="9"/>
        <v>2.9000000000000004</v>
      </c>
      <c r="M283" s="124">
        <v>2.9000000000000001E-2</v>
      </c>
      <c r="N283" s="124">
        <v>5.69</v>
      </c>
      <c r="O283" s="125">
        <f>'Trade Data'!J17</f>
        <v>0.17936201392434084</v>
      </c>
      <c r="P283" s="127">
        <v>1</v>
      </c>
      <c r="Q283" s="352"/>
      <c r="R283" s="352"/>
      <c r="S283" s="352"/>
      <c r="T283" s="352"/>
      <c r="U283" s="352"/>
      <c r="V283" s="352"/>
      <c r="W283" s="352"/>
      <c r="X283" s="352"/>
      <c r="Y283" s="352"/>
      <c r="Z283" s="352"/>
      <c r="AA283" s="352"/>
      <c r="AB283" s="352"/>
      <c r="AC283" s="352"/>
      <c r="AD283" s="352"/>
      <c r="AE283" s="352"/>
      <c r="AF283" s="352"/>
      <c r="AG283" s="352"/>
      <c r="AH283" s="352"/>
      <c r="AI283" s="352"/>
      <c r="AJ283" s="352"/>
      <c r="AK283" s="352"/>
      <c r="AL283" s="352"/>
      <c r="AM283" s="352"/>
      <c r="AN283" s="352"/>
      <c r="AO283" s="352"/>
      <c r="AP283" s="352"/>
      <c r="AQ283" s="352"/>
      <c r="AR283" s="352"/>
      <c r="AS283" s="352"/>
      <c r="AT283" s="352"/>
      <c r="AU283" s="352"/>
      <c r="AV283" s="352"/>
      <c r="AW283" s="352"/>
      <c r="AX283" s="352"/>
      <c r="AY283" s="352"/>
      <c r="AZ283" s="352"/>
      <c r="BA283" s="352"/>
      <c r="BB283" s="352"/>
      <c r="BC283" s="352"/>
      <c r="BD283" s="352"/>
      <c r="BE283" s="352"/>
      <c r="BF283" s="352"/>
      <c r="BG283" s="352"/>
      <c r="BH283" s="352"/>
      <c r="BI283" s="352"/>
      <c r="BJ283" s="352"/>
      <c r="BK283" s="352"/>
      <c r="BL283" s="352"/>
      <c r="BM283" s="352"/>
      <c r="BN283" s="352"/>
      <c r="BO283" s="352"/>
      <c r="BP283" s="352"/>
      <c r="BQ283" s="352"/>
      <c r="BR283" s="352"/>
      <c r="BS283" s="352"/>
      <c r="BT283" s="352"/>
      <c r="BU283" s="352"/>
      <c r="BV283" s="352"/>
      <c r="BW283" s="352"/>
      <c r="BX283" s="352"/>
      <c r="BY283" s="352"/>
      <c r="BZ283" s="352"/>
      <c r="CA283" s="352"/>
      <c r="CB283" s="352"/>
      <c r="CC283" s="352"/>
      <c r="CD283" s="352"/>
      <c r="CE283" s="352"/>
      <c r="CF283" s="352"/>
      <c r="CG283" s="352"/>
      <c r="CH283" s="352"/>
      <c r="CI283" s="352"/>
      <c r="CJ283" s="352"/>
      <c r="CK283" s="352"/>
      <c r="CL283" s="352"/>
      <c r="CM283" s="352"/>
      <c r="CN283" s="352"/>
      <c r="CO283" s="352"/>
      <c r="CP283" s="352"/>
      <c r="CQ283" s="352"/>
      <c r="CR283" s="352"/>
      <c r="CS283" s="352"/>
      <c r="CT283" s="352"/>
      <c r="CU283" s="352"/>
      <c r="CV283" s="352"/>
      <c r="CW283" s="352"/>
      <c r="CX283" s="352"/>
      <c r="CY283" s="352"/>
      <c r="CZ283" s="352"/>
      <c r="DA283" s="352"/>
      <c r="DB283" s="352"/>
      <c r="DC283" s="352"/>
      <c r="DD283" s="352"/>
      <c r="DE283" s="352"/>
      <c r="DF283" s="352"/>
      <c r="DG283" s="352"/>
      <c r="DH283" s="352"/>
      <c r="DI283" s="352"/>
      <c r="DJ283" s="352"/>
      <c r="DK283" s="352"/>
      <c r="DL283" s="352"/>
      <c r="DM283" s="352"/>
      <c r="DN283" s="352"/>
      <c r="DO283" s="352"/>
      <c r="DP283" s="352"/>
      <c r="DQ283" s="352"/>
      <c r="DR283" s="352"/>
      <c r="DS283" s="352"/>
      <c r="DT283" s="352"/>
      <c r="DU283" s="352"/>
      <c r="DV283" s="352"/>
      <c r="DW283" s="352"/>
      <c r="DX283" s="352"/>
      <c r="DY283" s="352"/>
      <c r="DZ283" s="352"/>
      <c r="EA283" s="352"/>
      <c r="EB283" s="352"/>
      <c r="EC283" s="352"/>
      <c r="ED283" s="352"/>
      <c r="EE283" s="352"/>
      <c r="EF283" s="352"/>
      <c r="EG283" s="352"/>
      <c r="EH283" s="352"/>
      <c r="EI283" s="352"/>
      <c r="EJ283" s="352"/>
      <c r="EK283" s="352"/>
      <c r="EL283" s="352"/>
      <c r="EM283" s="352"/>
      <c r="EN283" s="352"/>
    </row>
    <row r="284" spans="1:144" s="169" customFormat="1" ht="20.100000000000001" customHeight="1">
      <c r="A284" s="160" t="s">
        <v>93</v>
      </c>
      <c r="B284" s="160" t="s">
        <v>861</v>
      </c>
      <c r="C284" s="161">
        <v>0</v>
      </c>
      <c r="D284" s="162">
        <f>'Sectors % GDP'!K20</f>
        <v>64077</v>
      </c>
      <c r="E284" s="162">
        <f t="shared" si="8"/>
        <v>0</v>
      </c>
      <c r="F284" s="165">
        <v>0</v>
      </c>
      <c r="G284" s="162">
        <v>0</v>
      </c>
      <c r="H284" s="164">
        <v>12.44</v>
      </c>
      <c r="I284" s="164">
        <v>55.37</v>
      </c>
      <c r="J284" s="164">
        <v>6.27</v>
      </c>
      <c r="K284" s="165">
        <v>7.21</v>
      </c>
      <c r="L284" s="165">
        <f t="shared" si="9"/>
        <v>2.9000000000000004</v>
      </c>
      <c r="M284" s="166">
        <v>2.9000000000000001E-2</v>
      </c>
      <c r="N284" s="166">
        <v>5.69</v>
      </c>
      <c r="O284" s="167">
        <f>'Trade Data'!J17</f>
        <v>0.17936201392434084</v>
      </c>
      <c r="P284" s="168">
        <v>0</v>
      </c>
      <c r="Q284" s="352"/>
      <c r="R284" s="352"/>
      <c r="S284" s="352"/>
      <c r="T284" s="352"/>
      <c r="U284" s="352"/>
      <c r="V284" s="352"/>
      <c r="W284" s="352"/>
      <c r="X284" s="352"/>
      <c r="Y284" s="352"/>
      <c r="Z284" s="352"/>
      <c r="AA284" s="352"/>
      <c r="AB284" s="352"/>
      <c r="AC284" s="352"/>
      <c r="AD284" s="352"/>
      <c r="AE284" s="352"/>
      <c r="AF284" s="352"/>
      <c r="AG284" s="352"/>
      <c r="AH284" s="352"/>
      <c r="AI284" s="352"/>
      <c r="AJ284" s="352"/>
      <c r="AK284" s="352"/>
      <c r="AL284" s="352"/>
      <c r="AM284" s="352"/>
      <c r="AN284" s="352"/>
      <c r="AO284" s="352"/>
      <c r="AP284" s="352"/>
      <c r="AQ284" s="352"/>
      <c r="AR284" s="352"/>
      <c r="AS284" s="352"/>
      <c r="AT284" s="352"/>
      <c r="AU284" s="352"/>
      <c r="AV284" s="352"/>
      <c r="AW284" s="352"/>
      <c r="AX284" s="352"/>
      <c r="AY284" s="352"/>
      <c r="AZ284" s="352"/>
      <c r="BA284" s="352"/>
      <c r="BB284" s="352"/>
      <c r="BC284" s="352"/>
      <c r="BD284" s="352"/>
      <c r="BE284" s="352"/>
      <c r="BF284" s="352"/>
      <c r="BG284" s="352"/>
      <c r="BH284" s="352"/>
      <c r="BI284" s="352"/>
      <c r="BJ284" s="352"/>
      <c r="BK284" s="352"/>
      <c r="BL284" s="352"/>
      <c r="BM284" s="352"/>
      <c r="BN284" s="352"/>
      <c r="BO284" s="352"/>
      <c r="BP284" s="352"/>
      <c r="BQ284" s="352"/>
      <c r="BR284" s="352"/>
      <c r="BS284" s="352"/>
      <c r="BT284" s="352"/>
      <c r="BU284" s="352"/>
      <c r="BV284" s="352"/>
      <c r="BW284" s="352"/>
      <c r="BX284" s="352"/>
      <c r="BY284" s="352"/>
      <c r="BZ284" s="352"/>
      <c r="CA284" s="352"/>
      <c r="CB284" s="352"/>
      <c r="CC284" s="352"/>
      <c r="CD284" s="352"/>
      <c r="CE284" s="352"/>
      <c r="CF284" s="352"/>
      <c r="CG284" s="352"/>
      <c r="CH284" s="352"/>
      <c r="CI284" s="352"/>
      <c r="CJ284" s="352"/>
      <c r="CK284" s="352"/>
      <c r="CL284" s="352"/>
      <c r="CM284" s="352"/>
      <c r="CN284" s="352"/>
      <c r="CO284" s="352"/>
      <c r="CP284" s="352"/>
      <c r="CQ284" s="352"/>
      <c r="CR284" s="352"/>
      <c r="CS284" s="352"/>
      <c r="CT284" s="352"/>
      <c r="CU284" s="352"/>
      <c r="CV284" s="352"/>
      <c r="CW284" s="352"/>
      <c r="CX284" s="352"/>
      <c r="CY284" s="352"/>
      <c r="CZ284" s="352"/>
      <c r="DA284" s="352"/>
      <c r="DB284" s="352"/>
      <c r="DC284" s="352"/>
      <c r="DD284" s="352"/>
      <c r="DE284" s="352"/>
      <c r="DF284" s="352"/>
      <c r="DG284" s="352"/>
      <c r="DH284" s="352"/>
      <c r="DI284" s="352"/>
      <c r="DJ284" s="352"/>
      <c r="DK284" s="352"/>
      <c r="DL284" s="352"/>
      <c r="DM284" s="352"/>
      <c r="DN284" s="352"/>
      <c r="DO284" s="352"/>
      <c r="DP284" s="352"/>
      <c r="DQ284" s="352"/>
      <c r="DR284" s="352"/>
      <c r="DS284" s="352"/>
      <c r="DT284" s="352"/>
      <c r="DU284" s="352"/>
      <c r="DV284" s="352"/>
      <c r="DW284" s="352"/>
      <c r="DX284" s="352"/>
      <c r="DY284" s="352"/>
      <c r="DZ284" s="352"/>
      <c r="EA284" s="352"/>
      <c r="EB284" s="352"/>
      <c r="EC284" s="352"/>
      <c r="ED284" s="352"/>
      <c r="EE284" s="352"/>
      <c r="EF284" s="352"/>
      <c r="EG284" s="352"/>
      <c r="EH284" s="352"/>
      <c r="EI284" s="352"/>
      <c r="EJ284" s="352"/>
      <c r="EK284" s="352"/>
      <c r="EL284" s="352"/>
      <c r="EM284" s="352"/>
      <c r="EN284" s="352"/>
    </row>
    <row r="285" spans="1:144" s="188" customFormat="1" ht="20.100000000000001" customHeight="1">
      <c r="A285" s="179" t="s">
        <v>93</v>
      </c>
      <c r="B285" s="179" t="s">
        <v>862</v>
      </c>
      <c r="C285" s="180">
        <f>'Thomson Reuters IMA  ($)'!I516</f>
        <v>42.2</v>
      </c>
      <c r="D285" s="181">
        <f>'Sectors % GDP'!K21</f>
        <v>333200.40000000002</v>
      </c>
      <c r="E285" s="181">
        <f t="shared" si="8"/>
        <v>1.2665050822267921E-4</v>
      </c>
      <c r="F285" s="184">
        <v>1</v>
      </c>
      <c r="G285" s="181">
        <v>1</v>
      </c>
      <c r="H285" s="183">
        <v>12.44</v>
      </c>
      <c r="I285" s="183">
        <v>55.37</v>
      </c>
      <c r="J285" s="183">
        <v>6.27</v>
      </c>
      <c r="K285" s="184">
        <v>7.21</v>
      </c>
      <c r="L285" s="184">
        <f t="shared" si="9"/>
        <v>2.9000000000000004</v>
      </c>
      <c r="M285" s="185">
        <v>2.9000000000000001E-2</v>
      </c>
      <c r="N285" s="185">
        <v>5.69</v>
      </c>
      <c r="O285" s="186">
        <f>'Trade Data'!J17</f>
        <v>0.17936201392434084</v>
      </c>
      <c r="P285" s="187">
        <v>1</v>
      </c>
      <c r="Q285" s="352"/>
      <c r="R285" s="352"/>
      <c r="S285" s="352"/>
      <c r="T285" s="352"/>
      <c r="U285" s="352"/>
      <c r="V285" s="352"/>
      <c r="W285" s="352"/>
      <c r="X285" s="352"/>
      <c r="Y285" s="352"/>
      <c r="Z285" s="352"/>
      <c r="AA285" s="352"/>
      <c r="AB285" s="352"/>
      <c r="AC285" s="352"/>
      <c r="AD285" s="352"/>
      <c r="AE285" s="352"/>
      <c r="AF285" s="352"/>
      <c r="AG285" s="352"/>
      <c r="AH285" s="352"/>
      <c r="AI285" s="352"/>
      <c r="AJ285" s="352"/>
      <c r="AK285" s="352"/>
      <c r="AL285" s="352"/>
      <c r="AM285" s="352"/>
      <c r="AN285" s="352"/>
      <c r="AO285" s="352"/>
      <c r="AP285" s="352"/>
      <c r="AQ285" s="352"/>
      <c r="AR285" s="352"/>
      <c r="AS285" s="352"/>
      <c r="AT285" s="352"/>
      <c r="AU285" s="352"/>
      <c r="AV285" s="352"/>
      <c r="AW285" s="352"/>
      <c r="AX285" s="352"/>
      <c r="AY285" s="352"/>
      <c r="AZ285" s="352"/>
      <c r="BA285" s="352"/>
      <c r="BB285" s="352"/>
      <c r="BC285" s="352"/>
      <c r="BD285" s="352"/>
      <c r="BE285" s="352"/>
      <c r="BF285" s="352"/>
      <c r="BG285" s="352"/>
      <c r="BH285" s="352"/>
      <c r="BI285" s="352"/>
      <c r="BJ285" s="352"/>
      <c r="BK285" s="352"/>
      <c r="BL285" s="352"/>
      <c r="BM285" s="352"/>
      <c r="BN285" s="352"/>
      <c r="BO285" s="352"/>
      <c r="BP285" s="352"/>
      <c r="BQ285" s="352"/>
      <c r="BR285" s="352"/>
      <c r="BS285" s="352"/>
      <c r="BT285" s="352"/>
      <c r="BU285" s="352"/>
      <c r="BV285" s="352"/>
      <c r="BW285" s="352"/>
      <c r="BX285" s="352"/>
      <c r="BY285" s="352"/>
      <c r="BZ285" s="352"/>
      <c r="CA285" s="352"/>
      <c r="CB285" s="352"/>
      <c r="CC285" s="352"/>
      <c r="CD285" s="352"/>
      <c r="CE285" s="352"/>
      <c r="CF285" s="352"/>
      <c r="CG285" s="352"/>
      <c r="CH285" s="352"/>
      <c r="CI285" s="352"/>
      <c r="CJ285" s="352"/>
      <c r="CK285" s="352"/>
      <c r="CL285" s="352"/>
      <c r="CM285" s="352"/>
      <c r="CN285" s="352"/>
      <c r="CO285" s="352"/>
      <c r="CP285" s="352"/>
      <c r="CQ285" s="352"/>
      <c r="CR285" s="352"/>
      <c r="CS285" s="352"/>
      <c r="CT285" s="352"/>
      <c r="CU285" s="352"/>
      <c r="CV285" s="352"/>
      <c r="CW285" s="352"/>
      <c r="CX285" s="352"/>
      <c r="CY285" s="352"/>
      <c r="CZ285" s="352"/>
      <c r="DA285" s="352"/>
      <c r="DB285" s="352"/>
      <c r="DC285" s="352"/>
      <c r="DD285" s="352"/>
      <c r="DE285" s="352"/>
      <c r="DF285" s="352"/>
      <c r="DG285" s="352"/>
      <c r="DH285" s="352"/>
      <c r="DI285" s="352"/>
      <c r="DJ285" s="352"/>
      <c r="DK285" s="352"/>
      <c r="DL285" s="352"/>
      <c r="DM285" s="352"/>
      <c r="DN285" s="352"/>
      <c r="DO285" s="352"/>
      <c r="DP285" s="352"/>
      <c r="DQ285" s="352"/>
      <c r="DR285" s="352"/>
      <c r="DS285" s="352"/>
      <c r="DT285" s="352"/>
      <c r="DU285" s="352"/>
      <c r="DV285" s="352"/>
      <c r="DW285" s="352"/>
      <c r="DX285" s="352"/>
      <c r="DY285" s="352"/>
      <c r="DZ285" s="352"/>
      <c r="EA285" s="352"/>
      <c r="EB285" s="352"/>
      <c r="EC285" s="352"/>
      <c r="ED285" s="352"/>
      <c r="EE285" s="352"/>
      <c r="EF285" s="352"/>
      <c r="EG285" s="352"/>
      <c r="EH285" s="352"/>
      <c r="EI285" s="352"/>
      <c r="EJ285" s="352"/>
      <c r="EK285" s="352"/>
      <c r="EL285" s="352"/>
      <c r="EM285" s="352"/>
      <c r="EN285" s="352"/>
    </row>
    <row r="286" spans="1:144" ht="20.100000000000001" customHeight="1">
      <c r="A286" s="118" t="s">
        <v>93</v>
      </c>
      <c r="B286" s="118" t="s">
        <v>863</v>
      </c>
      <c r="C286" s="119">
        <v>0</v>
      </c>
      <c r="D286" s="120">
        <f>'Sectors % GDP'!K22</f>
        <v>588522.6</v>
      </c>
      <c r="E286" s="120">
        <f t="shared" si="8"/>
        <v>0</v>
      </c>
      <c r="F286" s="123">
        <v>0</v>
      </c>
      <c r="G286" s="120">
        <v>0</v>
      </c>
      <c r="H286" s="122">
        <v>12.44</v>
      </c>
      <c r="I286" s="122">
        <v>55.37</v>
      </c>
      <c r="J286" s="122">
        <v>6.27</v>
      </c>
      <c r="K286" s="123">
        <v>7.21</v>
      </c>
      <c r="L286" s="123">
        <f t="shared" si="9"/>
        <v>2.9000000000000004</v>
      </c>
      <c r="M286" s="124">
        <v>2.9000000000000001E-2</v>
      </c>
      <c r="N286" s="124">
        <v>5.69</v>
      </c>
      <c r="O286" s="125">
        <f>'Trade Data'!J17</f>
        <v>0.17936201392434084</v>
      </c>
      <c r="P286" s="126">
        <v>1</v>
      </c>
      <c r="Q286" s="352"/>
      <c r="R286" s="352"/>
      <c r="S286" s="352"/>
      <c r="T286" s="352"/>
      <c r="U286" s="352"/>
      <c r="V286" s="352"/>
      <c r="W286" s="352"/>
      <c r="X286" s="352"/>
      <c r="Y286" s="352"/>
      <c r="Z286" s="352"/>
      <c r="AA286" s="352"/>
      <c r="AB286" s="352"/>
      <c r="AC286" s="352"/>
      <c r="AD286" s="352"/>
      <c r="AE286" s="352"/>
      <c r="AF286" s="352"/>
      <c r="AG286" s="352"/>
      <c r="AH286" s="352"/>
      <c r="AI286" s="352"/>
      <c r="AJ286" s="352"/>
      <c r="AK286" s="352"/>
      <c r="AL286" s="352"/>
      <c r="AM286" s="352"/>
      <c r="AN286" s="352"/>
      <c r="AO286" s="352"/>
      <c r="AP286" s="352"/>
      <c r="AQ286" s="352"/>
      <c r="AR286" s="352"/>
      <c r="AS286" s="352"/>
      <c r="AT286" s="352"/>
      <c r="AU286" s="352"/>
      <c r="AV286" s="352"/>
      <c r="AW286" s="352"/>
      <c r="AX286" s="352"/>
      <c r="AY286" s="352"/>
      <c r="AZ286" s="352"/>
      <c r="BA286" s="352"/>
      <c r="BB286" s="352"/>
      <c r="BC286" s="352"/>
      <c r="BD286" s="352"/>
      <c r="BE286" s="352"/>
      <c r="BF286" s="352"/>
      <c r="BG286" s="352"/>
      <c r="BH286" s="352"/>
      <c r="BI286" s="352"/>
      <c r="BJ286" s="352"/>
      <c r="BK286" s="352"/>
      <c r="BL286" s="352"/>
      <c r="BM286" s="352"/>
      <c r="BN286" s="352"/>
      <c r="BO286" s="352"/>
      <c r="BP286" s="352"/>
      <c r="BQ286" s="352"/>
      <c r="BR286" s="352"/>
      <c r="BS286" s="352"/>
      <c r="BT286" s="352"/>
      <c r="BU286" s="352"/>
      <c r="BV286" s="352"/>
      <c r="BW286" s="352"/>
      <c r="BX286" s="352"/>
      <c r="BY286" s="352"/>
      <c r="BZ286" s="352"/>
      <c r="CA286" s="352"/>
      <c r="CB286" s="352"/>
      <c r="CC286" s="352"/>
      <c r="CD286" s="352"/>
      <c r="CE286" s="352"/>
      <c r="CF286" s="352"/>
      <c r="CG286" s="352"/>
      <c r="CH286" s="352"/>
      <c r="CI286" s="352"/>
      <c r="CJ286" s="352"/>
      <c r="CK286" s="352"/>
      <c r="CL286" s="352"/>
      <c r="CM286" s="352"/>
      <c r="CN286" s="352"/>
      <c r="CO286" s="352"/>
      <c r="CP286" s="352"/>
      <c r="CQ286" s="352"/>
      <c r="CR286" s="352"/>
      <c r="CS286" s="352"/>
      <c r="CT286" s="352"/>
      <c r="CU286" s="352"/>
      <c r="CV286" s="352"/>
      <c r="CW286" s="352"/>
      <c r="CX286" s="352"/>
      <c r="CY286" s="352"/>
      <c r="CZ286" s="352"/>
      <c r="DA286" s="352"/>
      <c r="DB286" s="352"/>
      <c r="DC286" s="352"/>
      <c r="DD286" s="352"/>
      <c r="DE286" s="352"/>
      <c r="DF286" s="352"/>
      <c r="DG286" s="352"/>
      <c r="DH286" s="352"/>
      <c r="DI286" s="352"/>
      <c r="DJ286" s="352"/>
      <c r="DK286" s="352"/>
      <c r="DL286" s="352"/>
      <c r="DM286" s="352"/>
      <c r="DN286" s="352"/>
      <c r="DO286" s="352"/>
      <c r="DP286" s="352"/>
      <c r="DQ286" s="352"/>
      <c r="DR286" s="352"/>
      <c r="DS286" s="352"/>
      <c r="DT286" s="352"/>
      <c r="DU286" s="352"/>
      <c r="DV286" s="352"/>
      <c r="DW286" s="352"/>
      <c r="DX286" s="352"/>
      <c r="DY286" s="352"/>
      <c r="DZ286" s="352"/>
      <c r="EA286" s="352"/>
      <c r="EB286" s="352"/>
      <c r="EC286" s="352"/>
      <c r="ED286" s="352"/>
      <c r="EE286" s="352"/>
      <c r="EF286" s="352"/>
      <c r="EG286" s="352"/>
      <c r="EH286" s="352"/>
      <c r="EI286" s="352"/>
      <c r="EJ286" s="352"/>
      <c r="EK286" s="352"/>
      <c r="EL286" s="352"/>
      <c r="EM286" s="352"/>
      <c r="EN286" s="352"/>
    </row>
    <row r="287" spans="1:144" s="169" customFormat="1" ht="20.100000000000001" customHeight="1">
      <c r="A287" s="160" t="s">
        <v>94</v>
      </c>
      <c r="B287" s="160" t="s">
        <v>601</v>
      </c>
      <c r="C287" s="161">
        <v>0</v>
      </c>
      <c r="D287" s="162">
        <f>'Sectors % GDP'!C24</f>
        <v>44352</v>
      </c>
      <c r="E287" s="162">
        <f t="shared" si="8"/>
        <v>0</v>
      </c>
      <c r="F287" s="165">
        <v>0</v>
      </c>
      <c r="G287" s="162">
        <v>0</v>
      </c>
      <c r="H287" s="164">
        <v>61.99</v>
      </c>
      <c r="I287" s="165">
        <v>61.25</v>
      </c>
      <c r="J287" s="165">
        <v>77.8</v>
      </c>
      <c r="K287" s="165">
        <v>39.020000000000003</v>
      </c>
      <c r="L287" s="165">
        <f t="shared" si="9"/>
        <v>1.4000000000000001</v>
      </c>
      <c r="M287" s="166">
        <v>1.4E-2</v>
      </c>
      <c r="N287" s="166">
        <v>5.8</v>
      </c>
      <c r="O287" s="167">
        <f>'Trade Data'!B20</f>
        <v>2.906327899488228</v>
      </c>
      <c r="P287" s="170">
        <v>0</v>
      </c>
      <c r="Q287" s="352"/>
      <c r="R287" s="352"/>
      <c r="S287" s="352"/>
      <c r="T287" s="352"/>
      <c r="U287" s="352"/>
      <c r="V287" s="352"/>
      <c r="W287" s="352"/>
      <c r="X287" s="352"/>
      <c r="Y287" s="352"/>
      <c r="Z287" s="352"/>
      <c r="AA287" s="352"/>
      <c r="AB287" s="352"/>
      <c r="AC287" s="352"/>
      <c r="AD287" s="352"/>
      <c r="AE287" s="352"/>
      <c r="AF287" s="352"/>
      <c r="AG287" s="352"/>
      <c r="AH287" s="352"/>
      <c r="AI287" s="352"/>
      <c r="AJ287" s="352"/>
      <c r="AK287" s="352"/>
      <c r="AL287" s="352"/>
      <c r="AM287" s="352"/>
      <c r="AN287" s="352"/>
      <c r="AO287" s="352"/>
      <c r="AP287" s="352"/>
      <c r="AQ287" s="352"/>
      <c r="AR287" s="352"/>
      <c r="AS287" s="352"/>
      <c r="AT287" s="352"/>
      <c r="AU287" s="352"/>
      <c r="AV287" s="352"/>
      <c r="AW287" s="352"/>
      <c r="AX287" s="352"/>
      <c r="AY287" s="352"/>
      <c r="AZ287" s="352"/>
      <c r="BA287" s="352"/>
      <c r="BB287" s="352"/>
      <c r="BC287" s="352"/>
      <c r="BD287" s="352"/>
      <c r="BE287" s="352"/>
      <c r="BF287" s="352"/>
      <c r="BG287" s="352"/>
      <c r="BH287" s="352"/>
      <c r="BI287" s="352"/>
      <c r="BJ287" s="352"/>
      <c r="BK287" s="352"/>
      <c r="BL287" s="352"/>
      <c r="BM287" s="352"/>
      <c r="BN287" s="352"/>
      <c r="BO287" s="352"/>
      <c r="BP287" s="352"/>
      <c r="BQ287" s="352"/>
      <c r="BR287" s="352"/>
      <c r="BS287" s="352"/>
      <c r="BT287" s="352"/>
      <c r="BU287" s="352"/>
      <c r="BV287" s="352"/>
      <c r="BW287" s="352"/>
      <c r="BX287" s="352"/>
      <c r="BY287" s="352"/>
      <c r="BZ287" s="352"/>
      <c r="CA287" s="352"/>
      <c r="CB287" s="352"/>
      <c r="CC287" s="352"/>
      <c r="CD287" s="352"/>
      <c r="CE287" s="352"/>
      <c r="CF287" s="352"/>
      <c r="CG287" s="352"/>
      <c r="CH287" s="352"/>
      <c r="CI287" s="352"/>
      <c r="CJ287" s="352"/>
      <c r="CK287" s="352"/>
      <c r="CL287" s="352"/>
      <c r="CM287" s="352"/>
      <c r="CN287" s="352"/>
      <c r="CO287" s="352"/>
      <c r="CP287" s="352"/>
      <c r="CQ287" s="352"/>
      <c r="CR287" s="352"/>
      <c r="CS287" s="352"/>
      <c r="CT287" s="352"/>
      <c r="CU287" s="352"/>
      <c r="CV287" s="352"/>
      <c r="CW287" s="352"/>
      <c r="CX287" s="352"/>
      <c r="CY287" s="352"/>
      <c r="CZ287" s="352"/>
      <c r="DA287" s="352"/>
      <c r="DB287" s="352"/>
      <c r="DC287" s="352"/>
      <c r="DD287" s="352"/>
      <c r="DE287" s="352"/>
      <c r="DF287" s="352"/>
      <c r="DG287" s="352"/>
      <c r="DH287" s="352"/>
      <c r="DI287" s="352"/>
      <c r="DJ287" s="352"/>
      <c r="DK287" s="352"/>
      <c r="DL287" s="352"/>
      <c r="DM287" s="352"/>
      <c r="DN287" s="352"/>
      <c r="DO287" s="352"/>
      <c r="DP287" s="352"/>
      <c r="DQ287" s="352"/>
      <c r="DR287" s="352"/>
      <c r="DS287" s="352"/>
      <c r="DT287" s="352"/>
      <c r="DU287" s="352"/>
      <c r="DV287" s="352"/>
      <c r="DW287" s="352"/>
      <c r="DX287" s="352"/>
      <c r="DY287" s="352"/>
      <c r="DZ287" s="352"/>
      <c r="EA287" s="352"/>
      <c r="EB287" s="352"/>
      <c r="EC287" s="352"/>
      <c r="ED287" s="352"/>
      <c r="EE287" s="352"/>
      <c r="EF287" s="352"/>
      <c r="EG287" s="352"/>
      <c r="EH287" s="352"/>
      <c r="EI287" s="352"/>
      <c r="EJ287" s="352"/>
      <c r="EK287" s="352"/>
      <c r="EL287" s="352"/>
      <c r="EM287" s="352"/>
      <c r="EN287" s="352"/>
    </row>
    <row r="288" spans="1:144" s="188" customFormat="1" ht="20.100000000000001" customHeight="1">
      <c r="A288" s="179" t="s">
        <v>94</v>
      </c>
      <c r="B288" s="179" t="s">
        <v>600</v>
      </c>
      <c r="C288" s="180">
        <f>SUM('Thomson Reuters IMA  ($)'!I517:I526)+'Thomson Reuters IMA  ($)'!I528</f>
        <v>922.55099999999993</v>
      </c>
      <c r="D288" s="181">
        <f>'Sectors % GDP'!C25</f>
        <v>433439.99999999994</v>
      </c>
      <c r="E288" s="181">
        <f t="shared" si="8"/>
        <v>2.1284399224806203E-3</v>
      </c>
      <c r="F288" s="184">
        <v>1</v>
      </c>
      <c r="G288" s="181">
        <v>18</v>
      </c>
      <c r="H288" s="183">
        <v>61.99</v>
      </c>
      <c r="I288" s="184">
        <v>61.25</v>
      </c>
      <c r="J288" s="184">
        <v>77.8</v>
      </c>
      <c r="K288" s="184">
        <v>39.020000000000003</v>
      </c>
      <c r="L288" s="184">
        <f t="shared" si="9"/>
        <v>1.4000000000000001</v>
      </c>
      <c r="M288" s="185">
        <v>1.4E-2</v>
      </c>
      <c r="N288" s="185">
        <v>5.8</v>
      </c>
      <c r="O288" s="186">
        <f>'Trade Data'!B20</f>
        <v>2.906327899488228</v>
      </c>
      <c r="P288" s="189">
        <v>1</v>
      </c>
      <c r="Q288" s="352"/>
      <c r="R288" s="352"/>
      <c r="S288" s="352"/>
      <c r="T288" s="352"/>
      <c r="U288" s="352"/>
      <c r="V288" s="352"/>
      <c r="W288" s="352"/>
      <c r="X288" s="352"/>
      <c r="Y288" s="352"/>
      <c r="Z288" s="352"/>
      <c r="AA288" s="352"/>
      <c r="AB288" s="352"/>
      <c r="AC288" s="352"/>
      <c r="AD288" s="352"/>
      <c r="AE288" s="352"/>
      <c r="AF288" s="352"/>
      <c r="AG288" s="352"/>
      <c r="AH288" s="352"/>
      <c r="AI288" s="352"/>
      <c r="AJ288" s="352"/>
      <c r="AK288" s="352"/>
      <c r="AL288" s="352"/>
      <c r="AM288" s="352"/>
      <c r="AN288" s="352"/>
      <c r="AO288" s="352"/>
      <c r="AP288" s="352"/>
      <c r="AQ288" s="352"/>
      <c r="AR288" s="352"/>
      <c r="AS288" s="352"/>
      <c r="AT288" s="352"/>
      <c r="AU288" s="352"/>
      <c r="AV288" s="352"/>
      <c r="AW288" s="352"/>
      <c r="AX288" s="352"/>
      <c r="AY288" s="352"/>
      <c r="AZ288" s="352"/>
      <c r="BA288" s="352"/>
      <c r="BB288" s="352"/>
      <c r="BC288" s="352"/>
      <c r="BD288" s="352"/>
      <c r="BE288" s="352"/>
      <c r="BF288" s="352"/>
      <c r="BG288" s="352"/>
      <c r="BH288" s="352"/>
      <c r="BI288" s="352"/>
      <c r="BJ288" s="352"/>
      <c r="BK288" s="352"/>
      <c r="BL288" s="352"/>
      <c r="BM288" s="352"/>
      <c r="BN288" s="352"/>
      <c r="BO288" s="352"/>
      <c r="BP288" s="352"/>
      <c r="BQ288" s="352"/>
      <c r="BR288" s="352"/>
      <c r="BS288" s="352"/>
      <c r="BT288" s="352"/>
      <c r="BU288" s="352"/>
      <c r="BV288" s="352"/>
      <c r="BW288" s="352"/>
      <c r="BX288" s="352"/>
      <c r="BY288" s="352"/>
      <c r="BZ288" s="352"/>
      <c r="CA288" s="352"/>
      <c r="CB288" s="352"/>
      <c r="CC288" s="352"/>
      <c r="CD288" s="352"/>
      <c r="CE288" s="352"/>
      <c r="CF288" s="352"/>
      <c r="CG288" s="352"/>
      <c r="CH288" s="352"/>
      <c r="CI288" s="352"/>
      <c r="CJ288" s="352"/>
      <c r="CK288" s="352"/>
      <c r="CL288" s="352"/>
      <c r="CM288" s="352"/>
      <c r="CN288" s="352"/>
      <c r="CO288" s="352"/>
      <c r="CP288" s="352"/>
      <c r="CQ288" s="352"/>
      <c r="CR288" s="352"/>
      <c r="CS288" s="352"/>
      <c r="CT288" s="352"/>
      <c r="CU288" s="352"/>
      <c r="CV288" s="352"/>
      <c r="CW288" s="352"/>
      <c r="CX288" s="352"/>
      <c r="CY288" s="352"/>
      <c r="CZ288" s="352"/>
      <c r="DA288" s="352"/>
      <c r="DB288" s="352"/>
      <c r="DC288" s="352"/>
      <c r="DD288" s="352"/>
      <c r="DE288" s="352"/>
      <c r="DF288" s="352"/>
      <c r="DG288" s="352"/>
      <c r="DH288" s="352"/>
      <c r="DI288" s="352"/>
      <c r="DJ288" s="352"/>
      <c r="DK288" s="352"/>
      <c r="DL288" s="352"/>
      <c r="DM288" s="352"/>
      <c r="DN288" s="352"/>
      <c r="DO288" s="352"/>
      <c r="DP288" s="352"/>
      <c r="DQ288" s="352"/>
      <c r="DR288" s="352"/>
      <c r="DS288" s="352"/>
      <c r="DT288" s="352"/>
      <c r="DU288" s="352"/>
      <c r="DV288" s="352"/>
      <c r="DW288" s="352"/>
      <c r="DX288" s="352"/>
      <c r="DY288" s="352"/>
      <c r="DZ288" s="352"/>
      <c r="EA288" s="352"/>
      <c r="EB288" s="352"/>
      <c r="EC288" s="352"/>
      <c r="ED288" s="352"/>
      <c r="EE288" s="352"/>
      <c r="EF288" s="352"/>
      <c r="EG288" s="352"/>
      <c r="EH288" s="352"/>
      <c r="EI288" s="352"/>
      <c r="EJ288" s="352"/>
      <c r="EK288" s="352"/>
      <c r="EL288" s="352"/>
      <c r="EM288" s="352"/>
      <c r="EN288" s="352"/>
    </row>
    <row r="289" spans="1:144" ht="20.100000000000001" customHeight="1">
      <c r="A289" s="118" t="s">
        <v>94</v>
      </c>
      <c r="B289" s="118" t="s">
        <v>599</v>
      </c>
      <c r="C289" s="119">
        <f>'Thomson Reuters IMA  ($)'!I527</f>
        <v>379.714</v>
      </c>
      <c r="D289" s="120">
        <f>'Sectors % GDP'!C26</f>
        <v>782082</v>
      </c>
      <c r="E289" s="120">
        <f t="shared" si="8"/>
        <v>4.8551686396055654E-4</v>
      </c>
      <c r="F289" s="123">
        <v>1</v>
      </c>
      <c r="G289" s="120">
        <v>5</v>
      </c>
      <c r="H289" s="122">
        <v>61.99</v>
      </c>
      <c r="I289" s="123">
        <v>61.25</v>
      </c>
      <c r="J289" s="123">
        <v>77.8</v>
      </c>
      <c r="K289" s="123">
        <v>39.020000000000003</v>
      </c>
      <c r="L289" s="123">
        <f t="shared" si="9"/>
        <v>1.4000000000000001</v>
      </c>
      <c r="M289" s="124">
        <v>1.4E-2</v>
      </c>
      <c r="N289" s="124">
        <v>5.8</v>
      </c>
      <c r="O289" s="125">
        <f>'Trade Data'!B20</f>
        <v>2.906327899488228</v>
      </c>
      <c r="P289" s="127">
        <v>1</v>
      </c>
      <c r="Q289" s="352"/>
      <c r="R289" s="352"/>
      <c r="S289" s="352"/>
      <c r="T289" s="352"/>
      <c r="U289" s="352"/>
      <c r="V289" s="352"/>
      <c r="W289" s="352"/>
      <c r="X289" s="352"/>
      <c r="Y289" s="352"/>
      <c r="Z289" s="352"/>
      <c r="AA289" s="352"/>
      <c r="AB289" s="352"/>
      <c r="AC289" s="352"/>
      <c r="AD289" s="352"/>
      <c r="AE289" s="352"/>
      <c r="AF289" s="352"/>
      <c r="AG289" s="352"/>
      <c r="AH289" s="352"/>
      <c r="AI289" s="352"/>
      <c r="AJ289" s="352"/>
      <c r="AK289" s="352"/>
      <c r="AL289" s="352"/>
      <c r="AM289" s="352"/>
      <c r="AN289" s="352"/>
      <c r="AO289" s="352"/>
      <c r="AP289" s="352"/>
      <c r="AQ289" s="352"/>
      <c r="AR289" s="352"/>
      <c r="AS289" s="352"/>
      <c r="AT289" s="352"/>
      <c r="AU289" s="352"/>
      <c r="AV289" s="352"/>
      <c r="AW289" s="352"/>
      <c r="AX289" s="352"/>
      <c r="AY289" s="352"/>
      <c r="AZ289" s="352"/>
      <c r="BA289" s="352"/>
      <c r="BB289" s="352"/>
      <c r="BC289" s="352"/>
      <c r="BD289" s="352"/>
      <c r="BE289" s="352"/>
      <c r="BF289" s="352"/>
      <c r="BG289" s="352"/>
      <c r="BH289" s="352"/>
      <c r="BI289" s="352"/>
      <c r="BJ289" s="352"/>
      <c r="BK289" s="352"/>
      <c r="BL289" s="352"/>
      <c r="BM289" s="352"/>
      <c r="BN289" s="352"/>
      <c r="BO289" s="352"/>
      <c r="BP289" s="352"/>
      <c r="BQ289" s="352"/>
      <c r="BR289" s="352"/>
      <c r="BS289" s="352"/>
      <c r="BT289" s="352"/>
      <c r="BU289" s="352"/>
      <c r="BV289" s="352"/>
      <c r="BW289" s="352"/>
      <c r="BX289" s="352"/>
      <c r="BY289" s="352"/>
      <c r="BZ289" s="352"/>
      <c r="CA289" s="352"/>
      <c r="CB289" s="352"/>
      <c r="CC289" s="352"/>
      <c r="CD289" s="352"/>
      <c r="CE289" s="352"/>
      <c r="CF289" s="352"/>
      <c r="CG289" s="352"/>
      <c r="CH289" s="352"/>
      <c r="CI289" s="352"/>
      <c r="CJ289" s="352"/>
      <c r="CK289" s="352"/>
      <c r="CL289" s="352"/>
      <c r="CM289" s="352"/>
      <c r="CN289" s="352"/>
      <c r="CO289" s="352"/>
      <c r="CP289" s="352"/>
      <c r="CQ289" s="352"/>
      <c r="CR289" s="352"/>
      <c r="CS289" s="352"/>
      <c r="CT289" s="352"/>
      <c r="CU289" s="352"/>
      <c r="CV289" s="352"/>
      <c r="CW289" s="352"/>
      <c r="CX289" s="352"/>
      <c r="CY289" s="352"/>
      <c r="CZ289" s="352"/>
      <c r="DA289" s="352"/>
      <c r="DB289" s="352"/>
      <c r="DC289" s="352"/>
      <c r="DD289" s="352"/>
      <c r="DE289" s="352"/>
      <c r="DF289" s="352"/>
      <c r="DG289" s="352"/>
      <c r="DH289" s="352"/>
      <c r="DI289" s="352"/>
      <c r="DJ289" s="352"/>
      <c r="DK289" s="352"/>
      <c r="DL289" s="352"/>
      <c r="DM289" s="352"/>
      <c r="DN289" s="352"/>
      <c r="DO289" s="352"/>
      <c r="DP289" s="352"/>
      <c r="DQ289" s="352"/>
      <c r="DR289" s="352"/>
      <c r="DS289" s="352"/>
      <c r="DT289" s="352"/>
      <c r="DU289" s="352"/>
      <c r="DV289" s="352"/>
      <c r="DW289" s="352"/>
      <c r="DX289" s="352"/>
      <c r="DY289" s="352"/>
      <c r="DZ289" s="352"/>
      <c r="EA289" s="352"/>
      <c r="EB289" s="352"/>
      <c r="EC289" s="352"/>
      <c r="ED289" s="352"/>
      <c r="EE289" s="352"/>
      <c r="EF289" s="352"/>
      <c r="EG289" s="352"/>
      <c r="EH289" s="352"/>
      <c r="EI289" s="352"/>
      <c r="EJ289" s="352"/>
      <c r="EK289" s="352"/>
      <c r="EL289" s="352"/>
      <c r="EM289" s="352"/>
      <c r="EN289" s="352"/>
    </row>
    <row r="290" spans="1:144" s="169" customFormat="1" ht="20.100000000000001" customHeight="1">
      <c r="A290" s="160" t="s">
        <v>95</v>
      </c>
      <c r="B290" s="160" t="s">
        <v>598</v>
      </c>
      <c r="C290" s="161">
        <v>0</v>
      </c>
      <c r="D290" s="162">
        <f>'Sectors % GDP'!C24</f>
        <v>44352</v>
      </c>
      <c r="E290" s="162">
        <f t="shared" si="8"/>
        <v>0</v>
      </c>
      <c r="F290" s="165">
        <v>0</v>
      </c>
      <c r="G290" s="162">
        <v>0</v>
      </c>
      <c r="H290" s="164">
        <v>49.44</v>
      </c>
      <c r="I290" s="164">
        <v>32.67</v>
      </c>
      <c r="J290" s="165">
        <v>75.099999999999994</v>
      </c>
      <c r="K290" s="165">
        <v>39.020000000000003</v>
      </c>
      <c r="L290" s="165">
        <f t="shared" si="9"/>
        <v>1.4000000000000001</v>
      </c>
      <c r="M290" s="166">
        <v>1.4E-2</v>
      </c>
      <c r="N290" s="166">
        <v>5.8</v>
      </c>
      <c r="O290" s="167">
        <f>'Trade Data'!B20</f>
        <v>2.906327899488228</v>
      </c>
      <c r="P290" s="168">
        <v>0</v>
      </c>
      <c r="Q290" s="352"/>
      <c r="R290" s="352"/>
      <c r="S290" s="352"/>
      <c r="T290" s="352"/>
      <c r="U290" s="352"/>
      <c r="V290" s="352"/>
      <c r="W290" s="352"/>
      <c r="X290" s="352"/>
      <c r="Y290" s="352"/>
      <c r="Z290" s="352"/>
      <c r="AA290" s="352"/>
      <c r="AB290" s="352"/>
      <c r="AC290" s="352"/>
      <c r="AD290" s="352"/>
      <c r="AE290" s="352"/>
      <c r="AF290" s="352"/>
      <c r="AG290" s="352"/>
      <c r="AH290" s="352"/>
      <c r="AI290" s="352"/>
      <c r="AJ290" s="352"/>
      <c r="AK290" s="352"/>
      <c r="AL290" s="352"/>
      <c r="AM290" s="352"/>
      <c r="AN290" s="352"/>
      <c r="AO290" s="352"/>
      <c r="AP290" s="352"/>
      <c r="AQ290" s="352"/>
      <c r="AR290" s="352"/>
      <c r="AS290" s="352"/>
      <c r="AT290" s="352"/>
      <c r="AU290" s="352"/>
      <c r="AV290" s="352"/>
      <c r="AW290" s="352"/>
      <c r="AX290" s="352"/>
      <c r="AY290" s="352"/>
      <c r="AZ290" s="352"/>
      <c r="BA290" s="352"/>
      <c r="BB290" s="352"/>
      <c r="BC290" s="352"/>
      <c r="BD290" s="352"/>
      <c r="BE290" s="352"/>
      <c r="BF290" s="352"/>
      <c r="BG290" s="352"/>
      <c r="BH290" s="352"/>
      <c r="BI290" s="352"/>
      <c r="BJ290" s="352"/>
      <c r="BK290" s="352"/>
      <c r="BL290" s="352"/>
      <c r="BM290" s="352"/>
      <c r="BN290" s="352"/>
      <c r="BO290" s="352"/>
      <c r="BP290" s="352"/>
      <c r="BQ290" s="352"/>
      <c r="BR290" s="352"/>
      <c r="BS290" s="352"/>
      <c r="BT290" s="352"/>
      <c r="BU290" s="352"/>
      <c r="BV290" s="352"/>
      <c r="BW290" s="352"/>
      <c r="BX290" s="352"/>
      <c r="BY290" s="352"/>
      <c r="BZ290" s="352"/>
      <c r="CA290" s="352"/>
      <c r="CB290" s="352"/>
      <c r="CC290" s="352"/>
      <c r="CD290" s="352"/>
      <c r="CE290" s="352"/>
      <c r="CF290" s="352"/>
      <c r="CG290" s="352"/>
      <c r="CH290" s="352"/>
      <c r="CI290" s="352"/>
      <c r="CJ290" s="352"/>
      <c r="CK290" s="352"/>
      <c r="CL290" s="352"/>
      <c r="CM290" s="352"/>
      <c r="CN290" s="352"/>
      <c r="CO290" s="352"/>
      <c r="CP290" s="352"/>
      <c r="CQ290" s="352"/>
      <c r="CR290" s="352"/>
      <c r="CS290" s="352"/>
      <c r="CT290" s="352"/>
      <c r="CU290" s="352"/>
      <c r="CV290" s="352"/>
      <c r="CW290" s="352"/>
      <c r="CX290" s="352"/>
      <c r="CY290" s="352"/>
      <c r="CZ290" s="352"/>
      <c r="DA290" s="352"/>
      <c r="DB290" s="352"/>
      <c r="DC290" s="352"/>
      <c r="DD290" s="352"/>
      <c r="DE290" s="352"/>
      <c r="DF290" s="352"/>
      <c r="DG290" s="352"/>
      <c r="DH290" s="352"/>
      <c r="DI290" s="352"/>
      <c r="DJ290" s="352"/>
      <c r="DK290" s="352"/>
      <c r="DL290" s="352"/>
      <c r="DM290" s="352"/>
      <c r="DN290" s="352"/>
      <c r="DO290" s="352"/>
      <c r="DP290" s="352"/>
      <c r="DQ290" s="352"/>
      <c r="DR290" s="352"/>
      <c r="DS290" s="352"/>
      <c r="DT290" s="352"/>
      <c r="DU290" s="352"/>
      <c r="DV290" s="352"/>
      <c r="DW290" s="352"/>
      <c r="DX290" s="352"/>
      <c r="DY290" s="352"/>
      <c r="DZ290" s="352"/>
      <c r="EA290" s="352"/>
      <c r="EB290" s="352"/>
      <c r="EC290" s="352"/>
      <c r="ED290" s="352"/>
      <c r="EE290" s="352"/>
      <c r="EF290" s="352"/>
      <c r="EG290" s="352"/>
      <c r="EH290" s="352"/>
      <c r="EI290" s="352"/>
      <c r="EJ290" s="352"/>
      <c r="EK290" s="352"/>
      <c r="EL290" s="352"/>
      <c r="EM290" s="352"/>
      <c r="EN290" s="352"/>
    </row>
    <row r="291" spans="1:144" s="188" customFormat="1" ht="20.100000000000001" customHeight="1">
      <c r="A291" s="179" t="s">
        <v>95</v>
      </c>
      <c r="B291" s="179" t="s">
        <v>597</v>
      </c>
      <c r="C291" s="180">
        <f>'Thomson Reuters IMA  ($)'!I529+'Thomson Reuters IMA  ($)'!I530+'Thomson Reuters IMA  ($)'!I531</f>
        <v>9.5019999999999989</v>
      </c>
      <c r="D291" s="181">
        <f>'Sectors % GDP'!C25</f>
        <v>433439.99999999994</v>
      </c>
      <c r="E291" s="181">
        <f t="shared" si="8"/>
        <v>2.1922296050203027E-5</v>
      </c>
      <c r="F291" s="184">
        <v>1</v>
      </c>
      <c r="G291" s="181">
        <v>8</v>
      </c>
      <c r="H291" s="183">
        <v>49.44</v>
      </c>
      <c r="I291" s="183">
        <v>32.67</v>
      </c>
      <c r="J291" s="184">
        <v>75.099999999999994</v>
      </c>
      <c r="K291" s="184">
        <v>39.020000000000003</v>
      </c>
      <c r="L291" s="184">
        <f t="shared" si="9"/>
        <v>1.4000000000000001</v>
      </c>
      <c r="M291" s="185">
        <v>1.4E-2</v>
      </c>
      <c r="N291" s="185">
        <v>5.8</v>
      </c>
      <c r="O291" s="186">
        <f>'Trade Data'!B20</f>
        <v>2.906327899488228</v>
      </c>
      <c r="P291" s="187">
        <v>1</v>
      </c>
      <c r="Q291" s="352"/>
      <c r="R291" s="352"/>
      <c r="S291" s="352"/>
      <c r="T291" s="352"/>
      <c r="U291" s="352"/>
      <c r="V291" s="352"/>
      <c r="W291" s="352"/>
      <c r="X291" s="352"/>
      <c r="Y291" s="352"/>
      <c r="Z291" s="352"/>
      <c r="AA291" s="352"/>
      <c r="AB291" s="352"/>
      <c r="AC291" s="352"/>
      <c r="AD291" s="352"/>
      <c r="AE291" s="352"/>
      <c r="AF291" s="352"/>
      <c r="AG291" s="352"/>
      <c r="AH291" s="352"/>
      <c r="AI291" s="352"/>
      <c r="AJ291" s="352"/>
      <c r="AK291" s="352"/>
      <c r="AL291" s="352"/>
      <c r="AM291" s="352"/>
      <c r="AN291" s="352"/>
      <c r="AO291" s="352"/>
      <c r="AP291" s="352"/>
      <c r="AQ291" s="352"/>
      <c r="AR291" s="352"/>
      <c r="AS291" s="352"/>
      <c r="AT291" s="352"/>
      <c r="AU291" s="352"/>
      <c r="AV291" s="352"/>
      <c r="AW291" s="352"/>
      <c r="AX291" s="352"/>
      <c r="AY291" s="352"/>
      <c r="AZ291" s="352"/>
      <c r="BA291" s="352"/>
      <c r="BB291" s="352"/>
      <c r="BC291" s="352"/>
      <c r="BD291" s="352"/>
      <c r="BE291" s="352"/>
      <c r="BF291" s="352"/>
      <c r="BG291" s="352"/>
      <c r="BH291" s="352"/>
      <c r="BI291" s="352"/>
      <c r="BJ291" s="352"/>
      <c r="BK291" s="352"/>
      <c r="BL291" s="352"/>
      <c r="BM291" s="352"/>
      <c r="BN291" s="352"/>
      <c r="BO291" s="352"/>
      <c r="BP291" s="352"/>
      <c r="BQ291" s="352"/>
      <c r="BR291" s="352"/>
      <c r="BS291" s="352"/>
      <c r="BT291" s="352"/>
      <c r="BU291" s="352"/>
      <c r="BV291" s="352"/>
      <c r="BW291" s="352"/>
      <c r="BX291" s="352"/>
      <c r="BY291" s="352"/>
      <c r="BZ291" s="352"/>
      <c r="CA291" s="352"/>
      <c r="CB291" s="352"/>
      <c r="CC291" s="352"/>
      <c r="CD291" s="352"/>
      <c r="CE291" s="352"/>
      <c r="CF291" s="352"/>
      <c r="CG291" s="352"/>
      <c r="CH291" s="352"/>
      <c r="CI291" s="352"/>
      <c r="CJ291" s="352"/>
      <c r="CK291" s="352"/>
      <c r="CL291" s="352"/>
      <c r="CM291" s="352"/>
      <c r="CN291" s="352"/>
      <c r="CO291" s="352"/>
      <c r="CP291" s="352"/>
      <c r="CQ291" s="352"/>
      <c r="CR291" s="352"/>
      <c r="CS291" s="352"/>
      <c r="CT291" s="352"/>
      <c r="CU291" s="352"/>
      <c r="CV291" s="352"/>
      <c r="CW291" s="352"/>
      <c r="CX291" s="352"/>
      <c r="CY291" s="352"/>
      <c r="CZ291" s="352"/>
      <c r="DA291" s="352"/>
      <c r="DB291" s="352"/>
      <c r="DC291" s="352"/>
      <c r="DD291" s="352"/>
      <c r="DE291" s="352"/>
      <c r="DF291" s="352"/>
      <c r="DG291" s="352"/>
      <c r="DH291" s="352"/>
      <c r="DI291" s="352"/>
      <c r="DJ291" s="352"/>
      <c r="DK291" s="352"/>
      <c r="DL291" s="352"/>
      <c r="DM291" s="352"/>
      <c r="DN291" s="352"/>
      <c r="DO291" s="352"/>
      <c r="DP291" s="352"/>
      <c r="DQ291" s="352"/>
      <c r="DR291" s="352"/>
      <c r="DS291" s="352"/>
      <c r="DT291" s="352"/>
      <c r="DU291" s="352"/>
      <c r="DV291" s="352"/>
      <c r="DW291" s="352"/>
      <c r="DX291" s="352"/>
      <c r="DY291" s="352"/>
      <c r="DZ291" s="352"/>
      <c r="EA291" s="352"/>
      <c r="EB291" s="352"/>
      <c r="EC291" s="352"/>
      <c r="ED291" s="352"/>
      <c r="EE291" s="352"/>
      <c r="EF291" s="352"/>
      <c r="EG291" s="352"/>
      <c r="EH291" s="352"/>
      <c r="EI291" s="352"/>
      <c r="EJ291" s="352"/>
      <c r="EK291" s="352"/>
      <c r="EL291" s="352"/>
      <c r="EM291" s="352"/>
      <c r="EN291" s="352"/>
    </row>
    <row r="292" spans="1:144" ht="20.100000000000001" customHeight="1">
      <c r="A292" s="118" t="s">
        <v>95</v>
      </c>
      <c r="B292" s="118" t="s">
        <v>596</v>
      </c>
      <c r="C292" s="119">
        <f>'Thomson Reuters IMA  ($)'!I532+'Thomson Reuters IMA  ($)'!I533+'Thomson Reuters IMA  ($)'!I535+'Thomson Reuters IMA  ($)'!I534</f>
        <v>1750.643</v>
      </c>
      <c r="D292" s="120">
        <f>'Sectors % GDP'!C26</f>
        <v>782082</v>
      </c>
      <c r="E292" s="120">
        <f t="shared" si="8"/>
        <v>2.2384391917983026E-3</v>
      </c>
      <c r="F292" s="123">
        <v>1</v>
      </c>
      <c r="G292" s="120">
        <v>11</v>
      </c>
      <c r="H292" s="122">
        <v>49.44</v>
      </c>
      <c r="I292" s="122">
        <v>32.67</v>
      </c>
      <c r="J292" s="123">
        <v>75.099999999999994</v>
      </c>
      <c r="K292" s="123">
        <v>39.020000000000003</v>
      </c>
      <c r="L292" s="123">
        <f t="shared" si="9"/>
        <v>1.4000000000000001</v>
      </c>
      <c r="M292" s="124">
        <v>1.4E-2</v>
      </c>
      <c r="N292" s="124">
        <v>5.8</v>
      </c>
      <c r="O292" s="125">
        <f>'Trade Data'!B20</f>
        <v>2.906327899488228</v>
      </c>
      <c r="P292" s="126">
        <v>1</v>
      </c>
      <c r="Q292" s="352"/>
      <c r="R292" s="352"/>
      <c r="S292" s="352"/>
      <c r="T292" s="352"/>
      <c r="U292" s="352"/>
      <c r="V292" s="352"/>
      <c r="W292" s="352"/>
      <c r="X292" s="352"/>
      <c r="Y292" s="352"/>
      <c r="Z292" s="352"/>
      <c r="AA292" s="352"/>
      <c r="AB292" s="352"/>
      <c r="AC292" s="352"/>
      <c r="AD292" s="352"/>
      <c r="AE292" s="352"/>
      <c r="AF292" s="352"/>
      <c r="AG292" s="352"/>
      <c r="AH292" s="352"/>
      <c r="AI292" s="352"/>
      <c r="AJ292" s="352"/>
      <c r="AK292" s="352"/>
      <c r="AL292" s="352"/>
      <c r="AM292" s="352"/>
      <c r="AN292" s="352"/>
      <c r="AO292" s="352"/>
      <c r="AP292" s="352"/>
      <c r="AQ292" s="352"/>
      <c r="AR292" s="352"/>
      <c r="AS292" s="352"/>
      <c r="AT292" s="352"/>
      <c r="AU292" s="352"/>
      <c r="AV292" s="352"/>
      <c r="AW292" s="352"/>
      <c r="AX292" s="352"/>
      <c r="AY292" s="352"/>
      <c r="AZ292" s="352"/>
      <c r="BA292" s="352"/>
      <c r="BB292" s="352"/>
      <c r="BC292" s="352"/>
      <c r="BD292" s="352"/>
      <c r="BE292" s="352"/>
      <c r="BF292" s="352"/>
      <c r="BG292" s="352"/>
      <c r="BH292" s="352"/>
      <c r="BI292" s="352"/>
      <c r="BJ292" s="352"/>
      <c r="BK292" s="352"/>
      <c r="BL292" s="352"/>
      <c r="BM292" s="352"/>
      <c r="BN292" s="352"/>
      <c r="BO292" s="352"/>
      <c r="BP292" s="352"/>
      <c r="BQ292" s="352"/>
      <c r="BR292" s="352"/>
      <c r="BS292" s="352"/>
      <c r="BT292" s="352"/>
      <c r="BU292" s="352"/>
      <c r="BV292" s="352"/>
      <c r="BW292" s="352"/>
      <c r="BX292" s="352"/>
      <c r="BY292" s="352"/>
      <c r="BZ292" s="352"/>
      <c r="CA292" s="352"/>
      <c r="CB292" s="352"/>
      <c r="CC292" s="352"/>
      <c r="CD292" s="352"/>
      <c r="CE292" s="352"/>
      <c r="CF292" s="352"/>
      <c r="CG292" s="352"/>
      <c r="CH292" s="352"/>
      <c r="CI292" s="352"/>
      <c r="CJ292" s="352"/>
      <c r="CK292" s="352"/>
      <c r="CL292" s="352"/>
      <c r="CM292" s="352"/>
      <c r="CN292" s="352"/>
      <c r="CO292" s="352"/>
      <c r="CP292" s="352"/>
      <c r="CQ292" s="352"/>
      <c r="CR292" s="352"/>
      <c r="CS292" s="352"/>
      <c r="CT292" s="352"/>
      <c r="CU292" s="352"/>
      <c r="CV292" s="352"/>
      <c r="CW292" s="352"/>
      <c r="CX292" s="352"/>
      <c r="CY292" s="352"/>
      <c r="CZ292" s="352"/>
      <c r="DA292" s="352"/>
      <c r="DB292" s="352"/>
      <c r="DC292" s="352"/>
      <c r="DD292" s="352"/>
      <c r="DE292" s="352"/>
      <c r="DF292" s="352"/>
      <c r="DG292" s="352"/>
      <c r="DH292" s="352"/>
      <c r="DI292" s="352"/>
      <c r="DJ292" s="352"/>
      <c r="DK292" s="352"/>
      <c r="DL292" s="352"/>
      <c r="DM292" s="352"/>
      <c r="DN292" s="352"/>
      <c r="DO292" s="352"/>
      <c r="DP292" s="352"/>
      <c r="DQ292" s="352"/>
      <c r="DR292" s="352"/>
      <c r="DS292" s="352"/>
      <c r="DT292" s="352"/>
      <c r="DU292" s="352"/>
      <c r="DV292" s="352"/>
      <c r="DW292" s="352"/>
      <c r="DX292" s="352"/>
      <c r="DY292" s="352"/>
      <c r="DZ292" s="352"/>
      <c r="EA292" s="352"/>
      <c r="EB292" s="352"/>
      <c r="EC292" s="352"/>
      <c r="ED292" s="352"/>
      <c r="EE292" s="352"/>
      <c r="EF292" s="352"/>
      <c r="EG292" s="352"/>
      <c r="EH292" s="352"/>
      <c r="EI292" s="352"/>
      <c r="EJ292" s="352"/>
      <c r="EK292" s="352"/>
      <c r="EL292" s="352"/>
      <c r="EM292" s="352"/>
      <c r="EN292" s="352"/>
    </row>
    <row r="293" spans="1:144" s="169" customFormat="1" ht="20.100000000000001" customHeight="1">
      <c r="A293" s="160" t="s">
        <v>96</v>
      </c>
      <c r="B293" s="160" t="s">
        <v>595</v>
      </c>
      <c r="C293" s="161">
        <v>0</v>
      </c>
      <c r="D293" s="162">
        <f>'Sectors % GDP'!C24</f>
        <v>44352</v>
      </c>
      <c r="E293" s="162">
        <f t="shared" si="8"/>
        <v>0</v>
      </c>
      <c r="F293" s="165">
        <v>0</v>
      </c>
      <c r="G293" s="162">
        <v>0</v>
      </c>
      <c r="H293" s="164">
        <v>46.97</v>
      </c>
      <c r="I293" s="164">
        <v>30.92</v>
      </c>
      <c r="J293" s="165">
        <v>71.8</v>
      </c>
      <c r="K293" s="165">
        <v>39.020000000000003</v>
      </c>
      <c r="L293" s="165">
        <f t="shared" si="9"/>
        <v>1.4000000000000001</v>
      </c>
      <c r="M293" s="166">
        <v>1.4E-2</v>
      </c>
      <c r="N293" s="166">
        <v>5.8</v>
      </c>
      <c r="O293" s="167">
        <f>'Trade Data'!B20</f>
        <v>2.906327899488228</v>
      </c>
      <c r="P293" s="170">
        <v>0</v>
      </c>
      <c r="Q293" s="352"/>
      <c r="R293" s="352"/>
      <c r="S293" s="352"/>
      <c r="T293" s="352"/>
      <c r="U293" s="352"/>
      <c r="V293" s="352"/>
      <c r="W293" s="352"/>
      <c r="X293" s="352"/>
      <c r="Y293" s="352"/>
      <c r="Z293" s="352"/>
      <c r="AA293" s="352"/>
      <c r="AB293" s="352"/>
      <c r="AC293" s="352"/>
      <c r="AD293" s="352"/>
      <c r="AE293" s="352"/>
      <c r="AF293" s="352"/>
      <c r="AG293" s="352"/>
      <c r="AH293" s="352"/>
      <c r="AI293" s="352"/>
      <c r="AJ293" s="352"/>
      <c r="AK293" s="352"/>
      <c r="AL293" s="352"/>
      <c r="AM293" s="352"/>
      <c r="AN293" s="352"/>
      <c r="AO293" s="352"/>
      <c r="AP293" s="352"/>
      <c r="AQ293" s="352"/>
      <c r="AR293" s="352"/>
      <c r="AS293" s="352"/>
      <c r="AT293" s="352"/>
      <c r="AU293" s="352"/>
      <c r="AV293" s="352"/>
      <c r="AW293" s="352"/>
      <c r="AX293" s="352"/>
      <c r="AY293" s="352"/>
      <c r="AZ293" s="352"/>
      <c r="BA293" s="352"/>
      <c r="BB293" s="352"/>
      <c r="BC293" s="352"/>
      <c r="BD293" s="352"/>
      <c r="BE293" s="352"/>
      <c r="BF293" s="352"/>
      <c r="BG293" s="352"/>
      <c r="BH293" s="352"/>
      <c r="BI293" s="352"/>
      <c r="BJ293" s="352"/>
      <c r="BK293" s="352"/>
      <c r="BL293" s="352"/>
      <c r="BM293" s="352"/>
      <c r="BN293" s="352"/>
      <c r="BO293" s="352"/>
      <c r="BP293" s="352"/>
      <c r="BQ293" s="352"/>
      <c r="BR293" s="352"/>
      <c r="BS293" s="352"/>
      <c r="BT293" s="352"/>
      <c r="BU293" s="352"/>
      <c r="BV293" s="352"/>
      <c r="BW293" s="352"/>
      <c r="BX293" s="352"/>
      <c r="BY293" s="352"/>
      <c r="BZ293" s="352"/>
      <c r="CA293" s="352"/>
      <c r="CB293" s="352"/>
      <c r="CC293" s="352"/>
      <c r="CD293" s="352"/>
      <c r="CE293" s="352"/>
      <c r="CF293" s="352"/>
      <c r="CG293" s="352"/>
      <c r="CH293" s="352"/>
      <c r="CI293" s="352"/>
      <c r="CJ293" s="352"/>
      <c r="CK293" s="352"/>
      <c r="CL293" s="352"/>
      <c r="CM293" s="352"/>
      <c r="CN293" s="352"/>
      <c r="CO293" s="352"/>
      <c r="CP293" s="352"/>
      <c r="CQ293" s="352"/>
      <c r="CR293" s="352"/>
      <c r="CS293" s="352"/>
      <c r="CT293" s="352"/>
      <c r="CU293" s="352"/>
      <c r="CV293" s="352"/>
      <c r="CW293" s="352"/>
      <c r="CX293" s="352"/>
      <c r="CY293" s="352"/>
      <c r="CZ293" s="352"/>
      <c r="DA293" s="352"/>
      <c r="DB293" s="352"/>
      <c r="DC293" s="352"/>
      <c r="DD293" s="352"/>
      <c r="DE293" s="352"/>
      <c r="DF293" s="352"/>
      <c r="DG293" s="352"/>
      <c r="DH293" s="352"/>
      <c r="DI293" s="352"/>
      <c r="DJ293" s="352"/>
      <c r="DK293" s="352"/>
      <c r="DL293" s="352"/>
      <c r="DM293" s="352"/>
      <c r="DN293" s="352"/>
      <c r="DO293" s="352"/>
      <c r="DP293" s="352"/>
      <c r="DQ293" s="352"/>
      <c r="DR293" s="352"/>
      <c r="DS293" s="352"/>
      <c r="DT293" s="352"/>
      <c r="DU293" s="352"/>
      <c r="DV293" s="352"/>
      <c r="DW293" s="352"/>
      <c r="DX293" s="352"/>
      <c r="DY293" s="352"/>
      <c r="DZ293" s="352"/>
      <c r="EA293" s="352"/>
      <c r="EB293" s="352"/>
      <c r="EC293" s="352"/>
      <c r="ED293" s="352"/>
      <c r="EE293" s="352"/>
      <c r="EF293" s="352"/>
      <c r="EG293" s="352"/>
      <c r="EH293" s="352"/>
      <c r="EI293" s="352"/>
      <c r="EJ293" s="352"/>
      <c r="EK293" s="352"/>
      <c r="EL293" s="352"/>
      <c r="EM293" s="352"/>
      <c r="EN293" s="352"/>
    </row>
    <row r="294" spans="1:144" s="188" customFormat="1" ht="20.100000000000001" customHeight="1">
      <c r="A294" s="179" t="s">
        <v>96</v>
      </c>
      <c r="B294" s="179" t="s">
        <v>594</v>
      </c>
      <c r="C294" s="180">
        <f>SUM('Thomson Reuters IMA  ($)'!I536:I544)</f>
        <v>208.91000000000003</v>
      </c>
      <c r="D294" s="181">
        <f>'Sectors % GDP'!C25</f>
        <v>433439.99999999994</v>
      </c>
      <c r="E294" s="181">
        <f t="shared" si="8"/>
        <v>4.8198135843484694E-4</v>
      </c>
      <c r="F294" s="184">
        <v>1</v>
      </c>
      <c r="G294" s="181">
        <v>18</v>
      </c>
      <c r="H294" s="183">
        <v>46.97</v>
      </c>
      <c r="I294" s="183">
        <v>30.92</v>
      </c>
      <c r="J294" s="184">
        <v>71.8</v>
      </c>
      <c r="K294" s="184">
        <v>39.020000000000003</v>
      </c>
      <c r="L294" s="184">
        <f t="shared" si="9"/>
        <v>1.4000000000000001</v>
      </c>
      <c r="M294" s="185">
        <v>1.4E-2</v>
      </c>
      <c r="N294" s="185">
        <v>5.8</v>
      </c>
      <c r="O294" s="186">
        <f>'Trade Data'!B20</f>
        <v>2.906327899488228</v>
      </c>
      <c r="P294" s="189">
        <v>1</v>
      </c>
      <c r="Q294" s="352"/>
      <c r="R294" s="352"/>
      <c r="S294" s="352"/>
      <c r="T294" s="352"/>
      <c r="U294" s="352"/>
      <c r="V294" s="352"/>
      <c r="W294" s="352"/>
      <c r="X294" s="352"/>
      <c r="Y294" s="352"/>
      <c r="Z294" s="352"/>
      <c r="AA294" s="352"/>
      <c r="AB294" s="352"/>
      <c r="AC294" s="352"/>
      <c r="AD294" s="352"/>
      <c r="AE294" s="352"/>
      <c r="AF294" s="352"/>
      <c r="AG294" s="352"/>
      <c r="AH294" s="352"/>
      <c r="AI294" s="352"/>
      <c r="AJ294" s="352"/>
      <c r="AK294" s="352"/>
      <c r="AL294" s="352"/>
      <c r="AM294" s="352"/>
      <c r="AN294" s="352"/>
      <c r="AO294" s="352"/>
      <c r="AP294" s="352"/>
      <c r="AQ294" s="352"/>
      <c r="AR294" s="352"/>
      <c r="AS294" s="352"/>
      <c r="AT294" s="352"/>
      <c r="AU294" s="352"/>
      <c r="AV294" s="352"/>
      <c r="AW294" s="352"/>
      <c r="AX294" s="352"/>
      <c r="AY294" s="352"/>
      <c r="AZ294" s="352"/>
      <c r="BA294" s="352"/>
      <c r="BB294" s="352"/>
      <c r="BC294" s="352"/>
      <c r="BD294" s="352"/>
      <c r="BE294" s="352"/>
      <c r="BF294" s="352"/>
      <c r="BG294" s="352"/>
      <c r="BH294" s="352"/>
      <c r="BI294" s="352"/>
      <c r="BJ294" s="352"/>
      <c r="BK294" s="352"/>
      <c r="BL294" s="352"/>
      <c r="BM294" s="352"/>
      <c r="BN294" s="352"/>
      <c r="BO294" s="352"/>
      <c r="BP294" s="352"/>
      <c r="BQ294" s="352"/>
      <c r="BR294" s="352"/>
      <c r="BS294" s="352"/>
      <c r="BT294" s="352"/>
      <c r="BU294" s="352"/>
      <c r="BV294" s="352"/>
      <c r="BW294" s="352"/>
      <c r="BX294" s="352"/>
      <c r="BY294" s="352"/>
      <c r="BZ294" s="352"/>
      <c r="CA294" s="352"/>
      <c r="CB294" s="352"/>
      <c r="CC294" s="352"/>
      <c r="CD294" s="352"/>
      <c r="CE294" s="352"/>
      <c r="CF294" s="352"/>
      <c r="CG294" s="352"/>
      <c r="CH294" s="352"/>
      <c r="CI294" s="352"/>
      <c r="CJ294" s="352"/>
      <c r="CK294" s="352"/>
      <c r="CL294" s="352"/>
      <c r="CM294" s="352"/>
      <c r="CN294" s="352"/>
      <c r="CO294" s="352"/>
      <c r="CP294" s="352"/>
      <c r="CQ294" s="352"/>
      <c r="CR294" s="352"/>
      <c r="CS294" s="352"/>
      <c r="CT294" s="352"/>
      <c r="CU294" s="352"/>
      <c r="CV294" s="352"/>
      <c r="CW294" s="352"/>
      <c r="CX294" s="352"/>
      <c r="CY294" s="352"/>
      <c r="CZ294" s="352"/>
      <c r="DA294" s="352"/>
      <c r="DB294" s="352"/>
      <c r="DC294" s="352"/>
      <c r="DD294" s="352"/>
      <c r="DE294" s="352"/>
      <c r="DF294" s="352"/>
      <c r="DG294" s="352"/>
      <c r="DH294" s="352"/>
      <c r="DI294" s="352"/>
      <c r="DJ294" s="352"/>
      <c r="DK294" s="352"/>
      <c r="DL294" s="352"/>
      <c r="DM294" s="352"/>
      <c r="DN294" s="352"/>
      <c r="DO294" s="352"/>
      <c r="DP294" s="352"/>
      <c r="DQ294" s="352"/>
      <c r="DR294" s="352"/>
      <c r="DS294" s="352"/>
      <c r="DT294" s="352"/>
      <c r="DU294" s="352"/>
      <c r="DV294" s="352"/>
      <c r="DW294" s="352"/>
      <c r="DX294" s="352"/>
      <c r="DY294" s="352"/>
      <c r="DZ294" s="352"/>
      <c r="EA294" s="352"/>
      <c r="EB294" s="352"/>
      <c r="EC294" s="352"/>
      <c r="ED294" s="352"/>
      <c r="EE294" s="352"/>
      <c r="EF294" s="352"/>
      <c r="EG294" s="352"/>
      <c r="EH294" s="352"/>
      <c r="EI294" s="352"/>
      <c r="EJ294" s="352"/>
      <c r="EK294" s="352"/>
      <c r="EL294" s="352"/>
      <c r="EM294" s="352"/>
      <c r="EN294" s="352"/>
    </row>
    <row r="295" spans="1:144" ht="20.100000000000001" customHeight="1">
      <c r="A295" s="118" t="s">
        <v>96</v>
      </c>
      <c r="B295" s="118" t="s">
        <v>593</v>
      </c>
      <c r="C295" s="119">
        <f>'Thomson Reuters IMA  ($)'!I545+'Thomson Reuters IMA  ($)'!I546+'Thomson Reuters IMA  ($)'!I547</f>
        <v>679.221</v>
      </c>
      <c r="D295" s="120">
        <f>'Sectors % GDP'!C26</f>
        <v>782082</v>
      </c>
      <c r="E295" s="120">
        <f t="shared" si="8"/>
        <v>8.684779856843656E-4</v>
      </c>
      <c r="F295" s="123">
        <v>1</v>
      </c>
      <c r="G295" s="120">
        <v>12</v>
      </c>
      <c r="H295" s="122">
        <v>46.97</v>
      </c>
      <c r="I295" s="122">
        <v>30.92</v>
      </c>
      <c r="J295" s="123">
        <v>71.8</v>
      </c>
      <c r="K295" s="123">
        <v>39.020000000000003</v>
      </c>
      <c r="L295" s="123">
        <f t="shared" si="9"/>
        <v>1.4000000000000001</v>
      </c>
      <c r="M295" s="124">
        <v>1.4E-2</v>
      </c>
      <c r="N295" s="124">
        <v>5.8</v>
      </c>
      <c r="O295" s="125">
        <f>'Trade Data'!B20</f>
        <v>2.906327899488228</v>
      </c>
      <c r="P295" s="127">
        <v>1</v>
      </c>
      <c r="Q295" s="352"/>
      <c r="R295" s="352"/>
      <c r="S295" s="352"/>
      <c r="T295" s="352"/>
      <c r="U295" s="352"/>
      <c r="V295" s="352"/>
      <c r="W295" s="352"/>
      <c r="X295" s="352"/>
      <c r="Y295" s="352"/>
      <c r="Z295" s="352"/>
      <c r="AA295" s="352"/>
      <c r="AB295" s="352"/>
      <c r="AC295" s="352"/>
      <c r="AD295" s="352"/>
      <c r="AE295" s="352"/>
      <c r="AF295" s="352"/>
      <c r="AG295" s="352"/>
      <c r="AH295" s="352"/>
      <c r="AI295" s="352"/>
      <c r="AJ295" s="352"/>
      <c r="AK295" s="352"/>
      <c r="AL295" s="352"/>
      <c r="AM295" s="352"/>
      <c r="AN295" s="352"/>
      <c r="AO295" s="352"/>
      <c r="AP295" s="352"/>
      <c r="AQ295" s="352"/>
      <c r="AR295" s="352"/>
      <c r="AS295" s="352"/>
      <c r="AT295" s="352"/>
      <c r="AU295" s="352"/>
      <c r="AV295" s="352"/>
      <c r="AW295" s="352"/>
      <c r="AX295" s="352"/>
      <c r="AY295" s="352"/>
      <c r="AZ295" s="352"/>
      <c r="BA295" s="352"/>
      <c r="BB295" s="352"/>
      <c r="BC295" s="352"/>
      <c r="BD295" s="352"/>
      <c r="BE295" s="352"/>
      <c r="BF295" s="352"/>
      <c r="BG295" s="352"/>
      <c r="BH295" s="352"/>
      <c r="BI295" s="352"/>
      <c r="BJ295" s="352"/>
      <c r="BK295" s="352"/>
      <c r="BL295" s="352"/>
      <c r="BM295" s="352"/>
      <c r="BN295" s="352"/>
      <c r="BO295" s="352"/>
      <c r="BP295" s="352"/>
      <c r="BQ295" s="352"/>
      <c r="BR295" s="352"/>
      <c r="BS295" s="352"/>
      <c r="BT295" s="352"/>
      <c r="BU295" s="352"/>
      <c r="BV295" s="352"/>
      <c r="BW295" s="352"/>
      <c r="BX295" s="352"/>
      <c r="BY295" s="352"/>
      <c r="BZ295" s="352"/>
      <c r="CA295" s="352"/>
      <c r="CB295" s="352"/>
      <c r="CC295" s="352"/>
      <c r="CD295" s="352"/>
      <c r="CE295" s="352"/>
      <c r="CF295" s="352"/>
      <c r="CG295" s="352"/>
      <c r="CH295" s="352"/>
      <c r="CI295" s="352"/>
      <c r="CJ295" s="352"/>
      <c r="CK295" s="352"/>
      <c r="CL295" s="352"/>
      <c r="CM295" s="352"/>
      <c r="CN295" s="352"/>
      <c r="CO295" s="352"/>
      <c r="CP295" s="352"/>
      <c r="CQ295" s="352"/>
      <c r="CR295" s="352"/>
      <c r="CS295" s="352"/>
      <c r="CT295" s="352"/>
      <c r="CU295" s="352"/>
      <c r="CV295" s="352"/>
      <c r="CW295" s="352"/>
      <c r="CX295" s="352"/>
      <c r="CY295" s="352"/>
      <c r="CZ295" s="352"/>
      <c r="DA295" s="352"/>
      <c r="DB295" s="352"/>
      <c r="DC295" s="352"/>
      <c r="DD295" s="352"/>
      <c r="DE295" s="352"/>
      <c r="DF295" s="352"/>
      <c r="DG295" s="352"/>
      <c r="DH295" s="352"/>
      <c r="DI295" s="352"/>
      <c r="DJ295" s="352"/>
      <c r="DK295" s="352"/>
      <c r="DL295" s="352"/>
      <c r="DM295" s="352"/>
      <c r="DN295" s="352"/>
      <c r="DO295" s="352"/>
      <c r="DP295" s="352"/>
      <c r="DQ295" s="352"/>
      <c r="DR295" s="352"/>
      <c r="DS295" s="352"/>
      <c r="DT295" s="352"/>
      <c r="DU295" s="352"/>
      <c r="DV295" s="352"/>
      <c r="DW295" s="352"/>
      <c r="DX295" s="352"/>
      <c r="DY295" s="352"/>
      <c r="DZ295" s="352"/>
      <c r="EA295" s="352"/>
      <c r="EB295" s="352"/>
      <c r="EC295" s="352"/>
      <c r="ED295" s="352"/>
      <c r="EE295" s="352"/>
      <c r="EF295" s="352"/>
      <c r="EG295" s="352"/>
      <c r="EH295" s="352"/>
      <c r="EI295" s="352"/>
      <c r="EJ295" s="352"/>
      <c r="EK295" s="352"/>
      <c r="EL295" s="352"/>
      <c r="EM295" s="352"/>
      <c r="EN295" s="352"/>
    </row>
    <row r="296" spans="1:144" s="169" customFormat="1" ht="20.100000000000001" customHeight="1">
      <c r="A296" s="160" t="s">
        <v>97</v>
      </c>
      <c r="B296" s="160" t="s">
        <v>592</v>
      </c>
      <c r="C296" s="161">
        <v>0</v>
      </c>
      <c r="D296" s="162">
        <f>'Sectors % GDP'!E24</f>
        <v>46020</v>
      </c>
      <c r="E296" s="162">
        <f t="shared" si="8"/>
        <v>0</v>
      </c>
      <c r="F296" s="165">
        <v>0</v>
      </c>
      <c r="G296" s="162">
        <v>0</v>
      </c>
      <c r="H296" s="164">
        <v>52.53</v>
      </c>
      <c r="I296" s="164">
        <v>45.44</v>
      </c>
      <c r="J296" s="165">
        <v>71.56</v>
      </c>
      <c r="K296" s="165">
        <v>39.020000000000003</v>
      </c>
      <c r="L296" s="165">
        <f t="shared" si="9"/>
        <v>1.4000000000000001</v>
      </c>
      <c r="M296" s="166">
        <v>1.4E-2</v>
      </c>
      <c r="N296" s="166">
        <v>5.8</v>
      </c>
      <c r="O296" s="167">
        <f>'Trade Data'!B20</f>
        <v>2.906327899488228</v>
      </c>
      <c r="P296" s="168">
        <v>0</v>
      </c>
      <c r="Q296" s="352"/>
      <c r="R296" s="352"/>
      <c r="S296" s="352"/>
      <c r="T296" s="352"/>
      <c r="U296" s="352"/>
      <c r="V296" s="352"/>
      <c r="W296" s="352"/>
      <c r="X296" s="352"/>
      <c r="Y296" s="352"/>
      <c r="Z296" s="352"/>
      <c r="AA296" s="352"/>
      <c r="AB296" s="352"/>
      <c r="AC296" s="352"/>
      <c r="AD296" s="352"/>
      <c r="AE296" s="352"/>
      <c r="AF296" s="352"/>
      <c r="AG296" s="352"/>
      <c r="AH296" s="352"/>
      <c r="AI296" s="352"/>
      <c r="AJ296" s="352"/>
      <c r="AK296" s="352"/>
      <c r="AL296" s="352"/>
      <c r="AM296" s="352"/>
      <c r="AN296" s="352"/>
      <c r="AO296" s="352"/>
      <c r="AP296" s="352"/>
      <c r="AQ296" s="352"/>
      <c r="AR296" s="352"/>
      <c r="AS296" s="352"/>
      <c r="AT296" s="352"/>
      <c r="AU296" s="352"/>
      <c r="AV296" s="352"/>
      <c r="AW296" s="352"/>
      <c r="AX296" s="352"/>
      <c r="AY296" s="352"/>
      <c r="AZ296" s="352"/>
      <c r="BA296" s="352"/>
      <c r="BB296" s="352"/>
      <c r="BC296" s="352"/>
      <c r="BD296" s="352"/>
      <c r="BE296" s="352"/>
      <c r="BF296" s="352"/>
      <c r="BG296" s="352"/>
      <c r="BH296" s="352"/>
      <c r="BI296" s="352"/>
      <c r="BJ296" s="352"/>
      <c r="BK296" s="352"/>
      <c r="BL296" s="352"/>
      <c r="BM296" s="352"/>
      <c r="BN296" s="352"/>
      <c r="BO296" s="352"/>
      <c r="BP296" s="352"/>
      <c r="BQ296" s="352"/>
      <c r="BR296" s="352"/>
      <c r="BS296" s="352"/>
      <c r="BT296" s="352"/>
      <c r="BU296" s="352"/>
      <c r="BV296" s="352"/>
      <c r="BW296" s="352"/>
      <c r="BX296" s="352"/>
      <c r="BY296" s="352"/>
      <c r="BZ296" s="352"/>
      <c r="CA296" s="352"/>
      <c r="CB296" s="352"/>
      <c r="CC296" s="352"/>
      <c r="CD296" s="352"/>
      <c r="CE296" s="352"/>
      <c r="CF296" s="352"/>
      <c r="CG296" s="352"/>
      <c r="CH296" s="352"/>
      <c r="CI296" s="352"/>
      <c r="CJ296" s="352"/>
      <c r="CK296" s="352"/>
      <c r="CL296" s="352"/>
      <c r="CM296" s="352"/>
      <c r="CN296" s="352"/>
      <c r="CO296" s="352"/>
      <c r="CP296" s="352"/>
      <c r="CQ296" s="352"/>
      <c r="CR296" s="352"/>
      <c r="CS296" s="352"/>
      <c r="CT296" s="352"/>
      <c r="CU296" s="352"/>
      <c r="CV296" s="352"/>
      <c r="CW296" s="352"/>
      <c r="CX296" s="352"/>
      <c r="CY296" s="352"/>
      <c r="CZ296" s="352"/>
      <c r="DA296" s="352"/>
      <c r="DB296" s="352"/>
      <c r="DC296" s="352"/>
      <c r="DD296" s="352"/>
      <c r="DE296" s="352"/>
      <c r="DF296" s="352"/>
      <c r="DG296" s="352"/>
      <c r="DH296" s="352"/>
      <c r="DI296" s="352"/>
      <c r="DJ296" s="352"/>
      <c r="DK296" s="352"/>
      <c r="DL296" s="352"/>
      <c r="DM296" s="352"/>
      <c r="DN296" s="352"/>
      <c r="DO296" s="352"/>
      <c r="DP296" s="352"/>
      <c r="DQ296" s="352"/>
      <c r="DR296" s="352"/>
      <c r="DS296" s="352"/>
      <c r="DT296" s="352"/>
      <c r="DU296" s="352"/>
      <c r="DV296" s="352"/>
      <c r="DW296" s="352"/>
      <c r="DX296" s="352"/>
      <c r="DY296" s="352"/>
      <c r="DZ296" s="352"/>
      <c r="EA296" s="352"/>
      <c r="EB296" s="352"/>
      <c r="EC296" s="352"/>
      <c r="ED296" s="352"/>
      <c r="EE296" s="352"/>
      <c r="EF296" s="352"/>
      <c r="EG296" s="352"/>
      <c r="EH296" s="352"/>
      <c r="EI296" s="352"/>
      <c r="EJ296" s="352"/>
      <c r="EK296" s="352"/>
      <c r="EL296" s="352"/>
      <c r="EM296" s="352"/>
      <c r="EN296" s="352"/>
    </row>
    <row r="297" spans="1:144" s="188" customFormat="1" ht="20.100000000000001" customHeight="1">
      <c r="A297" s="179" t="s">
        <v>97</v>
      </c>
      <c r="B297" s="179" t="s">
        <v>591</v>
      </c>
      <c r="C297" s="180">
        <f>SUM('Thomson Reuters IMA  ($)'!I548:I556)+'Thomson Reuters IMA  ($)'!I560</f>
        <v>781.58399999999995</v>
      </c>
      <c r="D297" s="181">
        <f>'Sectors % GDP'!E25</f>
        <v>446290</v>
      </c>
      <c r="E297" s="181">
        <f t="shared" si="8"/>
        <v>1.7512917609626027E-3</v>
      </c>
      <c r="F297" s="184">
        <v>1</v>
      </c>
      <c r="G297" s="181">
        <v>15</v>
      </c>
      <c r="H297" s="183">
        <v>52.53</v>
      </c>
      <c r="I297" s="183">
        <v>45.44</v>
      </c>
      <c r="J297" s="184">
        <v>71.56</v>
      </c>
      <c r="K297" s="184">
        <v>39.020000000000003</v>
      </c>
      <c r="L297" s="184">
        <f t="shared" si="9"/>
        <v>1.4000000000000001</v>
      </c>
      <c r="M297" s="185">
        <v>1.4E-2</v>
      </c>
      <c r="N297" s="185">
        <v>5.8</v>
      </c>
      <c r="O297" s="186">
        <f>'Trade Data'!B20</f>
        <v>2.906327899488228</v>
      </c>
      <c r="P297" s="187">
        <v>1</v>
      </c>
      <c r="Q297" s="352"/>
      <c r="R297" s="352"/>
      <c r="S297" s="352"/>
      <c r="T297" s="352"/>
      <c r="U297" s="352"/>
      <c r="V297" s="352"/>
      <c r="W297" s="352"/>
      <c r="X297" s="352"/>
      <c r="Y297" s="352"/>
      <c r="Z297" s="352"/>
      <c r="AA297" s="352"/>
      <c r="AB297" s="352"/>
      <c r="AC297" s="352"/>
      <c r="AD297" s="352"/>
      <c r="AE297" s="352"/>
      <c r="AF297" s="352"/>
      <c r="AG297" s="352"/>
      <c r="AH297" s="352"/>
      <c r="AI297" s="352"/>
      <c r="AJ297" s="352"/>
      <c r="AK297" s="352"/>
      <c r="AL297" s="352"/>
      <c r="AM297" s="352"/>
      <c r="AN297" s="352"/>
      <c r="AO297" s="352"/>
      <c r="AP297" s="352"/>
      <c r="AQ297" s="352"/>
      <c r="AR297" s="352"/>
      <c r="AS297" s="352"/>
      <c r="AT297" s="352"/>
      <c r="AU297" s="352"/>
      <c r="AV297" s="352"/>
      <c r="AW297" s="352"/>
      <c r="AX297" s="352"/>
      <c r="AY297" s="352"/>
      <c r="AZ297" s="352"/>
      <c r="BA297" s="352"/>
      <c r="BB297" s="352"/>
      <c r="BC297" s="352"/>
      <c r="BD297" s="352"/>
      <c r="BE297" s="352"/>
      <c r="BF297" s="352"/>
      <c r="BG297" s="352"/>
      <c r="BH297" s="352"/>
      <c r="BI297" s="352"/>
      <c r="BJ297" s="352"/>
      <c r="BK297" s="352"/>
      <c r="BL297" s="352"/>
      <c r="BM297" s="352"/>
      <c r="BN297" s="352"/>
      <c r="BO297" s="352"/>
      <c r="BP297" s="352"/>
      <c r="BQ297" s="352"/>
      <c r="BR297" s="352"/>
      <c r="BS297" s="352"/>
      <c r="BT297" s="352"/>
      <c r="BU297" s="352"/>
      <c r="BV297" s="352"/>
      <c r="BW297" s="352"/>
      <c r="BX297" s="352"/>
      <c r="BY297" s="352"/>
      <c r="BZ297" s="352"/>
      <c r="CA297" s="352"/>
      <c r="CB297" s="352"/>
      <c r="CC297" s="352"/>
      <c r="CD297" s="352"/>
      <c r="CE297" s="352"/>
      <c r="CF297" s="352"/>
      <c r="CG297" s="352"/>
      <c r="CH297" s="352"/>
      <c r="CI297" s="352"/>
      <c r="CJ297" s="352"/>
      <c r="CK297" s="352"/>
      <c r="CL297" s="352"/>
      <c r="CM297" s="352"/>
      <c r="CN297" s="352"/>
      <c r="CO297" s="352"/>
      <c r="CP297" s="352"/>
      <c r="CQ297" s="352"/>
      <c r="CR297" s="352"/>
      <c r="CS297" s="352"/>
      <c r="CT297" s="352"/>
      <c r="CU297" s="352"/>
      <c r="CV297" s="352"/>
      <c r="CW297" s="352"/>
      <c r="CX297" s="352"/>
      <c r="CY297" s="352"/>
      <c r="CZ297" s="352"/>
      <c r="DA297" s="352"/>
      <c r="DB297" s="352"/>
      <c r="DC297" s="352"/>
      <c r="DD297" s="352"/>
      <c r="DE297" s="352"/>
      <c r="DF297" s="352"/>
      <c r="DG297" s="352"/>
      <c r="DH297" s="352"/>
      <c r="DI297" s="352"/>
      <c r="DJ297" s="352"/>
      <c r="DK297" s="352"/>
      <c r="DL297" s="352"/>
      <c r="DM297" s="352"/>
      <c r="DN297" s="352"/>
      <c r="DO297" s="352"/>
      <c r="DP297" s="352"/>
      <c r="DQ297" s="352"/>
      <c r="DR297" s="352"/>
      <c r="DS297" s="352"/>
      <c r="DT297" s="352"/>
      <c r="DU297" s="352"/>
      <c r="DV297" s="352"/>
      <c r="DW297" s="352"/>
      <c r="DX297" s="352"/>
      <c r="DY297" s="352"/>
      <c r="DZ297" s="352"/>
      <c r="EA297" s="352"/>
      <c r="EB297" s="352"/>
      <c r="EC297" s="352"/>
      <c r="ED297" s="352"/>
      <c r="EE297" s="352"/>
      <c r="EF297" s="352"/>
      <c r="EG297" s="352"/>
      <c r="EH297" s="352"/>
      <c r="EI297" s="352"/>
      <c r="EJ297" s="352"/>
      <c r="EK297" s="352"/>
      <c r="EL297" s="352"/>
      <c r="EM297" s="352"/>
      <c r="EN297" s="352"/>
    </row>
    <row r="298" spans="1:144" ht="20.100000000000001" customHeight="1">
      <c r="A298" s="118" t="s">
        <v>97</v>
      </c>
      <c r="B298" s="118" t="s">
        <v>590</v>
      </c>
      <c r="C298" s="119">
        <f>SUM('Thomson Reuters IMA  ($)'!I557:I559)</f>
        <v>364.98400000000004</v>
      </c>
      <c r="D298" s="120">
        <f>'Sectors % GDP'!E26</f>
        <v>807690</v>
      </c>
      <c r="E298" s="120">
        <f t="shared" si="8"/>
        <v>4.5188624348450527E-4</v>
      </c>
      <c r="F298" s="123">
        <v>1</v>
      </c>
      <c r="G298" s="120">
        <v>7</v>
      </c>
      <c r="H298" s="122">
        <v>52.53</v>
      </c>
      <c r="I298" s="122">
        <v>45.44</v>
      </c>
      <c r="J298" s="123">
        <v>71.56</v>
      </c>
      <c r="K298" s="123">
        <v>39.020000000000003</v>
      </c>
      <c r="L298" s="123">
        <f t="shared" si="9"/>
        <v>1.4000000000000001</v>
      </c>
      <c r="M298" s="124">
        <v>1.4E-2</v>
      </c>
      <c r="N298" s="124">
        <v>5.8</v>
      </c>
      <c r="O298" s="125">
        <f>'Trade Data'!B20</f>
        <v>2.906327899488228</v>
      </c>
      <c r="P298" s="126">
        <v>1</v>
      </c>
      <c r="Q298" s="352"/>
      <c r="R298" s="352"/>
      <c r="S298" s="352"/>
      <c r="T298" s="352"/>
      <c r="U298" s="352"/>
      <c r="V298" s="352"/>
      <c r="W298" s="352"/>
      <c r="X298" s="352"/>
      <c r="Y298" s="352"/>
      <c r="Z298" s="352"/>
      <c r="AA298" s="352"/>
      <c r="AB298" s="352"/>
      <c r="AC298" s="352"/>
      <c r="AD298" s="352"/>
      <c r="AE298" s="352"/>
      <c r="AF298" s="352"/>
      <c r="AG298" s="352"/>
      <c r="AH298" s="352"/>
      <c r="AI298" s="352"/>
      <c r="AJ298" s="352"/>
      <c r="AK298" s="352"/>
      <c r="AL298" s="352"/>
      <c r="AM298" s="352"/>
      <c r="AN298" s="352"/>
      <c r="AO298" s="352"/>
      <c r="AP298" s="352"/>
      <c r="AQ298" s="352"/>
      <c r="AR298" s="352"/>
      <c r="AS298" s="352"/>
      <c r="AT298" s="352"/>
      <c r="AU298" s="352"/>
      <c r="AV298" s="352"/>
      <c r="AW298" s="352"/>
      <c r="AX298" s="352"/>
      <c r="AY298" s="352"/>
      <c r="AZ298" s="352"/>
      <c r="BA298" s="352"/>
      <c r="BB298" s="352"/>
      <c r="BC298" s="352"/>
      <c r="BD298" s="352"/>
      <c r="BE298" s="352"/>
      <c r="BF298" s="352"/>
      <c r="BG298" s="352"/>
      <c r="BH298" s="352"/>
      <c r="BI298" s="352"/>
      <c r="BJ298" s="352"/>
      <c r="BK298" s="352"/>
      <c r="BL298" s="352"/>
      <c r="BM298" s="352"/>
      <c r="BN298" s="352"/>
      <c r="BO298" s="352"/>
      <c r="BP298" s="352"/>
      <c r="BQ298" s="352"/>
      <c r="BR298" s="352"/>
      <c r="BS298" s="352"/>
      <c r="BT298" s="352"/>
      <c r="BU298" s="352"/>
      <c r="BV298" s="352"/>
      <c r="BW298" s="352"/>
      <c r="BX298" s="352"/>
      <c r="BY298" s="352"/>
      <c r="BZ298" s="352"/>
      <c r="CA298" s="352"/>
      <c r="CB298" s="352"/>
      <c r="CC298" s="352"/>
      <c r="CD298" s="352"/>
      <c r="CE298" s="352"/>
      <c r="CF298" s="352"/>
      <c r="CG298" s="352"/>
      <c r="CH298" s="352"/>
      <c r="CI298" s="352"/>
      <c r="CJ298" s="352"/>
      <c r="CK298" s="352"/>
      <c r="CL298" s="352"/>
      <c r="CM298" s="352"/>
      <c r="CN298" s="352"/>
      <c r="CO298" s="352"/>
      <c r="CP298" s="352"/>
      <c r="CQ298" s="352"/>
      <c r="CR298" s="352"/>
      <c r="CS298" s="352"/>
      <c r="CT298" s="352"/>
      <c r="CU298" s="352"/>
      <c r="CV298" s="352"/>
      <c r="CW298" s="352"/>
      <c r="CX298" s="352"/>
      <c r="CY298" s="352"/>
      <c r="CZ298" s="352"/>
      <c r="DA298" s="352"/>
      <c r="DB298" s="352"/>
      <c r="DC298" s="352"/>
      <c r="DD298" s="352"/>
      <c r="DE298" s="352"/>
      <c r="DF298" s="352"/>
      <c r="DG298" s="352"/>
      <c r="DH298" s="352"/>
      <c r="DI298" s="352"/>
      <c r="DJ298" s="352"/>
      <c r="DK298" s="352"/>
      <c r="DL298" s="352"/>
      <c r="DM298" s="352"/>
      <c r="DN298" s="352"/>
      <c r="DO298" s="352"/>
      <c r="DP298" s="352"/>
      <c r="DQ298" s="352"/>
      <c r="DR298" s="352"/>
      <c r="DS298" s="352"/>
      <c r="DT298" s="352"/>
      <c r="DU298" s="352"/>
      <c r="DV298" s="352"/>
      <c r="DW298" s="352"/>
      <c r="DX298" s="352"/>
      <c r="DY298" s="352"/>
      <c r="DZ298" s="352"/>
      <c r="EA298" s="352"/>
      <c r="EB298" s="352"/>
      <c r="EC298" s="352"/>
      <c r="ED298" s="352"/>
      <c r="EE298" s="352"/>
      <c r="EF298" s="352"/>
      <c r="EG298" s="352"/>
      <c r="EH298" s="352"/>
      <c r="EI298" s="352"/>
      <c r="EJ298" s="352"/>
      <c r="EK298" s="352"/>
      <c r="EL298" s="352"/>
      <c r="EM298" s="352"/>
      <c r="EN298" s="352"/>
    </row>
    <row r="299" spans="1:144" s="169" customFormat="1" ht="20.100000000000001" customHeight="1">
      <c r="A299" s="160" t="s">
        <v>98</v>
      </c>
      <c r="B299" s="160" t="s">
        <v>589</v>
      </c>
      <c r="C299" s="161">
        <v>0</v>
      </c>
      <c r="D299" s="162">
        <f>'Sectors % GDP'!E24</f>
        <v>46020</v>
      </c>
      <c r="E299" s="162">
        <f t="shared" si="8"/>
        <v>0</v>
      </c>
      <c r="F299" s="165">
        <v>0</v>
      </c>
      <c r="G299" s="162">
        <v>0</v>
      </c>
      <c r="H299" s="164">
        <v>49.65</v>
      </c>
      <c r="I299" s="164">
        <v>38.78</v>
      </c>
      <c r="J299" s="165">
        <v>70.64</v>
      </c>
      <c r="K299" s="165">
        <v>39.020000000000003</v>
      </c>
      <c r="L299" s="165">
        <f t="shared" si="9"/>
        <v>2.2999999999999998</v>
      </c>
      <c r="M299" s="166">
        <v>2.3E-2</v>
      </c>
      <c r="N299" s="166">
        <v>5</v>
      </c>
      <c r="O299" s="167">
        <f>'Trade Data'!D20</f>
        <v>3.1016734840790141</v>
      </c>
      <c r="P299" s="170">
        <v>0</v>
      </c>
      <c r="Q299" s="352"/>
      <c r="R299" s="352"/>
      <c r="S299" s="352"/>
      <c r="T299" s="352"/>
      <c r="U299" s="352"/>
      <c r="V299" s="352"/>
      <c r="W299" s="352"/>
      <c r="X299" s="352"/>
      <c r="Y299" s="352"/>
      <c r="Z299" s="352"/>
      <c r="AA299" s="352"/>
      <c r="AB299" s="352"/>
      <c r="AC299" s="352"/>
      <c r="AD299" s="352"/>
      <c r="AE299" s="352"/>
      <c r="AF299" s="352"/>
      <c r="AG299" s="352"/>
      <c r="AH299" s="352"/>
      <c r="AI299" s="352"/>
      <c r="AJ299" s="352"/>
      <c r="AK299" s="352"/>
      <c r="AL299" s="352"/>
      <c r="AM299" s="352"/>
      <c r="AN299" s="352"/>
      <c r="AO299" s="352"/>
      <c r="AP299" s="352"/>
      <c r="AQ299" s="352"/>
      <c r="AR299" s="352"/>
      <c r="AS299" s="352"/>
      <c r="AT299" s="352"/>
      <c r="AU299" s="352"/>
      <c r="AV299" s="352"/>
      <c r="AW299" s="352"/>
      <c r="AX299" s="352"/>
      <c r="AY299" s="352"/>
      <c r="AZ299" s="352"/>
      <c r="BA299" s="352"/>
      <c r="BB299" s="352"/>
      <c r="BC299" s="352"/>
      <c r="BD299" s="352"/>
      <c r="BE299" s="352"/>
      <c r="BF299" s="352"/>
      <c r="BG299" s="352"/>
      <c r="BH299" s="352"/>
      <c r="BI299" s="352"/>
      <c r="BJ299" s="352"/>
      <c r="BK299" s="352"/>
      <c r="BL299" s="352"/>
      <c r="BM299" s="352"/>
      <c r="BN299" s="352"/>
      <c r="BO299" s="352"/>
      <c r="BP299" s="352"/>
      <c r="BQ299" s="352"/>
      <c r="BR299" s="352"/>
      <c r="BS299" s="352"/>
      <c r="BT299" s="352"/>
      <c r="BU299" s="352"/>
      <c r="BV299" s="352"/>
      <c r="BW299" s="352"/>
      <c r="BX299" s="352"/>
      <c r="BY299" s="352"/>
      <c r="BZ299" s="352"/>
      <c r="CA299" s="352"/>
      <c r="CB299" s="352"/>
      <c r="CC299" s="352"/>
      <c r="CD299" s="352"/>
      <c r="CE299" s="352"/>
      <c r="CF299" s="352"/>
      <c r="CG299" s="352"/>
      <c r="CH299" s="352"/>
      <c r="CI299" s="352"/>
      <c r="CJ299" s="352"/>
      <c r="CK299" s="352"/>
      <c r="CL299" s="352"/>
      <c r="CM299" s="352"/>
      <c r="CN299" s="352"/>
      <c r="CO299" s="352"/>
      <c r="CP299" s="352"/>
      <c r="CQ299" s="352"/>
      <c r="CR299" s="352"/>
      <c r="CS299" s="352"/>
      <c r="CT299" s="352"/>
      <c r="CU299" s="352"/>
      <c r="CV299" s="352"/>
      <c r="CW299" s="352"/>
      <c r="CX299" s="352"/>
      <c r="CY299" s="352"/>
      <c r="CZ299" s="352"/>
      <c r="DA299" s="352"/>
      <c r="DB299" s="352"/>
      <c r="DC299" s="352"/>
      <c r="DD299" s="352"/>
      <c r="DE299" s="352"/>
      <c r="DF299" s="352"/>
      <c r="DG299" s="352"/>
      <c r="DH299" s="352"/>
      <c r="DI299" s="352"/>
      <c r="DJ299" s="352"/>
      <c r="DK299" s="352"/>
      <c r="DL299" s="352"/>
      <c r="DM299" s="352"/>
      <c r="DN299" s="352"/>
      <c r="DO299" s="352"/>
      <c r="DP299" s="352"/>
      <c r="DQ299" s="352"/>
      <c r="DR299" s="352"/>
      <c r="DS299" s="352"/>
      <c r="DT299" s="352"/>
      <c r="DU299" s="352"/>
      <c r="DV299" s="352"/>
      <c r="DW299" s="352"/>
      <c r="DX299" s="352"/>
      <c r="DY299" s="352"/>
      <c r="DZ299" s="352"/>
      <c r="EA299" s="352"/>
      <c r="EB299" s="352"/>
      <c r="EC299" s="352"/>
      <c r="ED299" s="352"/>
      <c r="EE299" s="352"/>
      <c r="EF299" s="352"/>
      <c r="EG299" s="352"/>
      <c r="EH299" s="352"/>
      <c r="EI299" s="352"/>
      <c r="EJ299" s="352"/>
      <c r="EK299" s="352"/>
      <c r="EL299" s="352"/>
      <c r="EM299" s="352"/>
      <c r="EN299" s="352"/>
    </row>
    <row r="300" spans="1:144" s="188" customFormat="1" ht="20.100000000000001" customHeight="1">
      <c r="A300" s="179" t="s">
        <v>98</v>
      </c>
      <c r="B300" s="179" t="s">
        <v>588</v>
      </c>
      <c r="C300" s="180">
        <f>SUM('Thomson Reuters IMA  ($)'!I561:I565)+'Thomson Reuters IMA  ($)'!I567+'Thomson Reuters IMA  ($)'!I569+'Thomson Reuters IMA  ($)'!I571+'Thomson Reuters IMA  ($)'!I572</f>
        <v>2645.5909999999999</v>
      </c>
      <c r="D300" s="181">
        <f>'Sectors % GDP'!E25</f>
        <v>446290</v>
      </c>
      <c r="E300" s="181">
        <f t="shared" si="8"/>
        <v>5.9279638799883483E-3</v>
      </c>
      <c r="F300" s="184">
        <v>1</v>
      </c>
      <c r="G300" s="181">
        <v>12</v>
      </c>
      <c r="H300" s="183">
        <v>49.65</v>
      </c>
      <c r="I300" s="183">
        <v>38.78</v>
      </c>
      <c r="J300" s="184">
        <v>70.64</v>
      </c>
      <c r="K300" s="184">
        <v>39.020000000000003</v>
      </c>
      <c r="L300" s="184">
        <f t="shared" si="9"/>
        <v>2.2999999999999998</v>
      </c>
      <c r="M300" s="185">
        <v>2.3E-2</v>
      </c>
      <c r="N300" s="185">
        <v>5</v>
      </c>
      <c r="O300" s="186">
        <f>'Trade Data'!D20</f>
        <v>3.1016734840790141</v>
      </c>
      <c r="P300" s="189">
        <v>1</v>
      </c>
      <c r="Q300" s="352"/>
      <c r="R300" s="352"/>
      <c r="S300" s="352"/>
      <c r="T300" s="352"/>
      <c r="U300" s="352"/>
      <c r="V300" s="352"/>
      <c r="W300" s="352"/>
      <c r="X300" s="352"/>
      <c r="Y300" s="352"/>
      <c r="Z300" s="352"/>
      <c r="AA300" s="352"/>
      <c r="AB300" s="352"/>
      <c r="AC300" s="352"/>
      <c r="AD300" s="352"/>
      <c r="AE300" s="352"/>
      <c r="AF300" s="352"/>
      <c r="AG300" s="352"/>
      <c r="AH300" s="352"/>
      <c r="AI300" s="352"/>
      <c r="AJ300" s="352"/>
      <c r="AK300" s="352"/>
      <c r="AL300" s="352"/>
      <c r="AM300" s="352"/>
      <c r="AN300" s="352"/>
      <c r="AO300" s="352"/>
      <c r="AP300" s="352"/>
      <c r="AQ300" s="352"/>
      <c r="AR300" s="352"/>
      <c r="AS300" s="352"/>
      <c r="AT300" s="352"/>
      <c r="AU300" s="352"/>
      <c r="AV300" s="352"/>
      <c r="AW300" s="352"/>
      <c r="AX300" s="352"/>
      <c r="AY300" s="352"/>
      <c r="AZ300" s="352"/>
      <c r="BA300" s="352"/>
      <c r="BB300" s="352"/>
      <c r="BC300" s="352"/>
      <c r="BD300" s="352"/>
      <c r="BE300" s="352"/>
      <c r="BF300" s="352"/>
      <c r="BG300" s="352"/>
      <c r="BH300" s="352"/>
      <c r="BI300" s="352"/>
      <c r="BJ300" s="352"/>
      <c r="BK300" s="352"/>
      <c r="BL300" s="352"/>
      <c r="BM300" s="352"/>
      <c r="BN300" s="352"/>
      <c r="BO300" s="352"/>
      <c r="BP300" s="352"/>
      <c r="BQ300" s="352"/>
      <c r="BR300" s="352"/>
      <c r="BS300" s="352"/>
      <c r="BT300" s="352"/>
      <c r="BU300" s="352"/>
      <c r="BV300" s="352"/>
      <c r="BW300" s="352"/>
      <c r="BX300" s="352"/>
      <c r="BY300" s="352"/>
      <c r="BZ300" s="352"/>
      <c r="CA300" s="352"/>
      <c r="CB300" s="352"/>
      <c r="CC300" s="352"/>
      <c r="CD300" s="352"/>
      <c r="CE300" s="352"/>
      <c r="CF300" s="352"/>
      <c r="CG300" s="352"/>
      <c r="CH300" s="352"/>
      <c r="CI300" s="352"/>
      <c r="CJ300" s="352"/>
      <c r="CK300" s="352"/>
      <c r="CL300" s="352"/>
      <c r="CM300" s="352"/>
      <c r="CN300" s="352"/>
      <c r="CO300" s="352"/>
      <c r="CP300" s="352"/>
      <c r="CQ300" s="352"/>
      <c r="CR300" s="352"/>
      <c r="CS300" s="352"/>
      <c r="CT300" s="352"/>
      <c r="CU300" s="352"/>
      <c r="CV300" s="352"/>
      <c r="CW300" s="352"/>
      <c r="CX300" s="352"/>
      <c r="CY300" s="352"/>
      <c r="CZ300" s="352"/>
      <c r="DA300" s="352"/>
      <c r="DB300" s="352"/>
      <c r="DC300" s="352"/>
      <c r="DD300" s="352"/>
      <c r="DE300" s="352"/>
      <c r="DF300" s="352"/>
      <c r="DG300" s="352"/>
      <c r="DH300" s="352"/>
      <c r="DI300" s="352"/>
      <c r="DJ300" s="352"/>
      <c r="DK300" s="352"/>
      <c r="DL300" s="352"/>
      <c r="DM300" s="352"/>
      <c r="DN300" s="352"/>
      <c r="DO300" s="352"/>
      <c r="DP300" s="352"/>
      <c r="DQ300" s="352"/>
      <c r="DR300" s="352"/>
      <c r="DS300" s="352"/>
      <c r="DT300" s="352"/>
      <c r="DU300" s="352"/>
      <c r="DV300" s="352"/>
      <c r="DW300" s="352"/>
      <c r="DX300" s="352"/>
      <c r="DY300" s="352"/>
      <c r="DZ300" s="352"/>
      <c r="EA300" s="352"/>
      <c r="EB300" s="352"/>
      <c r="EC300" s="352"/>
      <c r="ED300" s="352"/>
      <c r="EE300" s="352"/>
      <c r="EF300" s="352"/>
      <c r="EG300" s="352"/>
      <c r="EH300" s="352"/>
      <c r="EI300" s="352"/>
      <c r="EJ300" s="352"/>
      <c r="EK300" s="352"/>
      <c r="EL300" s="352"/>
      <c r="EM300" s="352"/>
      <c r="EN300" s="352"/>
    </row>
    <row r="301" spans="1:144" ht="20.100000000000001" customHeight="1">
      <c r="A301" s="118" t="s">
        <v>98</v>
      </c>
      <c r="B301" s="118" t="s">
        <v>587</v>
      </c>
      <c r="C301" s="119">
        <f>SUM('Thomson Reuters IMA  ($)'!I566,'Thomson Reuters IMA  ($)'!I568,'Thomson Reuters IMA  ($)'!I570)</f>
        <v>130.64099999999999</v>
      </c>
      <c r="D301" s="120">
        <f>'Sectors % GDP'!E26</f>
        <v>807690</v>
      </c>
      <c r="E301" s="120">
        <f t="shared" si="8"/>
        <v>1.6174646213274894E-4</v>
      </c>
      <c r="F301" s="123">
        <v>1</v>
      </c>
      <c r="G301" s="120">
        <v>8</v>
      </c>
      <c r="H301" s="122">
        <v>49.65</v>
      </c>
      <c r="I301" s="122">
        <v>38.78</v>
      </c>
      <c r="J301" s="123">
        <v>70.64</v>
      </c>
      <c r="K301" s="123">
        <v>39.020000000000003</v>
      </c>
      <c r="L301" s="123">
        <f t="shared" si="9"/>
        <v>2.2999999999999998</v>
      </c>
      <c r="M301" s="124">
        <v>2.3E-2</v>
      </c>
      <c r="N301" s="124">
        <v>5</v>
      </c>
      <c r="O301" s="125">
        <f>'Trade Data'!D20</f>
        <v>3.1016734840790141</v>
      </c>
      <c r="P301" s="127">
        <v>1</v>
      </c>
      <c r="Q301" s="352"/>
      <c r="R301" s="352"/>
      <c r="S301" s="352"/>
      <c r="T301" s="352"/>
      <c r="U301" s="352"/>
      <c r="V301" s="352"/>
      <c r="W301" s="352"/>
      <c r="X301" s="352"/>
      <c r="Y301" s="352"/>
      <c r="Z301" s="352"/>
      <c r="AA301" s="352"/>
      <c r="AB301" s="352"/>
      <c r="AC301" s="352"/>
      <c r="AD301" s="352"/>
      <c r="AE301" s="352"/>
      <c r="AF301" s="352"/>
      <c r="AG301" s="352"/>
      <c r="AH301" s="352"/>
      <c r="AI301" s="352"/>
      <c r="AJ301" s="352"/>
      <c r="AK301" s="352"/>
      <c r="AL301" s="352"/>
      <c r="AM301" s="352"/>
      <c r="AN301" s="352"/>
      <c r="AO301" s="352"/>
      <c r="AP301" s="352"/>
      <c r="AQ301" s="352"/>
      <c r="AR301" s="352"/>
      <c r="AS301" s="352"/>
      <c r="AT301" s="352"/>
      <c r="AU301" s="352"/>
      <c r="AV301" s="352"/>
      <c r="AW301" s="352"/>
      <c r="AX301" s="352"/>
      <c r="AY301" s="352"/>
      <c r="AZ301" s="352"/>
      <c r="BA301" s="352"/>
      <c r="BB301" s="352"/>
      <c r="BC301" s="352"/>
      <c r="BD301" s="352"/>
      <c r="BE301" s="352"/>
      <c r="BF301" s="352"/>
      <c r="BG301" s="352"/>
      <c r="BH301" s="352"/>
      <c r="BI301" s="352"/>
      <c r="BJ301" s="352"/>
      <c r="BK301" s="352"/>
      <c r="BL301" s="352"/>
      <c r="BM301" s="352"/>
      <c r="BN301" s="352"/>
      <c r="BO301" s="352"/>
      <c r="BP301" s="352"/>
      <c r="BQ301" s="352"/>
      <c r="BR301" s="352"/>
      <c r="BS301" s="352"/>
      <c r="BT301" s="352"/>
      <c r="BU301" s="352"/>
      <c r="BV301" s="352"/>
      <c r="BW301" s="352"/>
      <c r="BX301" s="352"/>
      <c r="BY301" s="352"/>
      <c r="BZ301" s="352"/>
      <c r="CA301" s="352"/>
      <c r="CB301" s="352"/>
      <c r="CC301" s="352"/>
      <c r="CD301" s="352"/>
      <c r="CE301" s="352"/>
      <c r="CF301" s="352"/>
      <c r="CG301" s="352"/>
      <c r="CH301" s="352"/>
      <c r="CI301" s="352"/>
      <c r="CJ301" s="352"/>
      <c r="CK301" s="352"/>
      <c r="CL301" s="352"/>
      <c r="CM301" s="352"/>
      <c r="CN301" s="352"/>
      <c r="CO301" s="352"/>
      <c r="CP301" s="352"/>
      <c r="CQ301" s="352"/>
      <c r="CR301" s="352"/>
      <c r="CS301" s="352"/>
      <c r="CT301" s="352"/>
      <c r="CU301" s="352"/>
      <c r="CV301" s="352"/>
      <c r="CW301" s="352"/>
      <c r="CX301" s="352"/>
      <c r="CY301" s="352"/>
      <c r="CZ301" s="352"/>
      <c r="DA301" s="352"/>
      <c r="DB301" s="352"/>
      <c r="DC301" s="352"/>
      <c r="DD301" s="352"/>
      <c r="DE301" s="352"/>
      <c r="DF301" s="352"/>
      <c r="DG301" s="352"/>
      <c r="DH301" s="352"/>
      <c r="DI301" s="352"/>
      <c r="DJ301" s="352"/>
      <c r="DK301" s="352"/>
      <c r="DL301" s="352"/>
      <c r="DM301" s="352"/>
      <c r="DN301" s="352"/>
      <c r="DO301" s="352"/>
      <c r="DP301" s="352"/>
      <c r="DQ301" s="352"/>
      <c r="DR301" s="352"/>
      <c r="DS301" s="352"/>
      <c r="DT301" s="352"/>
      <c r="DU301" s="352"/>
      <c r="DV301" s="352"/>
      <c r="DW301" s="352"/>
      <c r="DX301" s="352"/>
      <c r="DY301" s="352"/>
      <c r="DZ301" s="352"/>
      <c r="EA301" s="352"/>
      <c r="EB301" s="352"/>
      <c r="EC301" s="352"/>
      <c r="ED301" s="352"/>
      <c r="EE301" s="352"/>
      <c r="EF301" s="352"/>
      <c r="EG301" s="352"/>
      <c r="EH301" s="352"/>
      <c r="EI301" s="352"/>
      <c r="EJ301" s="352"/>
      <c r="EK301" s="352"/>
      <c r="EL301" s="352"/>
      <c r="EM301" s="352"/>
      <c r="EN301" s="352"/>
    </row>
    <row r="302" spans="1:144" s="169" customFormat="1" ht="20.100000000000001" customHeight="1">
      <c r="A302" s="160" t="s">
        <v>99</v>
      </c>
      <c r="B302" s="160" t="s">
        <v>586</v>
      </c>
      <c r="C302" s="161">
        <v>0</v>
      </c>
      <c r="D302" s="162">
        <f>'Sectors % GDP'!E24</f>
        <v>46020</v>
      </c>
      <c r="E302" s="162">
        <f t="shared" si="8"/>
        <v>0</v>
      </c>
      <c r="F302" s="165">
        <v>0</v>
      </c>
      <c r="G302" s="162">
        <v>0</v>
      </c>
      <c r="H302" s="164">
        <v>62.69</v>
      </c>
      <c r="I302" s="164">
        <v>70.7</v>
      </c>
      <c r="J302" s="165">
        <v>72.37</v>
      </c>
      <c r="K302" s="165">
        <v>39.020000000000003</v>
      </c>
      <c r="L302" s="165">
        <f t="shared" si="9"/>
        <v>2.2999999999999998</v>
      </c>
      <c r="M302" s="166">
        <v>2.3E-2</v>
      </c>
      <c r="N302" s="166">
        <v>5</v>
      </c>
      <c r="O302" s="167">
        <f>'Trade Data'!D20</f>
        <v>3.1016734840790141</v>
      </c>
      <c r="P302" s="168">
        <v>0</v>
      </c>
      <c r="Q302" s="352"/>
      <c r="R302" s="352"/>
      <c r="S302" s="352"/>
      <c r="T302" s="352"/>
      <c r="U302" s="352"/>
      <c r="V302" s="352"/>
      <c r="W302" s="352"/>
      <c r="X302" s="352"/>
      <c r="Y302" s="352"/>
      <c r="Z302" s="352"/>
      <c r="AA302" s="352"/>
      <c r="AB302" s="352"/>
      <c r="AC302" s="352"/>
      <c r="AD302" s="352"/>
      <c r="AE302" s="352"/>
      <c r="AF302" s="352"/>
      <c r="AG302" s="352"/>
      <c r="AH302" s="352"/>
      <c r="AI302" s="352"/>
      <c r="AJ302" s="352"/>
      <c r="AK302" s="352"/>
      <c r="AL302" s="352"/>
      <c r="AM302" s="352"/>
      <c r="AN302" s="352"/>
      <c r="AO302" s="352"/>
      <c r="AP302" s="352"/>
      <c r="AQ302" s="352"/>
      <c r="AR302" s="352"/>
      <c r="AS302" s="352"/>
      <c r="AT302" s="352"/>
      <c r="AU302" s="352"/>
      <c r="AV302" s="352"/>
      <c r="AW302" s="352"/>
      <c r="AX302" s="352"/>
      <c r="AY302" s="352"/>
      <c r="AZ302" s="352"/>
      <c r="BA302" s="352"/>
      <c r="BB302" s="352"/>
      <c r="BC302" s="352"/>
      <c r="BD302" s="352"/>
      <c r="BE302" s="352"/>
      <c r="BF302" s="352"/>
      <c r="BG302" s="352"/>
      <c r="BH302" s="352"/>
      <c r="BI302" s="352"/>
      <c r="BJ302" s="352"/>
      <c r="BK302" s="352"/>
      <c r="BL302" s="352"/>
      <c r="BM302" s="352"/>
      <c r="BN302" s="352"/>
      <c r="BO302" s="352"/>
      <c r="BP302" s="352"/>
      <c r="BQ302" s="352"/>
      <c r="BR302" s="352"/>
      <c r="BS302" s="352"/>
      <c r="BT302" s="352"/>
      <c r="BU302" s="352"/>
      <c r="BV302" s="352"/>
      <c r="BW302" s="352"/>
      <c r="BX302" s="352"/>
      <c r="BY302" s="352"/>
      <c r="BZ302" s="352"/>
      <c r="CA302" s="352"/>
      <c r="CB302" s="352"/>
      <c r="CC302" s="352"/>
      <c r="CD302" s="352"/>
      <c r="CE302" s="352"/>
      <c r="CF302" s="352"/>
      <c r="CG302" s="352"/>
      <c r="CH302" s="352"/>
      <c r="CI302" s="352"/>
      <c r="CJ302" s="352"/>
      <c r="CK302" s="352"/>
      <c r="CL302" s="352"/>
      <c r="CM302" s="352"/>
      <c r="CN302" s="352"/>
      <c r="CO302" s="352"/>
      <c r="CP302" s="352"/>
      <c r="CQ302" s="352"/>
      <c r="CR302" s="352"/>
      <c r="CS302" s="352"/>
      <c r="CT302" s="352"/>
      <c r="CU302" s="352"/>
      <c r="CV302" s="352"/>
      <c r="CW302" s="352"/>
      <c r="CX302" s="352"/>
      <c r="CY302" s="352"/>
      <c r="CZ302" s="352"/>
      <c r="DA302" s="352"/>
      <c r="DB302" s="352"/>
      <c r="DC302" s="352"/>
      <c r="DD302" s="352"/>
      <c r="DE302" s="352"/>
      <c r="DF302" s="352"/>
      <c r="DG302" s="352"/>
      <c r="DH302" s="352"/>
      <c r="DI302" s="352"/>
      <c r="DJ302" s="352"/>
      <c r="DK302" s="352"/>
      <c r="DL302" s="352"/>
      <c r="DM302" s="352"/>
      <c r="DN302" s="352"/>
      <c r="DO302" s="352"/>
      <c r="DP302" s="352"/>
      <c r="DQ302" s="352"/>
      <c r="DR302" s="352"/>
      <c r="DS302" s="352"/>
      <c r="DT302" s="352"/>
      <c r="DU302" s="352"/>
      <c r="DV302" s="352"/>
      <c r="DW302" s="352"/>
      <c r="DX302" s="352"/>
      <c r="DY302" s="352"/>
      <c r="DZ302" s="352"/>
      <c r="EA302" s="352"/>
      <c r="EB302" s="352"/>
      <c r="EC302" s="352"/>
      <c r="ED302" s="352"/>
      <c r="EE302" s="352"/>
      <c r="EF302" s="352"/>
      <c r="EG302" s="352"/>
      <c r="EH302" s="352"/>
      <c r="EI302" s="352"/>
      <c r="EJ302" s="352"/>
      <c r="EK302" s="352"/>
      <c r="EL302" s="352"/>
      <c r="EM302" s="352"/>
      <c r="EN302" s="352"/>
    </row>
    <row r="303" spans="1:144" s="188" customFormat="1" ht="20.100000000000001" customHeight="1">
      <c r="A303" s="179" t="s">
        <v>99</v>
      </c>
      <c r="B303" s="179" t="s">
        <v>585</v>
      </c>
      <c r="C303" s="180">
        <f>'Thomson Reuters IMA  ($)'!I573+'Thomson Reuters IMA  ($)'!I574+'Thomson Reuters IMA  ($)'!I575+'Thomson Reuters IMA  ($)'!I578+'Thomson Reuters IMA  ($)'!I579+'Thomson Reuters IMA  ($)'!I580</f>
        <v>2152.607</v>
      </c>
      <c r="D303" s="181">
        <f>'Sectors % GDP'!E25</f>
        <v>446290</v>
      </c>
      <c r="E303" s="181">
        <f t="shared" si="8"/>
        <v>4.8233368437563019E-3</v>
      </c>
      <c r="F303" s="184">
        <v>1</v>
      </c>
      <c r="G303" s="181">
        <v>14</v>
      </c>
      <c r="H303" s="183">
        <v>62.69</v>
      </c>
      <c r="I303" s="183">
        <v>70.7</v>
      </c>
      <c r="J303" s="184">
        <v>72.37</v>
      </c>
      <c r="K303" s="184">
        <v>39.020000000000003</v>
      </c>
      <c r="L303" s="184">
        <f t="shared" si="9"/>
        <v>2.2999999999999998</v>
      </c>
      <c r="M303" s="185">
        <v>2.3E-2</v>
      </c>
      <c r="N303" s="185">
        <v>5</v>
      </c>
      <c r="O303" s="186">
        <f>'Trade Data'!D20</f>
        <v>3.1016734840790141</v>
      </c>
      <c r="P303" s="187">
        <v>1</v>
      </c>
      <c r="Q303" s="352"/>
      <c r="R303" s="352"/>
      <c r="S303" s="352"/>
      <c r="T303" s="352"/>
      <c r="U303" s="352"/>
      <c r="V303" s="352"/>
      <c r="W303" s="352"/>
      <c r="X303" s="352"/>
      <c r="Y303" s="352"/>
      <c r="Z303" s="352"/>
      <c r="AA303" s="352"/>
      <c r="AB303" s="352"/>
      <c r="AC303" s="352"/>
      <c r="AD303" s="352"/>
      <c r="AE303" s="352"/>
      <c r="AF303" s="352"/>
      <c r="AG303" s="352"/>
      <c r="AH303" s="352"/>
      <c r="AI303" s="352"/>
      <c r="AJ303" s="352"/>
      <c r="AK303" s="352"/>
      <c r="AL303" s="352"/>
      <c r="AM303" s="352"/>
      <c r="AN303" s="352"/>
      <c r="AO303" s="352"/>
      <c r="AP303" s="352"/>
      <c r="AQ303" s="352"/>
      <c r="AR303" s="352"/>
      <c r="AS303" s="352"/>
      <c r="AT303" s="352"/>
      <c r="AU303" s="352"/>
      <c r="AV303" s="352"/>
      <c r="AW303" s="352"/>
      <c r="AX303" s="352"/>
      <c r="AY303" s="352"/>
      <c r="AZ303" s="352"/>
      <c r="BA303" s="352"/>
      <c r="BB303" s="352"/>
      <c r="BC303" s="352"/>
      <c r="BD303" s="352"/>
      <c r="BE303" s="352"/>
      <c r="BF303" s="352"/>
      <c r="BG303" s="352"/>
      <c r="BH303" s="352"/>
      <c r="BI303" s="352"/>
      <c r="BJ303" s="352"/>
      <c r="BK303" s="352"/>
      <c r="BL303" s="352"/>
      <c r="BM303" s="352"/>
      <c r="BN303" s="352"/>
      <c r="BO303" s="352"/>
      <c r="BP303" s="352"/>
      <c r="BQ303" s="352"/>
      <c r="BR303" s="352"/>
      <c r="BS303" s="352"/>
      <c r="BT303" s="352"/>
      <c r="BU303" s="352"/>
      <c r="BV303" s="352"/>
      <c r="BW303" s="352"/>
      <c r="BX303" s="352"/>
      <c r="BY303" s="352"/>
      <c r="BZ303" s="352"/>
      <c r="CA303" s="352"/>
      <c r="CB303" s="352"/>
      <c r="CC303" s="352"/>
      <c r="CD303" s="352"/>
      <c r="CE303" s="352"/>
      <c r="CF303" s="352"/>
      <c r="CG303" s="352"/>
      <c r="CH303" s="352"/>
      <c r="CI303" s="352"/>
      <c r="CJ303" s="352"/>
      <c r="CK303" s="352"/>
      <c r="CL303" s="352"/>
      <c r="CM303" s="352"/>
      <c r="CN303" s="352"/>
      <c r="CO303" s="352"/>
      <c r="CP303" s="352"/>
      <c r="CQ303" s="352"/>
      <c r="CR303" s="352"/>
      <c r="CS303" s="352"/>
      <c r="CT303" s="352"/>
      <c r="CU303" s="352"/>
      <c r="CV303" s="352"/>
      <c r="CW303" s="352"/>
      <c r="CX303" s="352"/>
      <c r="CY303" s="352"/>
      <c r="CZ303" s="352"/>
      <c r="DA303" s="352"/>
      <c r="DB303" s="352"/>
      <c r="DC303" s="352"/>
      <c r="DD303" s="352"/>
      <c r="DE303" s="352"/>
      <c r="DF303" s="352"/>
      <c r="DG303" s="352"/>
      <c r="DH303" s="352"/>
      <c r="DI303" s="352"/>
      <c r="DJ303" s="352"/>
      <c r="DK303" s="352"/>
      <c r="DL303" s="352"/>
      <c r="DM303" s="352"/>
      <c r="DN303" s="352"/>
      <c r="DO303" s="352"/>
      <c r="DP303" s="352"/>
      <c r="DQ303" s="352"/>
      <c r="DR303" s="352"/>
      <c r="DS303" s="352"/>
      <c r="DT303" s="352"/>
      <c r="DU303" s="352"/>
      <c r="DV303" s="352"/>
      <c r="DW303" s="352"/>
      <c r="DX303" s="352"/>
      <c r="DY303" s="352"/>
      <c r="DZ303" s="352"/>
      <c r="EA303" s="352"/>
      <c r="EB303" s="352"/>
      <c r="EC303" s="352"/>
      <c r="ED303" s="352"/>
      <c r="EE303" s="352"/>
      <c r="EF303" s="352"/>
      <c r="EG303" s="352"/>
      <c r="EH303" s="352"/>
      <c r="EI303" s="352"/>
      <c r="EJ303" s="352"/>
      <c r="EK303" s="352"/>
      <c r="EL303" s="352"/>
      <c r="EM303" s="352"/>
      <c r="EN303" s="352"/>
    </row>
    <row r="304" spans="1:144" ht="20.100000000000001" customHeight="1">
      <c r="A304" s="118" t="s">
        <v>99</v>
      </c>
      <c r="B304" s="118" t="s">
        <v>584</v>
      </c>
      <c r="C304" s="119">
        <f>'Thomson Reuters IMA  ($)'!I576+'Thomson Reuters IMA  ($)'!I577</f>
        <v>43.5</v>
      </c>
      <c r="D304" s="120">
        <f>'Sectors % GDP'!E26</f>
        <v>807690</v>
      </c>
      <c r="E304" s="120">
        <f t="shared" si="8"/>
        <v>5.3857296735133531E-5</v>
      </c>
      <c r="F304" s="123">
        <v>1</v>
      </c>
      <c r="G304" s="120">
        <v>10</v>
      </c>
      <c r="H304" s="122">
        <v>62.69</v>
      </c>
      <c r="I304" s="122">
        <v>70.7</v>
      </c>
      <c r="J304" s="123">
        <v>72.37</v>
      </c>
      <c r="K304" s="123">
        <v>39.020000000000003</v>
      </c>
      <c r="L304" s="123">
        <f t="shared" si="9"/>
        <v>2.2999999999999998</v>
      </c>
      <c r="M304" s="124">
        <v>2.3E-2</v>
      </c>
      <c r="N304" s="124">
        <v>5</v>
      </c>
      <c r="O304" s="125">
        <f>'Trade Data'!D20</f>
        <v>3.1016734840790141</v>
      </c>
      <c r="P304" s="126">
        <v>1</v>
      </c>
      <c r="Q304" s="352"/>
      <c r="R304" s="352"/>
      <c r="S304" s="352"/>
      <c r="T304" s="352"/>
      <c r="U304" s="352"/>
      <c r="V304" s="352"/>
      <c r="W304" s="352"/>
      <c r="X304" s="352"/>
      <c r="Y304" s="352"/>
      <c r="Z304" s="352"/>
      <c r="AA304" s="352"/>
      <c r="AB304" s="352"/>
      <c r="AC304" s="352"/>
      <c r="AD304" s="352"/>
      <c r="AE304" s="352"/>
      <c r="AF304" s="352"/>
      <c r="AG304" s="352"/>
      <c r="AH304" s="352"/>
      <c r="AI304" s="352"/>
      <c r="AJ304" s="352"/>
      <c r="AK304" s="352"/>
      <c r="AL304" s="352"/>
      <c r="AM304" s="352"/>
      <c r="AN304" s="352"/>
      <c r="AO304" s="352"/>
      <c r="AP304" s="352"/>
      <c r="AQ304" s="352"/>
      <c r="AR304" s="352"/>
      <c r="AS304" s="352"/>
      <c r="AT304" s="352"/>
      <c r="AU304" s="352"/>
      <c r="AV304" s="352"/>
      <c r="AW304" s="352"/>
      <c r="AX304" s="352"/>
      <c r="AY304" s="352"/>
      <c r="AZ304" s="352"/>
      <c r="BA304" s="352"/>
      <c r="BB304" s="352"/>
      <c r="BC304" s="352"/>
      <c r="BD304" s="352"/>
      <c r="BE304" s="352"/>
      <c r="BF304" s="352"/>
      <c r="BG304" s="352"/>
      <c r="BH304" s="352"/>
      <c r="BI304" s="352"/>
      <c r="BJ304" s="352"/>
      <c r="BK304" s="352"/>
      <c r="BL304" s="352"/>
      <c r="BM304" s="352"/>
      <c r="BN304" s="352"/>
      <c r="BO304" s="352"/>
      <c r="BP304" s="352"/>
      <c r="BQ304" s="352"/>
      <c r="BR304" s="352"/>
      <c r="BS304" s="352"/>
      <c r="BT304" s="352"/>
      <c r="BU304" s="352"/>
      <c r="BV304" s="352"/>
      <c r="BW304" s="352"/>
      <c r="BX304" s="352"/>
      <c r="BY304" s="352"/>
      <c r="BZ304" s="352"/>
      <c r="CA304" s="352"/>
      <c r="CB304" s="352"/>
      <c r="CC304" s="352"/>
      <c r="CD304" s="352"/>
      <c r="CE304" s="352"/>
      <c r="CF304" s="352"/>
      <c r="CG304" s="352"/>
      <c r="CH304" s="352"/>
      <c r="CI304" s="352"/>
      <c r="CJ304" s="352"/>
      <c r="CK304" s="352"/>
      <c r="CL304" s="352"/>
      <c r="CM304" s="352"/>
      <c r="CN304" s="352"/>
      <c r="CO304" s="352"/>
      <c r="CP304" s="352"/>
      <c r="CQ304" s="352"/>
      <c r="CR304" s="352"/>
      <c r="CS304" s="352"/>
      <c r="CT304" s="352"/>
      <c r="CU304" s="352"/>
      <c r="CV304" s="352"/>
      <c r="CW304" s="352"/>
      <c r="CX304" s="352"/>
      <c r="CY304" s="352"/>
      <c r="CZ304" s="352"/>
      <c r="DA304" s="352"/>
      <c r="DB304" s="352"/>
      <c r="DC304" s="352"/>
      <c r="DD304" s="352"/>
      <c r="DE304" s="352"/>
      <c r="DF304" s="352"/>
      <c r="DG304" s="352"/>
      <c r="DH304" s="352"/>
      <c r="DI304" s="352"/>
      <c r="DJ304" s="352"/>
      <c r="DK304" s="352"/>
      <c r="DL304" s="352"/>
      <c r="DM304" s="352"/>
      <c r="DN304" s="352"/>
      <c r="DO304" s="352"/>
      <c r="DP304" s="352"/>
      <c r="DQ304" s="352"/>
      <c r="DR304" s="352"/>
      <c r="DS304" s="352"/>
      <c r="DT304" s="352"/>
      <c r="DU304" s="352"/>
      <c r="DV304" s="352"/>
      <c r="DW304" s="352"/>
      <c r="DX304" s="352"/>
      <c r="DY304" s="352"/>
      <c r="DZ304" s="352"/>
      <c r="EA304" s="352"/>
      <c r="EB304" s="352"/>
      <c r="EC304" s="352"/>
      <c r="ED304" s="352"/>
      <c r="EE304" s="352"/>
      <c r="EF304" s="352"/>
      <c r="EG304" s="352"/>
      <c r="EH304" s="352"/>
      <c r="EI304" s="352"/>
      <c r="EJ304" s="352"/>
      <c r="EK304" s="352"/>
      <c r="EL304" s="352"/>
      <c r="EM304" s="352"/>
      <c r="EN304" s="352"/>
    </row>
    <row r="305" spans="1:144" s="169" customFormat="1" ht="20.100000000000001" customHeight="1">
      <c r="A305" s="160" t="s">
        <v>100</v>
      </c>
      <c r="B305" s="160" t="s">
        <v>583</v>
      </c>
      <c r="C305" s="161">
        <v>0</v>
      </c>
      <c r="D305" s="162">
        <f>'Sectors % GDP'!E24</f>
        <v>46020</v>
      </c>
      <c r="E305" s="162">
        <f t="shared" si="8"/>
        <v>0</v>
      </c>
      <c r="F305" s="165">
        <v>0</v>
      </c>
      <c r="G305" s="162">
        <v>0</v>
      </c>
      <c r="H305" s="164">
        <v>59.26</v>
      </c>
      <c r="I305" s="164">
        <v>57.59</v>
      </c>
      <c r="J305" s="165">
        <v>76.239999999999995</v>
      </c>
      <c r="K305" s="165">
        <v>39.020000000000003</v>
      </c>
      <c r="L305" s="165">
        <f t="shared" si="9"/>
        <v>2.2999999999999998</v>
      </c>
      <c r="M305" s="166">
        <v>2.3E-2</v>
      </c>
      <c r="N305" s="166">
        <v>5</v>
      </c>
      <c r="O305" s="167">
        <f>'Trade Data'!D20</f>
        <v>3.1016734840790141</v>
      </c>
      <c r="P305" s="170">
        <v>0</v>
      </c>
      <c r="Q305" s="352"/>
      <c r="R305" s="352"/>
      <c r="S305" s="352"/>
      <c r="T305" s="352"/>
      <c r="U305" s="352"/>
      <c r="V305" s="352"/>
      <c r="W305" s="352"/>
      <c r="X305" s="352"/>
      <c r="Y305" s="352"/>
      <c r="Z305" s="352"/>
      <c r="AA305" s="352"/>
      <c r="AB305" s="352"/>
      <c r="AC305" s="352"/>
      <c r="AD305" s="352"/>
      <c r="AE305" s="352"/>
      <c r="AF305" s="352"/>
      <c r="AG305" s="352"/>
      <c r="AH305" s="352"/>
      <c r="AI305" s="352"/>
      <c r="AJ305" s="352"/>
      <c r="AK305" s="352"/>
      <c r="AL305" s="352"/>
      <c r="AM305" s="352"/>
      <c r="AN305" s="352"/>
      <c r="AO305" s="352"/>
      <c r="AP305" s="352"/>
      <c r="AQ305" s="352"/>
      <c r="AR305" s="352"/>
      <c r="AS305" s="352"/>
      <c r="AT305" s="352"/>
      <c r="AU305" s="352"/>
      <c r="AV305" s="352"/>
      <c r="AW305" s="352"/>
      <c r="AX305" s="352"/>
      <c r="AY305" s="352"/>
      <c r="AZ305" s="352"/>
      <c r="BA305" s="352"/>
      <c r="BB305" s="352"/>
      <c r="BC305" s="352"/>
      <c r="BD305" s="352"/>
      <c r="BE305" s="352"/>
      <c r="BF305" s="352"/>
      <c r="BG305" s="352"/>
      <c r="BH305" s="352"/>
      <c r="BI305" s="352"/>
      <c r="BJ305" s="352"/>
      <c r="BK305" s="352"/>
      <c r="BL305" s="352"/>
      <c r="BM305" s="352"/>
      <c r="BN305" s="352"/>
      <c r="BO305" s="352"/>
      <c r="BP305" s="352"/>
      <c r="BQ305" s="352"/>
      <c r="BR305" s="352"/>
      <c r="BS305" s="352"/>
      <c r="BT305" s="352"/>
      <c r="BU305" s="352"/>
      <c r="BV305" s="352"/>
      <c r="BW305" s="352"/>
      <c r="BX305" s="352"/>
      <c r="BY305" s="352"/>
      <c r="BZ305" s="352"/>
      <c r="CA305" s="352"/>
      <c r="CB305" s="352"/>
      <c r="CC305" s="352"/>
      <c r="CD305" s="352"/>
      <c r="CE305" s="352"/>
      <c r="CF305" s="352"/>
      <c r="CG305" s="352"/>
      <c r="CH305" s="352"/>
      <c r="CI305" s="352"/>
      <c r="CJ305" s="352"/>
      <c r="CK305" s="352"/>
      <c r="CL305" s="352"/>
      <c r="CM305" s="352"/>
      <c r="CN305" s="352"/>
      <c r="CO305" s="352"/>
      <c r="CP305" s="352"/>
      <c r="CQ305" s="352"/>
      <c r="CR305" s="352"/>
      <c r="CS305" s="352"/>
      <c r="CT305" s="352"/>
      <c r="CU305" s="352"/>
      <c r="CV305" s="352"/>
      <c r="CW305" s="352"/>
      <c r="CX305" s="352"/>
      <c r="CY305" s="352"/>
      <c r="CZ305" s="352"/>
      <c r="DA305" s="352"/>
      <c r="DB305" s="352"/>
      <c r="DC305" s="352"/>
      <c r="DD305" s="352"/>
      <c r="DE305" s="352"/>
      <c r="DF305" s="352"/>
      <c r="DG305" s="352"/>
      <c r="DH305" s="352"/>
      <c r="DI305" s="352"/>
      <c r="DJ305" s="352"/>
      <c r="DK305" s="352"/>
      <c r="DL305" s="352"/>
      <c r="DM305" s="352"/>
      <c r="DN305" s="352"/>
      <c r="DO305" s="352"/>
      <c r="DP305" s="352"/>
      <c r="DQ305" s="352"/>
      <c r="DR305" s="352"/>
      <c r="DS305" s="352"/>
      <c r="DT305" s="352"/>
      <c r="DU305" s="352"/>
      <c r="DV305" s="352"/>
      <c r="DW305" s="352"/>
      <c r="DX305" s="352"/>
      <c r="DY305" s="352"/>
      <c r="DZ305" s="352"/>
      <c r="EA305" s="352"/>
      <c r="EB305" s="352"/>
      <c r="EC305" s="352"/>
      <c r="ED305" s="352"/>
      <c r="EE305" s="352"/>
      <c r="EF305" s="352"/>
      <c r="EG305" s="352"/>
      <c r="EH305" s="352"/>
      <c r="EI305" s="352"/>
      <c r="EJ305" s="352"/>
      <c r="EK305" s="352"/>
      <c r="EL305" s="352"/>
      <c r="EM305" s="352"/>
      <c r="EN305" s="352"/>
    </row>
    <row r="306" spans="1:144" s="188" customFormat="1" ht="20.100000000000001" customHeight="1">
      <c r="A306" s="179" t="s">
        <v>100</v>
      </c>
      <c r="B306" s="179" t="s">
        <v>582</v>
      </c>
      <c r="C306" s="180">
        <f>'Thomson Reuters IMA  ($)'!I581+'Thomson Reuters IMA  ($)'!I582+'Thomson Reuters IMA  ($)'!I583+'Thomson Reuters IMA  ($)'!I584+'Thomson Reuters IMA  ($)'!I586+'Thomson Reuters IMA  ($)'!I587+'Thomson Reuters IMA  ($)'!I588</f>
        <v>441.04399999999998</v>
      </c>
      <c r="D306" s="181">
        <f>'Sectors % GDP'!E25</f>
        <v>446290</v>
      </c>
      <c r="E306" s="181">
        <f t="shared" si="8"/>
        <v>9.8824531134464127E-4</v>
      </c>
      <c r="F306" s="184">
        <v>1</v>
      </c>
      <c r="G306" s="181">
        <v>16</v>
      </c>
      <c r="H306" s="183">
        <v>59.26</v>
      </c>
      <c r="I306" s="183">
        <v>57.59</v>
      </c>
      <c r="J306" s="184">
        <v>76.239999999999995</v>
      </c>
      <c r="K306" s="184">
        <v>39.020000000000003</v>
      </c>
      <c r="L306" s="184">
        <f t="shared" si="9"/>
        <v>2.2999999999999998</v>
      </c>
      <c r="M306" s="185">
        <v>2.3E-2</v>
      </c>
      <c r="N306" s="185">
        <v>5</v>
      </c>
      <c r="O306" s="186">
        <f>'Trade Data'!D20</f>
        <v>3.1016734840790141</v>
      </c>
      <c r="P306" s="189">
        <v>1</v>
      </c>
      <c r="Q306" s="352"/>
      <c r="R306" s="352"/>
      <c r="S306" s="352"/>
      <c r="T306" s="352"/>
      <c r="U306" s="352"/>
      <c r="V306" s="352"/>
      <c r="W306" s="352"/>
      <c r="X306" s="352"/>
      <c r="Y306" s="352"/>
      <c r="Z306" s="352"/>
      <c r="AA306" s="352"/>
      <c r="AB306" s="352"/>
      <c r="AC306" s="352"/>
      <c r="AD306" s="352"/>
      <c r="AE306" s="352"/>
      <c r="AF306" s="352"/>
      <c r="AG306" s="352"/>
      <c r="AH306" s="352"/>
      <c r="AI306" s="352"/>
      <c r="AJ306" s="352"/>
      <c r="AK306" s="352"/>
      <c r="AL306" s="352"/>
      <c r="AM306" s="352"/>
      <c r="AN306" s="352"/>
      <c r="AO306" s="352"/>
      <c r="AP306" s="352"/>
      <c r="AQ306" s="352"/>
      <c r="AR306" s="352"/>
      <c r="AS306" s="352"/>
      <c r="AT306" s="352"/>
      <c r="AU306" s="352"/>
      <c r="AV306" s="352"/>
      <c r="AW306" s="352"/>
      <c r="AX306" s="352"/>
      <c r="AY306" s="352"/>
      <c r="AZ306" s="352"/>
      <c r="BA306" s="352"/>
      <c r="BB306" s="352"/>
      <c r="BC306" s="352"/>
      <c r="BD306" s="352"/>
      <c r="BE306" s="352"/>
      <c r="BF306" s="352"/>
      <c r="BG306" s="352"/>
      <c r="BH306" s="352"/>
      <c r="BI306" s="352"/>
      <c r="BJ306" s="352"/>
      <c r="BK306" s="352"/>
      <c r="BL306" s="352"/>
      <c r="BM306" s="352"/>
      <c r="BN306" s="352"/>
      <c r="BO306" s="352"/>
      <c r="BP306" s="352"/>
      <c r="BQ306" s="352"/>
      <c r="BR306" s="352"/>
      <c r="BS306" s="352"/>
      <c r="BT306" s="352"/>
      <c r="BU306" s="352"/>
      <c r="BV306" s="352"/>
      <c r="BW306" s="352"/>
      <c r="BX306" s="352"/>
      <c r="BY306" s="352"/>
      <c r="BZ306" s="352"/>
      <c r="CA306" s="352"/>
      <c r="CB306" s="352"/>
      <c r="CC306" s="352"/>
      <c r="CD306" s="352"/>
      <c r="CE306" s="352"/>
      <c r="CF306" s="352"/>
      <c r="CG306" s="352"/>
      <c r="CH306" s="352"/>
      <c r="CI306" s="352"/>
      <c r="CJ306" s="352"/>
      <c r="CK306" s="352"/>
      <c r="CL306" s="352"/>
      <c r="CM306" s="352"/>
      <c r="CN306" s="352"/>
      <c r="CO306" s="352"/>
      <c r="CP306" s="352"/>
      <c r="CQ306" s="352"/>
      <c r="CR306" s="352"/>
      <c r="CS306" s="352"/>
      <c r="CT306" s="352"/>
      <c r="CU306" s="352"/>
      <c r="CV306" s="352"/>
      <c r="CW306" s="352"/>
      <c r="CX306" s="352"/>
      <c r="CY306" s="352"/>
      <c r="CZ306" s="352"/>
      <c r="DA306" s="352"/>
      <c r="DB306" s="352"/>
      <c r="DC306" s="352"/>
      <c r="DD306" s="352"/>
      <c r="DE306" s="352"/>
      <c r="DF306" s="352"/>
      <c r="DG306" s="352"/>
      <c r="DH306" s="352"/>
      <c r="DI306" s="352"/>
      <c r="DJ306" s="352"/>
      <c r="DK306" s="352"/>
      <c r="DL306" s="352"/>
      <c r="DM306" s="352"/>
      <c r="DN306" s="352"/>
      <c r="DO306" s="352"/>
      <c r="DP306" s="352"/>
      <c r="DQ306" s="352"/>
      <c r="DR306" s="352"/>
      <c r="DS306" s="352"/>
      <c r="DT306" s="352"/>
      <c r="DU306" s="352"/>
      <c r="DV306" s="352"/>
      <c r="DW306" s="352"/>
      <c r="DX306" s="352"/>
      <c r="DY306" s="352"/>
      <c r="DZ306" s="352"/>
      <c r="EA306" s="352"/>
      <c r="EB306" s="352"/>
      <c r="EC306" s="352"/>
      <c r="ED306" s="352"/>
      <c r="EE306" s="352"/>
      <c r="EF306" s="352"/>
      <c r="EG306" s="352"/>
      <c r="EH306" s="352"/>
      <c r="EI306" s="352"/>
      <c r="EJ306" s="352"/>
      <c r="EK306" s="352"/>
      <c r="EL306" s="352"/>
      <c r="EM306" s="352"/>
      <c r="EN306" s="352"/>
    </row>
    <row r="307" spans="1:144" ht="20.100000000000001" customHeight="1">
      <c r="A307" s="118" t="s">
        <v>100</v>
      </c>
      <c r="B307" s="118" t="s">
        <v>581</v>
      </c>
      <c r="C307" s="119">
        <f>SUM('Thomson Reuters IMA  ($)'!I585+'Thomson Reuters IMA  ($)'!I589)</f>
        <v>2516.9580000000001</v>
      </c>
      <c r="D307" s="120">
        <f>'Sectors % GDP'!E26</f>
        <v>807690</v>
      </c>
      <c r="E307" s="120">
        <f t="shared" si="8"/>
        <v>3.116242617836051E-3</v>
      </c>
      <c r="F307" s="123">
        <v>1</v>
      </c>
      <c r="G307" s="120">
        <v>13</v>
      </c>
      <c r="H307" s="122">
        <v>59.26</v>
      </c>
      <c r="I307" s="122">
        <v>57.59</v>
      </c>
      <c r="J307" s="123">
        <v>76.239999999999995</v>
      </c>
      <c r="K307" s="123">
        <v>39.020000000000003</v>
      </c>
      <c r="L307" s="123">
        <f t="shared" si="9"/>
        <v>2.2999999999999998</v>
      </c>
      <c r="M307" s="124">
        <v>2.3E-2</v>
      </c>
      <c r="N307" s="124">
        <v>5</v>
      </c>
      <c r="O307" s="125">
        <f>'Trade Data'!D20</f>
        <v>3.1016734840790141</v>
      </c>
      <c r="P307" s="127">
        <v>1</v>
      </c>
      <c r="Q307" s="352"/>
      <c r="R307" s="352"/>
      <c r="S307" s="352"/>
      <c r="T307" s="352"/>
      <c r="U307" s="352"/>
      <c r="V307" s="352"/>
      <c r="W307" s="352"/>
      <c r="X307" s="352"/>
      <c r="Y307" s="352"/>
      <c r="Z307" s="352"/>
      <c r="AA307" s="352"/>
      <c r="AB307" s="352"/>
      <c r="AC307" s="352"/>
      <c r="AD307" s="352"/>
      <c r="AE307" s="352"/>
      <c r="AF307" s="352"/>
      <c r="AG307" s="352"/>
      <c r="AH307" s="352"/>
      <c r="AI307" s="352"/>
      <c r="AJ307" s="352"/>
      <c r="AK307" s="352"/>
      <c r="AL307" s="352"/>
      <c r="AM307" s="352"/>
      <c r="AN307" s="352"/>
      <c r="AO307" s="352"/>
      <c r="AP307" s="352"/>
      <c r="AQ307" s="352"/>
      <c r="AR307" s="352"/>
      <c r="AS307" s="352"/>
      <c r="AT307" s="352"/>
      <c r="AU307" s="352"/>
      <c r="AV307" s="352"/>
      <c r="AW307" s="352"/>
      <c r="AX307" s="352"/>
      <c r="AY307" s="352"/>
      <c r="AZ307" s="352"/>
      <c r="BA307" s="352"/>
      <c r="BB307" s="352"/>
      <c r="BC307" s="352"/>
      <c r="BD307" s="352"/>
      <c r="BE307" s="352"/>
      <c r="BF307" s="352"/>
      <c r="BG307" s="352"/>
      <c r="BH307" s="352"/>
      <c r="BI307" s="352"/>
      <c r="BJ307" s="352"/>
      <c r="BK307" s="352"/>
      <c r="BL307" s="352"/>
      <c r="BM307" s="352"/>
      <c r="BN307" s="352"/>
      <c r="BO307" s="352"/>
      <c r="BP307" s="352"/>
      <c r="BQ307" s="352"/>
      <c r="BR307" s="352"/>
      <c r="BS307" s="352"/>
      <c r="BT307" s="352"/>
      <c r="BU307" s="352"/>
      <c r="BV307" s="352"/>
      <c r="BW307" s="352"/>
      <c r="BX307" s="352"/>
      <c r="BY307" s="352"/>
      <c r="BZ307" s="352"/>
      <c r="CA307" s="352"/>
      <c r="CB307" s="352"/>
      <c r="CC307" s="352"/>
      <c r="CD307" s="352"/>
      <c r="CE307" s="352"/>
      <c r="CF307" s="352"/>
      <c r="CG307" s="352"/>
      <c r="CH307" s="352"/>
      <c r="CI307" s="352"/>
      <c r="CJ307" s="352"/>
      <c r="CK307" s="352"/>
      <c r="CL307" s="352"/>
      <c r="CM307" s="352"/>
      <c r="CN307" s="352"/>
      <c r="CO307" s="352"/>
      <c r="CP307" s="352"/>
      <c r="CQ307" s="352"/>
      <c r="CR307" s="352"/>
      <c r="CS307" s="352"/>
      <c r="CT307" s="352"/>
      <c r="CU307" s="352"/>
      <c r="CV307" s="352"/>
      <c r="CW307" s="352"/>
      <c r="CX307" s="352"/>
      <c r="CY307" s="352"/>
      <c r="CZ307" s="352"/>
      <c r="DA307" s="352"/>
      <c r="DB307" s="352"/>
      <c r="DC307" s="352"/>
      <c r="DD307" s="352"/>
      <c r="DE307" s="352"/>
      <c r="DF307" s="352"/>
      <c r="DG307" s="352"/>
      <c r="DH307" s="352"/>
      <c r="DI307" s="352"/>
      <c r="DJ307" s="352"/>
      <c r="DK307" s="352"/>
      <c r="DL307" s="352"/>
      <c r="DM307" s="352"/>
      <c r="DN307" s="352"/>
      <c r="DO307" s="352"/>
      <c r="DP307" s="352"/>
      <c r="DQ307" s="352"/>
      <c r="DR307" s="352"/>
      <c r="DS307" s="352"/>
      <c r="DT307" s="352"/>
      <c r="DU307" s="352"/>
      <c r="DV307" s="352"/>
      <c r="DW307" s="352"/>
      <c r="DX307" s="352"/>
      <c r="DY307" s="352"/>
      <c r="DZ307" s="352"/>
      <c r="EA307" s="352"/>
      <c r="EB307" s="352"/>
      <c r="EC307" s="352"/>
      <c r="ED307" s="352"/>
      <c r="EE307" s="352"/>
      <c r="EF307" s="352"/>
      <c r="EG307" s="352"/>
      <c r="EH307" s="352"/>
      <c r="EI307" s="352"/>
      <c r="EJ307" s="352"/>
      <c r="EK307" s="352"/>
      <c r="EL307" s="352"/>
      <c r="EM307" s="352"/>
      <c r="EN307" s="352"/>
    </row>
    <row r="308" spans="1:144" s="169" customFormat="1" ht="20.100000000000001" customHeight="1">
      <c r="A308" s="160" t="s">
        <v>101</v>
      </c>
      <c r="B308" s="160" t="s">
        <v>580</v>
      </c>
      <c r="C308" s="161">
        <v>0</v>
      </c>
      <c r="D308" s="162">
        <f>'Sectors % GDP'!G24</f>
        <v>41515</v>
      </c>
      <c r="E308" s="162">
        <f t="shared" si="8"/>
        <v>0</v>
      </c>
      <c r="F308" s="165">
        <v>0</v>
      </c>
      <c r="G308" s="162">
        <v>0</v>
      </c>
      <c r="H308" s="164">
        <v>56.36</v>
      </c>
      <c r="I308" s="164">
        <v>55.59</v>
      </c>
      <c r="J308" s="164">
        <v>77.510000000000005</v>
      </c>
      <c r="K308" s="165">
        <v>32.9</v>
      </c>
      <c r="L308" s="165">
        <f t="shared" si="9"/>
        <v>2.2999999999999998</v>
      </c>
      <c r="M308" s="166">
        <v>2.3E-2</v>
      </c>
      <c r="N308" s="166">
        <v>5</v>
      </c>
      <c r="O308" s="167">
        <f>'Trade Data'!D20</f>
        <v>3.1016734840790141</v>
      </c>
      <c r="P308" s="168">
        <v>0</v>
      </c>
      <c r="Q308" s="352"/>
      <c r="R308" s="352"/>
      <c r="S308" s="352"/>
      <c r="T308" s="352"/>
      <c r="U308" s="352"/>
      <c r="V308" s="352"/>
      <c r="W308" s="352"/>
      <c r="X308" s="352"/>
      <c r="Y308" s="352"/>
      <c r="Z308" s="352"/>
      <c r="AA308" s="352"/>
      <c r="AB308" s="352"/>
      <c r="AC308" s="352"/>
      <c r="AD308" s="352"/>
      <c r="AE308" s="352"/>
      <c r="AF308" s="352"/>
      <c r="AG308" s="352"/>
      <c r="AH308" s="352"/>
      <c r="AI308" s="352"/>
      <c r="AJ308" s="352"/>
      <c r="AK308" s="352"/>
      <c r="AL308" s="352"/>
      <c r="AM308" s="352"/>
      <c r="AN308" s="352"/>
      <c r="AO308" s="352"/>
      <c r="AP308" s="352"/>
      <c r="AQ308" s="352"/>
      <c r="AR308" s="352"/>
      <c r="AS308" s="352"/>
      <c r="AT308" s="352"/>
      <c r="AU308" s="352"/>
      <c r="AV308" s="352"/>
      <c r="AW308" s="352"/>
      <c r="AX308" s="352"/>
      <c r="AY308" s="352"/>
      <c r="AZ308" s="352"/>
      <c r="BA308" s="352"/>
      <c r="BB308" s="352"/>
      <c r="BC308" s="352"/>
      <c r="BD308" s="352"/>
      <c r="BE308" s="352"/>
      <c r="BF308" s="352"/>
      <c r="BG308" s="352"/>
      <c r="BH308" s="352"/>
      <c r="BI308" s="352"/>
      <c r="BJ308" s="352"/>
      <c r="BK308" s="352"/>
      <c r="BL308" s="352"/>
      <c r="BM308" s="352"/>
      <c r="BN308" s="352"/>
      <c r="BO308" s="352"/>
      <c r="BP308" s="352"/>
      <c r="BQ308" s="352"/>
      <c r="BR308" s="352"/>
      <c r="BS308" s="352"/>
      <c r="BT308" s="352"/>
      <c r="BU308" s="352"/>
      <c r="BV308" s="352"/>
      <c r="BW308" s="352"/>
      <c r="BX308" s="352"/>
      <c r="BY308" s="352"/>
      <c r="BZ308" s="352"/>
      <c r="CA308" s="352"/>
      <c r="CB308" s="352"/>
      <c r="CC308" s="352"/>
      <c r="CD308" s="352"/>
      <c r="CE308" s="352"/>
      <c r="CF308" s="352"/>
      <c r="CG308" s="352"/>
      <c r="CH308" s="352"/>
      <c r="CI308" s="352"/>
      <c r="CJ308" s="352"/>
      <c r="CK308" s="352"/>
      <c r="CL308" s="352"/>
      <c r="CM308" s="352"/>
      <c r="CN308" s="352"/>
      <c r="CO308" s="352"/>
      <c r="CP308" s="352"/>
      <c r="CQ308" s="352"/>
      <c r="CR308" s="352"/>
      <c r="CS308" s="352"/>
      <c r="CT308" s="352"/>
      <c r="CU308" s="352"/>
      <c r="CV308" s="352"/>
      <c r="CW308" s="352"/>
      <c r="CX308" s="352"/>
      <c r="CY308" s="352"/>
      <c r="CZ308" s="352"/>
      <c r="DA308" s="352"/>
      <c r="DB308" s="352"/>
      <c r="DC308" s="352"/>
      <c r="DD308" s="352"/>
      <c r="DE308" s="352"/>
      <c r="DF308" s="352"/>
      <c r="DG308" s="352"/>
      <c r="DH308" s="352"/>
      <c r="DI308" s="352"/>
      <c r="DJ308" s="352"/>
      <c r="DK308" s="352"/>
      <c r="DL308" s="352"/>
      <c r="DM308" s="352"/>
      <c r="DN308" s="352"/>
      <c r="DO308" s="352"/>
      <c r="DP308" s="352"/>
      <c r="DQ308" s="352"/>
      <c r="DR308" s="352"/>
      <c r="DS308" s="352"/>
      <c r="DT308" s="352"/>
      <c r="DU308" s="352"/>
      <c r="DV308" s="352"/>
      <c r="DW308" s="352"/>
      <c r="DX308" s="352"/>
      <c r="DY308" s="352"/>
      <c r="DZ308" s="352"/>
      <c r="EA308" s="352"/>
      <c r="EB308" s="352"/>
      <c r="EC308" s="352"/>
      <c r="ED308" s="352"/>
      <c r="EE308" s="352"/>
      <c r="EF308" s="352"/>
      <c r="EG308" s="352"/>
      <c r="EH308" s="352"/>
      <c r="EI308" s="352"/>
      <c r="EJ308" s="352"/>
      <c r="EK308" s="352"/>
      <c r="EL308" s="352"/>
      <c r="EM308" s="352"/>
      <c r="EN308" s="352"/>
    </row>
    <row r="309" spans="1:144" s="188" customFormat="1" ht="20.100000000000001" customHeight="1">
      <c r="A309" s="179" t="s">
        <v>101</v>
      </c>
      <c r="B309" s="179" t="s">
        <v>579</v>
      </c>
      <c r="C309" s="180">
        <f>'Thomson Reuters IMA  ($)'!I590+'Thomson Reuters IMA  ($)'!I591+'Thomson Reuters IMA  ($)'!I593</f>
        <v>111.133</v>
      </c>
      <c r="D309" s="181">
        <f>'Sectors % GDP'!G25</f>
        <v>375935</v>
      </c>
      <c r="E309" s="181">
        <f t="shared" si="8"/>
        <v>2.9561759346695573E-4</v>
      </c>
      <c r="F309" s="184">
        <v>1</v>
      </c>
      <c r="G309" s="181">
        <v>8</v>
      </c>
      <c r="H309" s="183">
        <v>56.36</v>
      </c>
      <c r="I309" s="183">
        <v>55.59</v>
      </c>
      <c r="J309" s="183">
        <v>77.510000000000005</v>
      </c>
      <c r="K309" s="184">
        <v>32.9</v>
      </c>
      <c r="L309" s="184">
        <f t="shared" si="9"/>
        <v>2.2999999999999998</v>
      </c>
      <c r="M309" s="185">
        <v>2.3E-2</v>
      </c>
      <c r="N309" s="185">
        <v>5</v>
      </c>
      <c r="O309" s="186">
        <f>'Trade Data'!D20</f>
        <v>3.1016734840790141</v>
      </c>
      <c r="P309" s="187">
        <v>1</v>
      </c>
      <c r="Q309" s="352"/>
      <c r="R309" s="352"/>
      <c r="S309" s="352"/>
      <c r="T309" s="352"/>
      <c r="U309" s="352"/>
      <c r="V309" s="352"/>
      <c r="W309" s="352"/>
      <c r="X309" s="352"/>
      <c r="Y309" s="352"/>
      <c r="Z309" s="352"/>
      <c r="AA309" s="352"/>
      <c r="AB309" s="352"/>
      <c r="AC309" s="352"/>
      <c r="AD309" s="352"/>
      <c r="AE309" s="352"/>
      <c r="AF309" s="352"/>
      <c r="AG309" s="352"/>
      <c r="AH309" s="352"/>
      <c r="AI309" s="352"/>
      <c r="AJ309" s="352"/>
      <c r="AK309" s="352"/>
      <c r="AL309" s="352"/>
      <c r="AM309" s="352"/>
      <c r="AN309" s="352"/>
      <c r="AO309" s="352"/>
      <c r="AP309" s="352"/>
      <c r="AQ309" s="352"/>
      <c r="AR309" s="352"/>
      <c r="AS309" s="352"/>
      <c r="AT309" s="352"/>
      <c r="AU309" s="352"/>
      <c r="AV309" s="352"/>
      <c r="AW309" s="352"/>
      <c r="AX309" s="352"/>
      <c r="AY309" s="352"/>
      <c r="AZ309" s="352"/>
      <c r="BA309" s="352"/>
      <c r="BB309" s="352"/>
      <c r="BC309" s="352"/>
      <c r="BD309" s="352"/>
      <c r="BE309" s="352"/>
      <c r="BF309" s="352"/>
      <c r="BG309" s="352"/>
      <c r="BH309" s="352"/>
      <c r="BI309" s="352"/>
      <c r="BJ309" s="352"/>
      <c r="BK309" s="352"/>
      <c r="BL309" s="352"/>
      <c r="BM309" s="352"/>
      <c r="BN309" s="352"/>
      <c r="BO309" s="352"/>
      <c r="BP309" s="352"/>
      <c r="BQ309" s="352"/>
      <c r="BR309" s="352"/>
      <c r="BS309" s="352"/>
      <c r="BT309" s="352"/>
      <c r="BU309" s="352"/>
      <c r="BV309" s="352"/>
      <c r="BW309" s="352"/>
      <c r="BX309" s="352"/>
      <c r="BY309" s="352"/>
      <c r="BZ309" s="352"/>
      <c r="CA309" s="352"/>
      <c r="CB309" s="352"/>
      <c r="CC309" s="352"/>
      <c r="CD309" s="352"/>
      <c r="CE309" s="352"/>
      <c r="CF309" s="352"/>
      <c r="CG309" s="352"/>
      <c r="CH309" s="352"/>
      <c r="CI309" s="352"/>
      <c r="CJ309" s="352"/>
      <c r="CK309" s="352"/>
      <c r="CL309" s="352"/>
      <c r="CM309" s="352"/>
      <c r="CN309" s="352"/>
      <c r="CO309" s="352"/>
      <c r="CP309" s="352"/>
      <c r="CQ309" s="352"/>
      <c r="CR309" s="352"/>
      <c r="CS309" s="352"/>
      <c r="CT309" s="352"/>
      <c r="CU309" s="352"/>
      <c r="CV309" s="352"/>
      <c r="CW309" s="352"/>
      <c r="CX309" s="352"/>
      <c r="CY309" s="352"/>
      <c r="CZ309" s="352"/>
      <c r="DA309" s="352"/>
      <c r="DB309" s="352"/>
      <c r="DC309" s="352"/>
      <c r="DD309" s="352"/>
      <c r="DE309" s="352"/>
      <c r="DF309" s="352"/>
      <c r="DG309" s="352"/>
      <c r="DH309" s="352"/>
      <c r="DI309" s="352"/>
      <c r="DJ309" s="352"/>
      <c r="DK309" s="352"/>
      <c r="DL309" s="352"/>
      <c r="DM309" s="352"/>
      <c r="DN309" s="352"/>
      <c r="DO309" s="352"/>
      <c r="DP309" s="352"/>
      <c r="DQ309" s="352"/>
      <c r="DR309" s="352"/>
      <c r="DS309" s="352"/>
      <c r="DT309" s="352"/>
      <c r="DU309" s="352"/>
      <c r="DV309" s="352"/>
      <c r="DW309" s="352"/>
      <c r="DX309" s="352"/>
      <c r="DY309" s="352"/>
      <c r="DZ309" s="352"/>
      <c r="EA309" s="352"/>
      <c r="EB309" s="352"/>
      <c r="EC309" s="352"/>
      <c r="ED309" s="352"/>
      <c r="EE309" s="352"/>
      <c r="EF309" s="352"/>
      <c r="EG309" s="352"/>
      <c r="EH309" s="352"/>
      <c r="EI309" s="352"/>
      <c r="EJ309" s="352"/>
      <c r="EK309" s="352"/>
      <c r="EL309" s="352"/>
      <c r="EM309" s="352"/>
      <c r="EN309" s="352"/>
    </row>
    <row r="310" spans="1:144" ht="20.100000000000001" customHeight="1">
      <c r="A310" s="118" t="s">
        <v>101</v>
      </c>
      <c r="B310" s="118" t="s">
        <v>578</v>
      </c>
      <c r="C310" s="119">
        <f>'Thomson Reuters IMA  ($)'!I592+'Thomson Reuters IMA  ($)'!I594+'Thomson Reuters IMA  ($)'!I595</f>
        <v>2533.1669999999999</v>
      </c>
      <c r="D310" s="120">
        <f>'Sectors % GDP'!G26</f>
        <v>732550</v>
      </c>
      <c r="E310" s="120">
        <f t="shared" si="8"/>
        <v>3.4580124223602482E-3</v>
      </c>
      <c r="F310" s="123">
        <v>1</v>
      </c>
      <c r="G310" s="120">
        <v>6</v>
      </c>
      <c r="H310" s="122">
        <v>56.36</v>
      </c>
      <c r="I310" s="122">
        <v>55.59</v>
      </c>
      <c r="J310" s="122">
        <v>77.510000000000005</v>
      </c>
      <c r="K310" s="123">
        <v>32.9</v>
      </c>
      <c r="L310" s="123">
        <f t="shared" si="9"/>
        <v>2.2999999999999998</v>
      </c>
      <c r="M310" s="124">
        <v>2.3E-2</v>
      </c>
      <c r="N310" s="124">
        <v>5</v>
      </c>
      <c r="O310" s="125">
        <f>'Trade Data'!D20</f>
        <v>3.1016734840790141</v>
      </c>
      <c r="P310" s="126">
        <v>1</v>
      </c>
      <c r="Q310" s="352"/>
      <c r="R310" s="352"/>
      <c r="S310" s="352"/>
      <c r="T310" s="352"/>
      <c r="U310" s="352"/>
      <c r="V310" s="352"/>
      <c r="W310" s="352"/>
      <c r="X310" s="352"/>
      <c r="Y310" s="352"/>
      <c r="Z310" s="352"/>
      <c r="AA310" s="352"/>
      <c r="AB310" s="352"/>
      <c r="AC310" s="352"/>
      <c r="AD310" s="352"/>
      <c r="AE310" s="352"/>
      <c r="AF310" s="352"/>
      <c r="AG310" s="352"/>
      <c r="AH310" s="352"/>
      <c r="AI310" s="352"/>
      <c r="AJ310" s="352"/>
      <c r="AK310" s="352"/>
      <c r="AL310" s="352"/>
      <c r="AM310" s="352"/>
      <c r="AN310" s="352"/>
      <c r="AO310" s="352"/>
      <c r="AP310" s="352"/>
      <c r="AQ310" s="352"/>
      <c r="AR310" s="352"/>
      <c r="AS310" s="352"/>
      <c r="AT310" s="352"/>
      <c r="AU310" s="352"/>
      <c r="AV310" s="352"/>
      <c r="AW310" s="352"/>
      <c r="AX310" s="352"/>
      <c r="AY310" s="352"/>
      <c r="AZ310" s="352"/>
      <c r="BA310" s="352"/>
      <c r="BB310" s="352"/>
      <c r="BC310" s="352"/>
      <c r="BD310" s="352"/>
      <c r="BE310" s="352"/>
      <c r="BF310" s="352"/>
      <c r="BG310" s="352"/>
      <c r="BH310" s="352"/>
      <c r="BI310" s="352"/>
      <c r="BJ310" s="352"/>
      <c r="BK310" s="352"/>
      <c r="BL310" s="352"/>
      <c r="BM310" s="352"/>
      <c r="BN310" s="352"/>
      <c r="BO310" s="352"/>
      <c r="BP310" s="352"/>
      <c r="BQ310" s="352"/>
      <c r="BR310" s="352"/>
      <c r="BS310" s="352"/>
      <c r="BT310" s="352"/>
      <c r="BU310" s="352"/>
      <c r="BV310" s="352"/>
      <c r="BW310" s="352"/>
      <c r="BX310" s="352"/>
      <c r="BY310" s="352"/>
      <c r="BZ310" s="352"/>
      <c r="CA310" s="352"/>
      <c r="CB310" s="352"/>
      <c r="CC310" s="352"/>
      <c r="CD310" s="352"/>
      <c r="CE310" s="352"/>
      <c r="CF310" s="352"/>
      <c r="CG310" s="352"/>
      <c r="CH310" s="352"/>
      <c r="CI310" s="352"/>
      <c r="CJ310" s="352"/>
      <c r="CK310" s="352"/>
      <c r="CL310" s="352"/>
      <c r="CM310" s="352"/>
      <c r="CN310" s="352"/>
      <c r="CO310" s="352"/>
      <c r="CP310" s="352"/>
      <c r="CQ310" s="352"/>
      <c r="CR310" s="352"/>
      <c r="CS310" s="352"/>
      <c r="CT310" s="352"/>
      <c r="CU310" s="352"/>
      <c r="CV310" s="352"/>
      <c r="CW310" s="352"/>
      <c r="CX310" s="352"/>
      <c r="CY310" s="352"/>
      <c r="CZ310" s="352"/>
      <c r="DA310" s="352"/>
      <c r="DB310" s="352"/>
      <c r="DC310" s="352"/>
      <c r="DD310" s="352"/>
      <c r="DE310" s="352"/>
      <c r="DF310" s="352"/>
      <c r="DG310" s="352"/>
      <c r="DH310" s="352"/>
      <c r="DI310" s="352"/>
      <c r="DJ310" s="352"/>
      <c r="DK310" s="352"/>
      <c r="DL310" s="352"/>
      <c r="DM310" s="352"/>
      <c r="DN310" s="352"/>
      <c r="DO310" s="352"/>
      <c r="DP310" s="352"/>
      <c r="DQ310" s="352"/>
      <c r="DR310" s="352"/>
      <c r="DS310" s="352"/>
      <c r="DT310" s="352"/>
      <c r="DU310" s="352"/>
      <c r="DV310" s="352"/>
      <c r="DW310" s="352"/>
      <c r="DX310" s="352"/>
      <c r="DY310" s="352"/>
      <c r="DZ310" s="352"/>
      <c r="EA310" s="352"/>
      <c r="EB310" s="352"/>
      <c r="EC310" s="352"/>
      <c r="ED310" s="352"/>
      <c r="EE310" s="352"/>
      <c r="EF310" s="352"/>
      <c r="EG310" s="352"/>
      <c r="EH310" s="352"/>
      <c r="EI310" s="352"/>
      <c r="EJ310" s="352"/>
      <c r="EK310" s="352"/>
      <c r="EL310" s="352"/>
      <c r="EM310" s="352"/>
      <c r="EN310" s="352"/>
    </row>
    <row r="311" spans="1:144" s="169" customFormat="1" ht="20.100000000000001" customHeight="1">
      <c r="A311" s="160" t="s">
        <v>102</v>
      </c>
      <c r="B311" s="160" t="s">
        <v>577</v>
      </c>
      <c r="C311" s="161">
        <v>0</v>
      </c>
      <c r="D311" s="162">
        <f>'Sectors % GDP'!G24</f>
        <v>41515</v>
      </c>
      <c r="E311" s="162">
        <f t="shared" si="8"/>
        <v>0</v>
      </c>
      <c r="F311" s="165">
        <v>0</v>
      </c>
      <c r="G311" s="162">
        <v>0</v>
      </c>
      <c r="H311" s="164">
        <v>49.89</v>
      </c>
      <c r="I311" s="164">
        <v>43.32</v>
      </c>
      <c r="J311" s="164">
        <v>73.760000000000005</v>
      </c>
      <c r="K311" s="165">
        <v>32.9</v>
      </c>
      <c r="L311" s="165">
        <f t="shared" si="9"/>
        <v>2.6</v>
      </c>
      <c r="M311" s="166">
        <v>2.5999999999999999E-2</v>
      </c>
      <c r="N311" s="166">
        <v>5.75</v>
      </c>
      <c r="O311" s="167">
        <f>'Trade Data'!F20</f>
        <v>3.4735540112673915</v>
      </c>
      <c r="P311" s="170">
        <v>0</v>
      </c>
      <c r="Q311" s="352"/>
      <c r="R311" s="352"/>
      <c r="S311" s="352"/>
      <c r="T311" s="352"/>
      <c r="U311" s="352"/>
      <c r="V311" s="352"/>
      <c r="W311" s="352"/>
      <c r="X311" s="352"/>
      <c r="Y311" s="352"/>
      <c r="Z311" s="352"/>
      <c r="AA311" s="352"/>
      <c r="AB311" s="352"/>
      <c r="AC311" s="352"/>
      <c r="AD311" s="352"/>
      <c r="AE311" s="352"/>
      <c r="AF311" s="352"/>
      <c r="AG311" s="352"/>
      <c r="AH311" s="352"/>
      <c r="AI311" s="352"/>
      <c r="AJ311" s="352"/>
      <c r="AK311" s="352"/>
      <c r="AL311" s="352"/>
      <c r="AM311" s="352"/>
      <c r="AN311" s="352"/>
      <c r="AO311" s="352"/>
      <c r="AP311" s="352"/>
      <c r="AQ311" s="352"/>
      <c r="AR311" s="352"/>
      <c r="AS311" s="352"/>
      <c r="AT311" s="352"/>
      <c r="AU311" s="352"/>
      <c r="AV311" s="352"/>
      <c r="AW311" s="352"/>
      <c r="AX311" s="352"/>
      <c r="AY311" s="352"/>
      <c r="AZ311" s="352"/>
      <c r="BA311" s="352"/>
      <c r="BB311" s="352"/>
      <c r="BC311" s="352"/>
      <c r="BD311" s="352"/>
      <c r="BE311" s="352"/>
      <c r="BF311" s="352"/>
      <c r="BG311" s="352"/>
      <c r="BH311" s="352"/>
      <c r="BI311" s="352"/>
      <c r="BJ311" s="352"/>
      <c r="BK311" s="352"/>
      <c r="BL311" s="352"/>
      <c r="BM311" s="352"/>
      <c r="BN311" s="352"/>
      <c r="BO311" s="352"/>
      <c r="BP311" s="352"/>
      <c r="BQ311" s="352"/>
      <c r="BR311" s="352"/>
      <c r="BS311" s="352"/>
      <c r="BT311" s="352"/>
      <c r="BU311" s="352"/>
      <c r="BV311" s="352"/>
      <c r="BW311" s="352"/>
      <c r="BX311" s="352"/>
      <c r="BY311" s="352"/>
      <c r="BZ311" s="352"/>
      <c r="CA311" s="352"/>
      <c r="CB311" s="352"/>
      <c r="CC311" s="352"/>
      <c r="CD311" s="352"/>
      <c r="CE311" s="352"/>
      <c r="CF311" s="352"/>
      <c r="CG311" s="352"/>
      <c r="CH311" s="352"/>
      <c r="CI311" s="352"/>
      <c r="CJ311" s="352"/>
      <c r="CK311" s="352"/>
      <c r="CL311" s="352"/>
      <c r="CM311" s="352"/>
      <c r="CN311" s="352"/>
      <c r="CO311" s="352"/>
      <c r="CP311" s="352"/>
      <c r="CQ311" s="352"/>
      <c r="CR311" s="352"/>
      <c r="CS311" s="352"/>
      <c r="CT311" s="352"/>
      <c r="CU311" s="352"/>
      <c r="CV311" s="352"/>
      <c r="CW311" s="352"/>
      <c r="CX311" s="352"/>
      <c r="CY311" s="352"/>
      <c r="CZ311" s="352"/>
      <c r="DA311" s="352"/>
      <c r="DB311" s="352"/>
      <c r="DC311" s="352"/>
      <c r="DD311" s="352"/>
      <c r="DE311" s="352"/>
      <c r="DF311" s="352"/>
      <c r="DG311" s="352"/>
      <c r="DH311" s="352"/>
      <c r="DI311" s="352"/>
      <c r="DJ311" s="352"/>
      <c r="DK311" s="352"/>
      <c r="DL311" s="352"/>
      <c r="DM311" s="352"/>
      <c r="DN311" s="352"/>
      <c r="DO311" s="352"/>
      <c r="DP311" s="352"/>
      <c r="DQ311" s="352"/>
      <c r="DR311" s="352"/>
      <c r="DS311" s="352"/>
      <c r="DT311" s="352"/>
      <c r="DU311" s="352"/>
      <c r="DV311" s="352"/>
      <c r="DW311" s="352"/>
      <c r="DX311" s="352"/>
      <c r="DY311" s="352"/>
      <c r="DZ311" s="352"/>
      <c r="EA311" s="352"/>
      <c r="EB311" s="352"/>
      <c r="EC311" s="352"/>
      <c r="ED311" s="352"/>
      <c r="EE311" s="352"/>
      <c r="EF311" s="352"/>
      <c r="EG311" s="352"/>
      <c r="EH311" s="352"/>
      <c r="EI311" s="352"/>
      <c r="EJ311" s="352"/>
      <c r="EK311" s="352"/>
      <c r="EL311" s="352"/>
      <c r="EM311" s="352"/>
      <c r="EN311" s="352"/>
    </row>
    <row r="312" spans="1:144" s="188" customFormat="1" ht="20.100000000000001" customHeight="1">
      <c r="A312" s="179" t="s">
        <v>102</v>
      </c>
      <c r="B312" s="179" t="s">
        <v>576</v>
      </c>
      <c r="C312" s="180">
        <f>SUM('Thomson Reuters IMA  ($)'!I596:I603)+'Thomson Reuters IMA  ($)'!I608</f>
        <v>2218.3329999999996</v>
      </c>
      <c r="D312" s="181">
        <f>'Sectors % GDP'!G25</f>
        <v>375935</v>
      </c>
      <c r="E312" s="181">
        <f t="shared" si="8"/>
        <v>5.9008419008605203E-3</v>
      </c>
      <c r="F312" s="184">
        <v>1</v>
      </c>
      <c r="G312" s="181">
        <v>15</v>
      </c>
      <c r="H312" s="183">
        <v>49.89</v>
      </c>
      <c r="I312" s="183">
        <v>43.32</v>
      </c>
      <c r="J312" s="183">
        <v>73.760000000000005</v>
      </c>
      <c r="K312" s="184">
        <v>32.9</v>
      </c>
      <c r="L312" s="184">
        <f t="shared" si="9"/>
        <v>2.6</v>
      </c>
      <c r="M312" s="185">
        <v>2.5999999999999999E-2</v>
      </c>
      <c r="N312" s="185">
        <v>5.75</v>
      </c>
      <c r="O312" s="186">
        <f>'Trade Data'!F20</f>
        <v>3.4735540112673915</v>
      </c>
      <c r="P312" s="189">
        <v>1</v>
      </c>
      <c r="Q312" s="352"/>
      <c r="R312" s="352"/>
      <c r="S312" s="352"/>
      <c r="T312" s="352"/>
      <c r="U312" s="352"/>
      <c r="V312" s="352"/>
      <c r="W312" s="352"/>
      <c r="X312" s="352"/>
      <c r="Y312" s="352"/>
      <c r="Z312" s="352"/>
      <c r="AA312" s="352"/>
      <c r="AB312" s="352"/>
      <c r="AC312" s="352"/>
      <c r="AD312" s="352"/>
      <c r="AE312" s="352"/>
      <c r="AF312" s="352"/>
      <c r="AG312" s="352"/>
      <c r="AH312" s="352"/>
      <c r="AI312" s="352"/>
      <c r="AJ312" s="352"/>
      <c r="AK312" s="352"/>
      <c r="AL312" s="352"/>
      <c r="AM312" s="352"/>
      <c r="AN312" s="352"/>
      <c r="AO312" s="352"/>
      <c r="AP312" s="352"/>
      <c r="AQ312" s="352"/>
      <c r="AR312" s="352"/>
      <c r="AS312" s="352"/>
      <c r="AT312" s="352"/>
      <c r="AU312" s="352"/>
      <c r="AV312" s="352"/>
      <c r="AW312" s="352"/>
      <c r="AX312" s="352"/>
      <c r="AY312" s="352"/>
      <c r="AZ312" s="352"/>
      <c r="BA312" s="352"/>
      <c r="BB312" s="352"/>
      <c r="BC312" s="352"/>
      <c r="BD312" s="352"/>
      <c r="BE312" s="352"/>
      <c r="BF312" s="352"/>
      <c r="BG312" s="352"/>
      <c r="BH312" s="352"/>
      <c r="BI312" s="352"/>
      <c r="BJ312" s="352"/>
      <c r="BK312" s="352"/>
      <c r="BL312" s="352"/>
      <c r="BM312" s="352"/>
      <c r="BN312" s="352"/>
      <c r="BO312" s="352"/>
      <c r="BP312" s="352"/>
      <c r="BQ312" s="352"/>
      <c r="BR312" s="352"/>
      <c r="BS312" s="352"/>
      <c r="BT312" s="352"/>
      <c r="BU312" s="352"/>
      <c r="BV312" s="352"/>
      <c r="BW312" s="352"/>
      <c r="BX312" s="352"/>
      <c r="BY312" s="352"/>
      <c r="BZ312" s="352"/>
      <c r="CA312" s="352"/>
      <c r="CB312" s="352"/>
      <c r="CC312" s="352"/>
      <c r="CD312" s="352"/>
      <c r="CE312" s="352"/>
      <c r="CF312" s="352"/>
      <c r="CG312" s="352"/>
      <c r="CH312" s="352"/>
      <c r="CI312" s="352"/>
      <c r="CJ312" s="352"/>
      <c r="CK312" s="352"/>
      <c r="CL312" s="352"/>
      <c r="CM312" s="352"/>
      <c r="CN312" s="352"/>
      <c r="CO312" s="352"/>
      <c r="CP312" s="352"/>
      <c r="CQ312" s="352"/>
      <c r="CR312" s="352"/>
      <c r="CS312" s="352"/>
      <c r="CT312" s="352"/>
      <c r="CU312" s="352"/>
      <c r="CV312" s="352"/>
      <c r="CW312" s="352"/>
      <c r="CX312" s="352"/>
      <c r="CY312" s="352"/>
      <c r="CZ312" s="352"/>
      <c r="DA312" s="352"/>
      <c r="DB312" s="352"/>
      <c r="DC312" s="352"/>
      <c r="DD312" s="352"/>
      <c r="DE312" s="352"/>
      <c r="DF312" s="352"/>
      <c r="DG312" s="352"/>
      <c r="DH312" s="352"/>
      <c r="DI312" s="352"/>
      <c r="DJ312" s="352"/>
      <c r="DK312" s="352"/>
      <c r="DL312" s="352"/>
      <c r="DM312" s="352"/>
      <c r="DN312" s="352"/>
      <c r="DO312" s="352"/>
      <c r="DP312" s="352"/>
      <c r="DQ312" s="352"/>
      <c r="DR312" s="352"/>
      <c r="DS312" s="352"/>
      <c r="DT312" s="352"/>
      <c r="DU312" s="352"/>
      <c r="DV312" s="352"/>
      <c r="DW312" s="352"/>
      <c r="DX312" s="352"/>
      <c r="DY312" s="352"/>
      <c r="DZ312" s="352"/>
      <c r="EA312" s="352"/>
      <c r="EB312" s="352"/>
      <c r="EC312" s="352"/>
      <c r="ED312" s="352"/>
      <c r="EE312" s="352"/>
      <c r="EF312" s="352"/>
      <c r="EG312" s="352"/>
      <c r="EH312" s="352"/>
      <c r="EI312" s="352"/>
      <c r="EJ312" s="352"/>
      <c r="EK312" s="352"/>
      <c r="EL312" s="352"/>
      <c r="EM312" s="352"/>
      <c r="EN312" s="352"/>
    </row>
    <row r="313" spans="1:144" ht="20.100000000000001" customHeight="1">
      <c r="A313" s="118" t="s">
        <v>102</v>
      </c>
      <c r="B313" s="118" t="s">
        <v>575</v>
      </c>
      <c r="C313" s="119">
        <f>SUM('Thomson Reuters IMA  ($)'!I604:I607)</f>
        <v>463.98699999999997</v>
      </c>
      <c r="D313" s="120">
        <f>'Sectors % GDP'!G26</f>
        <v>732550</v>
      </c>
      <c r="E313" s="120">
        <f t="shared" si="8"/>
        <v>6.3338611698860142E-4</v>
      </c>
      <c r="F313" s="123">
        <v>1</v>
      </c>
      <c r="G313" s="120">
        <v>20</v>
      </c>
      <c r="H313" s="122">
        <v>49.89</v>
      </c>
      <c r="I313" s="122">
        <v>43.32</v>
      </c>
      <c r="J313" s="122">
        <v>73.760000000000005</v>
      </c>
      <c r="K313" s="123">
        <v>32.9</v>
      </c>
      <c r="L313" s="123">
        <f t="shared" si="9"/>
        <v>2.6</v>
      </c>
      <c r="M313" s="124">
        <v>2.5999999999999999E-2</v>
      </c>
      <c r="N313" s="124">
        <v>5.75</v>
      </c>
      <c r="O313" s="125">
        <f>'Trade Data'!F20</f>
        <v>3.4735540112673915</v>
      </c>
      <c r="P313" s="127">
        <v>1</v>
      </c>
      <c r="Q313" s="352"/>
      <c r="R313" s="352"/>
      <c r="S313" s="352"/>
      <c r="T313" s="352"/>
      <c r="U313" s="352"/>
      <c r="V313" s="352"/>
      <c r="W313" s="352"/>
      <c r="X313" s="352"/>
      <c r="Y313" s="352"/>
      <c r="Z313" s="352"/>
      <c r="AA313" s="352"/>
      <c r="AB313" s="352"/>
      <c r="AC313" s="352"/>
      <c r="AD313" s="352"/>
      <c r="AE313" s="352"/>
      <c r="AF313" s="352"/>
      <c r="AG313" s="352"/>
      <c r="AH313" s="352"/>
      <c r="AI313" s="352"/>
      <c r="AJ313" s="352"/>
      <c r="AK313" s="352"/>
      <c r="AL313" s="352"/>
      <c r="AM313" s="352"/>
      <c r="AN313" s="352"/>
      <c r="AO313" s="352"/>
      <c r="AP313" s="352"/>
      <c r="AQ313" s="352"/>
      <c r="AR313" s="352"/>
      <c r="AS313" s="352"/>
      <c r="AT313" s="352"/>
      <c r="AU313" s="352"/>
      <c r="AV313" s="352"/>
      <c r="AW313" s="352"/>
      <c r="AX313" s="352"/>
      <c r="AY313" s="352"/>
      <c r="AZ313" s="352"/>
      <c r="BA313" s="352"/>
      <c r="BB313" s="352"/>
      <c r="BC313" s="352"/>
      <c r="BD313" s="352"/>
      <c r="BE313" s="352"/>
      <c r="BF313" s="352"/>
      <c r="BG313" s="352"/>
      <c r="BH313" s="352"/>
      <c r="BI313" s="352"/>
      <c r="BJ313" s="352"/>
      <c r="BK313" s="352"/>
      <c r="BL313" s="352"/>
      <c r="BM313" s="352"/>
      <c r="BN313" s="352"/>
      <c r="BO313" s="352"/>
      <c r="BP313" s="352"/>
      <c r="BQ313" s="352"/>
      <c r="BR313" s="352"/>
      <c r="BS313" s="352"/>
      <c r="BT313" s="352"/>
      <c r="BU313" s="352"/>
      <c r="BV313" s="352"/>
      <c r="BW313" s="352"/>
      <c r="BX313" s="352"/>
      <c r="BY313" s="352"/>
      <c r="BZ313" s="352"/>
      <c r="CA313" s="352"/>
      <c r="CB313" s="352"/>
      <c r="CC313" s="352"/>
      <c r="CD313" s="352"/>
      <c r="CE313" s="352"/>
      <c r="CF313" s="352"/>
      <c r="CG313" s="352"/>
      <c r="CH313" s="352"/>
      <c r="CI313" s="352"/>
      <c r="CJ313" s="352"/>
      <c r="CK313" s="352"/>
      <c r="CL313" s="352"/>
      <c r="CM313" s="352"/>
      <c r="CN313" s="352"/>
      <c r="CO313" s="352"/>
      <c r="CP313" s="352"/>
      <c r="CQ313" s="352"/>
      <c r="CR313" s="352"/>
      <c r="CS313" s="352"/>
      <c r="CT313" s="352"/>
      <c r="CU313" s="352"/>
      <c r="CV313" s="352"/>
      <c r="CW313" s="352"/>
      <c r="CX313" s="352"/>
      <c r="CY313" s="352"/>
      <c r="CZ313" s="352"/>
      <c r="DA313" s="352"/>
      <c r="DB313" s="352"/>
      <c r="DC313" s="352"/>
      <c r="DD313" s="352"/>
      <c r="DE313" s="352"/>
      <c r="DF313" s="352"/>
      <c r="DG313" s="352"/>
      <c r="DH313" s="352"/>
      <c r="DI313" s="352"/>
      <c r="DJ313" s="352"/>
      <c r="DK313" s="352"/>
      <c r="DL313" s="352"/>
      <c r="DM313" s="352"/>
      <c r="DN313" s="352"/>
      <c r="DO313" s="352"/>
      <c r="DP313" s="352"/>
      <c r="DQ313" s="352"/>
      <c r="DR313" s="352"/>
      <c r="DS313" s="352"/>
      <c r="DT313" s="352"/>
      <c r="DU313" s="352"/>
      <c r="DV313" s="352"/>
      <c r="DW313" s="352"/>
      <c r="DX313" s="352"/>
      <c r="DY313" s="352"/>
      <c r="DZ313" s="352"/>
      <c r="EA313" s="352"/>
      <c r="EB313" s="352"/>
      <c r="EC313" s="352"/>
      <c r="ED313" s="352"/>
      <c r="EE313" s="352"/>
      <c r="EF313" s="352"/>
      <c r="EG313" s="352"/>
      <c r="EH313" s="352"/>
      <c r="EI313" s="352"/>
      <c r="EJ313" s="352"/>
      <c r="EK313" s="352"/>
      <c r="EL313" s="352"/>
      <c r="EM313" s="352"/>
      <c r="EN313" s="352"/>
    </row>
    <row r="314" spans="1:144" s="169" customFormat="1" ht="20.100000000000001" customHeight="1">
      <c r="A314" s="160" t="s">
        <v>103</v>
      </c>
      <c r="B314" s="160" t="s">
        <v>574</v>
      </c>
      <c r="C314" s="161">
        <v>0</v>
      </c>
      <c r="D314" s="162">
        <f>'Sectors % GDP'!G24</f>
        <v>41515</v>
      </c>
      <c r="E314" s="162">
        <f t="shared" si="8"/>
        <v>0</v>
      </c>
      <c r="F314" s="165">
        <v>1</v>
      </c>
      <c r="G314" s="162">
        <v>1</v>
      </c>
      <c r="H314" s="164">
        <v>55.63</v>
      </c>
      <c r="I314" s="164">
        <v>64.19</v>
      </c>
      <c r="J314" s="165">
        <v>68.38</v>
      </c>
      <c r="K314" s="165">
        <v>32.9</v>
      </c>
      <c r="L314" s="165">
        <f t="shared" si="9"/>
        <v>2.6</v>
      </c>
      <c r="M314" s="166">
        <v>2.5999999999999999E-2</v>
      </c>
      <c r="N314" s="166">
        <v>5.75</v>
      </c>
      <c r="O314" s="167">
        <f>'Trade Data'!F20</f>
        <v>3.4735540112673915</v>
      </c>
      <c r="P314" s="168">
        <v>0</v>
      </c>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c r="BQ314" s="352"/>
      <c r="BR314" s="352"/>
      <c r="BS314" s="352"/>
      <c r="BT314" s="352"/>
      <c r="BU314" s="352"/>
      <c r="BV314" s="352"/>
      <c r="BW314" s="352"/>
      <c r="BX314" s="352"/>
      <c r="BY314" s="352"/>
      <c r="BZ314" s="352"/>
      <c r="CA314" s="352"/>
      <c r="CB314" s="352"/>
      <c r="CC314" s="352"/>
      <c r="CD314" s="352"/>
      <c r="CE314" s="352"/>
      <c r="CF314" s="352"/>
      <c r="CG314" s="352"/>
      <c r="CH314" s="352"/>
      <c r="CI314" s="352"/>
      <c r="CJ314" s="352"/>
      <c r="CK314" s="352"/>
      <c r="CL314" s="352"/>
      <c r="CM314" s="352"/>
      <c r="CN314" s="352"/>
      <c r="CO314" s="352"/>
      <c r="CP314" s="352"/>
      <c r="CQ314" s="352"/>
      <c r="CR314" s="352"/>
      <c r="CS314" s="352"/>
      <c r="CT314" s="352"/>
      <c r="CU314" s="352"/>
      <c r="CV314" s="352"/>
      <c r="CW314" s="352"/>
      <c r="CX314" s="352"/>
      <c r="CY314" s="352"/>
      <c r="CZ314" s="352"/>
      <c r="DA314" s="352"/>
      <c r="DB314" s="352"/>
      <c r="DC314" s="352"/>
      <c r="DD314" s="352"/>
      <c r="DE314" s="352"/>
      <c r="DF314" s="352"/>
      <c r="DG314" s="352"/>
      <c r="DH314" s="352"/>
      <c r="DI314" s="352"/>
      <c r="DJ314" s="352"/>
      <c r="DK314" s="352"/>
      <c r="DL314" s="352"/>
      <c r="DM314" s="352"/>
      <c r="DN314" s="352"/>
      <c r="DO314" s="352"/>
      <c r="DP314" s="352"/>
      <c r="DQ314" s="352"/>
      <c r="DR314" s="352"/>
      <c r="DS314" s="352"/>
      <c r="DT314" s="352"/>
      <c r="DU314" s="352"/>
      <c r="DV314" s="352"/>
      <c r="DW314" s="352"/>
      <c r="DX314" s="352"/>
      <c r="DY314" s="352"/>
      <c r="DZ314" s="352"/>
      <c r="EA314" s="352"/>
      <c r="EB314" s="352"/>
      <c r="EC314" s="352"/>
      <c r="ED314" s="352"/>
      <c r="EE314" s="352"/>
      <c r="EF314" s="352"/>
      <c r="EG314" s="352"/>
      <c r="EH314" s="352"/>
      <c r="EI314" s="352"/>
      <c r="EJ314" s="352"/>
      <c r="EK314" s="352"/>
      <c r="EL314" s="352"/>
      <c r="EM314" s="352"/>
      <c r="EN314" s="352"/>
    </row>
    <row r="315" spans="1:144" s="188" customFormat="1" ht="20.100000000000001" customHeight="1">
      <c r="A315" s="179" t="s">
        <v>103</v>
      </c>
      <c r="B315" s="179" t="s">
        <v>573</v>
      </c>
      <c r="C315" s="180">
        <f>SUM('Thomson Reuters IMA  ($)'!I609:I622)-'Thomson Reuters IMA  ($)'!I619-'Thomson Reuters IMA  ($)'!I615</f>
        <v>296.86799999999999</v>
      </c>
      <c r="D315" s="181">
        <f>'Sectors % GDP'!G25</f>
        <v>375935</v>
      </c>
      <c r="E315" s="181">
        <f t="shared" si="8"/>
        <v>7.896790668599625E-4</v>
      </c>
      <c r="F315" s="184">
        <v>1</v>
      </c>
      <c r="G315" s="181">
        <v>16</v>
      </c>
      <c r="H315" s="183">
        <v>55.63</v>
      </c>
      <c r="I315" s="183">
        <v>64.19</v>
      </c>
      <c r="J315" s="184">
        <v>68.38</v>
      </c>
      <c r="K315" s="184">
        <v>32.9</v>
      </c>
      <c r="L315" s="184">
        <f t="shared" si="9"/>
        <v>2.6</v>
      </c>
      <c r="M315" s="185">
        <v>2.5999999999999999E-2</v>
      </c>
      <c r="N315" s="185">
        <v>5.75</v>
      </c>
      <c r="O315" s="186">
        <f>'Trade Data'!F20</f>
        <v>3.4735540112673915</v>
      </c>
      <c r="P315" s="187">
        <v>1</v>
      </c>
      <c r="Q315" s="352"/>
      <c r="R315" s="352"/>
      <c r="S315" s="352"/>
      <c r="T315" s="352"/>
      <c r="U315" s="352"/>
      <c r="V315" s="352"/>
      <c r="W315" s="352"/>
      <c r="X315" s="352"/>
      <c r="Y315" s="352"/>
      <c r="Z315" s="352"/>
      <c r="AA315" s="352"/>
      <c r="AB315" s="352"/>
      <c r="AC315" s="352"/>
      <c r="AD315" s="352"/>
      <c r="AE315" s="352"/>
      <c r="AF315" s="352"/>
      <c r="AG315" s="352"/>
      <c r="AH315" s="352"/>
      <c r="AI315" s="352"/>
      <c r="AJ315" s="352"/>
      <c r="AK315" s="352"/>
      <c r="AL315" s="352"/>
      <c r="AM315" s="352"/>
      <c r="AN315" s="352"/>
      <c r="AO315" s="352"/>
      <c r="AP315" s="352"/>
      <c r="AQ315" s="352"/>
      <c r="AR315" s="352"/>
      <c r="AS315" s="352"/>
      <c r="AT315" s="352"/>
      <c r="AU315" s="352"/>
      <c r="AV315" s="352"/>
      <c r="AW315" s="352"/>
      <c r="AX315" s="352"/>
      <c r="AY315" s="352"/>
      <c r="AZ315" s="352"/>
      <c r="BA315" s="352"/>
      <c r="BB315" s="352"/>
      <c r="BC315" s="352"/>
      <c r="BD315" s="352"/>
      <c r="BE315" s="352"/>
      <c r="BF315" s="352"/>
      <c r="BG315" s="352"/>
      <c r="BH315" s="352"/>
      <c r="BI315" s="352"/>
      <c r="BJ315" s="352"/>
      <c r="BK315" s="352"/>
      <c r="BL315" s="352"/>
      <c r="BM315" s="352"/>
      <c r="BN315" s="352"/>
      <c r="BO315" s="352"/>
      <c r="BP315" s="352"/>
      <c r="BQ315" s="352"/>
      <c r="BR315" s="352"/>
      <c r="BS315" s="352"/>
      <c r="BT315" s="352"/>
      <c r="BU315" s="352"/>
      <c r="BV315" s="352"/>
      <c r="BW315" s="352"/>
      <c r="BX315" s="352"/>
      <c r="BY315" s="352"/>
      <c r="BZ315" s="352"/>
      <c r="CA315" s="352"/>
      <c r="CB315" s="352"/>
      <c r="CC315" s="352"/>
      <c r="CD315" s="352"/>
      <c r="CE315" s="352"/>
      <c r="CF315" s="352"/>
      <c r="CG315" s="352"/>
      <c r="CH315" s="352"/>
      <c r="CI315" s="352"/>
      <c r="CJ315" s="352"/>
      <c r="CK315" s="352"/>
      <c r="CL315" s="352"/>
      <c r="CM315" s="352"/>
      <c r="CN315" s="352"/>
      <c r="CO315" s="352"/>
      <c r="CP315" s="352"/>
      <c r="CQ315" s="352"/>
      <c r="CR315" s="352"/>
      <c r="CS315" s="352"/>
      <c r="CT315" s="352"/>
      <c r="CU315" s="352"/>
      <c r="CV315" s="352"/>
      <c r="CW315" s="352"/>
      <c r="CX315" s="352"/>
      <c r="CY315" s="352"/>
      <c r="CZ315" s="352"/>
      <c r="DA315" s="352"/>
      <c r="DB315" s="352"/>
      <c r="DC315" s="352"/>
      <c r="DD315" s="352"/>
      <c r="DE315" s="352"/>
      <c r="DF315" s="352"/>
      <c r="DG315" s="352"/>
      <c r="DH315" s="352"/>
      <c r="DI315" s="352"/>
      <c r="DJ315" s="352"/>
      <c r="DK315" s="352"/>
      <c r="DL315" s="352"/>
      <c r="DM315" s="352"/>
      <c r="DN315" s="352"/>
      <c r="DO315" s="352"/>
      <c r="DP315" s="352"/>
      <c r="DQ315" s="352"/>
      <c r="DR315" s="352"/>
      <c r="DS315" s="352"/>
      <c r="DT315" s="352"/>
      <c r="DU315" s="352"/>
      <c r="DV315" s="352"/>
      <c r="DW315" s="352"/>
      <c r="DX315" s="352"/>
      <c r="DY315" s="352"/>
      <c r="DZ315" s="352"/>
      <c r="EA315" s="352"/>
      <c r="EB315" s="352"/>
      <c r="EC315" s="352"/>
      <c r="ED315" s="352"/>
      <c r="EE315" s="352"/>
      <c r="EF315" s="352"/>
      <c r="EG315" s="352"/>
      <c r="EH315" s="352"/>
      <c r="EI315" s="352"/>
      <c r="EJ315" s="352"/>
      <c r="EK315" s="352"/>
      <c r="EL315" s="352"/>
      <c r="EM315" s="352"/>
      <c r="EN315" s="352"/>
    </row>
    <row r="316" spans="1:144" ht="20.100000000000001" customHeight="1">
      <c r="A316" s="118" t="s">
        <v>103</v>
      </c>
      <c r="B316" s="118" t="s">
        <v>572</v>
      </c>
      <c r="C316" s="119">
        <f>'Thomson Reuters IMA  ($)'!I615+'Thomson Reuters IMA  ($)'!I619</f>
        <v>47</v>
      </c>
      <c r="D316" s="120">
        <f>'Sectors % GDP'!G26</f>
        <v>732550</v>
      </c>
      <c r="E316" s="120">
        <f t="shared" si="8"/>
        <v>6.4159443041430616E-5</v>
      </c>
      <c r="F316" s="123">
        <v>1</v>
      </c>
      <c r="G316" s="120">
        <v>9</v>
      </c>
      <c r="H316" s="122">
        <v>55.63</v>
      </c>
      <c r="I316" s="122">
        <v>64.19</v>
      </c>
      <c r="J316" s="123">
        <v>68.38</v>
      </c>
      <c r="K316" s="123">
        <v>32.9</v>
      </c>
      <c r="L316" s="123">
        <f t="shared" si="9"/>
        <v>2.6</v>
      </c>
      <c r="M316" s="124">
        <v>2.5999999999999999E-2</v>
      </c>
      <c r="N316" s="124">
        <v>5.75</v>
      </c>
      <c r="O316" s="125">
        <f>'Trade Data'!F20</f>
        <v>3.4735540112673915</v>
      </c>
      <c r="P316" s="126">
        <v>1</v>
      </c>
      <c r="Q316" s="352"/>
      <c r="R316" s="352"/>
      <c r="S316" s="352"/>
      <c r="T316" s="352"/>
      <c r="U316" s="352"/>
      <c r="V316" s="352"/>
      <c r="W316" s="352"/>
      <c r="X316" s="352"/>
      <c r="Y316" s="352"/>
      <c r="Z316" s="352"/>
      <c r="AA316" s="352"/>
      <c r="AB316" s="352"/>
      <c r="AC316" s="352"/>
      <c r="AD316" s="352"/>
      <c r="AE316" s="352"/>
      <c r="AF316" s="352"/>
      <c r="AG316" s="352"/>
      <c r="AH316" s="352"/>
      <c r="AI316" s="352"/>
      <c r="AJ316" s="352"/>
      <c r="AK316" s="352"/>
      <c r="AL316" s="352"/>
      <c r="AM316" s="352"/>
      <c r="AN316" s="352"/>
      <c r="AO316" s="352"/>
      <c r="AP316" s="352"/>
      <c r="AQ316" s="352"/>
      <c r="AR316" s="352"/>
      <c r="AS316" s="352"/>
      <c r="AT316" s="352"/>
      <c r="AU316" s="352"/>
      <c r="AV316" s="352"/>
      <c r="AW316" s="352"/>
      <c r="AX316" s="352"/>
      <c r="AY316" s="352"/>
      <c r="AZ316" s="352"/>
      <c r="BA316" s="352"/>
      <c r="BB316" s="352"/>
      <c r="BC316" s="352"/>
      <c r="BD316" s="352"/>
      <c r="BE316" s="352"/>
      <c r="BF316" s="352"/>
      <c r="BG316" s="352"/>
      <c r="BH316" s="352"/>
      <c r="BI316" s="352"/>
      <c r="BJ316" s="352"/>
      <c r="BK316" s="352"/>
      <c r="BL316" s="352"/>
      <c r="BM316" s="352"/>
      <c r="BN316" s="352"/>
      <c r="BO316" s="352"/>
      <c r="BP316" s="352"/>
      <c r="BQ316" s="352"/>
      <c r="BR316" s="352"/>
      <c r="BS316" s="352"/>
      <c r="BT316" s="352"/>
      <c r="BU316" s="352"/>
      <c r="BV316" s="352"/>
      <c r="BW316" s="352"/>
      <c r="BX316" s="352"/>
      <c r="BY316" s="352"/>
      <c r="BZ316" s="352"/>
      <c r="CA316" s="352"/>
      <c r="CB316" s="352"/>
      <c r="CC316" s="352"/>
      <c r="CD316" s="352"/>
      <c r="CE316" s="352"/>
      <c r="CF316" s="352"/>
      <c r="CG316" s="352"/>
      <c r="CH316" s="352"/>
      <c r="CI316" s="352"/>
      <c r="CJ316" s="352"/>
      <c r="CK316" s="352"/>
      <c r="CL316" s="352"/>
      <c r="CM316" s="352"/>
      <c r="CN316" s="352"/>
      <c r="CO316" s="352"/>
      <c r="CP316" s="352"/>
      <c r="CQ316" s="352"/>
      <c r="CR316" s="352"/>
      <c r="CS316" s="352"/>
      <c r="CT316" s="352"/>
      <c r="CU316" s="352"/>
      <c r="CV316" s="352"/>
      <c r="CW316" s="352"/>
      <c r="CX316" s="352"/>
      <c r="CY316" s="352"/>
      <c r="CZ316" s="352"/>
      <c r="DA316" s="352"/>
      <c r="DB316" s="352"/>
      <c r="DC316" s="352"/>
      <c r="DD316" s="352"/>
      <c r="DE316" s="352"/>
      <c r="DF316" s="352"/>
      <c r="DG316" s="352"/>
      <c r="DH316" s="352"/>
      <c r="DI316" s="352"/>
      <c r="DJ316" s="352"/>
      <c r="DK316" s="352"/>
      <c r="DL316" s="352"/>
      <c r="DM316" s="352"/>
      <c r="DN316" s="352"/>
      <c r="DO316" s="352"/>
      <c r="DP316" s="352"/>
      <c r="DQ316" s="352"/>
      <c r="DR316" s="352"/>
      <c r="DS316" s="352"/>
      <c r="DT316" s="352"/>
      <c r="DU316" s="352"/>
      <c r="DV316" s="352"/>
      <c r="DW316" s="352"/>
      <c r="DX316" s="352"/>
      <c r="DY316" s="352"/>
      <c r="DZ316" s="352"/>
      <c r="EA316" s="352"/>
      <c r="EB316" s="352"/>
      <c r="EC316" s="352"/>
      <c r="ED316" s="352"/>
      <c r="EE316" s="352"/>
      <c r="EF316" s="352"/>
      <c r="EG316" s="352"/>
      <c r="EH316" s="352"/>
      <c r="EI316" s="352"/>
      <c r="EJ316" s="352"/>
      <c r="EK316" s="352"/>
      <c r="EL316" s="352"/>
      <c r="EM316" s="352"/>
      <c r="EN316" s="352"/>
    </row>
    <row r="317" spans="1:144" s="169" customFormat="1" ht="20.100000000000001" customHeight="1">
      <c r="A317" s="160" t="s">
        <v>104</v>
      </c>
      <c r="B317" s="160" t="s">
        <v>571</v>
      </c>
      <c r="C317" s="161">
        <v>0</v>
      </c>
      <c r="D317" s="162">
        <f>'Sectors % GDP'!G24</f>
        <v>41515</v>
      </c>
      <c r="E317" s="162">
        <f t="shared" si="8"/>
        <v>0</v>
      </c>
      <c r="F317" s="165">
        <v>0</v>
      </c>
      <c r="G317" s="162">
        <v>0</v>
      </c>
      <c r="H317" s="164">
        <v>51.9</v>
      </c>
      <c r="I317" s="164">
        <v>52.64</v>
      </c>
      <c r="J317" s="165">
        <v>69.47</v>
      </c>
      <c r="K317" s="165">
        <v>32.9</v>
      </c>
      <c r="L317" s="165">
        <f t="shared" si="9"/>
        <v>2.6</v>
      </c>
      <c r="M317" s="166">
        <v>2.5999999999999999E-2</v>
      </c>
      <c r="N317" s="166">
        <v>5.75</v>
      </c>
      <c r="O317" s="167">
        <f>'Trade Data'!F20</f>
        <v>3.4735540112673915</v>
      </c>
      <c r="P317" s="170">
        <v>0</v>
      </c>
      <c r="Q317" s="352"/>
      <c r="R317" s="352"/>
      <c r="S317" s="352"/>
      <c r="T317" s="352"/>
      <c r="U317" s="352"/>
      <c r="V317" s="352"/>
      <c r="W317" s="352"/>
      <c r="X317" s="352"/>
      <c r="Y317" s="352"/>
      <c r="Z317" s="352"/>
      <c r="AA317" s="352"/>
      <c r="AB317" s="352"/>
      <c r="AC317" s="352"/>
      <c r="AD317" s="352"/>
      <c r="AE317" s="352"/>
      <c r="AF317" s="352"/>
      <c r="AG317" s="352"/>
      <c r="AH317" s="352"/>
      <c r="AI317" s="352"/>
      <c r="AJ317" s="352"/>
      <c r="AK317" s="352"/>
      <c r="AL317" s="352"/>
      <c r="AM317" s="352"/>
      <c r="AN317" s="352"/>
      <c r="AO317" s="352"/>
      <c r="AP317" s="352"/>
      <c r="AQ317" s="352"/>
      <c r="AR317" s="352"/>
      <c r="AS317" s="352"/>
      <c r="AT317" s="352"/>
      <c r="AU317" s="352"/>
      <c r="AV317" s="352"/>
      <c r="AW317" s="352"/>
      <c r="AX317" s="352"/>
      <c r="AY317" s="352"/>
      <c r="AZ317" s="352"/>
      <c r="BA317" s="352"/>
      <c r="BB317" s="352"/>
      <c r="BC317" s="352"/>
      <c r="BD317" s="352"/>
      <c r="BE317" s="352"/>
      <c r="BF317" s="352"/>
      <c r="BG317" s="352"/>
      <c r="BH317" s="352"/>
      <c r="BI317" s="352"/>
      <c r="BJ317" s="352"/>
      <c r="BK317" s="352"/>
      <c r="BL317" s="352"/>
      <c r="BM317" s="352"/>
      <c r="BN317" s="352"/>
      <c r="BO317" s="352"/>
      <c r="BP317" s="352"/>
      <c r="BQ317" s="352"/>
      <c r="BR317" s="352"/>
      <c r="BS317" s="352"/>
      <c r="BT317" s="352"/>
      <c r="BU317" s="352"/>
      <c r="BV317" s="352"/>
      <c r="BW317" s="352"/>
      <c r="BX317" s="352"/>
      <c r="BY317" s="352"/>
      <c r="BZ317" s="352"/>
      <c r="CA317" s="352"/>
      <c r="CB317" s="352"/>
      <c r="CC317" s="352"/>
      <c r="CD317" s="352"/>
      <c r="CE317" s="352"/>
      <c r="CF317" s="352"/>
      <c r="CG317" s="352"/>
      <c r="CH317" s="352"/>
      <c r="CI317" s="352"/>
      <c r="CJ317" s="352"/>
      <c r="CK317" s="352"/>
      <c r="CL317" s="352"/>
      <c r="CM317" s="352"/>
      <c r="CN317" s="352"/>
      <c r="CO317" s="352"/>
      <c r="CP317" s="352"/>
      <c r="CQ317" s="352"/>
      <c r="CR317" s="352"/>
      <c r="CS317" s="352"/>
      <c r="CT317" s="352"/>
      <c r="CU317" s="352"/>
      <c r="CV317" s="352"/>
      <c r="CW317" s="352"/>
      <c r="CX317" s="352"/>
      <c r="CY317" s="352"/>
      <c r="CZ317" s="352"/>
      <c r="DA317" s="352"/>
      <c r="DB317" s="352"/>
      <c r="DC317" s="352"/>
      <c r="DD317" s="352"/>
      <c r="DE317" s="352"/>
      <c r="DF317" s="352"/>
      <c r="DG317" s="352"/>
      <c r="DH317" s="352"/>
      <c r="DI317" s="352"/>
      <c r="DJ317" s="352"/>
      <c r="DK317" s="352"/>
      <c r="DL317" s="352"/>
      <c r="DM317" s="352"/>
      <c r="DN317" s="352"/>
      <c r="DO317" s="352"/>
      <c r="DP317" s="352"/>
      <c r="DQ317" s="352"/>
      <c r="DR317" s="352"/>
      <c r="DS317" s="352"/>
      <c r="DT317" s="352"/>
      <c r="DU317" s="352"/>
      <c r="DV317" s="352"/>
      <c r="DW317" s="352"/>
      <c r="DX317" s="352"/>
      <c r="DY317" s="352"/>
      <c r="DZ317" s="352"/>
      <c r="EA317" s="352"/>
      <c r="EB317" s="352"/>
      <c r="EC317" s="352"/>
      <c r="ED317" s="352"/>
      <c r="EE317" s="352"/>
      <c r="EF317" s="352"/>
      <c r="EG317" s="352"/>
      <c r="EH317" s="352"/>
      <c r="EI317" s="352"/>
      <c r="EJ317" s="352"/>
      <c r="EK317" s="352"/>
      <c r="EL317" s="352"/>
      <c r="EM317" s="352"/>
      <c r="EN317" s="352"/>
    </row>
    <row r="318" spans="1:144" s="188" customFormat="1" ht="20.100000000000001" customHeight="1">
      <c r="A318" s="179" t="s">
        <v>104</v>
      </c>
      <c r="B318" s="179" t="s">
        <v>570</v>
      </c>
      <c r="C318" s="180">
        <f>SUM('Thomson Reuters IMA  ($)'!I623:I625)+'Thomson Reuters IMA  ($)'!I628</f>
        <v>2733.5210000000002</v>
      </c>
      <c r="D318" s="181">
        <f>'Sectors % GDP'!G25</f>
        <v>375935</v>
      </c>
      <c r="E318" s="181">
        <f t="shared" si="8"/>
        <v>7.271259659249605E-3</v>
      </c>
      <c r="F318" s="184">
        <v>1</v>
      </c>
      <c r="G318" s="181">
        <v>10</v>
      </c>
      <c r="H318" s="183">
        <v>51.9</v>
      </c>
      <c r="I318" s="183">
        <v>52.64</v>
      </c>
      <c r="J318" s="184">
        <v>69.47</v>
      </c>
      <c r="K318" s="184">
        <v>32.9</v>
      </c>
      <c r="L318" s="184">
        <f t="shared" si="9"/>
        <v>2.6</v>
      </c>
      <c r="M318" s="185">
        <v>2.5999999999999999E-2</v>
      </c>
      <c r="N318" s="185">
        <v>5.75</v>
      </c>
      <c r="O318" s="186">
        <f>'Trade Data'!F20</f>
        <v>3.4735540112673915</v>
      </c>
      <c r="P318" s="189">
        <v>1</v>
      </c>
      <c r="Q318" s="352"/>
      <c r="R318" s="352"/>
      <c r="S318" s="352"/>
      <c r="T318" s="352"/>
      <c r="U318" s="352"/>
      <c r="V318" s="352"/>
      <c r="W318" s="352"/>
      <c r="X318" s="352"/>
      <c r="Y318" s="352"/>
      <c r="Z318" s="352"/>
      <c r="AA318" s="352"/>
      <c r="AB318" s="352"/>
      <c r="AC318" s="352"/>
      <c r="AD318" s="352"/>
      <c r="AE318" s="352"/>
      <c r="AF318" s="352"/>
      <c r="AG318" s="352"/>
      <c r="AH318" s="352"/>
      <c r="AI318" s="352"/>
      <c r="AJ318" s="352"/>
      <c r="AK318" s="352"/>
      <c r="AL318" s="352"/>
      <c r="AM318" s="352"/>
      <c r="AN318" s="352"/>
      <c r="AO318" s="352"/>
      <c r="AP318" s="352"/>
      <c r="AQ318" s="352"/>
      <c r="AR318" s="352"/>
      <c r="AS318" s="352"/>
      <c r="AT318" s="352"/>
      <c r="AU318" s="352"/>
      <c r="AV318" s="352"/>
      <c r="AW318" s="352"/>
      <c r="AX318" s="352"/>
      <c r="AY318" s="352"/>
      <c r="AZ318" s="352"/>
      <c r="BA318" s="352"/>
      <c r="BB318" s="352"/>
      <c r="BC318" s="352"/>
      <c r="BD318" s="352"/>
      <c r="BE318" s="352"/>
      <c r="BF318" s="352"/>
      <c r="BG318" s="352"/>
      <c r="BH318" s="352"/>
      <c r="BI318" s="352"/>
      <c r="BJ318" s="352"/>
      <c r="BK318" s="352"/>
      <c r="BL318" s="352"/>
      <c r="BM318" s="352"/>
      <c r="BN318" s="352"/>
      <c r="BO318" s="352"/>
      <c r="BP318" s="352"/>
      <c r="BQ318" s="352"/>
      <c r="BR318" s="352"/>
      <c r="BS318" s="352"/>
      <c r="BT318" s="352"/>
      <c r="BU318" s="352"/>
      <c r="BV318" s="352"/>
      <c r="BW318" s="352"/>
      <c r="BX318" s="352"/>
      <c r="BY318" s="352"/>
      <c r="BZ318" s="352"/>
      <c r="CA318" s="352"/>
      <c r="CB318" s="352"/>
      <c r="CC318" s="352"/>
      <c r="CD318" s="352"/>
      <c r="CE318" s="352"/>
      <c r="CF318" s="352"/>
      <c r="CG318" s="352"/>
      <c r="CH318" s="352"/>
      <c r="CI318" s="352"/>
      <c r="CJ318" s="352"/>
      <c r="CK318" s="352"/>
      <c r="CL318" s="352"/>
      <c r="CM318" s="352"/>
      <c r="CN318" s="352"/>
      <c r="CO318" s="352"/>
      <c r="CP318" s="352"/>
      <c r="CQ318" s="352"/>
      <c r="CR318" s="352"/>
      <c r="CS318" s="352"/>
      <c r="CT318" s="352"/>
      <c r="CU318" s="352"/>
      <c r="CV318" s="352"/>
      <c r="CW318" s="352"/>
      <c r="CX318" s="352"/>
      <c r="CY318" s="352"/>
      <c r="CZ318" s="352"/>
      <c r="DA318" s="352"/>
      <c r="DB318" s="352"/>
      <c r="DC318" s="352"/>
      <c r="DD318" s="352"/>
      <c r="DE318" s="352"/>
      <c r="DF318" s="352"/>
      <c r="DG318" s="352"/>
      <c r="DH318" s="352"/>
      <c r="DI318" s="352"/>
      <c r="DJ318" s="352"/>
      <c r="DK318" s="352"/>
      <c r="DL318" s="352"/>
      <c r="DM318" s="352"/>
      <c r="DN318" s="352"/>
      <c r="DO318" s="352"/>
      <c r="DP318" s="352"/>
      <c r="DQ318" s="352"/>
      <c r="DR318" s="352"/>
      <c r="DS318" s="352"/>
      <c r="DT318" s="352"/>
      <c r="DU318" s="352"/>
      <c r="DV318" s="352"/>
      <c r="DW318" s="352"/>
      <c r="DX318" s="352"/>
      <c r="DY318" s="352"/>
      <c r="DZ318" s="352"/>
      <c r="EA318" s="352"/>
      <c r="EB318" s="352"/>
      <c r="EC318" s="352"/>
      <c r="ED318" s="352"/>
      <c r="EE318" s="352"/>
      <c r="EF318" s="352"/>
      <c r="EG318" s="352"/>
      <c r="EH318" s="352"/>
      <c r="EI318" s="352"/>
      <c r="EJ318" s="352"/>
      <c r="EK318" s="352"/>
      <c r="EL318" s="352"/>
      <c r="EM318" s="352"/>
      <c r="EN318" s="352"/>
    </row>
    <row r="319" spans="1:144" ht="20.100000000000001" customHeight="1">
      <c r="A319" s="118" t="s">
        <v>104</v>
      </c>
      <c r="B319" s="118" t="s">
        <v>569</v>
      </c>
      <c r="C319" s="119">
        <f>'Thomson Reuters IMA  ($)'!I626+'Thomson Reuters IMA  ($)'!I627</f>
        <v>1820.499</v>
      </c>
      <c r="D319" s="120">
        <f>'Sectors % GDP'!G26</f>
        <v>732550</v>
      </c>
      <c r="E319" s="120">
        <f t="shared" si="8"/>
        <v>2.4851532318613066E-3</v>
      </c>
      <c r="F319" s="123">
        <v>1</v>
      </c>
      <c r="G319" s="120">
        <v>8</v>
      </c>
      <c r="H319" s="122">
        <v>51.9</v>
      </c>
      <c r="I319" s="122">
        <v>52.64</v>
      </c>
      <c r="J319" s="123">
        <v>69.47</v>
      </c>
      <c r="K319" s="123">
        <v>32.9</v>
      </c>
      <c r="L319" s="123">
        <f t="shared" si="9"/>
        <v>2.6</v>
      </c>
      <c r="M319" s="124">
        <v>2.5999999999999999E-2</v>
      </c>
      <c r="N319" s="124">
        <v>5.75</v>
      </c>
      <c r="O319" s="125">
        <f>'Trade Data'!F20</f>
        <v>3.4735540112673915</v>
      </c>
      <c r="P319" s="127">
        <v>1</v>
      </c>
      <c r="Q319" s="352"/>
      <c r="R319" s="352"/>
      <c r="S319" s="352"/>
      <c r="T319" s="352"/>
      <c r="U319" s="352"/>
      <c r="V319" s="352"/>
      <c r="W319" s="352"/>
      <c r="X319" s="352"/>
      <c r="Y319" s="352"/>
      <c r="Z319" s="352"/>
      <c r="AA319" s="352"/>
      <c r="AB319" s="352"/>
      <c r="AC319" s="352"/>
      <c r="AD319" s="352"/>
      <c r="AE319" s="352"/>
      <c r="AF319" s="352"/>
      <c r="AG319" s="352"/>
      <c r="AH319" s="352"/>
      <c r="AI319" s="352"/>
      <c r="AJ319" s="352"/>
      <c r="AK319" s="352"/>
      <c r="AL319" s="352"/>
      <c r="AM319" s="352"/>
      <c r="AN319" s="352"/>
      <c r="AO319" s="352"/>
      <c r="AP319" s="352"/>
      <c r="AQ319" s="352"/>
      <c r="AR319" s="352"/>
      <c r="AS319" s="352"/>
      <c r="AT319" s="352"/>
      <c r="AU319" s="352"/>
      <c r="AV319" s="352"/>
      <c r="AW319" s="352"/>
      <c r="AX319" s="352"/>
      <c r="AY319" s="352"/>
      <c r="AZ319" s="352"/>
      <c r="BA319" s="352"/>
      <c r="BB319" s="352"/>
      <c r="BC319" s="352"/>
      <c r="BD319" s="352"/>
      <c r="BE319" s="352"/>
      <c r="BF319" s="352"/>
      <c r="BG319" s="352"/>
      <c r="BH319" s="352"/>
      <c r="BI319" s="352"/>
      <c r="BJ319" s="352"/>
      <c r="BK319" s="352"/>
      <c r="BL319" s="352"/>
      <c r="BM319" s="352"/>
      <c r="BN319" s="352"/>
      <c r="BO319" s="352"/>
      <c r="BP319" s="352"/>
      <c r="BQ319" s="352"/>
      <c r="BR319" s="352"/>
      <c r="BS319" s="352"/>
      <c r="BT319" s="352"/>
      <c r="BU319" s="352"/>
      <c r="BV319" s="352"/>
      <c r="BW319" s="352"/>
      <c r="BX319" s="352"/>
      <c r="BY319" s="352"/>
      <c r="BZ319" s="352"/>
      <c r="CA319" s="352"/>
      <c r="CB319" s="352"/>
      <c r="CC319" s="352"/>
      <c r="CD319" s="352"/>
      <c r="CE319" s="352"/>
      <c r="CF319" s="352"/>
      <c r="CG319" s="352"/>
      <c r="CH319" s="352"/>
      <c r="CI319" s="352"/>
      <c r="CJ319" s="352"/>
      <c r="CK319" s="352"/>
      <c r="CL319" s="352"/>
      <c r="CM319" s="352"/>
      <c r="CN319" s="352"/>
      <c r="CO319" s="352"/>
      <c r="CP319" s="352"/>
      <c r="CQ319" s="352"/>
      <c r="CR319" s="352"/>
      <c r="CS319" s="352"/>
      <c r="CT319" s="352"/>
      <c r="CU319" s="352"/>
      <c r="CV319" s="352"/>
      <c r="CW319" s="352"/>
      <c r="CX319" s="352"/>
      <c r="CY319" s="352"/>
      <c r="CZ319" s="352"/>
      <c r="DA319" s="352"/>
      <c r="DB319" s="352"/>
      <c r="DC319" s="352"/>
      <c r="DD319" s="352"/>
      <c r="DE319" s="352"/>
      <c r="DF319" s="352"/>
      <c r="DG319" s="352"/>
      <c r="DH319" s="352"/>
      <c r="DI319" s="352"/>
      <c r="DJ319" s="352"/>
      <c r="DK319" s="352"/>
      <c r="DL319" s="352"/>
      <c r="DM319" s="352"/>
      <c r="DN319" s="352"/>
      <c r="DO319" s="352"/>
      <c r="DP319" s="352"/>
      <c r="DQ319" s="352"/>
      <c r="DR319" s="352"/>
      <c r="DS319" s="352"/>
      <c r="DT319" s="352"/>
      <c r="DU319" s="352"/>
      <c r="DV319" s="352"/>
      <c r="DW319" s="352"/>
      <c r="DX319" s="352"/>
      <c r="DY319" s="352"/>
      <c r="DZ319" s="352"/>
      <c r="EA319" s="352"/>
      <c r="EB319" s="352"/>
      <c r="EC319" s="352"/>
      <c r="ED319" s="352"/>
      <c r="EE319" s="352"/>
      <c r="EF319" s="352"/>
      <c r="EG319" s="352"/>
      <c r="EH319" s="352"/>
      <c r="EI319" s="352"/>
      <c r="EJ319" s="352"/>
      <c r="EK319" s="352"/>
      <c r="EL319" s="352"/>
      <c r="EM319" s="352"/>
      <c r="EN319" s="352"/>
    </row>
    <row r="320" spans="1:144" s="169" customFormat="1" ht="20.100000000000001" customHeight="1">
      <c r="A320" s="160" t="s">
        <v>105</v>
      </c>
      <c r="B320" s="160" t="s">
        <v>568</v>
      </c>
      <c r="C320" s="161">
        <v>0</v>
      </c>
      <c r="D320" s="162">
        <f>'Sectors % GDP'!I24</f>
        <v>40425</v>
      </c>
      <c r="E320" s="162">
        <f t="shared" si="8"/>
        <v>0</v>
      </c>
      <c r="F320" s="165">
        <v>1</v>
      </c>
      <c r="G320" s="162">
        <v>1</v>
      </c>
      <c r="H320" s="164">
        <v>51.92</v>
      </c>
      <c r="I320" s="164">
        <v>54.78</v>
      </c>
      <c r="J320" s="165">
        <v>68.47</v>
      </c>
      <c r="K320" s="165">
        <v>32.549999999999997</v>
      </c>
      <c r="L320" s="165">
        <f t="shared" si="9"/>
        <v>2.6</v>
      </c>
      <c r="M320" s="166">
        <v>2.5999999999999999E-2</v>
      </c>
      <c r="N320" s="166">
        <v>5.75</v>
      </c>
      <c r="O320" s="167">
        <f>'Trade Data'!F20</f>
        <v>3.4735540112673915</v>
      </c>
      <c r="P320" s="168">
        <v>0</v>
      </c>
      <c r="Q320" s="352"/>
      <c r="R320" s="352"/>
      <c r="S320" s="352"/>
      <c r="T320" s="352"/>
      <c r="U320" s="352"/>
      <c r="V320" s="352"/>
      <c r="W320" s="352"/>
      <c r="X320" s="352"/>
      <c r="Y320" s="352"/>
      <c r="Z320" s="352"/>
      <c r="AA320" s="352"/>
      <c r="AB320" s="352"/>
      <c r="AC320" s="352"/>
      <c r="AD320" s="352"/>
      <c r="AE320" s="352"/>
      <c r="AF320" s="352"/>
      <c r="AG320" s="352"/>
      <c r="AH320" s="352"/>
      <c r="AI320" s="352"/>
      <c r="AJ320" s="352"/>
      <c r="AK320" s="352"/>
      <c r="AL320" s="352"/>
      <c r="AM320" s="352"/>
      <c r="AN320" s="352"/>
      <c r="AO320" s="352"/>
      <c r="AP320" s="352"/>
      <c r="AQ320" s="352"/>
      <c r="AR320" s="352"/>
      <c r="AS320" s="352"/>
      <c r="AT320" s="352"/>
      <c r="AU320" s="352"/>
      <c r="AV320" s="352"/>
      <c r="AW320" s="352"/>
      <c r="AX320" s="352"/>
      <c r="AY320" s="352"/>
      <c r="AZ320" s="352"/>
      <c r="BA320" s="352"/>
      <c r="BB320" s="352"/>
      <c r="BC320" s="352"/>
      <c r="BD320" s="352"/>
      <c r="BE320" s="352"/>
      <c r="BF320" s="352"/>
      <c r="BG320" s="352"/>
      <c r="BH320" s="352"/>
      <c r="BI320" s="352"/>
      <c r="BJ320" s="352"/>
      <c r="BK320" s="352"/>
      <c r="BL320" s="352"/>
      <c r="BM320" s="352"/>
      <c r="BN320" s="352"/>
      <c r="BO320" s="352"/>
      <c r="BP320" s="352"/>
      <c r="BQ320" s="352"/>
      <c r="BR320" s="352"/>
      <c r="BS320" s="352"/>
      <c r="BT320" s="352"/>
      <c r="BU320" s="352"/>
      <c r="BV320" s="352"/>
      <c r="BW320" s="352"/>
      <c r="BX320" s="352"/>
      <c r="BY320" s="352"/>
      <c r="BZ320" s="352"/>
      <c r="CA320" s="352"/>
      <c r="CB320" s="352"/>
      <c r="CC320" s="352"/>
      <c r="CD320" s="352"/>
      <c r="CE320" s="352"/>
      <c r="CF320" s="352"/>
      <c r="CG320" s="352"/>
      <c r="CH320" s="352"/>
      <c r="CI320" s="352"/>
      <c r="CJ320" s="352"/>
      <c r="CK320" s="352"/>
      <c r="CL320" s="352"/>
      <c r="CM320" s="352"/>
      <c r="CN320" s="352"/>
      <c r="CO320" s="352"/>
      <c r="CP320" s="352"/>
      <c r="CQ320" s="352"/>
      <c r="CR320" s="352"/>
      <c r="CS320" s="352"/>
      <c r="CT320" s="352"/>
      <c r="CU320" s="352"/>
      <c r="CV320" s="352"/>
      <c r="CW320" s="352"/>
      <c r="CX320" s="352"/>
      <c r="CY320" s="352"/>
      <c r="CZ320" s="352"/>
      <c r="DA320" s="352"/>
      <c r="DB320" s="352"/>
      <c r="DC320" s="352"/>
      <c r="DD320" s="352"/>
      <c r="DE320" s="352"/>
      <c r="DF320" s="352"/>
      <c r="DG320" s="352"/>
      <c r="DH320" s="352"/>
      <c r="DI320" s="352"/>
      <c r="DJ320" s="352"/>
      <c r="DK320" s="352"/>
      <c r="DL320" s="352"/>
      <c r="DM320" s="352"/>
      <c r="DN320" s="352"/>
      <c r="DO320" s="352"/>
      <c r="DP320" s="352"/>
      <c r="DQ320" s="352"/>
      <c r="DR320" s="352"/>
      <c r="DS320" s="352"/>
      <c r="DT320" s="352"/>
      <c r="DU320" s="352"/>
      <c r="DV320" s="352"/>
      <c r="DW320" s="352"/>
      <c r="DX320" s="352"/>
      <c r="DY320" s="352"/>
      <c r="DZ320" s="352"/>
      <c r="EA320" s="352"/>
      <c r="EB320" s="352"/>
      <c r="EC320" s="352"/>
      <c r="ED320" s="352"/>
      <c r="EE320" s="352"/>
      <c r="EF320" s="352"/>
      <c r="EG320" s="352"/>
      <c r="EH320" s="352"/>
      <c r="EI320" s="352"/>
      <c r="EJ320" s="352"/>
      <c r="EK320" s="352"/>
      <c r="EL320" s="352"/>
      <c r="EM320" s="352"/>
      <c r="EN320" s="352"/>
    </row>
    <row r="321" spans="1:144" s="188" customFormat="1" ht="20.100000000000001" customHeight="1">
      <c r="A321" s="179" t="s">
        <v>105</v>
      </c>
      <c r="B321" s="179" t="s">
        <v>567</v>
      </c>
      <c r="C321" s="180">
        <f>SUM('Thomson Reuters IMA  ($)'!I629:I635)-'Thomson Reuters IMA  ($)'!I631-'Thomson Reuters IMA  ($)'!I634</f>
        <v>131.73599999999999</v>
      </c>
      <c r="D321" s="181">
        <f>'Sectors % GDP'!I25</f>
        <v>343245</v>
      </c>
      <c r="E321" s="181">
        <f t="shared" si="8"/>
        <v>3.8379583096621943E-4</v>
      </c>
      <c r="F321" s="184">
        <v>1</v>
      </c>
      <c r="G321" s="181">
        <v>10</v>
      </c>
      <c r="H321" s="183">
        <v>51.92</v>
      </c>
      <c r="I321" s="183">
        <v>54.78</v>
      </c>
      <c r="J321" s="184">
        <v>68.47</v>
      </c>
      <c r="K321" s="184">
        <v>32.549999999999997</v>
      </c>
      <c r="L321" s="184">
        <f t="shared" si="9"/>
        <v>2.6</v>
      </c>
      <c r="M321" s="185">
        <v>2.5999999999999999E-2</v>
      </c>
      <c r="N321" s="185">
        <v>5.75</v>
      </c>
      <c r="O321" s="186">
        <f>'Trade Data'!F20</f>
        <v>3.4735540112673915</v>
      </c>
      <c r="P321" s="187">
        <v>1</v>
      </c>
      <c r="Q321" s="352"/>
      <c r="R321" s="352"/>
      <c r="S321" s="352"/>
      <c r="T321" s="352"/>
      <c r="U321" s="352"/>
      <c r="V321" s="352"/>
      <c r="W321" s="352"/>
      <c r="X321" s="352"/>
      <c r="Y321" s="352"/>
      <c r="Z321" s="352"/>
      <c r="AA321" s="352"/>
      <c r="AB321" s="352"/>
      <c r="AC321" s="352"/>
      <c r="AD321" s="352"/>
      <c r="AE321" s="352"/>
      <c r="AF321" s="352"/>
      <c r="AG321" s="352"/>
      <c r="AH321" s="352"/>
      <c r="AI321" s="352"/>
      <c r="AJ321" s="352"/>
      <c r="AK321" s="352"/>
      <c r="AL321" s="352"/>
      <c r="AM321" s="352"/>
      <c r="AN321" s="352"/>
      <c r="AO321" s="352"/>
      <c r="AP321" s="352"/>
      <c r="AQ321" s="352"/>
      <c r="AR321" s="352"/>
      <c r="AS321" s="352"/>
      <c r="AT321" s="352"/>
      <c r="AU321" s="352"/>
      <c r="AV321" s="352"/>
      <c r="AW321" s="352"/>
      <c r="AX321" s="352"/>
      <c r="AY321" s="352"/>
      <c r="AZ321" s="352"/>
      <c r="BA321" s="352"/>
      <c r="BB321" s="352"/>
      <c r="BC321" s="352"/>
      <c r="BD321" s="352"/>
      <c r="BE321" s="352"/>
      <c r="BF321" s="352"/>
      <c r="BG321" s="352"/>
      <c r="BH321" s="352"/>
      <c r="BI321" s="352"/>
      <c r="BJ321" s="352"/>
      <c r="BK321" s="352"/>
      <c r="BL321" s="352"/>
      <c r="BM321" s="352"/>
      <c r="BN321" s="352"/>
      <c r="BO321" s="352"/>
      <c r="BP321" s="352"/>
      <c r="BQ321" s="352"/>
      <c r="BR321" s="352"/>
      <c r="BS321" s="352"/>
      <c r="BT321" s="352"/>
      <c r="BU321" s="352"/>
      <c r="BV321" s="352"/>
      <c r="BW321" s="352"/>
      <c r="BX321" s="352"/>
      <c r="BY321" s="352"/>
      <c r="BZ321" s="352"/>
      <c r="CA321" s="352"/>
      <c r="CB321" s="352"/>
      <c r="CC321" s="352"/>
      <c r="CD321" s="352"/>
      <c r="CE321" s="352"/>
      <c r="CF321" s="352"/>
      <c r="CG321" s="352"/>
      <c r="CH321" s="352"/>
      <c r="CI321" s="352"/>
      <c r="CJ321" s="352"/>
      <c r="CK321" s="352"/>
      <c r="CL321" s="352"/>
      <c r="CM321" s="352"/>
      <c r="CN321" s="352"/>
      <c r="CO321" s="352"/>
      <c r="CP321" s="352"/>
      <c r="CQ321" s="352"/>
      <c r="CR321" s="352"/>
      <c r="CS321" s="352"/>
      <c r="CT321" s="352"/>
      <c r="CU321" s="352"/>
      <c r="CV321" s="352"/>
      <c r="CW321" s="352"/>
      <c r="CX321" s="352"/>
      <c r="CY321" s="352"/>
      <c r="CZ321" s="352"/>
      <c r="DA321" s="352"/>
      <c r="DB321" s="352"/>
      <c r="DC321" s="352"/>
      <c r="DD321" s="352"/>
      <c r="DE321" s="352"/>
      <c r="DF321" s="352"/>
      <c r="DG321" s="352"/>
      <c r="DH321" s="352"/>
      <c r="DI321" s="352"/>
      <c r="DJ321" s="352"/>
      <c r="DK321" s="352"/>
      <c r="DL321" s="352"/>
      <c r="DM321" s="352"/>
      <c r="DN321" s="352"/>
      <c r="DO321" s="352"/>
      <c r="DP321" s="352"/>
      <c r="DQ321" s="352"/>
      <c r="DR321" s="352"/>
      <c r="DS321" s="352"/>
      <c r="DT321" s="352"/>
      <c r="DU321" s="352"/>
      <c r="DV321" s="352"/>
      <c r="DW321" s="352"/>
      <c r="DX321" s="352"/>
      <c r="DY321" s="352"/>
      <c r="DZ321" s="352"/>
      <c r="EA321" s="352"/>
      <c r="EB321" s="352"/>
      <c r="EC321" s="352"/>
      <c r="ED321" s="352"/>
      <c r="EE321" s="352"/>
      <c r="EF321" s="352"/>
      <c r="EG321" s="352"/>
      <c r="EH321" s="352"/>
      <c r="EI321" s="352"/>
      <c r="EJ321" s="352"/>
      <c r="EK321" s="352"/>
      <c r="EL321" s="352"/>
      <c r="EM321" s="352"/>
      <c r="EN321" s="352"/>
    </row>
    <row r="322" spans="1:144" ht="20.100000000000001" customHeight="1">
      <c r="A322" s="118" t="s">
        <v>105</v>
      </c>
      <c r="B322" s="118" t="s">
        <v>566</v>
      </c>
      <c r="C322" s="119">
        <f>'Thomson Reuters IMA  ($)'!I634+'Thomson Reuters IMA  ($)'!I631</f>
        <v>62.5</v>
      </c>
      <c r="D322" s="120">
        <f>'Sectors % GDP'!I26</f>
        <v>666330</v>
      </c>
      <c r="E322" s="120">
        <f t="shared" ref="E322:E385" si="10">C322/D322</f>
        <v>9.3797367670673688E-5</v>
      </c>
      <c r="F322" s="123">
        <v>1</v>
      </c>
      <c r="G322" s="120">
        <v>4</v>
      </c>
      <c r="H322" s="122">
        <v>51.92</v>
      </c>
      <c r="I322" s="122">
        <v>54.78</v>
      </c>
      <c r="J322" s="123">
        <v>68.47</v>
      </c>
      <c r="K322" s="123">
        <v>32.549999999999997</v>
      </c>
      <c r="L322" s="123">
        <f t="shared" si="9"/>
        <v>2.6</v>
      </c>
      <c r="M322" s="124">
        <v>2.5999999999999999E-2</v>
      </c>
      <c r="N322" s="124">
        <v>5.75</v>
      </c>
      <c r="O322" s="125">
        <f>'Trade Data'!F20</f>
        <v>3.4735540112673915</v>
      </c>
      <c r="P322" s="126">
        <v>1</v>
      </c>
      <c r="Q322" s="352"/>
      <c r="R322" s="352"/>
      <c r="S322" s="352"/>
      <c r="T322" s="352"/>
      <c r="U322" s="352"/>
      <c r="V322" s="352"/>
      <c r="W322" s="352"/>
      <c r="X322" s="352"/>
      <c r="Y322" s="352"/>
      <c r="Z322" s="352"/>
      <c r="AA322" s="352"/>
      <c r="AB322" s="352"/>
      <c r="AC322" s="352"/>
      <c r="AD322" s="352"/>
      <c r="AE322" s="352"/>
      <c r="AF322" s="352"/>
      <c r="AG322" s="352"/>
      <c r="AH322" s="352"/>
      <c r="AI322" s="352"/>
      <c r="AJ322" s="352"/>
      <c r="AK322" s="352"/>
      <c r="AL322" s="352"/>
      <c r="AM322" s="352"/>
      <c r="AN322" s="352"/>
      <c r="AO322" s="352"/>
      <c r="AP322" s="352"/>
      <c r="AQ322" s="352"/>
      <c r="AR322" s="352"/>
      <c r="AS322" s="352"/>
      <c r="AT322" s="352"/>
      <c r="AU322" s="352"/>
      <c r="AV322" s="352"/>
      <c r="AW322" s="352"/>
      <c r="AX322" s="352"/>
      <c r="AY322" s="352"/>
      <c r="AZ322" s="352"/>
      <c r="BA322" s="352"/>
      <c r="BB322" s="352"/>
      <c r="BC322" s="352"/>
      <c r="BD322" s="352"/>
      <c r="BE322" s="352"/>
      <c r="BF322" s="352"/>
      <c r="BG322" s="352"/>
      <c r="BH322" s="352"/>
      <c r="BI322" s="352"/>
      <c r="BJ322" s="352"/>
      <c r="BK322" s="352"/>
      <c r="BL322" s="352"/>
      <c r="BM322" s="352"/>
      <c r="BN322" s="352"/>
      <c r="BO322" s="352"/>
      <c r="BP322" s="352"/>
      <c r="BQ322" s="352"/>
      <c r="BR322" s="352"/>
      <c r="BS322" s="352"/>
      <c r="BT322" s="352"/>
      <c r="BU322" s="352"/>
      <c r="BV322" s="352"/>
      <c r="BW322" s="352"/>
      <c r="BX322" s="352"/>
      <c r="BY322" s="352"/>
      <c r="BZ322" s="352"/>
      <c r="CA322" s="352"/>
      <c r="CB322" s="352"/>
      <c r="CC322" s="352"/>
      <c r="CD322" s="352"/>
      <c r="CE322" s="352"/>
      <c r="CF322" s="352"/>
      <c r="CG322" s="352"/>
      <c r="CH322" s="352"/>
      <c r="CI322" s="352"/>
      <c r="CJ322" s="352"/>
      <c r="CK322" s="352"/>
      <c r="CL322" s="352"/>
      <c r="CM322" s="352"/>
      <c r="CN322" s="352"/>
      <c r="CO322" s="352"/>
      <c r="CP322" s="352"/>
      <c r="CQ322" s="352"/>
      <c r="CR322" s="352"/>
      <c r="CS322" s="352"/>
      <c r="CT322" s="352"/>
      <c r="CU322" s="352"/>
      <c r="CV322" s="352"/>
      <c r="CW322" s="352"/>
      <c r="CX322" s="352"/>
      <c r="CY322" s="352"/>
      <c r="CZ322" s="352"/>
      <c r="DA322" s="352"/>
      <c r="DB322" s="352"/>
      <c r="DC322" s="352"/>
      <c r="DD322" s="352"/>
      <c r="DE322" s="352"/>
      <c r="DF322" s="352"/>
      <c r="DG322" s="352"/>
      <c r="DH322" s="352"/>
      <c r="DI322" s="352"/>
      <c r="DJ322" s="352"/>
      <c r="DK322" s="352"/>
      <c r="DL322" s="352"/>
      <c r="DM322" s="352"/>
      <c r="DN322" s="352"/>
      <c r="DO322" s="352"/>
      <c r="DP322" s="352"/>
      <c r="DQ322" s="352"/>
      <c r="DR322" s="352"/>
      <c r="DS322" s="352"/>
      <c r="DT322" s="352"/>
      <c r="DU322" s="352"/>
      <c r="DV322" s="352"/>
      <c r="DW322" s="352"/>
      <c r="DX322" s="352"/>
      <c r="DY322" s="352"/>
      <c r="DZ322" s="352"/>
      <c r="EA322" s="352"/>
      <c r="EB322" s="352"/>
      <c r="EC322" s="352"/>
      <c r="ED322" s="352"/>
      <c r="EE322" s="352"/>
      <c r="EF322" s="352"/>
      <c r="EG322" s="352"/>
      <c r="EH322" s="352"/>
      <c r="EI322" s="352"/>
      <c r="EJ322" s="352"/>
      <c r="EK322" s="352"/>
      <c r="EL322" s="352"/>
      <c r="EM322" s="352"/>
      <c r="EN322" s="352"/>
    </row>
    <row r="323" spans="1:144" s="169" customFormat="1" ht="20.100000000000001" customHeight="1">
      <c r="A323" s="160" t="s">
        <v>106</v>
      </c>
      <c r="B323" s="160" t="s">
        <v>565</v>
      </c>
      <c r="C323" s="161">
        <f>0</f>
        <v>0</v>
      </c>
      <c r="D323" s="162">
        <f>'Sectors % GDP'!I24</f>
        <v>40425</v>
      </c>
      <c r="E323" s="162">
        <f t="shared" si="10"/>
        <v>0</v>
      </c>
      <c r="F323" s="165">
        <v>0</v>
      </c>
      <c r="G323" s="162">
        <v>0</v>
      </c>
      <c r="H323" s="164">
        <v>55.45</v>
      </c>
      <c r="I323" s="164">
        <v>60.95</v>
      </c>
      <c r="J323" s="165">
        <v>70.89</v>
      </c>
      <c r="K323" s="165">
        <v>32.549999999999997</v>
      </c>
      <c r="L323" s="165">
        <f t="shared" ref="L323:L386" si="11">M323*100</f>
        <v>2.2999999999999998</v>
      </c>
      <c r="M323" s="166">
        <v>2.3E-2</v>
      </c>
      <c r="N323" s="166">
        <v>6.25</v>
      </c>
      <c r="O323" s="167">
        <f>'Trade Data'!H20</f>
        <v>3.6441271351698408</v>
      </c>
      <c r="P323" s="170">
        <v>0</v>
      </c>
      <c r="Q323" s="352"/>
      <c r="R323" s="352"/>
      <c r="S323" s="352"/>
      <c r="T323" s="352"/>
      <c r="U323" s="352"/>
      <c r="V323" s="352"/>
      <c r="W323" s="352"/>
      <c r="X323" s="352"/>
      <c r="Y323" s="352"/>
      <c r="Z323" s="352"/>
      <c r="AA323" s="352"/>
      <c r="AB323" s="352"/>
      <c r="AC323" s="352"/>
      <c r="AD323" s="352"/>
      <c r="AE323" s="352"/>
      <c r="AF323" s="352"/>
      <c r="AG323" s="352"/>
      <c r="AH323" s="352"/>
      <c r="AI323" s="352"/>
      <c r="AJ323" s="352"/>
      <c r="AK323" s="352"/>
      <c r="AL323" s="352"/>
      <c r="AM323" s="352"/>
      <c r="AN323" s="352"/>
      <c r="AO323" s="352"/>
      <c r="AP323" s="352"/>
      <c r="AQ323" s="352"/>
      <c r="AR323" s="352"/>
      <c r="AS323" s="352"/>
      <c r="AT323" s="352"/>
      <c r="AU323" s="352"/>
      <c r="AV323" s="352"/>
      <c r="AW323" s="352"/>
      <c r="AX323" s="352"/>
      <c r="AY323" s="352"/>
      <c r="AZ323" s="352"/>
      <c r="BA323" s="352"/>
      <c r="BB323" s="352"/>
      <c r="BC323" s="352"/>
      <c r="BD323" s="352"/>
      <c r="BE323" s="352"/>
      <c r="BF323" s="352"/>
      <c r="BG323" s="352"/>
      <c r="BH323" s="352"/>
      <c r="BI323" s="352"/>
      <c r="BJ323" s="352"/>
      <c r="BK323" s="352"/>
      <c r="BL323" s="352"/>
      <c r="BM323" s="352"/>
      <c r="BN323" s="352"/>
      <c r="BO323" s="352"/>
      <c r="BP323" s="352"/>
      <c r="BQ323" s="352"/>
      <c r="BR323" s="352"/>
      <c r="BS323" s="352"/>
      <c r="BT323" s="352"/>
      <c r="BU323" s="352"/>
      <c r="BV323" s="352"/>
      <c r="BW323" s="352"/>
      <c r="BX323" s="352"/>
      <c r="BY323" s="352"/>
      <c r="BZ323" s="352"/>
      <c r="CA323" s="352"/>
      <c r="CB323" s="352"/>
      <c r="CC323" s="352"/>
      <c r="CD323" s="352"/>
      <c r="CE323" s="352"/>
      <c r="CF323" s="352"/>
      <c r="CG323" s="352"/>
      <c r="CH323" s="352"/>
      <c r="CI323" s="352"/>
      <c r="CJ323" s="352"/>
      <c r="CK323" s="352"/>
      <c r="CL323" s="352"/>
      <c r="CM323" s="352"/>
      <c r="CN323" s="352"/>
      <c r="CO323" s="352"/>
      <c r="CP323" s="352"/>
      <c r="CQ323" s="352"/>
      <c r="CR323" s="352"/>
      <c r="CS323" s="352"/>
      <c r="CT323" s="352"/>
      <c r="CU323" s="352"/>
      <c r="CV323" s="352"/>
      <c r="CW323" s="352"/>
      <c r="CX323" s="352"/>
      <c r="CY323" s="352"/>
      <c r="CZ323" s="352"/>
      <c r="DA323" s="352"/>
      <c r="DB323" s="352"/>
      <c r="DC323" s="352"/>
      <c r="DD323" s="352"/>
      <c r="DE323" s="352"/>
      <c r="DF323" s="352"/>
      <c r="DG323" s="352"/>
      <c r="DH323" s="352"/>
      <c r="DI323" s="352"/>
      <c r="DJ323" s="352"/>
      <c r="DK323" s="352"/>
      <c r="DL323" s="352"/>
      <c r="DM323" s="352"/>
      <c r="DN323" s="352"/>
      <c r="DO323" s="352"/>
      <c r="DP323" s="352"/>
      <c r="DQ323" s="352"/>
      <c r="DR323" s="352"/>
      <c r="DS323" s="352"/>
      <c r="DT323" s="352"/>
      <c r="DU323" s="352"/>
      <c r="DV323" s="352"/>
      <c r="DW323" s="352"/>
      <c r="DX323" s="352"/>
      <c r="DY323" s="352"/>
      <c r="DZ323" s="352"/>
      <c r="EA323" s="352"/>
      <c r="EB323" s="352"/>
      <c r="EC323" s="352"/>
      <c r="ED323" s="352"/>
      <c r="EE323" s="352"/>
      <c r="EF323" s="352"/>
      <c r="EG323" s="352"/>
      <c r="EH323" s="352"/>
      <c r="EI323" s="352"/>
      <c r="EJ323" s="352"/>
      <c r="EK323" s="352"/>
      <c r="EL323" s="352"/>
      <c r="EM323" s="352"/>
      <c r="EN323" s="352"/>
    </row>
    <row r="324" spans="1:144" s="188" customFormat="1" ht="20.100000000000001" customHeight="1">
      <c r="A324" s="179" t="s">
        <v>106</v>
      </c>
      <c r="B324" s="179" t="s">
        <v>564</v>
      </c>
      <c r="C324" s="180">
        <f>'Thomson Reuters IMA  ($)'!I636+'Thomson Reuters IMA  ($)'!I637+'Thomson Reuters IMA  ($)'!I639</f>
        <v>58.375999999999998</v>
      </c>
      <c r="D324" s="181">
        <f>'Sectors % GDP'!I25</f>
        <v>343245</v>
      </c>
      <c r="E324" s="181">
        <f t="shared" si="10"/>
        <v>1.7007094058180017E-4</v>
      </c>
      <c r="F324" s="184">
        <v>1</v>
      </c>
      <c r="G324" s="181">
        <v>14</v>
      </c>
      <c r="H324" s="183">
        <v>55.45</v>
      </c>
      <c r="I324" s="183">
        <v>60.95</v>
      </c>
      <c r="J324" s="184">
        <v>70.89</v>
      </c>
      <c r="K324" s="184">
        <v>32.549999999999997</v>
      </c>
      <c r="L324" s="184">
        <f t="shared" si="11"/>
        <v>2.2999999999999998</v>
      </c>
      <c r="M324" s="185">
        <v>2.3E-2</v>
      </c>
      <c r="N324" s="185">
        <v>6.25</v>
      </c>
      <c r="O324" s="186">
        <f>'Trade Data'!H20</f>
        <v>3.6441271351698408</v>
      </c>
      <c r="P324" s="189">
        <v>1</v>
      </c>
      <c r="Q324" s="352"/>
      <c r="R324" s="352"/>
      <c r="S324" s="352"/>
      <c r="T324" s="352"/>
      <c r="U324" s="352"/>
      <c r="V324" s="352"/>
      <c r="W324" s="352"/>
      <c r="X324" s="352"/>
      <c r="Y324" s="352"/>
      <c r="Z324" s="352"/>
      <c r="AA324" s="352"/>
      <c r="AB324" s="352"/>
      <c r="AC324" s="352"/>
      <c r="AD324" s="352"/>
      <c r="AE324" s="352"/>
      <c r="AF324" s="352"/>
      <c r="AG324" s="352"/>
      <c r="AH324" s="352"/>
      <c r="AI324" s="352"/>
      <c r="AJ324" s="352"/>
      <c r="AK324" s="352"/>
      <c r="AL324" s="352"/>
      <c r="AM324" s="352"/>
      <c r="AN324" s="352"/>
      <c r="AO324" s="352"/>
      <c r="AP324" s="352"/>
      <c r="AQ324" s="352"/>
      <c r="AR324" s="352"/>
      <c r="AS324" s="352"/>
      <c r="AT324" s="352"/>
      <c r="AU324" s="352"/>
      <c r="AV324" s="352"/>
      <c r="AW324" s="352"/>
      <c r="AX324" s="352"/>
      <c r="AY324" s="352"/>
      <c r="AZ324" s="352"/>
      <c r="BA324" s="352"/>
      <c r="BB324" s="352"/>
      <c r="BC324" s="352"/>
      <c r="BD324" s="352"/>
      <c r="BE324" s="352"/>
      <c r="BF324" s="352"/>
      <c r="BG324" s="352"/>
      <c r="BH324" s="352"/>
      <c r="BI324" s="352"/>
      <c r="BJ324" s="352"/>
      <c r="BK324" s="352"/>
      <c r="BL324" s="352"/>
      <c r="BM324" s="352"/>
      <c r="BN324" s="352"/>
      <c r="BO324" s="352"/>
      <c r="BP324" s="352"/>
      <c r="BQ324" s="352"/>
      <c r="BR324" s="352"/>
      <c r="BS324" s="352"/>
      <c r="BT324" s="352"/>
      <c r="BU324" s="352"/>
      <c r="BV324" s="352"/>
      <c r="BW324" s="352"/>
      <c r="BX324" s="352"/>
      <c r="BY324" s="352"/>
      <c r="BZ324" s="352"/>
      <c r="CA324" s="352"/>
      <c r="CB324" s="352"/>
      <c r="CC324" s="352"/>
      <c r="CD324" s="352"/>
      <c r="CE324" s="352"/>
      <c r="CF324" s="352"/>
      <c r="CG324" s="352"/>
      <c r="CH324" s="352"/>
      <c r="CI324" s="352"/>
      <c r="CJ324" s="352"/>
      <c r="CK324" s="352"/>
      <c r="CL324" s="352"/>
      <c r="CM324" s="352"/>
      <c r="CN324" s="352"/>
      <c r="CO324" s="352"/>
      <c r="CP324" s="352"/>
      <c r="CQ324" s="352"/>
      <c r="CR324" s="352"/>
      <c r="CS324" s="352"/>
      <c r="CT324" s="352"/>
      <c r="CU324" s="352"/>
      <c r="CV324" s="352"/>
      <c r="CW324" s="352"/>
      <c r="CX324" s="352"/>
      <c r="CY324" s="352"/>
      <c r="CZ324" s="352"/>
      <c r="DA324" s="352"/>
      <c r="DB324" s="352"/>
      <c r="DC324" s="352"/>
      <c r="DD324" s="352"/>
      <c r="DE324" s="352"/>
      <c r="DF324" s="352"/>
      <c r="DG324" s="352"/>
      <c r="DH324" s="352"/>
      <c r="DI324" s="352"/>
      <c r="DJ324" s="352"/>
      <c r="DK324" s="352"/>
      <c r="DL324" s="352"/>
      <c r="DM324" s="352"/>
      <c r="DN324" s="352"/>
      <c r="DO324" s="352"/>
      <c r="DP324" s="352"/>
      <c r="DQ324" s="352"/>
      <c r="DR324" s="352"/>
      <c r="DS324" s="352"/>
      <c r="DT324" s="352"/>
      <c r="DU324" s="352"/>
      <c r="DV324" s="352"/>
      <c r="DW324" s="352"/>
      <c r="DX324" s="352"/>
      <c r="DY324" s="352"/>
      <c r="DZ324" s="352"/>
      <c r="EA324" s="352"/>
      <c r="EB324" s="352"/>
      <c r="EC324" s="352"/>
      <c r="ED324" s="352"/>
      <c r="EE324" s="352"/>
      <c r="EF324" s="352"/>
      <c r="EG324" s="352"/>
      <c r="EH324" s="352"/>
      <c r="EI324" s="352"/>
      <c r="EJ324" s="352"/>
      <c r="EK324" s="352"/>
      <c r="EL324" s="352"/>
      <c r="EM324" s="352"/>
      <c r="EN324" s="352"/>
    </row>
    <row r="325" spans="1:144" ht="20.100000000000001" customHeight="1">
      <c r="A325" s="118" t="s">
        <v>106</v>
      </c>
      <c r="B325" s="118" t="s">
        <v>563</v>
      </c>
      <c r="C325" s="119">
        <f>'Thomson Reuters IMA  ($)'!I638+'Thomson Reuters IMA  ($)'!I640+'Thomson Reuters IMA  ($)'!I641</f>
        <v>1116.492</v>
      </c>
      <c r="D325" s="120">
        <f>'Sectors % GDP'!I26</f>
        <v>666330</v>
      </c>
      <c r="E325" s="120">
        <f t="shared" si="10"/>
        <v>1.6755841700058529E-3</v>
      </c>
      <c r="F325" s="123">
        <v>1</v>
      </c>
      <c r="G325" s="120">
        <v>14</v>
      </c>
      <c r="H325" s="122">
        <v>55.45</v>
      </c>
      <c r="I325" s="122">
        <v>60.95</v>
      </c>
      <c r="J325" s="123">
        <v>70.89</v>
      </c>
      <c r="K325" s="123">
        <v>32.549999999999997</v>
      </c>
      <c r="L325" s="123">
        <f t="shared" si="11"/>
        <v>2.2999999999999998</v>
      </c>
      <c r="M325" s="124">
        <v>2.3E-2</v>
      </c>
      <c r="N325" s="124">
        <v>6.25</v>
      </c>
      <c r="O325" s="125">
        <f>'Trade Data'!H20</f>
        <v>3.6441271351698408</v>
      </c>
      <c r="P325" s="127">
        <v>1</v>
      </c>
      <c r="Q325" s="352"/>
      <c r="R325" s="352"/>
      <c r="S325" s="352"/>
      <c r="T325" s="352"/>
      <c r="U325" s="352"/>
      <c r="V325" s="352"/>
      <c r="W325" s="352"/>
      <c r="X325" s="352"/>
      <c r="Y325" s="352"/>
      <c r="Z325" s="352"/>
      <c r="AA325" s="352"/>
      <c r="AB325" s="352"/>
      <c r="AC325" s="352"/>
      <c r="AD325" s="352"/>
      <c r="AE325" s="352"/>
      <c r="AF325" s="352"/>
      <c r="AG325" s="352"/>
      <c r="AH325" s="352"/>
      <c r="AI325" s="352"/>
      <c r="AJ325" s="352"/>
      <c r="AK325" s="352"/>
      <c r="AL325" s="352"/>
      <c r="AM325" s="352"/>
      <c r="AN325" s="352"/>
      <c r="AO325" s="352"/>
      <c r="AP325" s="352"/>
      <c r="AQ325" s="352"/>
      <c r="AR325" s="352"/>
      <c r="AS325" s="352"/>
      <c r="AT325" s="352"/>
      <c r="AU325" s="352"/>
      <c r="AV325" s="352"/>
      <c r="AW325" s="352"/>
      <c r="AX325" s="352"/>
      <c r="AY325" s="352"/>
      <c r="AZ325" s="352"/>
      <c r="BA325" s="352"/>
      <c r="BB325" s="352"/>
      <c r="BC325" s="352"/>
      <c r="BD325" s="352"/>
      <c r="BE325" s="352"/>
      <c r="BF325" s="352"/>
      <c r="BG325" s="352"/>
      <c r="BH325" s="352"/>
      <c r="BI325" s="352"/>
      <c r="BJ325" s="352"/>
      <c r="BK325" s="352"/>
      <c r="BL325" s="352"/>
      <c r="BM325" s="352"/>
      <c r="BN325" s="352"/>
      <c r="BO325" s="352"/>
      <c r="BP325" s="352"/>
      <c r="BQ325" s="352"/>
      <c r="BR325" s="352"/>
      <c r="BS325" s="352"/>
      <c r="BT325" s="352"/>
      <c r="BU325" s="352"/>
      <c r="BV325" s="352"/>
      <c r="BW325" s="352"/>
      <c r="BX325" s="352"/>
      <c r="BY325" s="352"/>
      <c r="BZ325" s="352"/>
      <c r="CA325" s="352"/>
      <c r="CB325" s="352"/>
      <c r="CC325" s="352"/>
      <c r="CD325" s="352"/>
      <c r="CE325" s="352"/>
      <c r="CF325" s="352"/>
      <c r="CG325" s="352"/>
      <c r="CH325" s="352"/>
      <c r="CI325" s="352"/>
      <c r="CJ325" s="352"/>
      <c r="CK325" s="352"/>
      <c r="CL325" s="352"/>
      <c r="CM325" s="352"/>
      <c r="CN325" s="352"/>
      <c r="CO325" s="352"/>
      <c r="CP325" s="352"/>
      <c r="CQ325" s="352"/>
      <c r="CR325" s="352"/>
      <c r="CS325" s="352"/>
      <c r="CT325" s="352"/>
      <c r="CU325" s="352"/>
      <c r="CV325" s="352"/>
      <c r="CW325" s="352"/>
      <c r="CX325" s="352"/>
      <c r="CY325" s="352"/>
      <c r="CZ325" s="352"/>
      <c r="DA325" s="352"/>
      <c r="DB325" s="352"/>
      <c r="DC325" s="352"/>
      <c r="DD325" s="352"/>
      <c r="DE325" s="352"/>
      <c r="DF325" s="352"/>
      <c r="DG325" s="352"/>
      <c r="DH325" s="352"/>
      <c r="DI325" s="352"/>
      <c r="DJ325" s="352"/>
      <c r="DK325" s="352"/>
      <c r="DL325" s="352"/>
      <c r="DM325" s="352"/>
      <c r="DN325" s="352"/>
      <c r="DO325" s="352"/>
      <c r="DP325" s="352"/>
      <c r="DQ325" s="352"/>
      <c r="DR325" s="352"/>
      <c r="DS325" s="352"/>
      <c r="DT325" s="352"/>
      <c r="DU325" s="352"/>
      <c r="DV325" s="352"/>
      <c r="DW325" s="352"/>
      <c r="DX325" s="352"/>
      <c r="DY325" s="352"/>
      <c r="DZ325" s="352"/>
      <c r="EA325" s="352"/>
      <c r="EB325" s="352"/>
      <c r="EC325" s="352"/>
      <c r="ED325" s="352"/>
      <c r="EE325" s="352"/>
      <c r="EF325" s="352"/>
      <c r="EG325" s="352"/>
      <c r="EH325" s="352"/>
      <c r="EI325" s="352"/>
      <c r="EJ325" s="352"/>
      <c r="EK325" s="352"/>
      <c r="EL325" s="352"/>
      <c r="EM325" s="352"/>
      <c r="EN325" s="352"/>
    </row>
    <row r="326" spans="1:144" s="169" customFormat="1" ht="20.100000000000001" customHeight="1">
      <c r="A326" s="160" t="s">
        <v>107</v>
      </c>
      <c r="B326" s="160" t="s">
        <v>562</v>
      </c>
      <c r="C326" s="161">
        <v>0</v>
      </c>
      <c r="D326" s="162">
        <f>'Sectors % GDP'!I24</f>
        <v>40425</v>
      </c>
      <c r="E326" s="162">
        <f t="shared" si="10"/>
        <v>0</v>
      </c>
      <c r="F326" s="165">
        <v>0</v>
      </c>
      <c r="G326" s="162">
        <v>0</v>
      </c>
      <c r="H326" s="164">
        <v>46.03</v>
      </c>
      <c r="I326" s="164">
        <v>33.020000000000003</v>
      </c>
      <c r="J326" s="165">
        <v>73.25</v>
      </c>
      <c r="K326" s="165">
        <v>32.549999999999997</v>
      </c>
      <c r="L326" s="165">
        <f t="shared" si="11"/>
        <v>2.2999999999999998</v>
      </c>
      <c r="M326" s="166">
        <v>2.3E-2</v>
      </c>
      <c r="N326" s="166">
        <v>6.25</v>
      </c>
      <c r="O326" s="167">
        <f>'Trade Data'!H20</f>
        <v>3.6441271351698408</v>
      </c>
      <c r="P326" s="168">
        <v>0</v>
      </c>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2"/>
      <c r="BB326" s="352"/>
      <c r="BC326" s="352"/>
      <c r="BD326" s="352"/>
      <c r="BE326" s="352"/>
      <c r="BF326" s="352"/>
      <c r="BG326" s="352"/>
      <c r="BH326" s="352"/>
      <c r="BI326" s="352"/>
      <c r="BJ326" s="352"/>
      <c r="BK326" s="352"/>
      <c r="BL326" s="352"/>
      <c r="BM326" s="352"/>
      <c r="BN326" s="352"/>
      <c r="BO326" s="352"/>
      <c r="BP326" s="352"/>
      <c r="BQ326" s="352"/>
      <c r="BR326" s="352"/>
      <c r="BS326" s="352"/>
      <c r="BT326" s="352"/>
      <c r="BU326" s="352"/>
      <c r="BV326" s="352"/>
      <c r="BW326" s="352"/>
      <c r="BX326" s="352"/>
      <c r="BY326" s="352"/>
      <c r="BZ326" s="352"/>
      <c r="CA326" s="352"/>
      <c r="CB326" s="352"/>
      <c r="CC326" s="352"/>
      <c r="CD326" s="352"/>
      <c r="CE326" s="352"/>
      <c r="CF326" s="352"/>
      <c r="CG326" s="352"/>
      <c r="CH326" s="352"/>
      <c r="CI326" s="352"/>
      <c r="CJ326" s="352"/>
      <c r="CK326" s="352"/>
      <c r="CL326" s="352"/>
      <c r="CM326" s="352"/>
      <c r="CN326" s="352"/>
      <c r="CO326" s="352"/>
      <c r="CP326" s="352"/>
      <c r="CQ326" s="352"/>
      <c r="CR326" s="352"/>
      <c r="CS326" s="352"/>
      <c r="CT326" s="352"/>
      <c r="CU326" s="352"/>
      <c r="CV326" s="352"/>
      <c r="CW326" s="352"/>
      <c r="CX326" s="352"/>
      <c r="CY326" s="352"/>
      <c r="CZ326" s="352"/>
      <c r="DA326" s="352"/>
      <c r="DB326" s="352"/>
      <c r="DC326" s="352"/>
      <c r="DD326" s="352"/>
      <c r="DE326" s="352"/>
      <c r="DF326" s="352"/>
      <c r="DG326" s="352"/>
      <c r="DH326" s="352"/>
      <c r="DI326" s="352"/>
      <c r="DJ326" s="352"/>
      <c r="DK326" s="352"/>
      <c r="DL326" s="352"/>
      <c r="DM326" s="352"/>
      <c r="DN326" s="352"/>
      <c r="DO326" s="352"/>
      <c r="DP326" s="352"/>
      <c r="DQ326" s="352"/>
      <c r="DR326" s="352"/>
      <c r="DS326" s="352"/>
      <c r="DT326" s="352"/>
      <c r="DU326" s="352"/>
      <c r="DV326" s="352"/>
      <c r="DW326" s="352"/>
      <c r="DX326" s="352"/>
      <c r="DY326" s="352"/>
      <c r="DZ326" s="352"/>
      <c r="EA326" s="352"/>
      <c r="EB326" s="352"/>
      <c r="EC326" s="352"/>
      <c r="ED326" s="352"/>
      <c r="EE326" s="352"/>
      <c r="EF326" s="352"/>
      <c r="EG326" s="352"/>
      <c r="EH326" s="352"/>
      <c r="EI326" s="352"/>
      <c r="EJ326" s="352"/>
      <c r="EK326" s="352"/>
      <c r="EL326" s="352"/>
      <c r="EM326" s="352"/>
      <c r="EN326" s="352"/>
    </row>
    <row r="327" spans="1:144" s="188" customFormat="1" ht="20.100000000000001" customHeight="1">
      <c r="A327" s="179" t="s">
        <v>107</v>
      </c>
      <c r="B327" s="179" t="s">
        <v>561</v>
      </c>
      <c r="C327" s="180">
        <f>'Thomson Reuters IMA  ($)'!I643+'Thomson Reuters IMA  ($)'!I644+'Thomson Reuters IMA  ($)'!I645</f>
        <v>150.36800000000002</v>
      </c>
      <c r="D327" s="181">
        <f>'Sectors % GDP'!I25</f>
        <v>343245</v>
      </c>
      <c r="E327" s="181">
        <f t="shared" si="10"/>
        <v>4.3807775786974324E-4</v>
      </c>
      <c r="F327" s="184">
        <v>1</v>
      </c>
      <c r="G327" s="181">
        <v>10</v>
      </c>
      <c r="H327" s="183">
        <v>46.03</v>
      </c>
      <c r="I327" s="183">
        <v>33.020000000000003</v>
      </c>
      <c r="J327" s="184">
        <v>73.25</v>
      </c>
      <c r="K327" s="184">
        <v>32.549999999999997</v>
      </c>
      <c r="L327" s="184">
        <f t="shared" si="11"/>
        <v>2.2999999999999998</v>
      </c>
      <c r="M327" s="185">
        <v>2.3E-2</v>
      </c>
      <c r="N327" s="185">
        <v>6.25</v>
      </c>
      <c r="O327" s="186">
        <f>'Trade Data'!H20</f>
        <v>3.6441271351698408</v>
      </c>
      <c r="P327" s="187">
        <v>1</v>
      </c>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2"/>
      <c r="BB327" s="352"/>
      <c r="BC327" s="352"/>
      <c r="BD327" s="352"/>
      <c r="BE327" s="352"/>
      <c r="BF327" s="352"/>
      <c r="BG327" s="352"/>
      <c r="BH327" s="352"/>
      <c r="BI327" s="352"/>
      <c r="BJ327" s="352"/>
      <c r="BK327" s="352"/>
      <c r="BL327" s="352"/>
      <c r="BM327" s="352"/>
      <c r="BN327" s="352"/>
      <c r="BO327" s="352"/>
      <c r="BP327" s="352"/>
      <c r="BQ327" s="352"/>
      <c r="BR327" s="352"/>
      <c r="BS327" s="352"/>
      <c r="BT327" s="352"/>
      <c r="BU327" s="352"/>
      <c r="BV327" s="352"/>
      <c r="BW327" s="352"/>
      <c r="BX327" s="352"/>
      <c r="BY327" s="352"/>
      <c r="BZ327" s="352"/>
      <c r="CA327" s="352"/>
      <c r="CB327" s="352"/>
      <c r="CC327" s="352"/>
      <c r="CD327" s="352"/>
      <c r="CE327" s="352"/>
      <c r="CF327" s="352"/>
      <c r="CG327" s="352"/>
      <c r="CH327" s="352"/>
      <c r="CI327" s="352"/>
      <c r="CJ327" s="352"/>
      <c r="CK327" s="352"/>
      <c r="CL327" s="352"/>
      <c r="CM327" s="352"/>
      <c r="CN327" s="352"/>
      <c r="CO327" s="352"/>
      <c r="CP327" s="352"/>
      <c r="CQ327" s="352"/>
      <c r="CR327" s="352"/>
      <c r="CS327" s="352"/>
      <c r="CT327" s="352"/>
      <c r="CU327" s="352"/>
      <c r="CV327" s="352"/>
      <c r="CW327" s="352"/>
      <c r="CX327" s="352"/>
      <c r="CY327" s="352"/>
      <c r="CZ327" s="352"/>
      <c r="DA327" s="352"/>
      <c r="DB327" s="352"/>
      <c r="DC327" s="352"/>
      <c r="DD327" s="352"/>
      <c r="DE327" s="352"/>
      <c r="DF327" s="352"/>
      <c r="DG327" s="352"/>
      <c r="DH327" s="352"/>
      <c r="DI327" s="352"/>
      <c r="DJ327" s="352"/>
      <c r="DK327" s="352"/>
      <c r="DL327" s="352"/>
      <c r="DM327" s="352"/>
      <c r="DN327" s="352"/>
      <c r="DO327" s="352"/>
      <c r="DP327" s="352"/>
      <c r="DQ327" s="352"/>
      <c r="DR327" s="352"/>
      <c r="DS327" s="352"/>
      <c r="DT327" s="352"/>
      <c r="DU327" s="352"/>
      <c r="DV327" s="352"/>
      <c r="DW327" s="352"/>
      <c r="DX327" s="352"/>
      <c r="DY327" s="352"/>
      <c r="DZ327" s="352"/>
      <c r="EA327" s="352"/>
      <c r="EB327" s="352"/>
      <c r="EC327" s="352"/>
      <c r="ED327" s="352"/>
      <c r="EE327" s="352"/>
      <c r="EF327" s="352"/>
      <c r="EG327" s="352"/>
      <c r="EH327" s="352"/>
      <c r="EI327" s="352"/>
      <c r="EJ327" s="352"/>
      <c r="EK327" s="352"/>
      <c r="EL327" s="352"/>
      <c r="EM327" s="352"/>
      <c r="EN327" s="352"/>
    </row>
    <row r="328" spans="1:144" ht="20.100000000000001" customHeight="1">
      <c r="A328" s="118" t="s">
        <v>107</v>
      </c>
      <c r="B328" s="118" t="s">
        <v>560</v>
      </c>
      <c r="C328" s="119">
        <f>'Thomson Reuters IMA  ($)'!I642</f>
        <v>1.333</v>
      </c>
      <c r="D328" s="120">
        <f>'Sectors % GDP'!I26</f>
        <v>666330</v>
      </c>
      <c r="E328" s="120">
        <f t="shared" si="10"/>
        <v>2.0005102576801285E-6</v>
      </c>
      <c r="F328" s="123">
        <v>1</v>
      </c>
      <c r="G328" s="120">
        <v>7</v>
      </c>
      <c r="H328" s="122">
        <v>46.03</v>
      </c>
      <c r="I328" s="122">
        <v>33.020000000000003</v>
      </c>
      <c r="J328" s="123">
        <v>73.25</v>
      </c>
      <c r="K328" s="123">
        <v>32.549999999999997</v>
      </c>
      <c r="L328" s="123">
        <f t="shared" si="11"/>
        <v>2.2999999999999998</v>
      </c>
      <c r="M328" s="124">
        <v>2.3E-2</v>
      </c>
      <c r="N328" s="124">
        <v>6.25</v>
      </c>
      <c r="O328" s="125">
        <f>'Trade Data'!H20</f>
        <v>3.6441271351698408</v>
      </c>
      <c r="P328" s="126">
        <v>1</v>
      </c>
      <c r="Q328" s="352"/>
      <c r="R328" s="352"/>
      <c r="S328" s="352"/>
      <c r="T328" s="352"/>
      <c r="U328" s="352"/>
      <c r="V328" s="352"/>
      <c r="W328" s="352"/>
      <c r="X328" s="352"/>
      <c r="Y328" s="352"/>
      <c r="Z328" s="352"/>
      <c r="AA328" s="352"/>
      <c r="AB328" s="352"/>
      <c r="AC328" s="352"/>
      <c r="AD328" s="352"/>
      <c r="AE328" s="352"/>
      <c r="AF328" s="352"/>
      <c r="AG328" s="352"/>
      <c r="AH328" s="352"/>
      <c r="AI328" s="352"/>
      <c r="AJ328" s="352"/>
      <c r="AK328" s="352"/>
      <c r="AL328" s="352"/>
      <c r="AM328" s="352"/>
      <c r="AN328" s="352"/>
      <c r="AO328" s="352"/>
      <c r="AP328" s="352"/>
      <c r="AQ328" s="352"/>
      <c r="AR328" s="352"/>
      <c r="AS328" s="352"/>
      <c r="AT328" s="352"/>
      <c r="AU328" s="352"/>
      <c r="AV328" s="352"/>
      <c r="AW328" s="352"/>
      <c r="AX328" s="352"/>
      <c r="AY328" s="352"/>
      <c r="AZ328" s="352"/>
      <c r="BA328" s="352"/>
      <c r="BB328" s="352"/>
      <c r="BC328" s="352"/>
      <c r="BD328" s="352"/>
      <c r="BE328" s="352"/>
      <c r="BF328" s="352"/>
      <c r="BG328" s="352"/>
      <c r="BH328" s="352"/>
      <c r="BI328" s="352"/>
      <c r="BJ328" s="352"/>
      <c r="BK328" s="352"/>
      <c r="BL328" s="352"/>
      <c r="BM328" s="352"/>
      <c r="BN328" s="352"/>
      <c r="BO328" s="352"/>
      <c r="BP328" s="352"/>
      <c r="BQ328" s="352"/>
      <c r="BR328" s="352"/>
      <c r="BS328" s="352"/>
      <c r="BT328" s="352"/>
      <c r="BU328" s="352"/>
      <c r="BV328" s="352"/>
      <c r="BW328" s="352"/>
      <c r="BX328" s="352"/>
      <c r="BY328" s="352"/>
      <c r="BZ328" s="352"/>
      <c r="CA328" s="352"/>
      <c r="CB328" s="352"/>
      <c r="CC328" s="352"/>
      <c r="CD328" s="352"/>
      <c r="CE328" s="352"/>
      <c r="CF328" s="352"/>
      <c r="CG328" s="352"/>
      <c r="CH328" s="352"/>
      <c r="CI328" s="352"/>
      <c r="CJ328" s="352"/>
      <c r="CK328" s="352"/>
      <c r="CL328" s="352"/>
      <c r="CM328" s="352"/>
      <c r="CN328" s="352"/>
      <c r="CO328" s="352"/>
      <c r="CP328" s="352"/>
      <c r="CQ328" s="352"/>
      <c r="CR328" s="352"/>
      <c r="CS328" s="352"/>
      <c r="CT328" s="352"/>
      <c r="CU328" s="352"/>
      <c r="CV328" s="352"/>
      <c r="CW328" s="352"/>
      <c r="CX328" s="352"/>
      <c r="CY328" s="352"/>
      <c r="CZ328" s="352"/>
      <c r="DA328" s="352"/>
      <c r="DB328" s="352"/>
      <c r="DC328" s="352"/>
      <c r="DD328" s="352"/>
      <c r="DE328" s="352"/>
      <c r="DF328" s="352"/>
      <c r="DG328" s="352"/>
      <c r="DH328" s="352"/>
      <c r="DI328" s="352"/>
      <c r="DJ328" s="352"/>
      <c r="DK328" s="352"/>
      <c r="DL328" s="352"/>
      <c r="DM328" s="352"/>
      <c r="DN328" s="352"/>
      <c r="DO328" s="352"/>
      <c r="DP328" s="352"/>
      <c r="DQ328" s="352"/>
      <c r="DR328" s="352"/>
      <c r="DS328" s="352"/>
      <c r="DT328" s="352"/>
      <c r="DU328" s="352"/>
      <c r="DV328" s="352"/>
      <c r="DW328" s="352"/>
      <c r="DX328" s="352"/>
      <c r="DY328" s="352"/>
      <c r="DZ328" s="352"/>
      <c r="EA328" s="352"/>
      <c r="EB328" s="352"/>
      <c r="EC328" s="352"/>
      <c r="ED328" s="352"/>
      <c r="EE328" s="352"/>
      <c r="EF328" s="352"/>
      <c r="EG328" s="352"/>
      <c r="EH328" s="352"/>
      <c r="EI328" s="352"/>
      <c r="EJ328" s="352"/>
      <c r="EK328" s="352"/>
      <c r="EL328" s="352"/>
      <c r="EM328" s="352"/>
      <c r="EN328" s="352"/>
    </row>
    <row r="329" spans="1:144" s="169" customFormat="1" ht="20.100000000000001" customHeight="1">
      <c r="A329" s="160" t="s">
        <v>108</v>
      </c>
      <c r="B329" s="160" t="s">
        <v>559</v>
      </c>
      <c r="C329" s="161">
        <v>0</v>
      </c>
      <c r="D329" s="162">
        <f>'Sectors % GDP'!I24</f>
        <v>40425</v>
      </c>
      <c r="E329" s="162">
        <f t="shared" si="10"/>
        <v>0</v>
      </c>
      <c r="F329" s="165">
        <v>0</v>
      </c>
      <c r="G329" s="162">
        <v>0</v>
      </c>
      <c r="H329" s="164">
        <v>41.05</v>
      </c>
      <c r="I329" s="164">
        <v>28.19</v>
      </c>
      <c r="J329" s="165">
        <v>67.040000000000006</v>
      </c>
      <c r="K329" s="165">
        <v>32.549999999999997</v>
      </c>
      <c r="L329" s="165">
        <f t="shared" si="11"/>
        <v>2.2999999999999998</v>
      </c>
      <c r="M329" s="166">
        <v>2.3E-2</v>
      </c>
      <c r="N329" s="166">
        <v>6.25</v>
      </c>
      <c r="O329" s="167">
        <f>'Trade Data'!H20</f>
        <v>3.6441271351698408</v>
      </c>
      <c r="P329" s="170">
        <v>0</v>
      </c>
      <c r="Q329" s="352"/>
      <c r="R329" s="352"/>
      <c r="S329" s="352"/>
      <c r="T329" s="352"/>
      <c r="U329" s="352"/>
      <c r="V329" s="352"/>
      <c r="W329" s="352"/>
      <c r="X329" s="352"/>
      <c r="Y329" s="352"/>
      <c r="Z329" s="352"/>
      <c r="AA329" s="352"/>
      <c r="AB329" s="352"/>
      <c r="AC329" s="352"/>
      <c r="AD329" s="352"/>
      <c r="AE329" s="352"/>
      <c r="AF329" s="352"/>
      <c r="AG329" s="352"/>
      <c r="AH329" s="352"/>
      <c r="AI329" s="352"/>
      <c r="AJ329" s="352"/>
      <c r="AK329" s="352"/>
      <c r="AL329" s="352"/>
      <c r="AM329" s="352"/>
      <c r="AN329" s="352"/>
      <c r="AO329" s="352"/>
      <c r="AP329" s="352"/>
      <c r="AQ329" s="352"/>
      <c r="AR329" s="352"/>
      <c r="AS329" s="352"/>
      <c r="AT329" s="352"/>
      <c r="AU329" s="352"/>
      <c r="AV329" s="352"/>
      <c r="AW329" s="352"/>
      <c r="AX329" s="352"/>
      <c r="AY329" s="352"/>
      <c r="AZ329" s="352"/>
      <c r="BA329" s="352"/>
      <c r="BB329" s="352"/>
      <c r="BC329" s="352"/>
      <c r="BD329" s="352"/>
      <c r="BE329" s="352"/>
      <c r="BF329" s="352"/>
      <c r="BG329" s="352"/>
      <c r="BH329" s="352"/>
      <c r="BI329" s="352"/>
      <c r="BJ329" s="352"/>
      <c r="BK329" s="352"/>
      <c r="BL329" s="352"/>
      <c r="BM329" s="352"/>
      <c r="BN329" s="352"/>
      <c r="BO329" s="352"/>
      <c r="BP329" s="352"/>
      <c r="BQ329" s="352"/>
      <c r="BR329" s="352"/>
      <c r="BS329" s="352"/>
      <c r="BT329" s="352"/>
      <c r="BU329" s="352"/>
      <c r="BV329" s="352"/>
      <c r="BW329" s="352"/>
      <c r="BX329" s="352"/>
      <c r="BY329" s="352"/>
      <c r="BZ329" s="352"/>
      <c r="CA329" s="352"/>
      <c r="CB329" s="352"/>
      <c r="CC329" s="352"/>
      <c r="CD329" s="352"/>
      <c r="CE329" s="352"/>
      <c r="CF329" s="352"/>
      <c r="CG329" s="352"/>
      <c r="CH329" s="352"/>
      <c r="CI329" s="352"/>
      <c r="CJ329" s="352"/>
      <c r="CK329" s="352"/>
      <c r="CL329" s="352"/>
      <c r="CM329" s="352"/>
      <c r="CN329" s="352"/>
      <c r="CO329" s="352"/>
      <c r="CP329" s="352"/>
      <c r="CQ329" s="352"/>
      <c r="CR329" s="352"/>
      <c r="CS329" s="352"/>
      <c r="CT329" s="352"/>
      <c r="CU329" s="352"/>
      <c r="CV329" s="352"/>
      <c r="CW329" s="352"/>
      <c r="CX329" s="352"/>
      <c r="CY329" s="352"/>
      <c r="CZ329" s="352"/>
      <c r="DA329" s="352"/>
      <c r="DB329" s="352"/>
      <c r="DC329" s="352"/>
      <c r="DD329" s="352"/>
      <c r="DE329" s="352"/>
      <c r="DF329" s="352"/>
      <c r="DG329" s="352"/>
      <c r="DH329" s="352"/>
      <c r="DI329" s="352"/>
      <c r="DJ329" s="352"/>
      <c r="DK329" s="352"/>
      <c r="DL329" s="352"/>
      <c r="DM329" s="352"/>
      <c r="DN329" s="352"/>
      <c r="DO329" s="352"/>
      <c r="DP329" s="352"/>
      <c r="DQ329" s="352"/>
      <c r="DR329" s="352"/>
      <c r="DS329" s="352"/>
      <c r="DT329" s="352"/>
      <c r="DU329" s="352"/>
      <c r="DV329" s="352"/>
      <c r="DW329" s="352"/>
      <c r="DX329" s="352"/>
      <c r="DY329" s="352"/>
      <c r="DZ329" s="352"/>
      <c r="EA329" s="352"/>
      <c r="EB329" s="352"/>
      <c r="EC329" s="352"/>
      <c r="ED329" s="352"/>
      <c r="EE329" s="352"/>
      <c r="EF329" s="352"/>
      <c r="EG329" s="352"/>
      <c r="EH329" s="352"/>
      <c r="EI329" s="352"/>
      <c r="EJ329" s="352"/>
      <c r="EK329" s="352"/>
      <c r="EL329" s="352"/>
      <c r="EM329" s="352"/>
      <c r="EN329" s="352"/>
    </row>
    <row r="330" spans="1:144" s="188" customFormat="1" ht="20.100000000000001" customHeight="1">
      <c r="A330" s="179" t="s">
        <v>108</v>
      </c>
      <c r="B330" s="179" t="s">
        <v>558</v>
      </c>
      <c r="C330" s="180">
        <f>'Thomson Reuters IMA  ($)'!I646+'Thomson Reuters IMA  ($)'!I647+'Thomson Reuters IMA  ($)'!I648+'Thomson Reuters IMA  ($)'!I649+'Thomson Reuters IMA  ($)'!I650+'Thomson Reuters IMA  ($)'!I652</f>
        <v>1122.223</v>
      </c>
      <c r="D330" s="181">
        <f>'Sectors % GDP'!I25</f>
        <v>343245</v>
      </c>
      <c r="E330" s="181">
        <f t="shared" si="10"/>
        <v>3.2694518492621888E-3</v>
      </c>
      <c r="F330" s="184">
        <v>1</v>
      </c>
      <c r="G330" s="181">
        <v>13</v>
      </c>
      <c r="H330" s="183">
        <v>41.05</v>
      </c>
      <c r="I330" s="183">
        <v>28.19</v>
      </c>
      <c r="J330" s="184">
        <v>67.040000000000006</v>
      </c>
      <c r="K330" s="184">
        <v>32.549999999999997</v>
      </c>
      <c r="L330" s="184">
        <f t="shared" si="11"/>
        <v>2.2999999999999998</v>
      </c>
      <c r="M330" s="185">
        <v>2.3E-2</v>
      </c>
      <c r="N330" s="185">
        <v>6.25</v>
      </c>
      <c r="O330" s="186">
        <f>'Trade Data'!H20</f>
        <v>3.6441271351698408</v>
      </c>
      <c r="P330" s="189">
        <v>1</v>
      </c>
      <c r="Q330" s="352"/>
      <c r="R330" s="352"/>
      <c r="S330" s="352"/>
      <c r="T330" s="352"/>
      <c r="U330" s="352"/>
      <c r="V330" s="352"/>
      <c r="W330" s="352"/>
      <c r="X330" s="352"/>
      <c r="Y330" s="352"/>
      <c r="Z330" s="352"/>
      <c r="AA330" s="352"/>
      <c r="AB330" s="352"/>
      <c r="AC330" s="352"/>
      <c r="AD330" s="352"/>
      <c r="AE330" s="352"/>
      <c r="AF330" s="352"/>
      <c r="AG330" s="352"/>
      <c r="AH330" s="352"/>
      <c r="AI330" s="352"/>
      <c r="AJ330" s="352"/>
      <c r="AK330" s="352"/>
      <c r="AL330" s="352"/>
      <c r="AM330" s="352"/>
      <c r="AN330" s="352"/>
      <c r="AO330" s="352"/>
      <c r="AP330" s="352"/>
      <c r="AQ330" s="352"/>
      <c r="AR330" s="352"/>
      <c r="AS330" s="352"/>
      <c r="AT330" s="352"/>
      <c r="AU330" s="352"/>
      <c r="AV330" s="352"/>
      <c r="AW330" s="352"/>
      <c r="AX330" s="352"/>
      <c r="AY330" s="352"/>
      <c r="AZ330" s="352"/>
      <c r="BA330" s="352"/>
      <c r="BB330" s="352"/>
      <c r="BC330" s="352"/>
      <c r="BD330" s="352"/>
      <c r="BE330" s="352"/>
      <c r="BF330" s="352"/>
      <c r="BG330" s="352"/>
      <c r="BH330" s="352"/>
      <c r="BI330" s="352"/>
      <c r="BJ330" s="352"/>
      <c r="BK330" s="352"/>
      <c r="BL330" s="352"/>
      <c r="BM330" s="352"/>
      <c r="BN330" s="352"/>
      <c r="BO330" s="352"/>
      <c r="BP330" s="352"/>
      <c r="BQ330" s="352"/>
      <c r="BR330" s="352"/>
      <c r="BS330" s="352"/>
      <c r="BT330" s="352"/>
      <c r="BU330" s="352"/>
      <c r="BV330" s="352"/>
      <c r="BW330" s="352"/>
      <c r="BX330" s="352"/>
      <c r="BY330" s="352"/>
      <c r="BZ330" s="352"/>
      <c r="CA330" s="352"/>
      <c r="CB330" s="352"/>
      <c r="CC330" s="352"/>
      <c r="CD330" s="352"/>
      <c r="CE330" s="352"/>
      <c r="CF330" s="352"/>
      <c r="CG330" s="352"/>
      <c r="CH330" s="352"/>
      <c r="CI330" s="352"/>
      <c r="CJ330" s="352"/>
      <c r="CK330" s="352"/>
      <c r="CL330" s="352"/>
      <c r="CM330" s="352"/>
      <c r="CN330" s="352"/>
      <c r="CO330" s="352"/>
      <c r="CP330" s="352"/>
      <c r="CQ330" s="352"/>
      <c r="CR330" s="352"/>
      <c r="CS330" s="352"/>
      <c r="CT330" s="352"/>
      <c r="CU330" s="352"/>
      <c r="CV330" s="352"/>
      <c r="CW330" s="352"/>
      <c r="CX330" s="352"/>
      <c r="CY330" s="352"/>
      <c r="CZ330" s="352"/>
      <c r="DA330" s="352"/>
      <c r="DB330" s="352"/>
      <c r="DC330" s="352"/>
      <c r="DD330" s="352"/>
      <c r="DE330" s="352"/>
      <c r="DF330" s="352"/>
      <c r="DG330" s="352"/>
      <c r="DH330" s="352"/>
      <c r="DI330" s="352"/>
      <c r="DJ330" s="352"/>
      <c r="DK330" s="352"/>
      <c r="DL330" s="352"/>
      <c r="DM330" s="352"/>
      <c r="DN330" s="352"/>
      <c r="DO330" s="352"/>
      <c r="DP330" s="352"/>
      <c r="DQ330" s="352"/>
      <c r="DR330" s="352"/>
      <c r="DS330" s="352"/>
      <c r="DT330" s="352"/>
      <c r="DU330" s="352"/>
      <c r="DV330" s="352"/>
      <c r="DW330" s="352"/>
      <c r="DX330" s="352"/>
      <c r="DY330" s="352"/>
      <c r="DZ330" s="352"/>
      <c r="EA330" s="352"/>
      <c r="EB330" s="352"/>
      <c r="EC330" s="352"/>
      <c r="ED330" s="352"/>
      <c r="EE330" s="352"/>
      <c r="EF330" s="352"/>
      <c r="EG330" s="352"/>
      <c r="EH330" s="352"/>
      <c r="EI330" s="352"/>
      <c r="EJ330" s="352"/>
      <c r="EK330" s="352"/>
      <c r="EL330" s="352"/>
      <c r="EM330" s="352"/>
      <c r="EN330" s="352"/>
    </row>
    <row r="331" spans="1:144" ht="20.100000000000001" customHeight="1">
      <c r="A331" s="118" t="s">
        <v>108</v>
      </c>
      <c r="B331" s="118" t="s">
        <v>557</v>
      </c>
      <c r="C331" s="119">
        <f>'Thomson Reuters IMA  ($)'!I651</f>
        <v>472.47</v>
      </c>
      <c r="D331" s="120">
        <f>'Sectors % GDP'!I26</f>
        <v>666330</v>
      </c>
      <c r="E331" s="120">
        <f t="shared" si="10"/>
        <v>7.0906307685381119E-4</v>
      </c>
      <c r="F331" s="123">
        <v>1</v>
      </c>
      <c r="G331" s="120">
        <v>5</v>
      </c>
      <c r="H331" s="122">
        <v>41.05</v>
      </c>
      <c r="I331" s="122">
        <v>28.19</v>
      </c>
      <c r="J331" s="123">
        <v>67.040000000000006</v>
      </c>
      <c r="K331" s="123">
        <v>32.549999999999997</v>
      </c>
      <c r="L331" s="123">
        <f t="shared" si="11"/>
        <v>2.2999999999999998</v>
      </c>
      <c r="M331" s="124">
        <v>2.3E-2</v>
      </c>
      <c r="N331" s="124">
        <v>6.25</v>
      </c>
      <c r="O331" s="125">
        <f>'Trade Data'!H20</f>
        <v>3.6441271351698408</v>
      </c>
      <c r="P331" s="127">
        <v>1</v>
      </c>
      <c r="Q331" s="352"/>
      <c r="R331" s="352"/>
      <c r="S331" s="352"/>
      <c r="T331" s="352"/>
      <c r="U331" s="352"/>
      <c r="V331" s="352"/>
      <c r="W331" s="352"/>
      <c r="X331" s="352"/>
      <c r="Y331" s="352"/>
      <c r="Z331" s="352"/>
      <c r="AA331" s="352"/>
      <c r="AB331" s="352"/>
      <c r="AC331" s="352"/>
      <c r="AD331" s="352"/>
      <c r="AE331" s="352"/>
      <c r="AF331" s="352"/>
      <c r="AG331" s="352"/>
      <c r="AH331" s="352"/>
      <c r="AI331" s="352"/>
      <c r="AJ331" s="352"/>
      <c r="AK331" s="352"/>
      <c r="AL331" s="352"/>
      <c r="AM331" s="352"/>
      <c r="AN331" s="352"/>
      <c r="AO331" s="352"/>
      <c r="AP331" s="352"/>
      <c r="AQ331" s="352"/>
      <c r="AR331" s="352"/>
      <c r="AS331" s="352"/>
      <c r="AT331" s="352"/>
      <c r="AU331" s="352"/>
      <c r="AV331" s="352"/>
      <c r="AW331" s="352"/>
      <c r="AX331" s="352"/>
      <c r="AY331" s="352"/>
      <c r="AZ331" s="352"/>
      <c r="BA331" s="352"/>
      <c r="BB331" s="352"/>
      <c r="BC331" s="352"/>
      <c r="BD331" s="352"/>
      <c r="BE331" s="352"/>
      <c r="BF331" s="352"/>
      <c r="BG331" s="352"/>
      <c r="BH331" s="352"/>
      <c r="BI331" s="352"/>
      <c r="BJ331" s="352"/>
      <c r="BK331" s="352"/>
      <c r="BL331" s="352"/>
      <c r="BM331" s="352"/>
      <c r="BN331" s="352"/>
      <c r="BO331" s="352"/>
      <c r="BP331" s="352"/>
      <c r="BQ331" s="352"/>
      <c r="BR331" s="352"/>
      <c r="BS331" s="352"/>
      <c r="BT331" s="352"/>
      <c r="BU331" s="352"/>
      <c r="BV331" s="352"/>
      <c r="BW331" s="352"/>
      <c r="BX331" s="352"/>
      <c r="BY331" s="352"/>
      <c r="BZ331" s="352"/>
      <c r="CA331" s="352"/>
      <c r="CB331" s="352"/>
      <c r="CC331" s="352"/>
      <c r="CD331" s="352"/>
      <c r="CE331" s="352"/>
      <c r="CF331" s="352"/>
      <c r="CG331" s="352"/>
      <c r="CH331" s="352"/>
      <c r="CI331" s="352"/>
      <c r="CJ331" s="352"/>
      <c r="CK331" s="352"/>
      <c r="CL331" s="352"/>
      <c r="CM331" s="352"/>
      <c r="CN331" s="352"/>
      <c r="CO331" s="352"/>
      <c r="CP331" s="352"/>
      <c r="CQ331" s="352"/>
      <c r="CR331" s="352"/>
      <c r="CS331" s="352"/>
      <c r="CT331" s="352"/>
      <c r="CU331" s="352"/>
      <c r="CV331" s="352"/>
      <c r="CW331" s="352"/>
      <c r="CX331" s="352"/>
      <c r="CY331" s="352"/>
      <c r="CZ331" s="352"/>
      <c r="DA331" s="352"/>
      <c r="DB331" s="352"/>
      <c r="DC331" s="352"/>
      <c r="DD331" s="352"/>
      <c r="DE331" s="352"/>
      <c r="DF331" s="352"/>
      <c r="DG331" s="352"/>
      <c r="DH331" s="352"/>
      <c r="DI331" s="352"/>
      <c r="DJ331" s="352"/>
      <c r="DK331" s="352"/>
      <c r="DL331" s="352"/>
      <c r="DM331" s="352"/>
      <c r="DN331" s="352"/>
      <c r="DO331" s="352"/>
      <c r="DP331" s="352"/>
      <c r="DQ331" s="352"/>
      <c r="DR331" s="352"/>
      <c r="DS331" s="352"/>
      <c r="DT331" s="352"/>
      <c r="DU331" s="352"/>
      <c r="DV331" s="352"/>
      <c r="DW331" s="352"/>
      <c r="DX331" s="352"/>
      <c r="DY331" s="352"/>
      <c r="DZ331" s="352"/>
      <c r="EA331" s="352"/>
      <c r="EB331" s="352"/>
      <c r="EC331" s="352"/>
      <c r="ED331" s="352"/>
      <c r="EE331" s="352"/>
      <c r="EF331" s="352"/>
      <c r="EG331" s="352"/>
      <c r="EH331" s="352"/>
      <c r="EI331" s="352"/>
      <c r="EJ331" s="352"/>
      <c r="EK331" s="352"/>
      <c r="EL331" s="352"/>
      <c r="EM331" s="352"/>
      <c r="EN331" s="352"/>
    </row>
    <row r="332" spans="1:144" s="169" customFormat="1" ht="20.100000000000001" customHeight="1">
      <c r="A332" s="160" t="s">
        <v>109</v>
      </c>
      <c r="B332" s="160" t="s">
        <v>556</v>
      </c>
      <c r="C332" s="161">
        <v>0</v>
      </c>
      <c r="D332" s="162">
        <f>'Sectors % GDP'!K24</f>
        <v>44460</v>
      </c>
      <c r="E332" s="162">
        <f t="shared" si="10"/>
        <v>0</v>
      </c>
      <c r="F332" s="165">
        <v>0</v>
      </c>
      <c r="G332" s="162">
        <v>0</v>
      </c>
      <c r="H332" s="164">
        <v>34.68</v>
      </c>
      <c r="I332" s="164">
        <v>19.809999999999999</v>
      </c>
      <c r="J332" s="165">
        <v>64.87</v>
      </c>
      <c r="K332" s="165">
        <v>28.99</v>
      </c>
      <c r="L332" s="165">
        <f t="shared" si="11"/>
        <v>2.2999999999999998</v>
      </c>
      <c r="M332" s="166">
        <v>2.3E-2</v>
      </c>
      <c r="N332" s="166">
        <v>6.25</v>
      </c>
      <c r="O332" s="167">
        <f>'Trade Data'!H20</f>
        <v>3.6441271351698408</v>
      </c>
      <c r="P332" s="168">
        <v>0</v>
      </c>
      <c r="Q332" s="352"/>
      <c r="R332" s="352"/>
      <c r="S332" s="352"/>
      <c r="T332" s="352"/>
      <c r="U332" s="352"/>
      <c r="V332" s="352"/>
      <c r="W332" s="352"/>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c r="AS332" s="352"/>
      <c r="AT332" s="352"/>
      <c r="AU332" s="352"/>
      <c r="AV332" s="352"/>
      <c r="AW332" s="352"/>
      <c r="AX332" s="352"/>
      <c r="AY332" s="352"/>
      <c r="AZ332" s="352"/>
      <c r="BA332" s="352"/>
      <c r="BB332" s="352"/>
      <c r="BC332" s="352"/>
      <c r="BD332" s="352"/>
      <c r="BE332" s="352"/>
      <c r="BF332" s="352"/>
      <c r="BG332" s="352"/>
      <c r="BH332" s="352"/>
      <c r="BI332" s="352"/>
      <c r="BJ332" s="352"/>
      <c r="BK332" s="352"/>
      <c r="BL332" s="352"/>
      <c r="BM332" s="352"/>
      <c r="BN332" s="352"/>
      <c r="BO332" s="352"/>
      <c r="BP332" s="352"/>
      <c r="BQ332" s="352"/>
      <c r="BR332" s="352"/>
      <c r="BS332" s="352"/>
      <c r="BT332" s="352"/>
      <c r="BU332" s="352"/>
      <c r="BV332" s="352"/>
      <c r="BW332" s="352"/>
      <c r="BX332" s="352"/>
      <c r="BY332" s="352"/>
      <c r="BZ332" s="352"/>
      <c r="CA332" s="352"/>
      <c r="CB332" s="352"/>
      <c r="CC332" s="352"/>
      <c r="CD332" s="352"/>
      <c r="CE332" s="352"/>
      <c r="CF332" s="352"/>
      <c r="CG332" s="352"/>
      <c r="CH332" s="352"/>
      <c r="CI332" s="352"/>
      <c r="CJ332" s="352"/>
      <c r="CK332" s="352"/>
      <c r="CL332" s="352"/>
      <c r="CM332" s="352"/>
      <c r="CN332" s="352"/>
      <c r="CO332" s="352"/>
      <c r="CP332" s="352"/>
      <c r="CQ332" s="352"/>
      <c r="CR332" s="352"/>
      <c r="CS332" s="352"/>
      <c r="CT332" s="352"/>
      <c r="CU332" s="352"/>
      <c r="CV332" s="352"/>
      <c r="CW332" s="352"/>
      <c r="CX332" s="352"/>
      <c r="CY332" s="352"/>
      <c r="CZ332" s="352"/>
      <c r="DA332" s="352"/>
      <c r="DB332" s="352"/>
      <c r="DC332" s="352"/>
      <c r="DD332" s="352"/>
      <c r="DE332" s="352"/>
      <c r="DF332" s="352"/>
      <c r="DG332" s="352"/>
      <c r="DH332" s="352"/>
      <c r="DI332" s="352"/>
      <c r="DJ332" s="352"/>
      <c r="DK332" s="352"/>
      <c r="DL332" s="352"/>
      <c r="DM332" s="352"/>
      <c r="DN332" s="352"/>
      <c r="DO332" s="352"/>
      <c r="DP332" s="352"/>
      <c r="DQ332" s="352"/>
      <c r="DR332" s="352"/>
      <c r="DS332" s="352"/>
      <c r="DT332" s="352"/>
      <c r="DU332" s="352"/>
      <c r="DV332" s="352"/>
      <c r="DW332" s="352"/>
      <c r="DX332" s="352"/>
      <c r="DY332" s="352"/>
      <c r="DZ332" s="352"/>
      <c r="EA332" s="352"/>
      <c r="EB332" s="352"/>
      <c r="EC332" s="352"/>
      <c r="ED332" s="352"/>
      <c r="EE332" s="352"/>
      <c r="EF332" s="352"/>
      <c r="EG332" s="352"/>
      <c r="EH332" s="352"/>
      <c r="EI332" s="352"/>
      <c r="EJ332" s="352"/>
      <c r="EK332" s="352"/>
      <c r="EL332" s="352"/>
      <c r="EM332" s="352"/>
      <c r="EN332" s="352"/>
    </row>
    <row r="333" spans="1:144" s="188" customFormat="1" ht="20.100000000000001" customHeight="1">
      <c r="A333" s="179" t="s">
        <v>109</v>
      </c>
      <c r="B333" s="179" t="s">
        <v>555</v>
      </c>
      <c r="C333" s="180">
        <f>SUM('Thomson Reuters IMA  ($)'!I653:I665)-'Thomson Reuters IMA  ($)'!I655-'Thomson Reuters IMA  ($)'!I662</f>
        <v>568.26899999999989</v>
      </c>
      <c r="D333" s="181">
        <f>'Sectors % GDP'!K25</f>
        <v>360240</v>
      </c>
      <c r="E333" s="181">
        <f t="shared" si="10"/>
        <v>1.5774733510992669E-3</v>
      </c>
      <c r="F333" s="184">
        <v>1</v>
      </c>
      <c r="G333" s="181">
        <v>14</v>
      </c>
      <c r="H333" s="183">
        <v>34.68</v>
      </c>
      <c r="I333" s="183">
        <v>19.809999999999999</v>
      </c>
      <c r="J333" s="184">
        <v>64.87</v>
      </c>
      <c r="K333" s="184">
        <v>28.99</v>
      </c>
      <c r="L333" s="184">
        <f t="shared" si="11"/>
        <v>2.2999999999999998</v>
      </c>
      <c r="M333" s="185">
        <v>2.3E-2</v>
      </c>
      <c r="N333" s="185">
        <v>6.25</v>
      </c>
      <c r="O333" s="186">
        <f>'Trade Data'!H20</f>
        <v>3.6441271351698408</v>
      </c>
      <c r="P333" s="187">
        <v>1</v>
      </c>
      <c r="Q333" s="352"/>
      <c r="R333" s="352"/>
      <c r="S333" s="352"/>
      <c r="T333" s="352"/>
      <c r="U333" s="352"/>
      <c r="V333" s="352"/>
      <c r="W333" s="352"/>
      <c r="X333" s="352"/>
      <c r="Y333" s="352"/>
      <c r="Z333" s="352"/>
      <c r="AA333" s="352"/>
      <c r="AB333" s="352"/>
      <c r="AC333" s="352"/>
      <c r="AD333" s="352"/>
      <c r="AE333" s="352"/>
      <c r="AF333" s="352"/>
      <c r="AG333" s="352"/>
      <c r="AH333" s="352"/>
      <c r="AI333" s="352"/>
      <c r="AJ333" s="352"/>
      <c r="AK333" s="352"/>
      <c r="AL333" s="352"/>
      <c r="AM333" s="352"/>
      <c r="AN333" s="352"/>
      <c r="AO333" s="352"/>
      <c r="AP333" s="352"/>
      <c r="AQ333" s="352"/>
      <c r="AR333" s="352"/>
      <c r="AS333" s="352"/>
      <c r="AT333" s="352"/>
      <c r="AU333" s="352"/>
      <c r="AV333" s="352"/>
      <c r="AW333" s="352"/>
      <c r="AX333" s="352"/>
      <c r="AY333" s="352"/>
      <c r="AZ333" s="352"/>
      <c r="BA333" s="352"/>
      <c r="BB333" s="352"/>
      <c r="BC333" s="352"/>
      <c r="BD333" s="352"/>
      <c r="BE333" s="352"/>
      <c r="BF333" s="352"/>
      <c r="BG333" s="352"/>
      <c r="BH333" s="352"/>
      <c r="BI333" s="352"/>
      <c r="BJ333" s="352"/>
      <c r="BK333" s="352"/>
      <c r="BL333" s="352"/>
      <c r="BM333" s="352"/>
      <c r="BN333" s="352"/>
      <c r="BO333" s="352"/>
      <c r="BP333" s="352"/>
      <c r="BQ333" s="352"/>
      <c r="BR333" s="352"/>
      <c r="BS333" s="352"/>
      <c r="BT333" s="352"/>
      <c r="BU333" s="352"/>
      <c r="BV333" s="352"/>
      <c r="BW333" s="352"/>
      <c r="BX333" s="352"/>
      <c r="BY333" s="352"/>
      <c r="BZ333" s="352"/>
      <c r="CA333" s="352"/>
      <c r="CB333" s="352"/>
      <c r="CC333" s="352"/>
      <c r="CD333" s="352"/>
      <c r="CE333" s="352"/>
      <c r="CF333" s="352"/>
      <c r="CG333" s="352"/>
      <c r="CH333" s="352"/>
      <c r="CI333" s="352"/>
      <c r="CJ333" s="352"/>
      <c r="CK333" s="352"/>
      <c r="CL333" s="352"/>
      <c r="CM333" s="352"/>
      <c r="CN333" s="352"/>
      <c r="CO333" s="352"/>
      <c r="CP333" s="352"/>
      <c r="CQ333" s="352"/>
      <c r="CR333" s="352"/>
      <c r="CS333" s="352"/>
      <c r="CT333" s="352"/>
      <c r="CU333" s="352"/>
      <c r="CV333" s="352"/>
      <c r="CW333" s="352"/>
      <c r="CX333" s="352"/>
      <c r="CY333" s="352"/>
      <c r="CZ333" s="352"/>
      <c r="DA333" s="352"/>
      <c r="DB333" s="352"/>
      <c r="DC333" s="352"/>
      <c r="DD333" s="352"/>
      <c r="DE333" s="352"/>
      <c r="DF333" s="352"/>
      <c r="DG333" s="352"/>
      <c r="DH333" s="352"/>
      <c r="DI333" s="352"/>
      <c r="DJ333" s="352"/>
      <c r="DK333" s="352"/>
      <c r="DL333" s="352"/>
      <c r="DM333" s="352"/>
      <c r="DN333" s="352"/>
      <c r="DO333" s="352"/>
      <c r="DP333" s="352"/>
      <c r="DQ333" s="352"/>
      <c r="DR333" s="352"/>
      <c r="DS333" s="352"/>
      <c r="DT333" s="352"/>
      <c r="DU333" s="352"/>
      <c r="DV333" s="352"/>
      <c r="DW333" s="352"/>
      <c r="DX333" s="352"/>
      <c r="DY333" s="352"/>
      <c r="DZ333" s="352"/>
      <c r="EA333" s="352"/>
      <c r="EB333" s="352"/>
      <c r="EC333" s="352"/>
      <c r="ED333" s="352"/>
      <c r="EE333" s="352"/>
      <c r="EF333" s="352"/>
      <c r="EG333" s="352"/>
      <c r="EH333" s="352"/>
      <c r="EI333" s="352"/>
      <c r="EJ333" s="352"/>
      <c r="EK333" s="352"/>
      <c r="EL333" s="352"/>
      <c r="EM333" s="352"/>
      <c r="EN333" s="352"/>
    </row>
    <row r="334" spans="1:144" ht="20.100000000000001" customHeight="1">
      <c r="A334" s="118" t="s">
        <v>109</v>
      </c>
      <c r="B334" s="118" t="s">
        <v>554</v>
      </c>
      <c r="C334" s="119">
        <f>'Thomson Reuters IMA  ($)'!I655+'Thomson Reuters IMA  ($)'!I662</f>
        <v>58.994</v>
      </c>
      <c r="D334" s="120">
        <f>'Sectors % GDP'!K26</f>
        <v>729600</v>
      </c>
      <c r="E334" s="120">
        <f t="shared" si="10"/>
        <v>8.0858004385964916E-5</v>
      </c>
      <c r="F334" s="123">
        <v>1</v>
      </c>
      <c r="G334" s="120">
        <v>9</v>
      </c>
      <c r="H334" s="122">
        <v>34.68</v>
      </c>
      <c r="I334" s="122">
        <v>19.809999999999999</v>
      </c>
      <c r="J334" s="123">
        <v>64.87</v>
      </c>
      <c r="K334" s="123">
        <v>28.99</v>
      </c>
      <c r="L334" s="123">
        <f t="shared" si="11"/>
        <v>2.2999999999999998</v>
      </c>
      <c r="M334" s="124">
        <v>2.3E-2</v>
      </c>
      <c r="N334" s="124">
        <v>6.25</v>
      </c>
      <c r="O334" s="125">
        <f>'Trade Data'!H20</f>
        <v>3.6441271351698408</v>
      </c>
      <c r="P334" s="126">
        <v>1</v>
      </c>
      <c r="Q334" s="352"/>
      <c r="R334" s="352"/>
      <c r="S334" s="352"/>
      <c r="T334" s="352"/>
      <c r="U334" s="352"/>
      <c r="V334" s="352"/>
      <c r="W334" s="352"/>
      <c r="X334" s="352"/>
      <c r="Y334" s="352"/>
      <c r="Z334" s="352"/>
      <c r="AA334" s="352"/>
      <c r="AB334" s="352"/>
      <c r="AC334" s="352"/>
      <c r="AD334" s="352"/>
      <c r="AE334" s="352"/>
      <c r="AF334" s="352"/>
      <c r="AG334" s="352"/>
      <c r="AH334" s="352"/>
      <c r="AI334" s="352"/>
      <c r="AJ334" s="352"/>
      <c r="AK334" s="352"/>
      <c r="AL334" s="352"/>
      <c r="AM334" s="352"/>
      <c r="AN334" s="352"/>
      <c r="AO334" s="352"/>
      <c r="AP334" s="352"/>
      <c r="AQ334" s="352"/>
      <c r="AR334" s="352"/>
      <c r="AS334" s="352"/>
      <c r="AT334" s="352"/>
      <c r="AU334" s="352"/>
      <c r="AV334" s="352"/>
      <c r="AW334" s="352"/>
      <c r="AX334" s="352"/>
      <c r="AY334" s="352"/>
      <c r="AZ334" s="352"/>
      <c r="BA334" s="352"/>
      <c r="BB334" s="352"/>
      <c r="BC334" s="352"/>
      <c r="BD334" s="352"/>
      <c r="BE334" s="352"/>
      <c r="BF334" s="352"/>
      <c r="BG334" s="352"/>
      <c r="BH334" s="352"/>
      <c r="BI334" s="352"/>
      <c r="BJ334" s="352"/>
      <c r="BK334" s="352"/>
      <c r="BL334" s="352"/>
      <c r="BM334" s="352"/>
      <c r="BN334" s="352"/>
      <c r="BO334" s="352"/>
      <c r="BP334" s="352"/>
      <c r="BQ334" s="352"/>
      <c r="BR334" s="352"/>
      <c r="BS334" s="352"/>
      <c r="BT334" s="352"/>
      <c r="BU334" s="352"/>
      <c r="BV334" s="352"/>
      <c r="BW334" s="352"/>
      <c r="BX334" s="352"/>
      <c r="BY334" s="352"/>
      <c r="BZ334" s="352"/>
      <c r="CA334" s="352"/>
      <c r="CB334" s="352"/>
      <c r="CC334" s="352"/>
      <c r="CD334" s="352"/>
      <c r="CE334" s="352"/>
      <c r="CF334" s="352"/>
      <c r="CG334" s="352"/>
      <c r="CH334" s="352"/>
      <c r="CI334" s="352"/>
      <c r="CJ334" s="352"/>
      <c r="CK334" s="352"/>
      <c r="CL334" s="352"/>
      <c r="CM334" s="352"/>
      <c r="CN334" s="352"/>
      <c r="CO334" s="352"/>
      <c r="CP334" s="352"/>
      <c r="CQ334" s="352"/>
      <c r="CR334" s="352"/>
      <c r="CS334" s="352"/>
      <c r="CT334" s="352"/>
      <c r="CU334" s="352"/>
      <c r="CV334" s="352"/>
      <c r="CW334" s="352"/>
      <c r="CX334" s="352"/>
      <c r="CY334" s="352"/>
      <c r="CZ334" s="352"/>
      <c r="DA334" s="352"/>
      <c r="DB334" s="352"/>
      <c r="DC334" s="352"/>
      <c r="DD334" s="352"/>
      <c r="DE334" s="352"/>
      <c r="DF334" s="352"/>
      <c r="DG334" s="352"/>
      <c r="DH334" s="352"/>
      <c r="DI334" s="352"/>
      <c r="DJ334" s="352"/>
      <c r="DK334" s="352"/>
      <c r="DL334" s="352"/>
      <c r="DM334" s="352"/>
      <c r="DN334" s="352"/>
      <c r="DO334" s="352"/>
      <c r="DP334" s="352"/>
      <c r="DQ334" s="352"/>
      <c r="DR334" s="352"/>
      <c r="DS334" s="352"/>
      <c r="DT334" s="352"/>
      <c r="DU334" s="352"/>
      <c r="DV334" s="352"/>
      <c r="DW334" s="352"/>
      <c r="DX334" s="352"/>
      <c r="DY334" s="352"/>
      <c r="DZ334" s="352"/>
      <c r="EA334" s="352"/>
      <c r="EB334" s="352"/>
      <c r="EC334" s="352"/>
      <c r="ED334" s="352"/>
      <c r="EE334" s="352"/>
      <c r="EF334" s="352"/>
      <c r="EG334" s="352"/>
      <c r="EH334" s="352"/>
      <c r="EI334" s="352"/>
      <c r="EJ334" s="352"/>
      <c r="EK334" s="352"/>
      <c r="EL334" s="352"/>
      <c r="EM334" s="352"/>
      <c r="EN334" s="352"/>
    </row>
    <row r="335" spans="1:144" s="169" customFormat="1" ht="20.100000000000001" customHeight="1">
      <c r="A335" s="160" t="s">
        <v>110</v>
      </c>
      <c r="B335" s="160" t="s">
        <v>553</v>
      </c>
      <c r="C335" s="161">
        <v>0</v>
      </c>
      <c r="D335" s="162">
        <f>'Sectors % GDP'!K24</f>
        <v>44460</v>
      </c>
      <c r="E335" s="162">
        <f t="shared" si="10"/>
        <v>0</v>
      </c>
      <c r="F335" s="165">
        <v>0</v>
      </c>
      <c r="G335" s="162">
        <v>0</v>
      </c>
      <c r="H335" s="164">
        <v>47.8</v>
      </c>
      <c r="I335" s="164">
        <v>49.99</v>
      </c>
      <c r="J335" s="165">
        <v>66.92</v>
      </c>
      <c r="K335" s="165">
        <v>28.99</v>
      </c>
      <c r="L335" s="165">
        <f t="shared" si="11"/>
        <v>1.7000000000000002</v>
      </c>
      <c r="M335" s="166">
        <v>1.7000000000000001E-2</v>
      </c>
      <c r="N335" s="166">
        <v>5.69</v>
      </c>
      <c r="O335" s="167">
        <f>'Trade Data'!J20</f>
        <v>3.6044694241089577</v>
      </c>
      <c r="P335" s="170">
        <v>0</v>
      </c>
      <c r="Q335" s="352"/>
      <c r="R335" s="352"/>
      <c r="S335" s="352"/>
      <c r="T335" s="352"/>
      <c r="U335" s="352"/>
      <c r="V335" s="352"/>
      <c r="W335" s="352"/>
      <c r="X335" s="352"/>
      <c r="Y335" s="352"/>
      <c r="Z335" s="352"/>
      <c r="AA335" s="352"/>
      <c r="AB335" s="352"/>
      <c r="AC335" s="352"/>
      <c r="AD335" s="352"/>
      <c r="AE335" s="352"/>
      <c r="AF335" s="352"/>
      <c r="AG335" s="352"/>
      <c r="AH335" s="352"/>
      <c r="AI335" s="352"/>
      <c r="AJ335" s="352"/>
      <c r="AK335" s="352"/>
      <c r="AL335" s="352"/>
      <c r="AM335" s="352"/>
      <c r="AN335" s="352"/>
      <c r="AO335" s="352"/>
      <c r="AP335" s="352"/>
      <c r="AQ335" s="352"/>
      <c r="AR335" s="352"/>
      <c r="AS335" s="352"/>
      <c r="AT335" s="352"/>
      <c r="AU335" s="352"/>
      <c r="AV335" s="352"/>
      <c r="AW335" s="352"/>
      <c r="AX335" s="352"/>
      <c r="AY335" s="352"/>
      <c r="AZ335" s="352"/>
      <c r="BA335" s="352"/>
      <c r="BB335" s="352"/>
      <c r="BC335" s="352"/>
      <c r="BD335" s="352"/>
      <c r="BE335" s="352"/>
      <c r="BF335" s="352"/>
      <c r="BG335" s="352"/>
      <c r="BH335" s="352"/>
      <c r="BI335" s="352"/>
      <c r="BJ335" s="352"/>
      <c r="BK335" s="352"/>
      <c r="BL335" s="352"/>
      <c r="BM335" s="352"/>
      <c r="BN335" s="352"/>
      <c r="BO335" s="352"/>
      <c r="BP335" s="352"/>
      <c r="BQ335" s="352"/>
      <c r="BR335" s="352"/>
      <c r="BS335" s="352"/>
      <c r="BT335" s="352"/>
      <c r="BU335" s="352"/>
      <c r="BV335" s="352"/>
      <c r="BW335" s="352"/>
      <c r="BX335" s="352"/>
      <c r="BY335" s="352"/>
      <c r="BZ335" s="352"/>
      <c r="CA335" s="352"/>
      <c r="CB335" s="352"/>
      <c r="CC335" s="352"/>
      <c r="CD335" s="352"/>
      <c r="CE335" s="352"/>
      <c r="CF335" s="352"/>
      <c r="CG335" s="352"/>
      <c r="CH335" s="352"/>
      <c r="CI335" s="352"/>
      <c r="CJ335" s="352"/>
      <c r="CK335" s="352"/>
      <c r="CL335" s="352"/>
      <c r="CM335" s="352"/>
      <c r="CN335" s="352"/>
      <c r="CO335" s="352"/>
      <c r="CP335" s="352"/>
      <c r="CQ335" s="352"/>
      <c r="CR335" s="352"/>
      <c r="CS335" s="352"/>
      <c r="CT335" s="352"/>
      <c r="CU335" s="352"/>
      <c r="CV335" s="352"/>
      <c r="CW335" s="352"/>
      <c r="CX335" s="352"/>
      <c r="CY335" s="352"/>
      <c r="CZ335" s="352"/>
      <c r="DA335" s="352"/>
      <c r="DB335" s="352"/>
      <c r="DC335" s="352"/>
      <c r="DD335" s="352"/>
      <c r="DE335" s="352"/>
      <c r="DF335" s="352"/>
      <c r="DG335" s="352"/>
      <c r="DH335" s="352"/>
      <c r="DI335" s="352"/>
      <c r="DJ335" s="352"/>
      <c r="DK335" s="352"/>
      <c r="DL335" s="352"/>
      <c r="DM335" s="352"/>
      <c r="DN335" s="352"/>
      <c r="DO335" s="352"/>
      <c r="DP335" s="352"/>
      <c r="DQ335" s="352"/>
      <c r="DR335" s="352"/>
      <c r="DS335" s="352"/>
      <c r="DT335" s="352"/>
      <c r="DU335" s="352"/>
      <c r="DV335" s="352"/>
      <c r="DW335" s="352"/>
      <c r="DX335" s="352"/>
      <c r="DY335" s="352"/>
      <c r="DZ335" s="352"/>
      <c r="EA335" s="352"/>
      <c r="EB335" s="352"/>
      <c r="EC335" s="352"/>
      <c r="ED335" s="352"/>
      <c r="EE335" s="352"/>
      <c r="EF335" s="352"/>
      <c r="EG335" s="352"/>
      <c r="EH335" s="352"/>
      <c r="EI335" s="352"/>
      <c r="EJ335" s="352"/>
      <c r="EK335" s="352"/>
      <c r="EL335" s="352"/>
      <c r="EM335" s="352"/>
      <c r="EN335" s="352"/>
    </row>
    <row r="336" spans="1:144" s="188" customFormat="1" ht="20.100000000000001" customHeight="1">
      <c r="A336" s="179" t="s">
        <v>110</v>
      </c>
      <c r="B336" s="179" t="s">
        <v>552</v>
      </c>
      <c r="C336" s="180">
        <f>'Thomson Reuters IMA  ($)'!I669+'Thomson Reuters IMA  ($)'!I670+'Thomson Reuters IMA  ($)'!I671</f>
        <v>61.454000000000001</v>
      </c>
      <c r="D336" s="181">
        <f>'Sectors % GDP'!K25</f>
        <v>360240</v>
      </c>
      <c r="E336" s="181">
        <f t="shared" si="10"/>
        <v>1.7059182767044194E-4</v>
      </c>
      <c r="F336" s="184">
        <v>1</v>
      </c>
      <c r="G336" s="181">
        <v>10</v>
      </c>
      <c r="H336" s="183">
        <v>47.8</v>
      </c>
      <c r="I336" s="183">
        <v>49.99</v>
      </c>
      <c r="J336" s="184">
        <v>66.92</v>
      </c>
      <c r="K336" s="184">
        <v>28.99</v>
      </c>
      <c r="L336" s="184">
        <f t="shared" si="11"/>
        <v>1.7000000000000002</v>
      </c>
      <c r="M336" s="185">
        <v>1.7000000000000001E-2</v>
      </c>
      <c r="N336" s="185">
        <v>5.69</v>
      </c>
      <c r="O336" s="186">
        <f>'Trade Data'!J20</f>
        <v>3.6044694241089577</v>
      </c>
      <c r="P336" s="189">
        <v>1</v>
      </c>
      <c r="Q336" s="352"/>
      <c r="R336" s="352"/>
      <c r="S336" s="352"/>
      <c r="T336" s="352"/>
      <c r="U336" s="352"/>
      <c r="V336" s="352"/>
      <c r="W336" s="352"/>
      <c r="X336" s="352"/>
      <c r="Y336" s="352"/>
      <c r="Z336" s="352"/>
      <c r="AA336" s="352"/>
      <c r="AB336" s="352"/>
      <c r="AC336" s="352"/>
      <c r="AD336" s="352"/>
      <c r="AE336" s="352"/>
      <c r="AF336" s="352"/>
      <c r="AG336" s="352"/>
      <c r="AH336" s="352"/>
      <c r="AI336" s="352"/>
      <c r="AJ336" s="352"/>
      <c r="AK336" s="352"/>
      <c r="AL336" s="352"/>
      <c r="AM336" s="352"/>
      <c r="AN336" s="352"/>
      <c r="AO336" s="352"/>
      <c r="AP336" s="352"/>
      <c r="AQ336" s="352"/>
      <c r="AR336" s="352"/>
      <c r="AS336" s="352"/>
      <c r="AT336" s="352"/>
      <c r="AU336" s="352"/>
      <c r="AV336" s="352"/>
      <c r="AW336" s="352"/>
      <c r="AX336" s="352"/>
      <c r="AY336" s="352"/>
      <c r="AZ336" s="352"/>
      <c r="BA336" s="352"/>
      <c r="BB336" s="352"/>
      <c r="BC336" s="352"/>
      <c r="BD336" s="352"/>
      <c r="BE336" s="352"/>
      <c r="BF336" s="352"/>
      <c r="BG336" s="352"/>
      <c r="BH336" s="352"/>
      <c r="BI336" s="352"/>
      <c r="BJ336" s="352"/>
      <c r="BK336" s="352"/>
      <c r="BL336" s="352"/>
      <c r="BM336" s="352"/>
      <c r="BN336" s="352"/>
      <c r="BO336" s="352"/>
      <c r="BP336" s="352"/>
      <c r="BQ336" s="352"/>
      <c r="BR336" s="352"/>
      <c r="BS336" s="352"/>
      <c r="BT336" s="352"/>
      <c r="BU336" s="352"/>
      <c r="BV336" s="352"/>
      <c r="BW336" s="352"/>
      <c r="BX336" s="352"/>
      <c r="BY336" s="352"/>
      <c r="BZ336" s="352"/>
      <c r="CA336" s="352"/>
      <c r="CB336" s="352"/>
      <c r="CC336" s="352"/>
      <c r="CD336" s="352"/>
      <c r="CE336" s="352"/>
      <c r="CF336" s="352"/>
      <c r="CG336" s="352"/>
      <c r="CH336" s="352"/>
      <c r="CI336" s="352"/>
      <c r="CJ336" s="352"/>
      <c r="CK336" s="352"/>
      <c r="CL336" s="352"/>
      <c r="CM336" s="352"/>
      <c r="CN336" s="352"/>
      <c r="CO336" s="352"/>
      <c r="CP336" s="352"/>
      <c r="CQ336" s="352"/>
      <c r="CR336" s="352"/>
      <c r="CS336" s="352"/>
      <c r="CT336" s="352"/>
      <c r="CU336" s="352"/>
      <c r="CV336" s="352"/>
      <c r="CW336" s="352"/>
      <c r="CX336" s="352"/>
      <c r="CY336" s="352"/>
      <c r="CZ336" s="352"/>
      <c r="DA336" s="352"/>
      <c r="DB336" s="352"/>
      <c r="DC336" s="352"/>
      <c r="DD336" s="352"/>
      <c r="DE336" s="352"/>
      <c r="DF336" s="352"/>
      <c r="DG336" s="352"/>
      <c r="DH336" s="352"/>
      <c r="DI336" s="352"/>
      <c r="DJ336" s="352"/>
      <c r="DK336" s="352"/>
      <c r="DL336" s="352"/>
      <c r="DM336" s="352"/>
      <c r="DN336" s="352"/>
      <c r="DO336" s="352"/>
      <c r="DP336" s="352"/>
      <c r="DQ336" s="352"/>
      <c r="DR336" s="352"/>
      <c r="DS336" s="352"/>
      <c r="DT336" s="352"/>
      <c r="DU336" s="352"/>
      <c r="DV336" s="352"/>
      <c r="DW336" s="352"/>
      <c r="DX336" s="352"/>
      <c r="DY336" s="352"/>
      <c r="DZ336" s="352"/>
      <c r="EA336" s="352"/>
      <c r="EB336" s="352"/>
      <c r="EC336" s="352"/>
      <c r="ED336" s="352"/>
      <c r="EE336" s="352"/>
      <c r="EF336" s="352"/>
      <c r="EG336" s="352"/>
      <c r="EH336" s="352"/>
      <c r="EI336" s="352"/>
      <c r="EJ336" s="352"/>
      <c r="EK336" s="352"/>
      <c r="EL336" s="352"/>
      <c r="EM336" s="352"/>
      <c r="EN336" s="352"/>
    </row>
    <row r="337" spans="1:144" ht="20.100000000000001" customHeight="1">
      <c r="A337" s="118" t="s">
        <v>110</v>
      </c>
      <c r="B337" s="118" t="s">
        <v>551</v>
      </c>
      <c r="C337" s="119">
        <f>'Thomson Reuters IMA  ($)'!I666+'Thomson Reuters IMA  ($)'!I667+'Thomson Reuters IMA  ($)'!I668+'Thomson Reuters IMA  ($)'!I672+'Thomson Reuters IMA  ($)'!I673</f>
        <v>767.29</v>
      </c>
      <c r="D337" s="120">
        <f>'Sectors % GDP'!K26</f>
        <v>729600</v>
      </c>
      <c r="E337" s="120">
        <f t="shared" si="10"/>
        <v>1.0516584429824561E-3</v>
      </c>
      <c r="F337" s="123">
        <v>1</v>
      </c>
      <c r="G337" s="120">
        <v>13</v>
      </c>
      <c r="H337" s="122">
        <v>47.8</v>
      </c>
      <c r="I337" s="122">
        <v>49.99</v>
      </c>
      <c r="J337" s="123">
        <v>66.92</v>
      </c>
      <c r="K337" s="123">
        <v>28.99</v>
      </c>
      <c r="L337" s="123">
        <f t="shared" si="11"/>
        <v>1.7000000000000002</v>
      </c>
      <c r="M337" s="124">
        <v>1.7000000000000001E-2</v>
      </c>
      <c r="N337" s="124">
        <v>5.69</v>
      </c>
      <c r="O337" s="125">
        <f>'Trade Data'!J20</f>
        <v>3.6044694241089577</v>
      </c>
      <c r="P337" s="127">
        <v>1</v>
      </c>
      <c r="Q337" s="352"/>
      <c r="R337" s="352"/>
      <c r="S337" s="352"/>
      <c r="T337" s="352"/>
      <c r="U337" s="352"/>
      <c r="V337" s="352"/>
      <c r="W337" s="352"/>
      <c r="X337" s="352"/>
      <c r="Y337" s="352"/>
      <c r="Z337" s="352"/>
      <c r="AA337" s="352"/>
      <c r="AB337" s="352"/>
      <c r="AC337" s="352"/>
      <c r="AD337" s="352"/>
      <c r="AE337" s="352"/>
      <c r="AF337" s="352"/>
      <c r="AG337" s="352"/>
      <c r="AH337" s="352"/>
      <c r="AI337" s="352"/>
      <c r="AJ337" s="352"/>
      <c r="AK337" s="352"/>
      <c r="AL337" s="352"/>
      <c r="AM337" s="352"/>
      <c r="AN337" s="352"/>
      <c r="AO337" s="352"/>
      <c r="AP337" s="352"/>
      <c r="AQ337" s="352"/>
      <c r="AR337" s="352"/>
      <c r="AS337" s="352"/>
      <c r="AT337" s="352"/>
      <c r="AU337" s="352"/>
      <c r="AV337" s="352"/>
      <c r="AW337" s="352"/>
      <c r="AX337" s="352"/>
      <c r="AY337" s="352"/>
      <c r="AZ337" s="352"/>
      <c r="BA337" s="352"/>
      <c r="BB337" s="352"/>
      <c r="BC337" s="352"/>
      <c r="BD337" s="352"/>
      <c r="BE337" s="352"/>
      <c r="BF337" s="352"/>
      <c r="BG337" s="352"/>
      <c r="BH337" s="352"/>
      <c r="BI337" s="352"/>
      <c r="BJ337" s="352"/>
      <c r="BK337" s="352"/>
      <c r="BL337" s="352"/>
      <c r="BM337" s="352"/>
      <c r="BN337" s="352"/>
      <c r="BO337" s="352"/>
      <c r="BP337" s="352"/>
      <c r="BQ337" s="352"/>
      <c r="BR337" s="352"/>
      <c r="BS337" s="352"/>
      <c r="BT337" s="352"/>
      <c r="BU337" s="352"/>
      <c r="BV337" s="352"/>
      <c r="BW337" s="352"/>
      <c r="BX337" s="352"/>
      <c r="BY337" s="352"/>
      <c r="BZ337" s="352"/>
      <c r="CA337" s="352"/>
      <c r="CB337" s="352"/>
      <c r="CC337" s="352"/>
      <c r="CD337" s="352"/>
      <c r="CE337" s="352"/>
      <c r="CF337" s="352"/>
      <c r="CG337" s="352"/>
      <c r="CH337" s="352"/>
      <c r="CI337" s="352"/>
      <c r="CJ337" s="352"/>
      <c r="CK337" s="352"/>
      <c r="CL337" s="352"/>
      <c r="CM337" s="352"/>
      <c r="CN337" s="352"/>
      <c r="CO337" s="352"/>
      <c r="CP337" s="352"/>
      <c r="CQ337" s="352"/>
      <c r="CR337" s="352"/>
      <c r="CS337" s="352"/>
      <c r="CT337" s="352"/>
      <c r="CU337" s="352"/>
      <c r="CV337" s="352"/>
      <c r="CW337" s="352"/>
      <c r="CX337" s="352"/>
      <c r="CY337" s="352"/>
      <c r="CZ337" s="352"/>
      <c r="DA337" s="352"/>
      <c r="DB337" s="352"/>
      <c r="DC337" s="352"/>
      <c r="DD337" s="352"/>
      <c r="DE337" s="352"/>
      <c r="DF337" s="352"/>
      <c r="DG337" s="352"/>
      <c r="DH337" s="352"/>
      <c r="DI337" s="352"/>
      <c r="DJ337" s="352"/>
      <c r="DK337" s="352"/>
      <c r="DL337" s="352"/>
      <c r="DM337" s="352"/>
      <c r="DN337" s="352"/>
      <c r="DO337" s="352"/>
      <c r="DP337" s="352"/>
      <c r="DQ337" s="352"/>
      <c r="DR337" s="352"/>
      <c r="DS337" s="352"/>
      <c r="DT337" s="352"/>
      <c r="DU337" s="352"/>
      <c r="DV337" s="352"/>
      <c r="DW337" s="352"/>
      <c r="DX337" s="352"/>
      <c r="DY337" s="352"/>
      <c r="DZ337" s="352"/>
      <c r="EA337" s="352"/>
      <c r="EB337" s="352"/>
      <c r="EC337" s="352"/>
      <c r="ED337" s="352"/>
      <c r="EE337" s="352"/>
      <c r="EF337" s="352"/>
      <c r="EG337" s="352"/>
      <c r="EH337" s="352"/>
      <c r="EI337" s="352"/>
      <c r="EJ337" s="352"/>
      <c r="EK337" s="352"/>
      <c r="EL337" s="352"/>
      <c r="EM337" s="352"/>
      <c r="EN337" s="352"/>
    </row>
    <row r="338" spans="1:144" s="169" customFormat="1" ht="20.100000000000001" customHeight="1">
      <c r="A338" s="160" t="s">
        <v>111</v>
      </c>
      <c r="B338" s="160" t="s">
        <v>550</v>
      </c>
      <c r="C338" s="161">
        <v>0</v>
      </c>
      <c r="D338" s="162">
        <f>'Sectors % GDP'!K24</f>
        <v>44460</v>
      </c>
      <c r="E338" s="162">
        <f t="shared" si="10"/>
        <v>0</v>
      </c>
      <c r="F338" s="165">
        <v>0</v>
      </c>
      <c r="G338" s="162">
        <v>0</v>
      </c>
      <c r="H338" s="164">
        <v>47.46</v>
      </c>
      <c r="I338" s="164">
        <v>48.56</v>
      </c>
      <c r="J338" s="165">
        <v>66.98</v>
      </c>
      <c r="K338" s="165">
        <v>28.99</v>
      </c>
      <c r="L338" s="165">
        <f t="shared" si="11"/>
        <v>1.7000000000000002</v>
      </c>
      <c r="M338" s="166">
        <v>1.7000000000000001E-2</v>
      </c>
      <c r="N338" s="166">
        <v>5.69</v>
      </c>
      <c r="O338" s="167">
        <f>'Trade Data'!J20</f>
        <v>3.6044694241089577</v>
      </c>
      <c r="P338" s="168">
        <v>0</v>
      </c>
      <c r="Q338" s="352"/>
      <c r="R338" s="352"/>
      <c r="S338" s="352"/>
      <c r="T338" s="352"/>
      <c r="U338" s="352"/>
      <c r="V338" s="352"/>
      <c r="W338" s="352"/>
      <c r="X338" s="352"/>
      <c r="Y338" s="352"/>
      <c r="Z338" s="352"/>
      <c r="AA338" s="352"/>
      <c r="AB338" s="352"/>
      <c r="AC338" s="352"/>
      <c r="AD338" s="352"/>
      <c r="AE338" s="352"/>
      <c r="AF338" s="352"/>
      <c r="AG338" s="352"/>
      <c r="AH338" s="352"/>
      <c r="AI338" s="352"/>
      <c r="AJ338" s="352"/>
      <c r="AK338" s="352"/>
      <c r="AL338" s="352"/>
      <c r="AM338" s="352"/>
      <c r="AN338" s="352"/>
      <c r="AO338" s="352"/>
      <c r="AP338" s="352"/>
      <c r="AQ338" s="352"/>
      <c r="AR338" s="352"/>
      <c r="AS338" s="352"/>
      <c r="AT338" s="352"/>
      <c r="AU338" s="352"/>
      <c r="AV338" s="352"/>
      <c r="AW338" s="352"/>
      <c r="AX338" s="352"/>
      <c r="AY338" s="352"/>
      <c r="AZ338" s="352"/>
      <c r="BA338" s="352"/>
      <c r="BB338" s="352"/>
      <c r="BC338" s="352"/>
      <c r="BD338" s="352"/>
      <c r="BE338" s="352"/>
      <c r="BF338" s="352"/>
      <c r="BG338" s="352"/>
      <c r="BH338" s="352"/>
      <c r="BI338" s="352"/>
      <c r="BJ338" s="352"/>
      <c r="BK338" s="352"/>
      <c r="BL338" s="352"/>
      <c r="BM338" s="352"/>
      <c r="BN338" s="352"/>
      <c r="BO338" s="352"/>
      <c r="BP338" s="352"/>
      <c r="BQ338" s="352"/>
      <c r="BR338" s="352"/>
      <c r="BS338" s="352"/>
      <c r="BT338" s="352"/>
      <c r="BU338" s="352"/>
      <c r="BV338" s="352"/>
      <c r="BW338" s="352"/>
      <c r="BX338" s="352"/>
      <c r="BY338" s="352"/>
      <c r="BZ338" s="352"/>
      <c r="CA338" s="352"/>
      <c r="CB338" s="352"/>
      <c r="CC338" s="352"/>
      <c r="CD338" s="352"/>
      <c r="CE338" s="352"/>
      <c r="CF338" s="352"/>
      <c r="CG338" s="352"/>
      <c r="CH338" s="352"/>
      <c r="CI338" s="352"/>
      <c r="CJ338" s="352"/>
      <c r="CK338" s="352"/>
      <c r="CL338" s="352"/>
      <c r="CM338" s="352"/>
      <c r="CN338" s="352"/>
      <c r="CO338" s="352"/>
      <c r="CP338" s="352"/>
      <c r="CQ338" s="352"/>
      <c r="CR338" s="352"/>
      <c r="CS338" s="352"/>
      <c r="CT338" s="352"/>
      <c r="CU338" s="352"/>
      <c r="CV338" s="352"/>
      <c r="CW338" s="352"/>
      <c r="CX338" s="352"/>
      <c r="CY338" s="352"/>
      <c r="CZ338" s="352"/>
      <c r="DA338" s="352"/>
      <c r="DB338" s="352"/>
      <c r="DC338" s="352"/>
      <c r="DD338" s="352"/>
      <c r="DE338" s="352"/>
      <c r="DF338" s="352"/>
      <c r="DG338" s="352"/>
      <c r="DH338" s="352"/>
      <c r="DI338" s="352"/>
      <c r="DJ338" s="352"/>
      <c r="DK338" s="352"/>
      <c r="DL338" s="352"/>
      <c r="DM338" s="352"/>
      <c r="DN338" s="352"/>
      <c r="DO338" s="352"/>
      <c r="DP338" s="352"/>
      <c r="DQ338" s="352"/>
      <c r="DR338" s="352"/>
      <c r="DS338" s="352"/>
      <c r="DT338" s="352"/>
      <c r="DU338" s="352"/>
      <c r="DV338" s="352"/>
      <c r="DW338" s="352"/>
      <c r="DX338" s="352"/>
      <c r="DY338" s="352"/>
      <c r="DZ338" s="352"/>
      <c r="EA338" s="352"/>
      <c r="EB338" s="352"/>
      <c r="EC338" s="352"/>
      <c r="ED338" s="352"/>
      <c r="EE338" s="352"/>
      <c r="EF338" s="352"/>
      <c r="EG338" s="352"/>
      <c r="EH338" s="352"/>
      <c r="EI338" s="352"/>
      <c r="EJ338" s="352"/>
      <c r="EK338" s="352"/>
      <c r="EL338" s="352"/>
      <c r="EM338" s="352"/>
      <c r="EN338" s="352"/>
    </row>
    <row r="339" spans="1:144" s="188" customFormat="1" ht="20.100000000000001" customHeight="1">
      <c r="A339" s="179" t="s">
        <v>111</v>
      </c>
      <c r="B339" s="179" t="s">
        <v>549</v>
      </c>
      <c r="C339" s="180">
        <f>'Thomson Reuters IMA  ($)'!I674+'Thomson Reuters IMA  ($)'!I678+'Thomson Reuters IMA  ($)'!I679</f>
        <v>185.03100000000001</v>
      </c>
      <c r="D339" s="181">
        <f>'Sectors % GDP'!K25</f>
        <v>360240</v>
      </c>
      <c r="E339" s="181">
        <f t="shared" si="10"/>
        <v>5.1363257828114593E-4</v>
      </c>
      <c r="F339" s="184">
        <v>1</v>
      </c>
      <c r="G339" s="181">
        <v>5</v>
      </c>
      <c r="H339" s="183">
        <v>47.46</v>
      </c>
      <c r="I339" s="183">
        <v>48.56</v>
      </c>
      <c r="J339" s="184">
        <v>66.98</v>
      </c>
      <c r="K339" s="184">
        <v>28.99</v>
      </c>
      <c r="L339" s="184">
        <f t="shared" si="11"/>
        <v>1.7000000000000002</v>
      </c>
      <c r="M339" s="185">
        <v>1.7000000000000001E-2</v>
      </c>
      <c r="N339" s="185">
        <v>5.69</v>
      </c>
      <c r="O339" s="186">
        <f>'Trade Data'!J20</f>
        <v>3.6044694241089577</v>
      </c>
      <c r="P339" s="187">
        <v>1</v>
      </c>
      <c r="Q339" s="352"/>
      <c r="R339" s="352"/>
      <c r="S339" s="352"/>
      <c r="T339" s="352"/>
      <c r="U339" s="352"/>
      <c r="V339" s="352"/>
      <c r="W339" s="352"/>
      <c r="X339" s="352"/>
      <c r="Y339" s="352"/>
      <c r="Z339" s="352"/>
      <c r="AA339" s="352"/>
      <c r="AB339" s="352"/>
      <c r="AC339" s="352"/>
      <c r="AD339" s="352"/>
      <c r="AE339" s="352"/>
      <c r="AF339" s="352"/>
      <c r="AG339" s="352"/>
      <c r="AH339" s="352"/>
      <c r="AI339" s="352"/>
      <c r="AJ339" s="352"/>
      <c r="AK339" s="352"/>
      <c r="AL339" s="352"/>
      <c r="AM339" s="352"/>
      <c r="AN339" s="352"/>
      <c r="AO339" s="352"/>
      <c r="AP339" s="352"/>
      <c r="AQ339" s="352"/>
      <c r="AR339" s="352"/>
      <c r="AS339" s="352"/>
      <c r="AT339" s="352"/>
      <c r="AU339" s="352"/>
      <c r="AV339" s="352"/>
      <c r="AW339" s="352"/>
      <c r="AX339" s="352"/>
      <c r="AY339" s="352"/>
      <c r="AZ339" s="352"/>
      <c r="BA339" s="352"/>
      <c r="BB339" s="352"/>
      <c r="BC339" s="352"/>
      <c r="BD339" s="352"/>
      <c r="BE339" s="352"/>
      <c r="BF339" s="352"/>
      <c r="BG339" s="352"/>
      <c r="BH339" s="352"/>
      <c r="BI339" s="352"/>
      <c r="BJ339" s="352"/>
      <c r="BK339" s="352"/>
      <c r="BL339" s="352"/>
      <c r="BM339" s="352"/>
      <c r="BN339" s="352"/>
      <c r="BO339" s="352"/>
      <c r="BP339" s="352"/>
      <c r="BQ339" s="352"/>
      <c r="BR339" s="352"/>
      <c r="BS339" s="352"/>
      <c r="BT339" s="352"/>
      <c r="BU339" s="352"/>
      <c r="BV339" s="352"/>
      <c r="BW339" s="352"/>
      <c r="BX339" s="352"/>
      <c r="BY339" s="352"/>
      <c r="BZ339" s="352"/>
      <c r="CA339" s="352"/>
      <c r="CB339" s="352"/>
      <c r="CC339" s="352"/>
      <c r="CD339" s="352"/>
      <c r="CE339" s="352"/>
      <c r="CF339" s="352"/>
      <c r="CG339" s="352"/>
      <c r="CH339" s="352"/>
      <c r="CI339" s="352"/>
      <c r="CJ339" s="352"/>
      <c r="CK339" s="352"/>
      <c r="CL339" s="352"/>
      <c r="CM339" s="352"/>
      <c r="CN339" s="352"/>
      <c r="CO339" s="352"/>
      <c r="CP339" s="352"/>
      <c r="CQ339" s="352"/>
      <c r="CR339" s="352"/>
      <c r="CS339" s="352"/>
      <c r="CT339" s="352"/>
      <c r="CU339" s="352"/>
      <c r="CV339" s="352"/>
      <c r="CW339" s="352"/>
      <c r="CX339" s="352"/>
      <c r="CY339" s="352"/>
      <c r="CZ339" s="352"/>
      <c r="DA339" s="352"/>
      <c r="DB339" s="352"/>
      <c r="DC339" s="352"/>
      <c r="DD339" s="352"/>
      <c r="DE339" s="352"/>
      <c r="DF339" s="352"/>
      <c r="DG339" s="352"/>
      <c r="DH339" s="352"/>
      <c r="DI339" s="352"/>
      <c r="DJ339" s="352"/>
      <c r="DK339" s="352"/>
      <c r="DL339" s="352"/>
      <c r="DM339" s="352"/>
      <c r="DN339" s="352"/>
      <c r="DO339" s="352"/>
      <c r="DP339" s="352"/>
      <c r="DQ339" s="352"/>
      <c r="DR339" s="352"/>
      <c r="DS339" s="352"/>
      <c r="DT339" s="352"/>
      <c r="DU339" s="352"/>
      <c r="DV339" s="352"/>
      <c r="DW339" s="352"/>
      <c r="DX339" s="352"/>
      <c r="DY339" s="352"/>
      <c r="DZ339" s="352"/>
      <c r="EA339" s="352"/>
      <c r="EB339" s="352"/>
      <c r="EC339" s="352"/>
      <c r="ED339" s="352"/>
      <c r="EE339" s="352"/>
      <c r="EF339" s="352"/>
      <c r="EG339" s="352"/>
      <c r="EH339" s="352"/>
      <c r="EI339" s="352"/>
      <c r="EJ339" s="352"/>
      <c r="EK339" s="352"/>
      <c r="EL339" s="352"/>
      <c r="EM339" s="352"/>
      <c r="EN339" s="352"/>
    </row>
    <row r="340" spans="1:144" ht="20.100000000000001" customHeight="1">
      <c r="A340" s="118" t="s">
        <v>111</v>
      </c>
      <c r="B340" s="118" t="s">
        <v>548</v>
      </c>
      <c r="C340" s="119">
        <f>'Thomson Reuters IMA  ($)'!I675+'Thomson Reuters IMA  ($)'!I676+'Thomson Reuters IMA  ($)'!I677</f>
        <v>39.036999999999999</v>
      </c>
      <c r="D340" s="120">
        <f>'Sectors % GDP'!K26</f>
        <v>729600</v>
      </c>
      <c r="E340" s="120">
        <f t="shared" si="10"/>
        <v>5.3504660087719295E-5</v>
      </c>
      <c r="F340" s="123">
        <v>1</v>
      </c>
      <c r="G340" s="120">
        <v>9</v>
      </c>
      <c r="H340" s="122">
        <v>47.46</v>
      </c>
      <c r="I340" s="122">
        <v>48.56</v>
      </c>
      <c r="J340" s="123">
        <v>66.98</v>
      </c>
      <c r="K340" s="123">
        <v>28.99</v>
      </c>
      <c r="L340" s="123">
        <f t="shared" si="11"/>
        <v>1.7000000000000002</v>
      </c>
      <c r="M340" s="124">
        <v>1.7000000000000001E-2</v>
      </c>
      <c r="N340" s="124">
        <v>5.69</v>
      </c>
      <c r="O340" s="125">
        <f>'Trade Data'!J20</f>
        <v>3.6044694241089577</v>
      </c>
      <c r="P340" s="126">
        <v>1</v>
      </c>
      <c r="Q340" s="352"/>
      <c r="R340" s="352"/>
      <c r="S340" s="352"/>
      <c r="T340" s="352"/>
      <c r="U340" s="352"/>
      <c r="V340" s="352"/>
      <c r="W340" s="352"/>
      <c r="X340" s="352"/>
      <c r="Y340" s="352"/>
      <c r="Z340" s="352"/>
      <c r="AA340" s="352"/>
      <c r="AB340" s="352"/>
      <c r="AC340" s="352"/>
      <c r="AD340" s="352"/>
      <c r="AE340" s="352"/>
      <c r="AF340" s="352"/>
      <c r="AG340" s="352"/>
      <c r="AH340" s="352"/>
      <c r="AI340" s="352"/>
      <c r="AJ340" s="352"/>
      <c r="AK340" s="352"/>
      <c r="AL340" s="352"/>
      <c r="AM340" s="352"/>
      <c r="AN340" s="352"/>
      <c r="AO340" s="352"/>
      <c r="AP340" s="352"/>
      <c r="AQ340" s="352"/>
      <c r="AR340" s="352"/>
      <c r="AS340" s="352"/>
      <c r="AT340" s="352"/>
      <c r="AU340" s="352"/>
      <c r="AV340" s="352"/>
      <c r="AW340" s="352"/>
      <c r="AX340" s="352"/>
      <c r="AY340" s="352"/>
      <c r="AZ340" s="352"/>
      <c r="BA340" s="352"/>
      <c r="BB340" s="352"/>
      <c r="BC340" s="352"/>
      <c r="BD340" s="352"/>
      <c r="BE340" s="352"/>
      <c r="BF340" s="352"/>
      <c r="BG340" s="352"/>
      <c r="BH340" s="352"/>
      <c r="BI340" s="352"/>
      <c r="BJ340" s="352"/>
      <c r="BK340" s="352"/>
      <c r="BL340" s="352"/>
      <c r="BM340" s="352"/>
      <c r="BN340" s="352"/>
      <c r="BO340" s="352"/>
      <c r="BP340" s="352"/>
      <c r="BQ340" s="352"/>
      <c r="BR340" s="352"/>
      <c r="BS340" s="352"/>
      <c r="BT340" s="352"/>
      <c r="BU340" s="352"/>
      <c r="BV340" s="352"/>
      <c r="BW340" s="352"/>
      <c r="BX340" s="352"/>
      <c r="BY340" s="352"/>
      <c r="BZ340" s="352"/>
      <c r="CA340" s="352"/>
      <c r="CB340" s="352"/>
      <c r="CC340" s="352"/>
      <c r="CD340" s="352"/>
      <c r="CE340" s="352"/>
      <c r="CF340" s="352"/>
      <c r="CG340" s="352"/>
      <c r="CH340" s="352"/>
      <c r="CI340" s="352"/>
      <c r="CJ340" s="352"/>
      <c r="CK340" s="352"/>
      <c r="CL340" s="352"/>
      <c r="CM340" s="352"/>
      <c r="CN340" s="352"/>
      <c r="CO340" s="352"/>
      <c r="CP340" s="352"/>
      <c r="CQ340" s="352"/>
      <c r="CR340" s="352"/>
      <c r="CS340" s="352"/>
      <c r="CT340" s="352"/>
      <c r="CU340" s="352"/>
      <c r="CV340" s="352"/>
      <c r="CW340" s="352"/>
      <c r="CX340" s="352"/>
      <c r="CY340" s="352"/>
      <c r="CZ340" s="352"/>
      <c r="DA340" s="352"/>
      <c r="DB340" s="352"/>
      <c r="DC340" s="352"/>
      <c r="DD340" s="352"/>
      <c r="DE340" s="352"/>
      <c r="DF340" s="352"/>
      <c r="DG340" s="352"/>
      <c r="DH340" s="352"/>
      <c r="DI340" s="352"/>
      <c r="DJ340" s="352"/>
      <c r="DK340" s="352"/>
      <c r="DL340" s="352"/>
      <c r="DM340" s="352"/>
      <c r="DN340" s="352"/>
      <c r="DO340" s="352"/>
      <c r="DP340" s="352"/>
      <c r="DQ340" s="352"/>
      <c r="DR340" s="352"/>
      <c r="DS340" s="352"/>
      <c r="DT340" s="352"/>
      <c r="DU340" s="352"/>
      <c r="DV340" s="352"/>
      <c r="DW340" s="352"/>
      <c r="DX340" s="352"/>
      <c r="DY340" s="352"/>
      <c r="DZ340" s="352"/>
      <c r="EA340" s="352"/>
      <c r="EB340" s="352"/>
      <c r="EC340" s="352"/>
      <c r="ED340" s="352"/>
      <c r="EE340" s="352"/>
      <c r="EF340" s="352"/>
      <c r="EG340" s="352"/>
      <c r="EH340" s="352"/>
      <c r="EI340" s="352"/>
      <c r="EJ340" s="352"/>
      <c r="EK340" s="352"/>
      <c r="EL340" s="352"/>
      <c r="EM340" s="352"/>
      <c r="EN340" s="352"/>
    </row>
    <row r="341" spans="1:144" s="169" customFormat="1" ht="20.100000000000001" customHeight="1">
      <c r="A341" s="160" t="s">
        <v>112</v>
      </c>
      <c r="B341" s="160" t="s">
        <v>864</v>
      </c>
      <c r="C341" s="161">
        <v>0</v>
      </c>
      <c r="D341" s="162">
        <f>'Sectors % GDP'!K24</f>
        <v>44460</v>
      </c>
      <c r="E341" s="162">
        <f t="shared" si="10"/>
        <v>0</v>
      </c>
      <c r="F341" s="165">
        <v>0</v>
      </c>
      <c r="G341" s="162">
        <v>0</v>
      </c>
      <c r="H341" s="164">
        <v>48.57</v>
      </c>
      <c r="I341" s="164">
        <v>47.17</v>
      </c>
      <c r="J341" s="165">
        <v>70.67</v>
      </c>
      <c r="K341" s="165">
        <v>28.99</v>
      </c>
      <c r="L341" s="165">
        <f t="shared" si="11"/>
        <v>1.7000000000000002</v>
      </c>
      <c r="M341" s="166">
        <v>1.7000000000000001E-2</v>
      </c>
      <c r="N341" s="166">
        <v>5.69</v>
      </c>
      <c r="O341" s="167">
        <f>'Trade Data'!J20</f>
        <v>3.6044694241089577</v>
      </c>
      <c r="P341" s="170">
        <v>0</v>
      </c>
      <c r="Q341" s="352"/>
      <c r="R341" s="352"/>
      <c r="S341" s="352"/>
      <c r="T341" s="352"/>
      <c r="U341" s="352"/>
      <c r="V341" s="352"/>
      <c r="W341" s="352"/>
      <c r="X341" s="352"/>
      <c r="Y341" s="352"/>
      <c r="Z341" s="352"/>
      <c r="AA341" s="352"/>
      <c r="AB341" s="352"/>
      <c r="AC341" s="352"/>
      <c r="AD341" s="352"/>
      <c r="AE341" s="352"/>
      <c r="AF341" s="352"/>
      <c r="AG341" s="352"/>
      <c r="AH341" s="352"/>
      <c r="AI341" s="352"/>
      <c r="AJ341" s="352"/>
      <c r="AK341" s="352"/>
      <c r="AL341" s="352"/>
      <c r="AM341" s="352"/>
      <c r="AN341" s="352"/>
      <c r="AO341" s="352"/>
      <c r="AP341" s="352"/>
      <c r="AQ341" s="352"/>
      <c r="AR341" s="352"/>
      <c r="AS341" s="352"/>
      <c r="AT341" s="352"/>
      <c r="AU341" s="352"/>
      <c r="AV341" s="352"/>
      <c r="AW341" s="352"/>
      <c r="AX341" s="352"/>
      <c r="AY341" s="352"/>
      <c r="AZ341" s="352"/>
      <c r="BA341" s="352"/>
      <c r="BB341" s="352"/>
      <c r="BC341" s="352"/>
      <c r="BD341" s="352"/>
      <c r="BE341" s="352"/>
      <c r="BF341" s="352"/>
      <c r="BG341" s="352"/>
      <c r="BH341" s="352"/>
      <c r="BI341" s="352"/>
      <c r="BJ341" s="352"/>
      <c r="BK341" s="352"/>
      <c r="BL341" s="352"/>
      <c r="BM341" s="352"/>
      <c r="BN341" s="352"/>
      <c r="BO341" s="352"/>
      <c r="BP341" s="352"/>
      <c r="BQ341" s="352"/>
      <c r="BR341" s="352"/>
      <c r="BS341" s="352"/>
      <c r="BT341" s="352"/>
      <c r="BU341" s="352"/>
      <c r="BV341" s="352"/>
      <c r="BW341" s="352"/>
      <c r="BX341" s="352"/>
      <c r="BY341" s="352"/>
      <c r="BZ341" s="352"/>
      <c r="CA341" s="352"/>
      <c r="CB341" s="352"/>
      <c r="CC341" s="352"/>
      <c r="CD341" s="352"/>
      <c r="CE341" s="352"/>
      <c r="CF341" s="352"/>
      <c r="CG341" s="352"/>
      <c r="CH341" s="352"/>
      <c r="CI341" s="352"/>
      <c r="CJ341" s="352"/>
      <c r="CK341" s="352"/>
      <c r="CL341" s="352"/>
      <c r="CM341" s="352"/>
      <c r="CN341" s="352"/>
      <c r="CO341" s="352"/>
      <c r="CP341" s="352"/>
      <c r="CQ341" s="352"/>
      <c r="CR341" s="352"/>
      <c r="CS341" s="352"/>
      <c r="CT341" s="352"/>
      <c r="CU341" s="352"/>
      <c r="CV341" s="352"/>
      <c r="CW341" s="352"/>
      <c r="CX341" s="352"/>
      <c r="CY341" s="352"/>
      <c r="CZ341" s="352"/>
      <c r="DA341" s="352"/>
      <c r="DB341" s="352"/>
      <c r="DC341" s="352"/>
      <c r="DD341" s="352"/>
      <c r="DE341" s="352"/>
      <c r="DF341" s="352"/>
      <c r="DG341" s="352"/>
      <c r="DH341" s="352"/>
      <c r="DI341" s="352"/>
      <c r="DJ341" s="352"/>
      <c r="DK341" s="352"/>
      <c r="DL341" s="352"/>
      <c r="DM341" s="352"/>
      <c r="DN341" s="352"/>
      <c r="DO341" s="352"/>
      <c r="DP341" s="352"/>
      <c r="DQ341" s="352"/>
      <c r="DR341" s="352"/>
      <c r="DS341" s="352"/>
      <c r="DT341" s="352"/>
      <c r="DU341" s="352"/>
      <c r="DV341" s="352"/>
      <c r="DW341" s="352"/>
      <c r="DX341" s="352"/>
      <c r="DY341" s="352"/>
      <c r="DZ341" s="352"/>
      <c r="EA341" s="352"/>
      <c r="EB341" s="352"/>
      <c r="EC341" s="352"/>
      <c r="ED341" s="352"/>
      <c r="EE341" s="352"/>
      <c r="EF341" s="352"/>
      <c r="EG341" s="352"/>
      <c r="EH341" s="352"/>
      <c r="EI341" s="352"/>
      <c r="EJ341" s="352"/>
      <c r="EK341" s="352"/>
      <c r="EL341" s="352"/>
      <c r="EM341" s="352"/>
      <c r="EN341" s="352"/>
    </row>
    <row r="342" spans="1:144" s="188" customFormat="1" ht="20.100000000000001" customHeight="1">
      <c r="A342" s="179" t="s">
        <v>112</v>
      </c>
      <c r="B342" s="179" t="s">
        <v>865</v>
      </c>
      <c r="C342" s="180">
        <f>SUM('Thomson Reuters IMA  ($)'!I680:I691)-'Thomson Reuters IMA  ($)'!I686-'Thomson Reuters IMA  ($)'!I689</f>
        <v>2850.22</v>
      </c>
      <c r="D342" s="181">
        <f>'Sectors % GDP'!K25</f>
        <v>360240</v>
      </c>
      <c r="E342" s="181">
        <f t="shared" si="10"/>
        <v>7.912003109038418E-3</v>
      </c>
      <c r="F342" s="184">
        <v>1</v>
      </c>
      <c r="G342" s="181">
        <v>15</v>
      </c>
      <c r="H342" s="183">
        <v>48.57</v>
      </c>
      <c r="I342" s="183">
        <v>47.17</v>
      </c>
      <c r="J342" s="184">
        <v>70.67</v>
      </c>
      <c r="K342" s="184">
        <v>28.99</v>
      </c>
      <c r="L342" s="184">
        <f t="shared" si="11"/>
        <v>1.7000000000000002</v>
      </c>
      <c r="M342" s="185">
        <v>1.7000000000000001E-2</v>
      </c>
      <c r="N342" s="185">
        <v>5.69</v>
      </c>
      <c r="O342" s="186">
        <f>'Trade Data'!J20</f>
        <v>3.6044694241089577</v>
      </c>
      <c r="P342" s="189">
        <v>1</v>
      </c>
      <c r="Q342" s="352"/>
      <c r="R342" s="352"/>
      <c r="S342" s="352"/>
      <c r="T342" s="352"/>
      <c r="U342" s="352"/>
      <c r="V342" s="352"/>
      <c r="W342" s="352"/>
      <c r="X342" s="352"/>
      <c r="Y342" s="352"/>
      <c r="Z342" s="352"/>
      <c r="AA342" s="352"/>
      <c r="AB342" s="352"/>
      <c r="AC342" s="352"/>
      <c r="AD342" s="352"/>
      <c r="AE342" s="352"/>
      <c r="AF342" s="352"/>
      <c r="AG342" s="352"/>
      <c r="AH342" s="352"/>
      <c r="AI342" s="352"/>
      <c r="AJ342" s="352"/>
      <c r="AK342" s="352"/>
      <c r="AL342" s="352"/>
      <c r="AM342" s="352"/>
      <c r="AN342" s="352"/>
      <c r="AO342" s="352"/>
      <c r="AP342" s="352"/>
      <c r="AQ342" s="352"/>
      <c r="AR342" s="352"/>
      <c r="AS342" s="352"/>
      <c r="AT342" s="352"/>
      <c r="AU342" s="352"/>
      <c r="AV342" s="352"/>
      <c r="AW342" s="352"/>
      <c r="AX342" s="352"/>
      <c r="AY342" s="352"/>
      <c r="AZ342" s="352"/>
      <c r="BA342" s="352"/>
      <c r="BB342" s="352"/>
      <c r="BC342" s="352"/>
      <c r="BD342" s="352"/>
      <c r="BE342" s="352"/>
      <c r="BF342" s="352"/>
      <c r="BG342" s="352"/>
      <c r="BH342" s="352"/>
      <c r="BI342" s="352"/>
      <c r="BJ342" s="352"/>
      <c r="BK342" s="352"/>
      <c r="BL342" s="352"/>
      <c r="BM342" s="352"/>
      <c r="BN342" s="352"/>
      <c r="BO342" s="352"/>
      <c r="BP342" s="352"/>
      <c r="BQ342" s="352"/>
      <c r="BR342" s="352"/>
      <c r="BS342" s="352"/>
      <c r="BT342" s="352"/>
      <c r="BU342" s="352"/>
      <c r="BV342" s="352"/>
      <c r="BW342" s="352"/>
      <c r="BX342" s="352"/>
      <c r="BY342" s="352"/>
      <c r="BZ342" s="352"/>
      <c r="CA342" s="352"/>
      <c r="CB342" s="352"/>
      <c r="CC342" s="352"/>
      <c r="CD342" s="352"/>
      <c r="CE342" s="352"/>
      <c r="CF342" s="352"/>
      <c r="CG342" s="352"/>
      <c r="CH342" s="352"/>
      <c r="CI342" s="352"/>
      <c r="CJ342" s="352"/>
      <c r="CK342" s="352"/>
      <c r="CL342" s="352"/>
      <c r="CM342" s="352"/>
      <c r="CN342" s="352"/>
      <c r="CO342" s="352"/>
      <c r="CP342" s="352"/>
      <c r="CQ342" s="352"/>
      <c r="CR342" s="352"/>
      <c r="CS342" s="352"/>
      <c r="CT342" s="352"/>
      <c r="CU342" s="352"/>
      <c r="CV342" s="352"/>
      <c r="CW342" s="352"/>
      <c r="CX342" s="352"/>
      <c r="CY342" s="352"/>
      <c r="CZ342" s="352"/>
      <c r="DA342" s="352"/>
      <c r="DB342" s="352"/>
      <c r="DC342" s="352"/>
      <c r="DD342" s="352"/>
      <c r="DE342" s="352"/>
      <c r="DF342" s="352"/>
      <c r="DG342" s="352"/>
      <c r="DH342" s="352"/>
      <c r="DI342" s="352"/>
      <c r="DJ342" s="352"/>
      <c r="DK342" s="352"/>
      <c r="DL342" s="352"/>
      <c r="DM342" s="352"/>
      <c r="DN342" s="352"/>
      <c r="DO342" s="352"/>
      <c r="DP342" s="352"/>
      <c r="DQ342" s="352"/>
      <c r="DR342" s="352"/>
      <c r="DS342" s="352"/>
      <c r="DT342" s="352"/>
      <c r="DU342" s="352"/>
      <c r="DV342" s="352"/>
      <c r="DW342" s="352"/>
      <c r="DX342" s="352"/>
      <c r="DY342" s="352"/>
      <c r="DZ342" s="352"/>
      <c r="EA342" s="352"/>
      <c r="EB342" s="352"/>
      <c r="EC342" s="352"/>
      <c r="ED342" s="352"/>
      <c r="EE342" s="352"/>
      <c r="EF342" s="352"/>
      <c r="EG342" s="352"/>
      <c r="EH342" s="352"/>
      <c r="EI342" s="352"/>
      <c r="EJ342" s="352"/>
      <c r="EK342" s="352"/>
      <c r="EL342" s="352"/>
      <c r="EM342" s="352"/>
      <c r="EN342" s="352"/>
    </row>
    <row r="343" spans="1:144" ht="20.100000000000001" customHeight="1">
      <c r="A343" s="118" t="s">
        <v>112</v>
      </c>
      <c r="B343" s="118" t="s">
        <v>866</v>
      </c>
      <c r="C343" s="119">
        <f>'Thomson Reuters IMA  ($)'!I686+'Thomson Reuters IMA  ($)'!I689</f>
        <v>511.16300000000001</v>
      </c>
      <c r="D343" s="120">
        <f>'Sectors % GDP'!K26</f>
        <v>729600</v>
      </c>
      <c r="E343" s="120">
        <f t="shared" si="10"/>
        <v>7.0060718201754384E-4</v>
      </c>
      <c r="F343" s="123">
        <v>1</v>
      </c>
      <c r="G343" s="120">
        <v>12</v>
      </c>
      <c r="H343" s="122">
        <v>48.57</v>
      </c>
      <c r="I343" s="122">
        <v>47.17</v>
      </c>
      <c r="J343" s="123">
        <v>70.67</v>
      </c>
      <c r="K343" s="123">
        <v>28.99</v>
      </c>
      <c r="L343" s="123">
        <f t="shared" si="11"/>
        <v>1.7000000000000002</v>
      </c>
      <c r="M343" s="124">
        <v>1.7000000000000001E-2</v>
      </c>
      <c r="N343" s="124">
        <v>5.69</v>
      </c>
      <c r="O343" s="125">
        <f>'Trade Data'!J20</f>
        <v>3.6044694241089577</v>
      </c>
      <c r="P343" s="127">
        <v>1</v>
      </c>
      <c r="Q343" s="352"/>
      <c r="R343" s="352"/>
      <c r="S343" s="352"/>
      <c r="T343" s="352"/>
      <c r="U343" s="352"/>
      <c r="V343" s="352"/>
      <c r="W343" s="352"/>
      <c r="X343" s="352"/>
      <c r="Y343" s="352"/>
      <c r="Z343" s="352"/>
      <c r="AA343" s="352"/>
      <c r="AB343" s="352"/>
      <c r="AC343" s="352"/>
      <c r="AD343" s="352"/>
      <c r="AE343" s="352"/>
      <c r="AF343" s="352"/>
      <c r="AG343" s="352"/>
      <c r="AH343" s="352"/>
      <c r="AI343" s="352"/>
      <c r="AJ343" s="352"/>
      <c r="AK343" s="352"/>
      <c r="AL343" s="352"/>
      <c r="AM343" s="352"/>
      <c r="AN343" s="352"/>
      <c r="AO343" s="352"/>
      <c r="AP343" s="352"/>
      <c r="AQ343" s="352"/>
      <c r="AR343" s="352"/>
      <c r="AS343" s="352"/>
      <c r="AT343" s="352"/>
      <c r="AU343" s="352"/>
      <c r="AV343" s="352"/>
      <c r="AW343" s="352"/>
      <c r="AX343" s="352"/>
      <c r="AY343" s="352"/>
      <c r="AZ343" s="352"/>
      <c r="BA343" s="352"/>
      <c r="BB343" s="352"/>
      <c r="BC343" s="352"/>
      <c r="BD343" s="352"/>
      <c r="BE343" s="352"/>
      <c r="BF343" s="352"/>
      <c r="BG343" s="352"/>
      <c r="BH343" s="352"/>
      <c r="BI343" s="352"/>
      <c r="BJ343" s="352"/>
      <c r="BK343" s="352"/>
      <c r="BL343" s="352"/>
      <c r="BM343" s="352"/>
      <c r="BN343" s="352"/>
      <c r="BO343" s="352"/>
      <c r="BP343" s="352"/>
      <c r="BQ343" s="352"/>
      <c r="BR343" s="352"/>
      <c r="BS343" s="352"/>
      <c r="BT343" s="352"/>
      <c r="BU343" s="352"/>
      <c r="BV343" s="352"/>
      <c r="BW343" s="352"/>
      <c r="BX343" s="352"/>
      <c r="BY343" s="352"/>
      <c r="BZ343" s="352"/>
      <c r="CA343" s="352"/>
      <c r="CB343" s="352"/>
      <c r="CC343" s="352"/>
      <c r="CD343" s="352"/>
      <c r="CE343" s="352"/>
      <c r="CF343" s="352"/>
      <c r="CG343" s="352"/>
      <c r="CH343" s="352"/>
      <c r="CI343" s="352"/>
      <c r="CJ343" s="352"/>
      <c r="CK343" s="352"/>
      <c r="CL343" s="352"/>
      <c r="CM343" s="352"/>
      <c r="CN343" s="352"/>
      <c r="CO343" s="352"/>
      <c r="CP343" s="352"/>
      <c r="CQ343" s="352"/>
      <c r="CR343" s="352"/>
      <c r="CS343" s="352"/>
      <c r="CT343" s="352"/>
      <c r="CU343" s="352"/>
      <c r="CV343" s="352"/>
      <c r="CW343" s="352"/>
      <c r="CX343" s="352"/>
      <c r="CY343" s="352"/>
      <c r="CZ343" s="352"/>
      <c r="DA343" s="352"/>
      <c r="DB343" s="352"/>
      <c r="DC343" s="352"/>
      <c r="DD343" s="352"/>
      <c r="DE343" s="352"/>
      <c r="DF343" s="352"/>
      <c r="DG343" s="352"/>
      <c r="DH343" s="352"/>
      <c r="DI343" s="352"/>
      <c r="DJ343" s="352"/>
      <c r="DK343" s="352"/>
      <c r="DL343" s="352"/>
      <c r="DM343" s="352"/>
      <c r="DN343" s="352"/>
      <c r="DO343" s="352"/>
      <c r="DP343" s="352"/>
      <c r="DQ343" s="352"/>
      <c r="DR343" s="352"/>
      <c r="DS343" s="352"/>
      <c r="DT343" s="352"/>
      <c r="DU343" s="352"/>
      <c r="DV343" s="352"/>
      <c r="DW343" s="352"/>
      <c r="DX343" s="352"/>
      <c r="DY343" s="352"/>
      <c r="DZ343" s="352"/>
      <c r="EA343" s="352"/>
      <c r="EB343" s="352"/>
      <c r="EC343" s="352"/>
      <c r="ED343" s="352"/>
      <c r="EE343" s="352"/>
      <c r="EF343" s="352"/>
      <c r="EG343" s="352"/>
      <c r="EH343" s="352"/>
      <c r="EI343" s="352"/>
      <c r="EJ343" s="352"/>
      <c r="EK343" s="352"/>
      <c r="EL343" s="352"/>
      <c r="EM343" s="352"/>
      <c r="EN343" s="352"/>
    </row>
    <row r="344" spans="1:144" s="169" customFormat="1" ht="20.100000000000001" customHeight="1">
      <c r="A344" s="160" t="s">
        <v>113</v>
      </c>
      <c r="B344" s="160" t="s">
        <v>547</v>
      </c>
      <c r="C344" s="161">
        <v>0</v>
      </c>
      <c r="D344" s="162">
        <f>'Sectors % GDP'!C28</f>
        <v>14486.28</v>
      </c>
      <c r="E344" s="162">
        <f t="shared" si="10"/>
        <v>0</v>
      </c>
      <c r="F344" s="165">
        <v>0</v>
      </c>
      <c r="G344" s="162">
        <v>0</v>
      </c>
      <c r="H344" s="164">
        <v>65.900000000000006</v>
      </c>
      <c r="I344" s="165">
        <v>72.86</v>
      </c>
      <c r="J344" s="165">
        <v>80.14</v>
      </c>
      <c r="K344" s="165">
        <v>34.54</v>
      </c>
      <c r="L344" s="165">
        <f t="shared" si="11"/>
        <v>5.8999999999999995</v>
      </c>
      <c r="M344" s="166">
        <v>5.8999999999999997E-2</v>
      </c>
      <c r="N344" s="166">
        <v>5.8</v>
      </c>
      <c r="O344" s="167">
        <f>'Trade Data'!B23</f>
        <v>0.3489494176436016</v>
      </c>
      <c r="P344" s="168">
        <v>0</v>
      </c>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2"/>
      <c r="BB344" s="352"/>
      <c r="BC344" s="352"/>
      <c r="BD344" s="352"/>
      <c r="BE344" s="352"/>
      <c r="BF344" s="352"/>
      <c r="BG344" s="352"/>
      <c r="BH344" s="352"/>
      <c r="BI344" s="352"/>
      <c r="BJ344" s="352"/>
      <c r="BK344" s="352"/>
      <c r="BL344" s="352"/>
      <c r="BM344" s="352"/>
      <c r="BN344" s="352"/>
      <c r="BO344" s="352"/>
      <c r="BP344" s="352"/>
      <c r="BQ344" s="352"/>
      <c r="BR344" s="352"/>
      <c r="BS344" s="352"/>
      <c r="BT344" s="352"/>
      <c r="BU344" s="352"/>
      <c r="BV344" s="352"/>
      <c r="BW344" s="352"/>
      <c r="BX344" s="352"/>
      <c r="BY344" s="352"/>
      <c r="BZ344" s="352"/>
      <c r="CA344" s="352"/>
      <c r="CB344" s="352"/>
      <c r="CC344" s="352"/>
      <c r="CD344" s="352"/>
      <c r="CE344" s="352"/>
      <c r="CF344" s="352"/>
      <c r="CG344" s="352"/>
      <c r="CH344" s="352"/>
      <c r="CI344" s="352"/>
      <c r="CJ344" s="352"/>
      <c r="CK344" s="352"/>
      <c r="CL344" s="352"/>
      <c r="CM344" s="352"/>
      <c r="CN344" s="352"/>
      <c r="CO344" s="352"/>
      <c r="CP344" s="352"/>
      <c r="CQ344" s="352"/>
      <c r="CR344" s="352"/>
      <c r="CS344" s="352"/>
      <c r="CT344" s="352"/>
      <c r="CU344" s="352"/>
      <c r="CV344" s="352"/>
      <c r="CW344" s="352"/>
      <c r="CX344" s="352"/>
      <c r="CY344" s="352"/>
      <c r="CZ344" s="352"/>
      <c r="DA344" s="352"/>
      <c r="DB344" s="352"/>
      <c r="DC344" s="352"/>
      <c r="DD344" s="352"/>
      <c r="DE344" s="352"/>
      <c r="DF344" s="352"/>
      <c r="DG344" s="352"/>
      <c r="DH344" s="352"/>
      <c r="DI344" s="352"/>
      <c r="DJ344" s="352"/>
      <c r="DK344" s="352"/>
      <c r="DL344" s="352"/>
      <c r="DM344" s="352"/>
      <c r="DN344" s="352"/>
      <c r="DO344" s="352"/>
      <c r="DP344" s="352"/>
      <c r="DQ344" s="352"/>
      <c r="DR344" s="352"/>
      <c r="DS344" s="352"/>
      <c r="DT344" s="352"/>
      <c r="DU344" s="352"/>
      <c r="DV344" s="352"/>
      <c r="DW344" s="352"/>
      <c r="DX344" s="352"/>
      <c r="DY344" s="352"/>
      <c r="DZ344" s="352"/>
      <c r="EA344" s="352"/>
      <c r="EB344" s="352"/>
      <c r="EC344" s="352"/>
      <c r="ED344" s="352"/>
      <c r="EE344" s="352"/>
      <c r="EF344" s="352"/>
      <c r="EG344" s="352"/>
      <c r="EH344" s="352"/>
      <c r="EI344" s="352"/>
      <c r="EJ344" s="352"/>
      <c r="EK344" s="352"/>
      <c r="EL344" s="352"/>
      <c r="EM344" s="352"/>
      <c r="EN344" s="352"/>
    </row>
    <row r="345" spans="1:144" s="188" customFormat="1" ht="20.100000000000001" customHeight="1">
      <c r="A345" s="179" t="s">
        <v>113</v>
      </c>
      <c r="B345" s="179" t="s">
        <v>546</v>
      </c>
      <c r="C345" s="180">
        <f>SUM('Thomson Reuters IMA  ($)'!I692:I698)-'Thomson Reuters IMA  ($)'!I695</f>
        <v>1384.91</v>
      </c>
      <c r="D345" s="181">
        <f>'Sectors % GDP'!C29</f>
        <v>73579.22</v>
      </c>
      <c r="E345" s="181">
        <f t="shared" si="10"/>
        <v>1.8822026110089235E-2</v>
      </c>
      <c r="F345" s="184">
        <v>1</v>
      </c>
      <c r="G345" s="181">
        <v>9</v>
      </c>
      <c r="H345" s="183">
        <v>65.900000000000006</v>
      </c>
      <c r="I345" s="184">
        <v>72.86</v>
      </c>
      <c r="J345" s="184">
        <v>80.14</v>
      </c>
      <c r="K345" s="184">
        <v>34.54</v>
      </c>
      <c r="L345" s="184">
        <f t="shared" si="11"/>
        <v>5.8999999999999995</v>
      </c>
      <c r="M345" s="185">
        <v>5.8999999999999997E-2</v>
      </c>
      <c r="N345" s="185">
        <v>5.8</v>
      </c>
      <c r="O345" s="186">
        <f>'Trade Data'!B23</f>
        <v>0.3489494176436016</v>
      </c>
      <c r="P345" s="187">
        <v>1</v>
      </c>
      <c r="Q345" s="352"/>
      <c r="R345" s="352"/>
      <c r="S345" s="352"/>
      <c r="T345" s="352"/>
      <c r="U345" s="352"/>
      <c r="V345" s="352"/>
      <c r="W345" s="352"/>
      <c r="X345" s="352"/>
      <c r="Y345" s="352"/>
      <c r="Z345" s="352"/>
      <c r="AA345" s="352"/>
      <c r="AB345" s="352"/>
      <c r="AC345" s="352"/>
      <c r="AD345" s="352"/>
      <c r="AE345" s="352"/>
      <c r="AF345" s="352"/>
      <c r="AG345" s="352"/>
      <c r="AH345" s="352"/>
      <c r="AI345" s="352"/>
      <c r="AJ345" s="352"/>
      <c r="AK345" s="352"/>
      <c r="AL345" s="352"/>
      <c r="AM345" s="352"/>
      <c r="AN345" s="352"/>
      <c r="AO345" s="352"/>
      <c r="AP345" s="352"/>
      <c r="AQ345" s="352"/>
      <c r="AR345" s="352"/>
      <c r="AS345" s="352"/>
      <c r="AT345" s="352"/>
      <c r="AU345" s="352"/>
      <c r="AV345" s="352"/>
      <c r="AW345" s="352"/>
      <c r="AX345" s="352"/>
      <c r="AY345" s="352"/>
      <c r="AZ345" s="352"/>
      <c r="BA345" s="352"/>
      <c r="BB345" s="352"/>
      <c r="BC345" s="352"/>
      <c r="BD345" s="352"/>
      <c r="BE345" s="352"/>
      <c r="BF345" s="352"/>
      <c r="BG345" s="352"/>
      <c r="BH345" s="352"/>
      <c r="BI345" s="352"/>
      <c r="BJ345" s="352"/>
      <c r="BK345" s="352"/>
      <c r="BL345" s="352"/>
      <c r="BM345" s="352"/>
      <c r="BN345" s="352"/>
      <c r="BO345" s="352"/>
      <c r="BP345" s="352"/>
      <c r="BQ345" s="352"/>
      <c r="BR345" s="352"/>
      <c r="BS345" s="352"/>
      <c r="BT345" s="352"/>
      <c r="BU345" s="352"/>
      <c r="BV345" s="352"/>
      <c r="BW345" s="352"/>
      <c r="BX345" s="352"/>
      <c r="BY345" s="352"/>
      <c r="BZ345" s="352"/>
      <c r="CA345" s="352"/>
      <c r="CB345" s="352"/>
      <c r="CC345" s="352"/>
      <c r="CD345" s="352"/>
      <c r="CE345" s="352"/>
      <c r="CF345" s="352"/>
      <c r="CG345" s="352"/>
      <c r="CH345" s="352"/>
      <c r="CI345" s="352"/>
      <c r="CJ345" s="352"/>
      <c r="CK345" s="352"/>
      <c r="CL345" s="352"/>
      <c r="CM345" s="352"/>
      <c r="CN345" s="352"/>
      <c r="CO345" s="352"/>
      <c r="CP345" s="352"/>
      <c r="CQ345" s="352"/>
      <c r="CR345" s="352"/>
      <c r="CS345" s="352"/>
      <c r="CT345" s="352"/>
      <c r="CU345" s="352"/>
      <c r="CV345" s="352"/>
      <c r="CW345" s="352"/>
      <c r="CX345" s="352"/>
      <c r="CY345" s="352"/>
      <c r="CZ345" s="352"/>
      <c r="DA345" s="352"/>
      <c r="DB345" s="352"/>
      <c r="DC345" s="352"/>
      <c r="DD345" s="352"/>
      <c r="DE345" s="352"/>
      <c r="DF345" s="352"/>
      <c r="DG345" s="352"/>
      <c r="DH345" s="352"/>
      <c r="DI345" s="352"/>
      <c r="DJ345" s="352"/>
      <c r="DK345" s="352"/>
      <c r="DL345" s="352"/>
      <c r="DM345" s="352"/>
      <c r="DN345" s="352"/>
      <c r="DO345" s="352"/>
      <c r="DP345" s="352"/>
      <c r="DQ345" s="352"/>
      <c r="DR345" s="352"/>
      <c r="DS345" s="352"/>
      <c r="DT345" s="352"/>
      <c r="DU345" s="352"/>
      <c r="DV345" s="352"/>
      <c r="DW345" s="352"/>
      <c r="DX345" s="352"/>
      <c r="DY345" s="352"/>
      <c r="DZ345" s="352"/>
      <c r="EA345" s="352"/>
      <c r="EB345" s="352"/>
      <c r="EC345" s="352"/>
      <c r="ED345" s="352"/>
      <c r="EE345" s="352"/>
      <c r="EF345" s="352"/>
      <c r="EG345" s="352"/>
      <c r="EH345" s="352"/>
      <c r="EI345" s="352"/>
      <c r="EJ345" s="352"/>
      <c r="EK345" s="352"/>
      <c r="EL345" s="352"/>
      <c r="EM345" s="352"/>
      <c r="EN345" s="352"/>
    </row>
    <row r="346" spans="1:144" ht="20.100000000000001" customHeight="1">
      <c r="A346" s="118" t="s">
        <v>113</v>
      </c>
      <c r="B346" s="118" t="s">
        <v>545</v>
      </c>
      <c r="C346" s="119">
        <f>'Thomson Reuters IMA  ($)'!I695</f>
        <v>12.494</v>
      </c>
      <c r="D346" s="120">
        <f>'Sectors % GDP'!C30</f>
        <v>109834.50000000001</v>
      </c>
      <c r="E346" s="120">
        <f t="shared" si="10"/>
        <v>1.1375296468778024E-4</v>
      </c>
      <c r="F346" s="123">
        <v>1</v>
      </c>
      <c r="G346" s="120">
        <v>5</v>
      </c>
      <c r="H346" s="122">
        <v>65.900000000000006</v>
      </c>
      <c r="I346" s="123">
        <v>72.86</v>
      </c>
      <c r="J346" s="123">
        <v>80.14</v>
      </c>
      <c r="K346" s="123">
        <v>34.54</v>
      </c>
      <c r="L346" s="123">
        <f t="shared" si="11"/>
        <v>5.8999999999999995</v>
      </c>
      <c r="M346" s="124">
        <v>5.8999999999999997E-2</v>
      </c>
      <c r="N346" s="124">
        <v>5.8</v>
      </c>
      <c r="O346" s="125">
        <f>'Trade Data'!B23</f>
        <v>0.3489494176436016</v>
      </c>
      <c r="P346" s="126">
        <v>1</v>
      </c>
      <c r="Q346" s="352"/>
      <c r="R346" s="352"/>
      <c r="S346" s="352"/>
      <c r="T346" s="352"/>
      <c r="U346" s="352"/>
      <c r="V346" s="352"/>
      <c r="W346" s="352"/>
      <c r="X346" s="352"/>
      <c r="Y346" s="352"/>
      <c r="Z346" s="352"/>
      <c r="AA346" s="352"/>
      <c r="AB346" s="352"/>
      <c r="AC346" s="352"/>
      <c r="AD346" s="352"/>
      <c r="AE346" s="352"/>
      <c r="AF346" s="352"/>
      <c r="AG346" s="352"/>
      <c r="AH346" s="352"/>
      <c r="AI346" s="352"/>
      <c r="AJ346" s="352"/>
      <c r="AK346" s="352"/>
      <c r="AL346" s="352"/>
      <c r="AM346" s="352"/>
      <c r="AN346" s="352"/>
      <c r="AO346" s="352"/>
      <c r="AP346" s="352"/>
      <c r="AQ346" s="352"/>
      <c r="AR346" s="352"/>
      <c r="AS346" s="352"/>
      <c r="AT346" s="352"/>
      <c r="AU346" s="352"/>
      <c r="AV346" s="352"/>
      <c r="AW346" s="352"/>
      <c r="AX346" s="352"/>
      <c r="AY346" s="352"/>
      <c r="AZ346" s="352"/>
      <c r="BA346" s="352"/>
      <c r="BB346" s="352"/>
      <c r="BC346" s="352"/>
      <c r="BD346" s="352"/>
      <c r="BE346" s="352"/>
      <c r="BF346" s="352"/>
      <c r="BG346" s="352"/>
      <c r="BH346" s="352"/>
      <c r="BI346" s="352"/>
      <c r="BJ346" s="352"/>
      <c r="BK346" s="352"/>
      <c r="BL346" s="352"/>
      <c r="BM346" s="352"/>
      <c r="BN346" s="352"/>
      <c r="BO346" s="352"/>
      <c r="BP346" s="352"/>
      <c r="BQ346" s="352"/>
      <c r="BR346" s="352"/>
      <c r="BS346" s="352"/>
      <c r="BT346" s="352"/>
      <c r="BU346" s="352"/>
      <c r="BV346" s="352"/>
      <c r="BW346" s="352"/>
      <c r="BX346" s="352"/>
      <c r="BY346" s="352"/>
      <c r="BZ346" s="352"/>
      <c r="CA346" s="352"/>
      <c r="CB346" s="352"/>
      <c r="CC346" s="352"/>
      <c r="CD346" s="352"/>
      <c r="CE346" s="352"/>
      <c r="CF346" s="352"/>
      <c r="CG346" s="352"/>
      <c r="CH346" s="352"/>
      <c r="CI346" s="352"/>
      <c r="CJ346" s="352"/>
      <c r="CK346" s="352"/>
      <c r="CL346" s="352"/>
      <c r="CM346" s="352"/>
      <c r="CN346" s="352"/>
      <c r="CO346" s="352"/>
      <c r="CP346" s="352"/>
      <c r="CQ346" s="352"/>
      <c r="CR346" s="352"/>
      <c r="CS346" s="352"/>
      <c r="CT346" s="352"/>
      <c r="CU346" s="352"/>
      <c r="CV346" s="352"/>
      <c r="CW346" s="352"/>
      <c r="CX346" s="352"/>
      <c r="CY346" s="352"/>
      <c r="CZ346" s="352"/>
      <c r="DA346" s="352"/>
      <c r="DB346" s="352"/>
      <c r="DC346" s="352"/>
      <c r="DD346" s="352"/>
      <c r="DE346" s="352"/>
      <c r="DF346" s="352"/>
      <c r="DG346" s="352"/>
      <c r="DH346" s="352"/>
      <c r="DI346" s="352"/>
      <c r="DJ346" s="352"/>
      <c r="DK346" s="352"/>
      <c r="DL346" s="352"/>
      <c r="DM346" s="352"/>
      <c r="DN346" s="352"/>
      <c r="DO346" s="352"/>
      <c r="DP346" s="352"/>
      <c r="DQ346" s="352"/>
      <c r="DR346" s="352"/>
      <c r="DS346" s="352"/>
      <c r="DT346" s="352"/>
      <c r="DU346" s="352"/>
      <c r="DV346" s="352"/>
      <c r="DW346" s="352"/>
      <c r="DX346" s="352"/>
      <c r="DY346" s="352"/>
      <c r="DZ346" s="352"/>
      <c r="EA346" s="352"/>
      <c r="EB346" s="352"/>
      <c r="EC346" s="352"/>
      <c r="ED346" s="352"/>
      <c r="EE346" s="352"/>
      <c r="EF346" s="352"/>
      <c r="EG346" s="352"/>
      <c r="EH346" s="352"/>
      <c r="EI346" s="352"/>
      <c r="EJ346" s="352"/>
      <c r="EK346" s="352"/>
      <c r="EL346" s="352"/>
      <c r="EM346" s="352"/>
      <c r="EN346" s="352"/>
    </row>
    <row r="347" spans="1:144" s="169" customFormat="1" ht="20.100000000000001" customHeight="1">
      <c r="A347" s="175" t="s">
        <v>114</v>
      </c>
      <c r="B347" s="160" t="s">
        <v>544</v>
      </c>
      <c r="C347" s="161">
        <f>'Thomson Reuters IMA  ($)'!I699</f>
        <v>0.19800000000000001</v>
      </c>
      <c r="D347" s="162">
        <f>'Sectors % GDP'!C28</f>
        <v>14486.28</v>
      </c>
      <c r="E347" s="162">
        <f t="shared" si="10"/>
        <v>1.3668105269261673E-5</v>
      </c>
      <c r="F347" s="165">
        <v>1</v>
      </c>
      <c r="G347" s="162">
        <v>1</v>
      </c>
      <c r="H347" s="164">
        <v>48.81</v>
      </c>
      <c r="I347" s="164">
        <v>31.23</v>
      </c>
      <c r="J347" s="165">
        <v>78.84</v>
      </c>
      <c r="K347" s="165">
        <v>34.54</v>
      </c>
      <c r="L347" s="165">
        <f t="shared" si="11"/>
        <v>5.8999999999999995</v>
      </c>
      <c r="M347" s="166">
        <v>5.8999999999999997E-2</v>
      </c>
      <c r="N347" s="166">
        <v>5.8</v>
      </c>
      <c r="O347" s="167">
        <f>'Trade Data'!B23</f>
        <v>0.3489494176436016</v>
      </c>
      <c r="P347" s="170">
        <v>0</v>
      </c>
      <c r="Q347" s="352"/>
      <c r="R347" s="352"/>
      <c r="S347" s="352"/>
      <c r="T347" s="352"/>
      <c r="U347" s="352"/>
      <c r="V347" s="352"/>
      <c r="W347" s="352"/>
      <c r="X347" s="352"/>
      <c r="Y347" s="352"/>
      <c r="Z347" s="352"/>
      <c r="AA347" s="352"/>
      <c r="AB347" s="352"/>
      <c r="AC347" s="352"/>
      <c r="AD347" s="352"/>
      <c r="AE347" s="352"/>
      <c r="AF347" s="352"/>
      <c r="AG347" s="352"/>
      <c r="AH347" s="352"/>
      <c r="AI347" s="352"/>
      <c r="AJ347" s="352"/>
      <c r="AK347" s="352"/>
      <c r="AL347" s="352"/>
      <c r="AM347" s="352"/>
      <c r="AN347" s="352"/>
      <c r="AO347" s="352"/>
      <c r="AP347" s="352"/>
      <c r="AQ347" s="352"/>
      <c r="AR347" s="352"/>
      <c r="AS347" s="352"/>
      <c r="AT347" s="352"/>
      <c r="AU347" s="352"/>
      <c r="AV347" s="352"/>
      <c r="AW347" s="352"/>
      <c r="AX347" s="352"/>
      <c r="AY347" s="352"/>
      <c r="AZ347" s="352"/>
      <c r="BA347" s="352"/>
      <c r="BB347" s="352"/>
      <c r="BC347" s="352"/>
      <c r="BD347" s="352"/>
      <c r="BE347" s="352"/>
      <c r="BF347" s="352"/>
      <c r="BG347" s="352"/>
      <c r="BH347" s="352"/>
      <c r="BI347" s="352"/>
      <c r="BJ347" s="352"/>
      <c r="BK347" s="352"/>
      <c r="BL347" s="352"/>
      <c r="BM347" s="352"/>
      <c r="BN347" s="352"/>
      <c r="BO347" s="352"/>
      <c r="BP347" s="352"/>
      <c r="BQ347" s="352"/>
      <c r="BR347" s="352"/>
      <c r="BS347" s="352"/>
      <c r="BT347" s="352"/>
      <c r="BU347" s="352"/>
      <c r="BV347" s="352"/>
      <c r="BW347" s="352"/>
      <c r="BX347" s="352"/>
      <c r="BY347" s="352"/>
      <c r="BZ347" s="352"/>
      <c r="CA347" s="352"/>
      <c r="CB347" s="352"/>
      <c r="CC347" s="352"/>
      <c r="CD347" s="352"/>
      <c r="CE347" s="352"/>
      <c r="CF347" s="352"/>
      <c r="CG347" s="352"/>
      <c r="CH347" s="352"/>
      <c r="CI347" s="352"/>
      <c r="CJ347" s="352"/>
      <c r="CK347" s="352"/>
      <c r="CL347" s="352"/>
      <c r="CM347" s="352"/>
      <c r="CN347" s="352"/>
      <c r="CO347" s="352"/>
      <c r="CP347" s="352"/>
      <c r="CQ347" s="352"/>
      <c r="CR347" s="352"/>
      <c r="CS347" s="352"/>
      <c r="CT347" s="352"/>
      <c r="CU347" s="352"/>
      <c r="CV347" s="352"/>
      <c r="CW347" s="352"/>
      <c r="CX347" s="352"/>
      <c r="CY347" s="352"/>
      <c r="CZ347" s="352"/>
      <c r="DA347" s="352"/>
      <c r="DB347" s="352"/>
      <c r="DC347" s="352"/>
      <c r="DD347" s="352"/>
      <c r="DE347" s="352"/>
      <c r="DF347" s="352"/>
      <c r="DG347" s="352"/>
      <c r="DH347" s="352"/>
      <c r="DI347" s="352"/>
      <c r="DJ347" s="352"/>
      <c r="DK347" s="352"/>
      <c r="DL347" s="352"/>
      <c r="DM347" s="352"/>
      <c r="DN347" s="352"/>
      <c r="DO347" s="352"/>
      <c r="DP347" s="352"/>
      <c r="DQ347" s="352"/>
      <c r="DR347" s="352"/>
      <c r="DS347" s="352"/>
      <c r="DT347" s="352"/>
      <c r="DU347" s="352"/>
      <c r="DV347" s="352"/>
      <c r="DW347" s="352"/>
      <c r="DX347" s="352"/>
      <c r="DY347" s="352"/>
      <c r="DZ347" s="352"/>
      <c r="EA347" s="352"/>
      <c r="EB347" s="352"/>
      <c r="EC347" s="352"/>
      <c r="ED347" s="352"/>
      <c r="EE347" s="352"/>
      <c r="EF347" s="352"/>
      <c r="EG347" s="352"/>
      <c r="EH347" s="352"/>
      <c r="EI347" s="352"/>
      <c r="EJ347" s="352"/>
      <c r="EK347" s="352"/>
      <c r="EL347" s="352"/>
      <c r="EM347" s="352"/>
      <c r="EN347" s="352"/>
    </row>
    <row r="348" spans="1:144" s="188" customFormat="1" ht="20.100000000000001" customHeight="1">
      <c r="A348" s="190" t="s">
        <v>114</v>
      </c>
      <c r="B348" s="179" t="s">
        <v>543</v>
      </c>
      <c r="C348" s="180">
        <f>'Thomson Reuters IMA  ($)'!I700+'Thomson Reuters IMA  ($)'!I701+'Thomson Reuters IMA  ($)'!I702</f>
        <v>11.202</v>
      </c>
      <c r="D348" s="181">
        <f>'Sectors % GDP'!C29</f>
        <v>73579.22</v>
      </c>
      <c r="E348" s="181">
        <f t="shared" si="10"/>
        <v>1.5224407108420013E-4</v>
      </c>
      <c r="F348" s="184">
        <v>1</v>
      </c>
      <c r="G348" s="181">
        <v>5</v>
      </c>
      <c r="H348" s="183">
        <v>48.81</v>
      </c>
      <c r="I348" s="183">
        <v>31.23</v>
      </c>
      <c r="J348" s="184">
        <v>78.84</v>
      </c>
      <c r="K348" s="184">
        <v>34.54</v>
      </c>
      <c r="L348" s="184">
        <f t="shared" si="11"/>
        <v>5.8999999999999995</v>
      </c>
      <c r="M348" s="185">
        <v>5.8999999999999997E-2</v>
      </c>
      <c r="N348" s="185">
        <v>5.8</v>
      </c>
      <c r="O348" s="186">
        <f>'Trade Data'!B23</f>
        <v>0.3489494176436016</v>
      </c>
      <c r="P348" s="189">
        <v>1</v>
      </c>
      <c r="Q348" s="352"/>
      <c r="R348" s="352"/>
      <c r="S348" s="352"/>
      <c r="T348" s="352"/>
      <c r="U348" s="352"/>
      <c r="V348" s="352"/>
      <c r="W348" s="352"/>
      <c r="X348" s="352"/>
      <c r="Y348" s="352"/>
      <c r="Z348" s="352"/>
      <c r="AA348" s="352"/>
      <c r="AB348" s="352"/>
      <c r="AC348" s="352"/>
      <c r="AD348" s="352"/>
      <c r="AE348" s="352"/>
      <c r="AF348" s="352"/>
      <c r="AG348" s="352"/>
      <c r="AH348" s="352"/>
      <c r="AI348" s="352"/>
      <c r="AJ348" s="352"/>
      <c r="AK348" s="352"/>
      <c r="AL348" s="352"/>
      <c r="AM348" s="352"/>
      <c r="AN348" s="352"/>
      <c r="AO348" s="352"/>
      <c r="AP348" s="352"/>
      <c r="AQ348" s="352"/>
      <c r="AR348" s="352"/>
      <c r="AS348" s="352"/>
      <c r="AT348" s="352"/>
      <c r="AU348" s="352"/>
      <c r="AV348" s="352"/>
      <c r="AW348" s="352"/>
      <c r="AX348" s="352"/>
      <c r="AY348" s="352"/>
      <c r="AZ348" s="352"/>
      <c r="BA348" s="352"/>
      <c r="BB348" s="352"/>
      <c r="BC348" s="352"/>
      <c r="BD348" s="352"/>
      <c r="BE348" s="352"/>
      <c r="BF348" s="352"/>
      <c r="BG348" s="352"/>
      <c r="BH348" s="352"/>
      <c r="BI348" s="352"/>
      <c r="BJ348" s="352"/>
      <c r="BK348" s="352"/>
      <c r="BL348" s="352"/>
      <c r="BM348" s="352"/>
      <c r="BN348" s="352"/>
      <c r="BO348" s="352"/>
      <c r="BP348" s="352"/>
      <c r="BQ348" s="352"/>
      <c r="BR348" s="352"/>
      <c r="BS348" s="352"/>
      <c r="BT348" s="352"/>
      <c r="BU348" s="352"/>
      <c r="BV348" s="352"/>
      <c r="BW348" s="352"/>
      <c r="BX348" s="352"/>
      <c r="BY348" s="352"/>
      <c r="BZ348" s="352"/>
      <c r="CA348" s="352"/>
      <c r="CB348" s="352"/>
      <c r="CC348" s="352"/>
      <c r="CD348" s="352"/>
      <c r="CE348" s="352"/>
      <c r="CF348" s="352"/>
      <c r="CG348" s="352"/>
      <c r="CH348" s="352"/>
      <c r="CI348" s="352"/>
      <c r="CJ348" s="352"/>
      <c r="CK348" s="352"/>
      <c r="CL348" s="352"/>
      <c r="CM348" s="352"/>
      <c r="CN348" s="352"/>
      <c r="CO348" s="352"/>
      <c r="CP348" s="352"/>
      <c r="CQ348" s="352"/>
      <c r="CR348" s="352"/>
      <c r="CS348" s="352"/>
      <c r="CT348" s="352"/>
      <c r="CU348" s="352"/>
      <c r="CV348" s="352"/>
      <c r="CW348" s="352"/>
      <c r="CX348" s="352"/>
      <c r="CY348" s="352"/>
      <c r="CZ348" s="352"/>
      <c r="DA348" s="352"/>
      <c r="DB348" s="352"/>
      <c r="DC348" s="352"/>
      <c r="DD348" s="352"/>
      <c r="DE348" s="352"/>
      <c r="DF348" s="352"/>
      <c r="DG348" s="352"/>
      <c r="DH348" s="352"/>
      <c r="DI348" s="352"/>
      <c r="DJ348" s="352"/>
      <c r="DK348" s="352"/>
      <c r="DL348" s="352"/>
      <c r="DM348" s="352"/>
      <c r="DN348" s="352"/>
      <c r="DO348" s="352"/>
      <c r="DP348" s="352"/>
      <c r="DQ348" s="352"/>
      <c r="DR348" s="352"/>
      <c r="DS348" s="352"/>
      <c r="DT348" s="352"/>
      <c r="DU348" s="352"/>
      <c r="DV348" s="352"/>
      <c r="DW348" s="352"/>
      <c r="DX348" s="352"/>
      <c r="DY348" s="352"/>
      <c r="DZ348" s="352"/>
      <c r="EA348" s="352"/>
      <c r="EB348" s="352"/>
      <c r="EC348" s="352"/>
      <c r="ED348" s="352"/>
      <c r="EE348" s="352"/>
      <c r="EF348" s="352"/>
      <c r="EG348" s="352"/>
      <c r="EH348" s="352"/>
      <c r="EI348" s="352"/>
      <c r="EJ348" s="352"/>
      <c r="EK348" s="352"/>
      <c r="EL348" s="352"/>
      <c r="EM348" s="352"/>
      <c r="EN348" s="352"/>
    </row>
    <row r="349" spans="1:144" ht="20.100000000000001" customHeight="1">
      <c r="A349" s="129" t="s">
        <v>114</v>
      </c>
      <c r="B349" s="118" t="s">
        <v>542</v>
      </c>
      <c r="C349" s="119">
        <v>0</v>
      </c>
      <c r="D349" s="120">
        <f>'Sectors % GDP'!C30</f>
        <v>109834.50000000001</v>
      </c>
      <c r="E349" s="120">
        <f t="shared" si="10"/>
        <v>0</v>
      </c>
      <c r="F349" s="123">
        <v>0</v>
      </c>
      <c r="G349" s="120">
        <v>0</v>
      </c>
      <c r="H349" s="122">
        <v>48.81</v>
      </c>
      <c r="I349" s="122">
        <v>31.23</v>
      </c>
      <c r="J349" s="123">
        <v>78.84</v>
      </c>
      <c r="K349" s="123">
        <v>34.54</v>
      </c>
      <c r="L349" s="123">
        <f t="shared" si="11"/>
        <v>5.8999999999999995</v>
      </c>
      <c r="M349" s="124">
        <v>5.8999999999999997E-2</v>
      </c>
      <c r="N349" s="124">
        <v>5.8</v>
      </c>
      <c r="O349" s="125">
        <f>'Trade Data'!B23</f>
        <v>0.3489494176436016</v>
      </c>
      <c r="P349" s="127">
        <v>1</v>
      </c>
      <c r="Q349" s="352"/>
      <c r="R349" s="352"/>
      <c r="S349" s="352"/>
      <c r="T349" s="352"/>
      <c r="U349" s="352"/>
      <c r="V349" s="352"/>
      <c r="W349" s="352"/>
      <c r="X349" s="352"/>
      <c r="Y349" s="352"/>
      <c r="Z349" s="352"/>
      <c r="AA349" s="352"/>
      <c r="AB349" s="352"/>
      <c r="AC349" s="352"/>
      <c r="AD349" s="352"/>
      <c r="AE349" s="352"/>
      <c r="AF349" s="352"/>
      <c r="AG349" s="352"/>
      <c r="AH349" s="352"/>
      <c r="AI349" s="352"/>
      <c r="AJ349" s="352"/>
      <c r="AK349" s="352"/>
      <c r="AL349" s="352"/>
      <c r="AM349" s="352"/>
      <c r="AN349" s="352"/>
      <c r="AO349" s="352"/>
      <c r="AP349" s="352"/>
      <c r="AQ349" s="352"/>
      <c r="AR349" s="352"/>
      <c r="AS349" s="352"/>
      <c r="AT349" s="352"/>
      <c r="AU349" s="352"/>
      <c r="AV349" s="352"/>
      <c r="AW349" s="352"/>
      <c r="AX349" s="352"/>
      <c r="AY349" s="352"/>
      <c r="AZ349" s="352"/>
      <c r="BA349" s="352"/>
      <c r="BB349" s="352"/>
      <c r="BC349" s="352"/>
      <c r="BD349" s="352"/>
      <c r="BE349" s="352"/>
      <c r="BF349" s="352"/>
      <c r="BG349" s="352"/>
      <c r="BH349" s="352"/>
      <c r="BI349" s="352"/>
      <c r="BJ349" s="352"/>
      <c r="BK349" s="352"/>
      <c r="BL349" s="352"/>
      <c r="BM349" s="352"/>
      <c r="BN349" s="352"/>
      <c r="BO349" s="352"/>
      <c r="BP349" s="352"/>
      <c r="BQ349" s="352"/>
      <c r="BR349" s="352"/>
      <c r="BS349" s="352"/>
      <c r="BT349" s="352"/>
      <c r="BU349" s="352"/>
      <c r="BV349" s="352"/>
      <c r="BW349" s="352"/>
      <c r="BX349" s="352"/>
      <c r="BY349" s="352"/>
      <c r="BZ349" s="352"/>
      <c r="CA349" s="352"/>
      <c r="CB349" s="352"/>
      <c r="CC349" s="352"/>
      <c r="CD349" s="352"/>
      <c r="CE349" s="352"/>
      <c r="CF349" s="352"/>
      <c r="CG349" s="352"/>
      <c r="CH349" s="352"/>
      <c r="CI349" s="352"/>
      <c r="CJ349" s="352"/>
      <c r="CK349" s="352"/>
      <c r="CL349" s="352"/>
      <c r="CM349" s="352"/>
      <c r="CN349" s="352"/>
      <c r="CO349" s="352"/>
      <c r="CP349" s="352"/>
      <c r="CQ349" s="352"/>
      <c r="CR349" s="352"/>
      <c r="CS349" s="352"/>
      <c r="CT349" s="352"/>
      <c r="CU349" s="352"/>
      <c r="CV349" s="352"/>
      <c r="CW349" s="352"/>
      <c r="CX349" s="352"/>
      <c r="CY349" s="352"/>
      <c r="CZ349" s="352"/>
      <c r="DA349" s="352"/>
      <c r="DB349" s="352"/>
      <c r="DC349" s="352"/>
      <c r="DD349" s="352"/>
      <c r="DE349" s="352"/>
      <c r="DF349" s="352"/>
      <c r="DG349" s="352"/>
      <c r="DH349" s="352"/>
      <c r="DI349" s="352"/>
      <c r="DJ349" s="352"/>
      <c r="DK349" s="352"/>
      <c r="DL349" s="352"/>
      <c r="DM349" s="352"/>
      <c r="DN349" s="352"/>
      <c r="DO349" s="352"/>
      <c r="DP349" s="352"/>
      <c r="DQ349" s="352"/>
      <c r="DR349" s="352"/>
      <c r="DS349" s="352"/>
      <c r="DT349" s="352"/>
      <c r="DU349" s="352"/>
      <c r="DV349" s="352"/>
      <c r="DW349" s="352"/>
      <c r="DX349" s="352"/>
      <c r="DY349" s="352"/>
      <c r="DZ349" s="352"/>
      <c r="EA349" s="352"/>
      <c r="EB349" s="352"/>
      <c r="EC349" s="352"/>
      <c r="ED349" s="352"/>
      <c r="EE349" s="352"/>
      <c r="EF349" s="352"/>
      <c r="EG349" s="352"/>
      <c r="EH349" s="352"/>
      <c r="EI349" s="352"/>
      <c r="EJ349" s="352"/>
      <c r="EK349" s="352"/>
      <c r="EL349" s="352"/>
      <c r="EM349" s="352"/>
      <c r="EN349" s="352"/>
    </row>
    <row r="350" spans="1:144" s="169" customFormat="1" ht="20.100000000000001" customHeight="1">
      <c r="A350" s="160" t="s">
        <v>115</v>
      </c>
      <c r="B350" s="160" t="s">
        <v>541</v>
      </c>
      <c r="C350" s="161">
        <v>0</v>
      </c>
      <c r="D350" s="162">
        <f>'Sectors % GDP'!C28</f>
        <v>14486.28</v>
      </c>
      <c r="E350" s="162">
        <f t="shared" si="10"/>
        <v>0</v>
      </c>
      <c r="F350" s="165">
        <v>0</v>
      </c>
      <c r="G350" s="162">
        <v>0</v>
      </c>
      <c r="H350" s="164">
        <v>60.1</v>
      </c>
      <c r="I350" s="164">
        <v>67.989999999999995</v>
      </c>
      <c r="J350" s="165">
        <v>72.400000000000006</v>
      </c>
      <c r="K350" s="165">
        <v>34.54</v>
      </c>
      <c r="L350" s="165">
        <f t="shared" si="11"/>
        <v>5.8999999999999995</v>
      </c>
      <c r="M350" s="166">
        <v>5.8999999999999997E-2</v>
      </c>
      <c r="N350" s="166">
        <v>5.8</v>
      </c>
      <c r="O350" s="167">
        <f>'Trade Data'!B23</f>
        <v>0.3489494176436016</v>
      </c>
      <c r="P350" s="168">
        <v>0</v>
      </c>
      <c r="Q350" s="352"/>
      <c r="R350" s="352"/>
      <c r="S350" s="352"/>
      <c r="T350" s="352"/>
      <c r="U350" s="352"/>
      <c r="V350" s="352"/>
      <c r="W350" s="352"/>
      <c r="X350" s="352"/>
      <c r="Y350" s="352"/>
      <c r="Z350" s="352"/>
      <c r="AA350" s="352"/>
      <c r="AB350" s="352"/>
      <c r="AC350" s="352"/>
      <c r="AD350" s="352"/>
      <c r="AE350" s="352"/>
      <c r="AF350" s="352"/>
      <c r="AG350" s="352"/>
      <c r="AH350" s="352"/>
      <c r="AI350" s="352"/>
      <c r="AJ350" s="352"/>
      <c r="AK350" s="352"/>
      <c r="AL350" s="352"/>
      <c r="AM350" s="352"/>
      <c r="AN350" s="352"/>
      <c r="AO350" s="352"/>
      <c r="AP350" s="352"/>
      <c r="AQ350" s="352"/>
      <c r="AR350" s="352"/>
      <c r="AS350" s="352"/>
      <c r="AT350" s="352"/>
      <c r="AU350" s="352"/>
      <c r="AV350" s="352"/>
      <c r="AW350" s="352"/>
      <c r="AX350" s="352"/>
      <c r="AY350" s="352"/>
      <c r="AZ350" s="352"/>
      <c r="BA350" s="352"/>
      <c r="BB350" s="352"/>
      <c r="BC350" s="352"/>
      <c r="BD350" s="352"/>
      <c r="BE350" s="352"/>
      <c r="BF350" s="352"/>
      <c r="BG350" s="352"/>
      <c r="BH350" s="352"/>
      <c r="BI350" s="352"/>
      <c r="BJ350" s="352"/>
      <c r="BK350" s="352"/>
      <c r="BL350" s="352"/>
      <c r="BM350" s="352"/>
      <c r="BN350" s="352"/>
      <c r="BO350" s="352"/>
      <c r="BP350" s="352"/>
      <c r="BQ350" s="352"/>
      <c r="BR350" s="352"/>
      <c r="BS350" s="352"/>
      <c r="BT350" s="352"/>
      <c r="BU350" s="352"/>
      <c r="BV350" s="352"/>
      <c r="BW350" s="352"/>
      <c r="BX350" s="352"/>
      <c r="BY350" s="352"/>
      <c r="BZ350" s="352"/>
      <c r="CA350" s="352"/>
      <c r="CB350" s="352"/>
      <c r="CC350" s="352"/>
      <c r="CD350" s="352"/>
      <c r="CE350" s="352"/>
      <c r="CF350" s="352"/>
      <c r="CG350" s="352"/>
      <c r="CH350" s="352"/>
      <c r="CI350" s="352"/>
      <c r="CJ350" s="352"/>
      <c r="CK350" s="352"/>
      <c r="CL350" s="352"/>
      <c r="CM350" s="352"/>
      <c r="CN350" s="352"/>
      <c r="CO350" s="352"/>
      <c r="CP350" s="352"/>
      <c r="CQ350" s="352"/>
      <c r="CR350" s="352"/>
      <c r="CS350" s="352"/>
      <c r="CT350" s="352"/>
      <c r="CU350" s="352"/>
      <c r="CV350" s="352"/>
      <c r="CW350" s="352"/>
      <c r="CX350" s="352"/>
      <c r="CY350" s="352"/>
      <c r="CZ350" s="352"/>
      <c r="DA350" s="352"/>
      <c r="DB350" s="352"/>
      <c r="DC350" s="352"/>
      <c r="DD350" s="352"/>
      <c r="DE350" s="352"/>
      <c r="DF350" s="352"/>
      <c r="DG350" s="352"/>
      <c r="DH350" s="352"/>
      <c r="DI350" s="352"/>
      <c r="DJ350" s="352"/>
      <c r="DK350" s="352"/>
      <c r="DL350" s="352"/>
      <c r="DM350" s="352"/>
      <c r="DN350" s="352"/>
      <c r="DO350" s="352"/>
      <c r="DP350" s="352"/>
      <c r="DQ350" s="352"/>
      <c r="DR350" s="352"/>
      <c r="DS350" s="352"/>
      <c r="DT350" s="352"/>
      <c r="DU350" s="352"/>
      <c r="DV350" s="352"/>
      <c r="DW350" s="352"/>
      <c r="DX350" s="352"/>
      <c r="DY350" s="352"/>
      <c r="DZ350" s="352"/>
      <c r="EA350" s="352"/>
      <c r="EB350" s="352"/>
      <c r="EC350" s="352"/>
      <c r="ED350" s="352"/>
      <c r="EE350" s="352"/>
      <c r="EF350" s="352"/>
      <c r="EG350" s="352"/>
      <c r="EH350" s="352"/>
      <c r="EI350" s="352"/>
      <c r="EJ350" s="352"/>
      <c r="EK350" s="352"/>
      <c r="EL350" s="352"/>
      <c r="EM350" s="352"/>
      <c r="EN350" s="352"/>
    </row>
    <row r="351" spans="1:144" s="188" customFormat="1" ht="20.100000000000001" customHeight="1">
      <c r="A351" s="179" t="s">
        <v>115</v>
      </c>
      <c r="B351" s="179" t="s">
        <v>540</v>
      </c>
      <c r="C351" s="180">
        <f>'Thomson Reuters IMA  ($)'!I703+'Thomson Reuters IMA  ($)'!I704+'Thomson Reuters IMA  ($)'!I705+'Thomson Reuters IMA  ($)'!I706</f>
        <v>2611.395</v>
      </c>
      <c r="D351" s="181">
        <f>'Sectors % GDP'!C29</f>
        <v>73579.22</v>
      </c>
      <c r="E351" s="181">
        <f t="shared" si="10"/>
        <v>3.5490930727452671E-2</v>
      </c>
      <c r="F351" s="184">
        <v>1</v>
      </c>
      <c r="G351" s="181">
        <v>5</v>
      </c>
      <c r="H351" s="183">
        <v>60.1</v>
      </c>
      <c r="I351" s="183">
        <v>67.989999999999995</v>
      </c>
      <c r="J351" s="184">
        <v>72.400000000000006</v>
      </c>
      <c r="K351" s="184">
        <v>34.54</v>
      </c>
      <c r="L351" s="184">
        <f t="shared" si="11"/>
        <v>5.8999999999999995</v>
      </c>
      <c r="M351" s="185">
        <v>5.8999999999999997E-2</v>
      </c>
      <c r="N351" s="185">
        <v>5.8</v>
      </c>
      <c r="O351" s="186">
        <f>'Trade Data'!B23</f>
        <v>0.3489494176436016</v>
      </c>
      <c r="P351" s="187">
        <v>1</v>
      </c>
      <c r="Q351" s="352"/>
      <c r="R351" s="352"/>
      <c r="S351" s="352"/>
      <c r="T351" s="352"/>
      <c r="U351" s="352"/>
      <c r="V351" s="352"/>
      <c r="W351" s="352"/>
      <c r="X351" s="352"/>
      <c r="Y351" s="352"/>
      <c r="Z351" s="352"/>
      <c r="AA351" s="352"/>
      <c r="AB351" s="352"/>
      <c r="AC351" s="352"/>
      <c r="AD351" s="352"/>
      <c r="AE351" s="352"/>
      <c r="AF351" s="352"/>
      <c r="AG351" s="352"/>
      <c r="AH351" s="352"/>
      <c r="AI351" s="352"/>
      <c r="AJ351" s="352"/>
      <c r="AK351" s="352"/>
      <c r="AL351" s="352"/>
      <c r="AM351" s="352"/>
      <c r="AN351" s="352"/>
      <c r="AO351" s="352"/>
      <c r="AP351" s="352"/>
      <c r="AQ351" s="352"/>
      <c r="AR351" s="352"/>
      <c r="AS351" s="352"/>
      <c r="AT351" s="352"/>
      <c r="AU351" s="352"/>
      <c r="AV351" s="352"/>
      <c r="AW351" s="352"/>
      <c r="AX351" s="352"/>
      <c r="AY351" s="352"/>
      <c r="AZ351" s="352"/>
      <c r="BA351" s="352"/>
      <c r="BB351" s="352"/>
      <c r="BC351" s="352"/>
      <c r="BD351" s="352"/>
      <c r="BE351" s="352"/>
      <c r="BF351" s="352"/>
      <c r="BG351" s="352"/>
      <c r="BH351" s="352"/>
      <c r="BI351" s="352"/>
      <c r="BJ351" s="352"/>
      <c r="BK351" s="352"/>
      <c r="BL351" s="352"/>
      <c r="BM351" s="352"/>
      <c r="BN351" s="352"/>
      <c r="BO351" s="352"/>
      <c r="BP351" s="352"/>
      <c r="BQ351" s="352"/>
      <c r="BR351" s="352"/>
      <c r="BS351" s="352"/>
      <c r="BT351" s="352"/>
      <c r="BU351" s="352"/>
      <c r="BV351" s="352"/>
      <c r="BW351" s="352"/>
      <c r="BX351" s="352"/>
      <c r="BY351" s="352"/>
      <c r="BZ351" s="352"/>
      <c r="CA351" s="352"/>
      <c r="CB351" s="352"/>
      <c r="CC351" s="352"/>
      <c r="CD351" s="352"/>
      <c r="CE351" s="352"/>
      <c r="CF351" s="352"/>
      <c r="CG351" s="352"/>
      <c r="CH351" s="352"/>
      <c r="CI351" s="352"/>
      <c r="CJ351" s="352"/>
      <c r="CK351" s="352"/>
      <c r="CL351" s="352"/>
      <c r="CM351" s="352"/>
      <c r="CN351" s="352"/>
      <c r="CO351" s="352"/>
      <c r="CP351" s="352"/>
      <c r="CQ351" s="352"/>
      <c r="CR351" s="352"/>
      <c r="CS351" s="352"/>
      <c r="CT351" s="352"/>
      <c r="CU351" s="352"/>
      <c r="CV351" s="352"/>
      <c r="CW351" s="352"/>
      <c r="CX351" s="352"/>
      <c r="CY351" s="352"/>
      <c r="CZ351" s="352"/>
      <c r="DA351" s="352"/>
      <c r="DB351" s="352"/>
      <c r="DC351" s="352"/>
      <c r="DD351" s="352"/>
      <c r="DE351" s="352"/>
      <c r="DF351" s="352"/>
      <c r="DG351" s="352"/>
      <c r="DH351" s="352"/>
      <c r="DI351" s="352"/>
      <c r="DJ351" s="352"/>
      <c r="DK351" s="352"/>
      <c r="DL351" s="352"/>
      <c r="DM351" s="352"/>
      <c r="DN351" s="352"/>
      <c r="DO351" s="352"/>
      <c r="DP351" s="352"/>
      <c r="DQ351" s="352"/>
      <c r="DR351" s="352"/>
      <c r="DS351" s="352"/>
      <c r="DT351" s="352"/>
      <c r="DU351" s="352"/>
      <c r="DV351" s="352"/>
      <c r="DW351" s="352"/>
      <c r="DX351" s="352"/>
      <c r="DY351" s="352"/>
      <c r="DZ351" s="352"/>
      <c r="EA351" s="352"/>
      <c r="EB351" s="352"/>
      <c r="EC351" s="352"/>
      <c r="ED351" s="352"/>
      <c r="EE351" s="352"/>
      <c r="EF351" s="352"/>
      <c r="EG351" s="352"/>
      <c r="EH351" s="352"/>
      <c r="EI351" s="352"/>
      <c r="EJ351" s="352"/>
      <c r="EK351" s="352"/>
      <c r="EL351" s="352"/>
      <c r="EM351" s="352"/>
      <c r="EN351" s="352"/>
    </row>
    <row r="352" spans="1:144" ht="20.100000000000001" customHeight="1">
      <c r="A352" s="118" t="s">
        <v>115</v>
      </c>
      <c r="B352" s="118" t="s">
        <v>539</v>
      </c>
      <c r="C352" s="119">
        <v>0</v>
      </c>
      <c r="D352" s="120">
        <f>'Sectors % GDP'!C30</f>
        <v>109834.50000000001</v>
      </c>
      <c r="E352" s="120">
        <f t="shared" si="10"/>
        <v>0</v>
      </c>
      <c r="F352" s="123">
        <v>1</v>
      </c>
      <c r="G352" s="120">
        <v>1</v>
      </c>
      <c r="H352" s="122">
        <v>60.1</v>
      </c>
      <c r="I352" s="122">
        <v>67.989999999999995</v>
      </c>
      <c r="J352" s="123">
        <v>72.400000000000006</v>
      </c>
      <c r="K352" s="123">
        <v>34.54</v>
      </c>
      <c r="L352" s="123">
        <f t="shared" si="11"/>
        <v>5.8999999999999995</v>
      </c>
      <c r="M352" s="124">
        <v>5.8999999999999997E-2</v>
      </c>
      <c r="N352" s="124">
        <v>5.8</v>
      </c>
      <c r="O352" s="125">
        <f>'Trade Data'!B23</f>
        <v>0.3489494176436016</v>
      </c>
      <c r="P352" s="126">
        <v>1</v>
      </c>
      <c r="Q352" s="352"/>
      <c r="R352" s="352"/>
      <c r="S352" s="352"/>
      <c r="T352" s="352"/>
      <c r="U352" s="352"/>
      <c r="V352" s="352"/>
      <c r="W352" s="352"/>
      <c r="X352" s="352"/>
      <c r="Y352" s="352"/>
      <c r="Z352" s="352"/>
      <c r="AA352" s="352"/>
      <c r="AB352" s="352"/>
      <c r="AC352" s="352"/>
      <c r="AD352" s="352"/>
      <c r="AE352" s="352"/>
      <c r="AF352" s="352"/>
      <c r="AG352" s="352"/>
      <c r="AH352" s="352"/>
      <c r="AI352" s="352"/>
      <c r="AJ352" s="352"/>
      <c r="AK352" s="352"/>
      <c r="AL352" s="352"/>
      <c r="AM352" s="352"/>
      <c r="AN352" s="352"/>
      <c r="AO352" s="352"/>
      <c r="AP352" s="352"/>
      <c r="AQ352" s="352"/>
      <c r="AR352" s="352"/>
      <c r="AS352" s="352"/>
      <c r="AT352" s="352"/>
      <c r="AU352" s="352"/>
      <c r="AV352" s="352"/>
      <c r="AW352" s="352"/>
      <c r="AX352" s="352"/>
      <c r="AY352" s="352"/>
      <c r="AZ352" s="352"/>
      <c r="BA352" s="352"/>
      <c r="BB352" s="352"/>
      <c r="BC352" s="352"/>
      <c r="BD352" s="352"/>
      <c r="BE352" s="352"/>
      <c r="BF352" s="352"/>
      <c r="BG352" s="352"/>
      <c r="BH352" s="352"/>
      <c r="BI352" s="352"/>
      <c r="BJ352" s="352"/>
      <c r="BK352" s="352"/>
      <c r="BL352" s="352"/>
      <c r="BM352" s="352"/>
      <c r="BN352" s="352"/>
      <c r="BO352" s="352"/>
      <c r="BP352" s="352"/>
      <c r="BQ352" s="352"/>
      <c r="BR352" s="352"/>
      <c r="BS352" s="352"/>
      <c r="BT352" s="352"/>
      <c r="BU352" s="352"/>
      <c r="BV352" s="352"/>
      <c r="BW352" s="352"/>
      <c r="BX352" s="352"/>
      <c r="BY352" s="352"/>
      <c r="BZ352" s="352"/>
      <c r="CA352" s="352"/>
      <c r="CB352" s="352"/>
      <c r="CC352" s="352"/>
      <c r="CD352" s="352"/>
      <c r="CE352" s="352"/>
      <c r="CF352" s="352"/>
      <c r="CG352" s="352"/>
      <c r="CH352" s="352"/>
      <c r="CI352" s="352"/>
      <c r="CJ352" s="352"/>
      <c r="CK352" s="352"/>
      <c r="CL352" s="352"/>
      <c r="CM352" s="352"/>
      <c r="CN352" s="352"/>
      <c r="CO352" s="352"/>
      <c r="CP352" s="352"/>
      <c r="CQ352" s="352"/>
      <c r="CR352" s="352"/>
      <c r="CS352" s="352"/>
      <c r="CT352" s="352"/>
      <c r="CU352" s="352"/>
      <c r="CV352" s="352"/>
      <c r="CW352" s="352"/>
      <c r="CX352" s="352"/>
      <c r="CY352" s="352"/>
      <c r="CZ352" s="352"/>
      <c r="DA352" s="352"/>
      <c r="DB352" s="352"/>
      <c r="DC352" s="352"/>
      <c r="DD352" s="352"/>
      <c r="DE352" s="352"/>
      <c r="DF352" s="352"/>
      <c r="DG352" s="352"/>
      <c r="DH352" s="352"/>
      <c r="DI352" s="352"/>
      <c r="DJ352" s="352"/>
      <c r="DK352" s="352"/>
      <c r="DL352" s="352"/>
      <c r="DM352" s="352"/>
      <c r="DN352" s="352"/>
      <c r="DO352" s="352"/>
      <c r="DP352" s="352"/>
      <c r="DQ352" s="352"/>
      <c r="DR352" s="352"/>
      <c r="DS352" s="352"/>
      <c r="DT352" s="352"/>
      <c r="DU352" s="352"/>
      <c r="DV352" s="352"/>
      <c r="DW352" s="352"/>
      <c r="DX352" s="352"/>
      <c r="DY352" s="352"/>
      <c r="DZ352" s="352"/>
      <c r="EA352" s="352"/>
      <c r="EB352" s="352"/>
      <c r="EC352" s="352"/>
      <c r="ED352" s="352"/>
      <c r="EE352" s="352"/>
      <c r="EF352" s="352"/>
      <c r="EG352" s="352"/>
      <c r="EH352" s="352"/>
      <c r="EI352" s="352"/>
      <c r="EJ352" s="352"/>
      <c r="EK352" s="352"/>
      <c r="EL352" s="352"/>
      <c r="EM352" s="352"/>
      <c r="EN352" s="352"/>
    </row>
    <row r="353" spans="1:144" s="169" customFormat="1" ht="20.100000000000001" customHeight="1">
      <c r="A353" s="160" t="s">
        <v>116</v>
      </c>
      <c r="B353" s="160" t="s">
        <v>538</v>
      </c>
      <c r="C353" s="161">
        <v>0</v>
      </c>
      <c r="D353" s="162">
        <f>'Sectors % GDP'!E28</f>
        <v>15171.57</v>
      </c>
      <c r="E353" s="162">
        <f t="shared" si="10"/>
        <v>0</v>
      </c>
      <c r="F353" s="165">
        <v>0</v>
      </c>
      <c r="G353" s="162">
        <v>0</v>
      </c>
      <c r="H353" s="164">
        <v>56.92</v>
      </c>
      <c r="I353" s="164">
        <v>63.64</v>
      </c>
      <c r="J353" s="165">
        <v>69.930000000000007</v>
      </c>
      <c r="K353" s="165">
        <v>34.54</v>
      </c>
      <c r="L353" s="165">
        <f t="shared" si="11"/>
        <v>5.8999999999999995</v>
      </c>
      <c r="M353" s="166">
        <v>5.8999999999999997E-2</v>
      </c>
      <c r="N353" s="166">
        <v>5.8</v>
      </c>
      <c r="O353" s="167">
        <f>'Trade Data'!B23</f>
        <v>0.3489494176436016</v>
      </c>
      <c r="P353" s="170">
        <v>0</v>
      </c>
      <c r="Q353" s="352"/>
      <c r="R353" s="352"/>
      <c r="S353" s="352"/>
      <c r="T353" s="352"/>
      <c r="U353" s="352"/>
      <c r="V353" s="352"/>
      <c r="W353" s="352"/>
      <c r="X353" s="352"/>
      <c r="Y353" s="352"/>
      <c r="Z353" s="352"/>
      <c r="AA353" s="352"/>
      <c r="AB353" s="352"/>
      <c r="AC353" s="352"/>
      <c r="AD353" s="352"/>
      <c r="AE353" s="352"/>
      <c r="AF353" s="352"/>
      <c r="AG353" s="352"/>
      <c r="AH353" s="352"/>
      <c r="AI353" s="352"/>
      <c r="AJ353" s="352"/>
      <c r="AK353" s="352"/>
      <c r="AL353" s="352"/>
      <c r="AM353" s="352"/>
      <c r="AN353" s="352"/>
      <c r="AO353" s="352"/>
      <c r="AP353" s="352"/>
      <c r="AQ353" s="352"/>
      <c r="AR353" s="352"/>
      <c r="AS353" s="352"/>
      <c r="AT353" s="352"/>
      <c r="AU353" s="352"/>
      <c r="AV353" s="352"/>
      <c r="AW353" s="352"/>
      <c r="AX353" s="352"/>
      <c r="AY353" s="352"/>
      <c r="AZ353" s="352"/>
      <c r="BA353" s="352"/>
      <c r="BB353" s="352"/>
      <c r="BC353" s="352"/>
      <c r="BD353" s="352"/>
      <c r="BE353" s="352"/>
      <c r="BF353" s="352"/>
      <c r="BG353" s="352"/>
      <c r="BH353" s="352"/>
      <c r="BI353" s="352"/>
      <c r="BJ353" s="352"/>
      <c r="BK353" s="352"/>
      <c r="BL353" s="352"/>
      <c r="BM353" s="352"/>
      <c r="BN353" s="352"/>
      <c r="BO353" s="352"/>
      <c r="BP353" s="352"/>
      <c r="BQ353" s="352"/>
      <c r="BR353" s="352"/>
      <c r="BS353" s="352"/>
      <c r="BT353" s="352"/>
      <c r="BU353" s="352"/>
      <c r="BV353" s="352"/>
      <c r="BW353" s="352"/>
      <c r="BX353" s="352"/>
      <c r="BY353" s="352"/>
      <c r="BZ353" s="352"/>
      <c r="CA353" s="352"/>
      <c r="CB353" s="352"/>
      <c r="CC353" s="352"/>
      <c r="CD353" s="352"/>
      <c r="CE353" s="352"/>
      <c r="CF353" s="352"/>
      <c r="CG353" s="352"/>
      <c r="CH353" s="352"/>
      <c r="CI353" s="352"/>
      <c r="CJ353" s="352"/>
      <c r="CK353" s="352"/>
      <c r="CL353" s="352"/>
      <c r="CM353" s="352"/>
      <c r="CN353" s="352"/>
      <c r="CO353" s="352"/>
      <c r="CP353" s="352"/>
      <c r="CQ353" s="352"/>
      <c r="CR353" s="352"/>
      <c r="CS353" s="352"/>
      <c r="CT353" s="352"/>
      <c r="CU353" s="352"/>
      <c r="CV353" s="352"/>
      <c r="CW353" s="352"/>
      <c r="CX353" s="352"/>
      <c r="CY353" s="352"/>
      <c r="CZ353" s="352"/>
      <c r="DA353" s="352"/>
      <c r="DB353" s="352"/>
      <c r="DC353" s="352"/>
      <c r="DD353" s="352"/>
      <c r="DE353" s="352"/>
      <c r="DF353" s="352"/>
      <c r="DG353" s="352"/>
      <c r="DH353" s="352"/>
      <c r="DI353" s="352"/>
      <c r="DJ353" s="352"/>
      <c r="DK353" s="352"/>
      <c r="DL353" s="352"/>
      <c r="DM353" s="352"/>
      <c r="DN353" s="352"/>
      <c r="DO353" s="352"/>
      <c r="DP353" s="352"/>
      <c r="DQ353" s="352"/>
      <c r="DR353" s="352"/>
      <c r="DS353" s="352"/>
      <c r="DT353" s="352"/>
      <c r="DU353" s="352"/>
      <c r="DV353" s="352"/>
      <c r="DW353" s="352"/>
      <c r="DX353" s="352"/>
      <c r="DY353" s="352"/>
      <c r="DZ353" s="352"/>
      <c r="EA353" s="352"/>
      <c r="EB353" s="352"/>
      <c r="EC353" s="352"/>
      <c r="ED353" s="352"/>
      <c r="EE353" s="352"/>
      <c r="EF353" s="352"/>
      <c r="EG353" s="352"/>
      <c r="EH353" s="352"/>
      <c r="EI353" s="352"/>
      <c r="EJ353" s="352"/>
      <c r="EK353" s="352"/>
      <c r="EL353" s="352"/>
      <c r="EM353" s="352"/>
      <c r="EN353" s="352"/>
    </row>
    <row r="354" spans="1:144" s="188" customFormat="1" ht="20.100000000000001" customHeight="1">
      <c r="A354" s="179" t="s">
        <v>116</v>
      </c>
      <c r="B354" s="179" t="s">
        <v>537</v>
      </c>
      <c r="C354" s="180">
        <f>SUM('Thomson Reuters IMA  ($)'!I707:I711)</f>
        <v>1345.135</v>
      </c>
      <c r="D354" s="181">
        <f>'Sectors % GDP'!E29</f>
        <v>70719.42</v>
      </c>
      <c r="E354" s="181">
        <f t="shared" si="10"/>
        <v>1.9020730090829364E-2</v>
      </c>
      <c r="F354" s="184">
        <v>1</v>
      </c>
      <c r="G354" s="181">
        <v>6</v>
      </c>
      <c r="H354" s="183">
        <v>56.92</v>
      </c>
      <c r="I354" s="183">
        <v>63.64</v>
      </c>
      <c r="J354" s="184">
        <v>69.930000000000007</v>
      </c>
      <c r="K354" s="184">
        <v>34.54</v>
      </c>
      <c r="L354" s="184">
        <f t="shared" si="11"/>
        <v>5.8999999999999995</v>
      </c>
      <c r="M354" s="185">
        <v>5.8999999999999997E-2</v>
      </c>
      <c r="N354" s="185">
        <v>5.8</v>
      </c>
      <c r="O354" s="186">
        <f>'Trade Data'!B23</f>
        <v>0.3489494176436016</v>
      </c>
      <c r="P354" s="189">
        <v>1</v>
      </c>
      <c r="Q354" s="352"/>
      <c r="R354" s="352"/>
      <c r="S354" s="352"/>
      <c r="T354" s="352"/>
      <c r="U354" s="352"/>
      <c r="V354" s="352"/>
      <c r="W354" s="352"/>
      <c r="X354" s="352"/>
      <c r="Y354" s="352"/>
      <c r="Z354" s="352"/>
      <c r="AA354" s="352"/>
      <c r="AB354" s="352"/>
      <c r="AC354" s="352"/>
      <c r="AD354" s="352"/>
      <c r="AE354" s="352"/>
      <c r="AF354" s="352"/>
      <c r="AG354" s="352"/>
      <c r="AH354" s="352"/>
      <c r="AI354" s="352"/>
      <c r="AJ354" s="352"/>
      <c r="AK354" s="352"/>
      <c r="AL354" s="352"/>
      <c r="AM354" s="352"/>
      <c r="AN354" s="352"/>
      <c r="AO354" s="352"/>
      <c r="AP354" s="352"/>
      <c r="AQ354" s="352"/>
      <c r="AR354" s="352"/>
      <c r="AS354" s="352"/>
      <c r="AT354" s="352"/>
      <c r="AU354" s="352"/>
      <c r="AV354" s="352"/>
      <c r="AW354" s="352"/>
      <c r="AX354" s="352"/>
      <c r="AY354" s="352"/>
      <c r="AZ354" s="352"/>
      <c r="BA354" s="352"/>
      <c r="BB354" s="352"/>
      <c r="BC354" s="352"/>
      <c r="BD354" s="352"/>
      <c r="BE354" s="352"/>
      <c r="BF354" s="352"/>
      <c r="BG354" s="352"/>
      <c r="BH354" s="352"/>
      <c r="BI354" s="352"/>
      <c r="BJ354" s="352"/>
      <c r="BK354" s="352"/>
      <c r="BL354" s="352"/>
      <c r="BM354" s="352"/>
      <c r="BN354" s="352"/>
      <c r="BO354" s="352"/>
      <c r="BP354" s="352"/>
      <c r="BQ354" s="352"/>
      <c r="BR354" s="352"/>
      <c r="BS354" s="352"/>
      <c r="BT354" s="352"/>
      <c r="BU354" s="352"/>
      <c r="BV354" s="352"/>
      <c r="BW354" s="352"/>
      <c r="BX354" s="352"/>
      <c r="BY354" s="352"/>
      <c r="BZ354" s="352"/>
      <c r="CA354" s="352"/>
      <c r="CB354" s="352"/>
      <c r="CC354" s="352"/>
      <c r="CD354" s="352"/>
      <c r="CE354" s="352"/>
      <c r="CF354" s="352"/>
      <c r="CG354" s="352"/>
      <c r="CH354" s="352"/>
      <c r="CI354" s="352"/>
      <c r="CJ354" s="352"/>
      <c r="CK354" s="352"/>
      <c r="CL354" s="352"/>
      <c r="CM354" s="352"/>
      <c r="CN354" s="352"/>
      <c r="CO354" s="352"/>
      <c r="CP354" s="352"/>
      <c r="CQ354" s="352"/>
      <c r="CR354" s="352"/>
      <c r="CS354" s="352"/>
      <c r="CT354" s="352"/>
      <c r="CU354" s="352"/>
      <c r="CV354" s="352"/>
      <c r="CW354" s="352"/>
      <c r="CX354" s="352"/>
      <c r="CY354" s="352"/>
      <c r="CZ354" s="352"/>
      <c r="DA354" s="352"/>
      <c r="DB354" s="352"/>
      <c r="DC354" s="352"/>
      <c r="DD354" s="352"/>
      <c r="DE354" s="352"/>
      <c r="DF354" s="352"/>
      <c r="DG354" s="352"/>
      <c r="DH354" s="352"/>
      <c r="DI354" s="352"/>
      <c r="DJ354" s="352"/>
      <c r="DK354" s="352"/>
      <c r="DL354" s="352"/>
      <c r="DM354" s="352"/>
      <c r="DN354" s="352"/>
      <c r="DO354" s="352"/>
      <c r="DP354" s="352"/>
      <c r="DQ354" s="352"/>
      <c r="DR354" s="352"/>
      <c r="DS354" s="352"/>
      <c r="DT354" s="352"/>
      <c r="DU354" s="352"/>
      <c r="DV354" s="352"/>
      <c r="DW354" s="352"/>
      <c r="DX354" s="352"/>
      <c r="DY354" s="352"/>
      <c r="DZ354" s="352"/>
      <c r="EA354" s="352"/>
      <c r="EB354" s="352"/>
      <c r="EC354" s="352"/>
      <c r="ED354" s="352"/>
      <c r="EE354" s="352"/>
      <c r="EF354" s="352"/>
      <c r="EG354" s="352"/>
      <c r="EH354" s="352"/>
      <c r="EI354" s="352"/>
      <c r="EJ354" s="352"/>
      <c r="EK354" s="352"/>
      <c r="EL354" s="352"/>
      <c r="EM354" s="352"/>
      <c r="EN354" s="352"/>
    </row>
    <row r="355" spans="1:144" ht="20.100000000000001" customHeight="1">
      <c r="A355" s="118" t="s">
        <v>116</v>
      </c>
      <c r="B355" s="118" t="s">
        <v>536</v>
      </c>
      <c r="C355" s="119">
        <v>0</v>
      </c>
      <c r="D355" s="120">
        <f>'Sectors % GDP'!E30</f>
        <v>117209.01</v>
      </c>
      <c r="E355" s="120">
        <f t="shared" si="10"/>
        <v>0</v>
      </c>
      <c r="F355" s="123">
        <v>1</v>
      </c>
      <c r="G355" s="120">
        <v>2</v>
      </c>
      <c r="H355" s="122">
        <v>56.92</v>
      </c>
      <c r="I355" s="122">
        <v>63.64</v>
      </c>
      <c r="J355" s="123">
        <v>69.930000000000007</v>
      </c>
      <c r="K355" s="123">
        <v>34.54</v>
      </c>
      <c r="L355" s="123">
        <f t="shared" si="11"/>
        <v>5.8999999999999995</v>
      </c>
      <c r="M355" s="124">
        <v>5.8999999999999997E-2</v>
      </c>
      <c r="N355" s="124">
        <v>5.8</v>
      </c>
      <c r="O355" s="125">
        <f>'Trade Data'!B23</f>
        <v>0.3489494176436016</v>
      </c>
      <c r="P355" s="127">
        <v>1</v>
      </c>
      <c r="Q355" s="352"/>
      <c r="R355" s="352"/>
      <c r="S355" s="352"/>
      <c r="T355" s="352"/>
      <c r="U355" s="352"/>
      <c r="V355" s="352"/>
      <c r="W355" s="352"/>
      <c r="X355" s="352"/>
      <c r="Y355" s="352"/>
      <c r="Z355" s="352"/>
      <c r="AA355" s="352"/>
      <c r="AB355" s="352"/>
      <c r="AC355" s="352"/>
      <c r="AD355" s="352"/>
      <c r="AE355" s="352"/>
      <c r="AF355" s="352"/>
      <c r="AG355" s="352"/>
      <c r="AH355" s="352"/>
      <c r="AI355" s="352"/>
      <c r="AJ355" s="352"/>
      <c r="AK355" s="352"/>
      <c r="AL355" s="352"/>
      <c r="AM355" s="352"/>
      <c r="AN355" s="352"/>
      <c r="AO355" s="352"/>
      <c r="AP355" s="352"/>
      <c r="AQ355" s="352"/>
      <c r="AR355" s="352"/>
      <c r="AS355" s="352"/>
      <c r="AT355" s="352"/>
      <c r="AU355" s="352"/>
      <c r="AV355" s="352"/>
      <c r="AW355" s="352"/>
      <c r="AX355" s="352"/>
      <c r="AY355" s="352"/>
      <c r="AZ355" s="352"/>
      <c r="BA355" s="352"/>
      <c r="BB355" s="352"/>
      <c r="BC355" s="352"/>
      <c r="BD355" s="352"/>
      <c r="BE355" s="352"/>
      <c r="BF355" s="352"/>
      <c r="BG355" s="352"/>
      <c r="BH355" s="352"/>
      <c r="BI355" s="352"/>
      <c r="BJ355" s="352"/>
      <c r="BK355" s="352"/>
      <c r="BL355" s="352"/>
      <c r="BM355" s="352"/>
      <c r="BN355" s="352"/>
      <c r="BO355" s="352"/>
      <c r="BP355" s="352"/>
      <c r="BQ355" s="352"/>
      <c r="BR355" s="352"/>
      <c r="BS355" s="352"/>
      <c r="BT355" s="352"/>
      <c r="BU355" s="352"/>
      <c r="BV355" s="352"/>
      <c r="BW355" s="352"/>
      <c r="BX355" s="352"/>
      <c r="BY355" s="352"/>
      <c r="BZ355" s="352"/>
      <c r="CA355" s="352"/>
      <c r="CB355" s="352"/>
      <c r="CC355" s="352"/>
      <c r="CD355" s="352"/>
      <c r="CE355" s="352"/>
      <c r="CF355" s="352"/>
      <c r="CG355" s="352"/>
      <c r="CH355" s="352"/>
      <c r="CI355" s="352"/>
      <c r="CJ355" s="352"/>
      <c r="CK355" s="352"/>
      <c r="CL355" s="352"/>
      <c r="CM355" s="352"/>
      <c r="CN355" s="352"/>
      <c r="CO355" s="352"/>
      <c r="CP355" s="352"/>
      <c r="CQ355" s="352"/>
      <c r="CR355" s="352"/>
      <c r="CS355" s="352"/>
      <c r="CT355" s="352"/>
      <c r="CU355" s="352"/>
      <c r="CV355" s="352"/>
      <c r="CW355" s="352"/>
      <c r="CX355" s="352"/>
      <c r="CY355" s="352"/>
      <c r="CZ355" s="352"/>
      <c r="DA355" s="352"/>
      <c r="DB355" s="352"/>
      <c r="DC355" s="352"/>
      <c r="DD355" s="352"/>
      <c r="DE355" s="352"/>
      <c r="DF355" s="352"/>
      <c r="DG355" s="352"/>
      <c r="DH355" s="352"/>
      <c r="DI355" s="352"/>
      <c r="DJ355" s="352"/>
      <c r="DK355" s="352"/>
      <c r="DL355" s="352"/>
      <c r="DM355" s="352"/>
      <c r="DN355" s="352"/>
      <c r="DO355" s="352"/>
      <c r="DP355" s="352"/>
      <c r="DQ355" s="352"/>
      <c r="DR355" s="352"/>
      <c r="DS355" s="352"/>
      <c r="DT355" s="352"/>
      <c r="DU355" s="352"/>
      <c r="DV355" s="352"/>
      <c r="DW355" s="352"/>
      <c r="DX355" s="352"/>
      <c r="DY355" s="352"/>
      <c r="DZ355" s="352"/>
      <c r="EA355" s="352"/>
      <c r="EB355" s="352"/>
      <c r="EC355" s="352"/>
      <c r="ED355" s="352"/>
      <c r="EE355" s="352"/>
      <c r="EF355" s="352"/>
      <c r="EG355" s="352"/>
      <c r="EH355" s="352"/>
      <c r="EI355" s="352"/>
      <c r="EJ355" s="352"/>
      <c r="EK355" s="352"/>
      <c r="EL355" s="352"/>
      <c r="EM355" s="352"/>
      <c r="EN355" s="352"/>
    </row>
    <row r="356" spans="1:144" s="169" customFormat="1" ht="20.100000000000001" customHeight="1">
      <c r="A356" s="160" t="s">
        <v>117</v>
      </c>
      <c r="B356" s="160" t="s">
        <v>535</v>
      </c>
      <c r="C356" s="161">
        <v>0</v>
      </c>
      <c r="D356" s="162">
        <f>'Sectors % GDP'!E28</f>
        <v>15171.57</v>
      </c>
      <c r="E356" s="162">
        <f t="shared" si="10"/>
        <v>0</v>
      </c>
      <c r="F356" s="165">
        <v>0</v>
      </c>
      <c r="G356" s="162">
        <v>0</v>
      </c>
      <c r="H356" s="164">
        <v>55.14</v>
      </c>
      <c r="I356" s="164">
        <v>60.46</v>
      </c>
      <c r="J356" s="165">
        <v>68.400000000000006</v>
      </c>
      <c r="K356" s="165">
        <v>34.54</v>
      </c>
      <c r="L356" s="165">
        <f t="shared" si="11"/>
        <v>2.4</v>
      </c>
      <c r="M356" s="177">
        <v>2.4E-2</v>
      </c>
      <c r="N356" s="166">
        <v>5</v>
      </c>
      <c r="O356" s="167">
        <f>'Trade Data'!D23</f>
        <v>0.34040677916778361</v>
      </c>
      <c r="P356" s="168">
        <v>0</v>
      </c>
      <c r="Q356" s="352"/>
      <c r="R356" s="352"/>
      <c r="S356" s="352"/>
      <c r="T356" s="352"/>
      <c r="U356" s="352"/>
      <c r="V356" s="352"/>
      <c r="W356" s="352"/>
      <c r="X356" s="352"/>
      <c r="Y356" s="352"/>
      <c r="Z356" s="352"/>
      <c r="AA356" s="352"/>
      <c r="AB356" s="352"/>
      <c r="AC356" s="352"/>
      <c r="AD356" s="352"/>
      <c r="AE356" s="352"/>
      <c r="AF356" s="352"/>
      <c r="AG356" s="352"/>
      <c r="AH356" s="352"/>
      <c r="AI356" s="352"/>
      <c r="AJ356" s="352"/>
      <c r="AK356" s="352"/>
      <c r="AL356" s="352"/>
      <c r="AM356" s="352"/>
      <c r="AN356" s="352"/>
      <c r="AO356" s="352"/>
      <c r="AP356" s="352"/>
      <c r="AQ356" s="352"/>
      <c r="AR356" s="352"/>
      <c r="AS356" s="352"/>
      <c r="AT356" s="352"/>
      <c r="AU356" s="352"/>
      <c r="AV356" s="352"/>
      <c r="AW356" s="352"/>
      <c r="AX356" s="352"/>
      <c r="AY356" s="352"/>
      <c r="AZ356" s="352"/>
      <c r="BA356" s="352"/>
      <c r="BB356" s="352"/>
      <c r="BC356" s="352"/>
      <c r="BD356" s="352"/>
      <c r="BE356" s="352"/>
      <c r="BF356" s="352"/>
      <c r="BG356" s="352"/>
      <c r="BH356" s="352"/>
      <c r="BI356" s="352"/>
      <c r="BJ356" s="352"/>
      <c r="BK356" s="352"/>
      <c r="BL356" s="352"/>
      <c r="BM356" s="352"/>
      <c r="BN356" s="352"/>
      <c r="BO356" s="352"/>
      <c r="BP356" s="352"/>
      <c r="BQ356" s="352"/>
      <c r="BR356" s="352"/>
      <c r="BS356" s="352"/>
      <c r="BT356" s="352"/>
      <c r="BU356" s="352"/>
      <c r="BV356" s="352"/>
      <c r="BW356" s="352"/>
      <c r="BX356" s="352"/>
      <c r="BY356" s="352"/>
      <c r="BZ356" s="352"/>
      <c r="CA356" s="352"/>
      <c r="CB356" s="352"/>
      <c r="CC356" s="352"/>
      <c r="CD356" s="352"/>
      <c r="CE356" s="352"/>
      <c r="CF356" s="352"/>
      <c r="CG356" s="352"/>
      <c r="CH356" s="352"/>
      <c r="CI356" s="352"/>
      <c r="CJ356" s="352"/>
      <c r="CK356" s="352"/>
      <c r="CL356" s="352"/>
      <c r="CM356" s="352"/>
      <c r="CN356" s="352"/>
      <c r="CO356" s="352"/>
      <c r="CP356" s="352"/>
      <c r="CQ356" s="352"/>
      <c r="CR356" s="352"/>
      <c r="CS356" s="352"/>
      <c r="CT356" s="352"/>
      <c r="CU356" s="352"/>
      <c r="CV356" s="352"/>
      <c r="CW356" s="352"/>
      <c r="CX356" s="352"/>
      <c r="CY356" s="352"/>
      <c r="CZ356" s="352"/>
      <c r="DA356" s="352"/>
      <c r="DB356" s="352"/>
      <c r="DC356" s="352"/>
      <c r="DD356" s="352"/>
      <c r="DE356" s="352"/>
      <c r="DF356" s="352"/>
      <c r="DG356" s="352"/>
      <c r="DH356" s="352"/>
      <c r="DI356" s="352"/>
      <c r="DJ356" s="352"/>
      <c r="DK356" s="352"/>
      <c r="DL356" s="352"/>
      <c r="DM356" s="352"/>
      <c r="DN356" s="352"/>
      <c r="DO356" s="352"/>
      <c r="DP356" s="352"/>
      <c r="DQ356" s="352"/>
      <c r="DR356" s="352"/>
      <c r="DS356" s="352"/>
      <c r="DT356" s="352"/>
      <c r="DU356" s="352"/>
      <c r="DV356" s="352"/>
      <c r="DW356" s="352"/>
      <c r="DX356" s="352"/>
      <c r="DY356" s="352"/>
      <c r="DZ356" s="352"/>
      <c r="EA356" s="352"/>
      <c r="EB356" s="352"/>
      <c r="EC356" s="352"/>
      <c r="ED356" s="352"/>
      <c r="EE356" s="352"/>
      <c r="EF356" s="352"/>
      <c r="EG356" s="352"/>
      <c r="EH356" s="352"/>
      <c r="EI356" s="352"/>
      <c r="EJ356" s="352"/>
      <c r="EK356" s="352"/>
      <c r="EL356" s="352"/>
      <c r="EM356" s="352"/>
      <c r="EN356" s="352"/>
    </row>
    <row r="357" spans="1:144" s="188" customFormat="1" ht="20.100000000000001" customHeight="1">
      <c r="A357" s="179" t="s">
        <v>117</v>
      </c>
      <c r="B357" s="179" t="s">
        <v>534</v>
      </c>
      <c r="C357" s="180">
        <f>SUM('Thomson Reuters IMA  ($)'!I712:I717)</f>
        <v>7249.6310000000003</v>
      </c>
      <c r="D357" s="181">
        <f>'Sectors % GDP'!E29</f>
        <v>70719.42</v>
      </c>
      <c r="E357" s="181">
        <f t="shared" si="10"/>
        <v>0.10251259130801696</v>
      </c>
      <c r="F357" s="184">
        <v>1</v>
      </c>
      <c r="G357" s="181">
        <v>8</v>
      </c>
      <c r="H357" s="183">
        <v>55.14</v>
      </c>
      <c r="I357" s="183">
        <v>60.46</v>
      </c>
      <c r="J357" s="184">
        <v>68.400000000000006</v>
      </c>
      <c r="K357" s="184">
        <v>34.54</v>
      </c>
      <c r="L357" s="184">
        <f t="shared" si="11"/>
        <v>2.4</v>
      </c>
      <c r="M357" s="194">
        <v>2.4E-2</v>
      </c>
      <c r="N357" s="185">
        <v>5</v>
      </c>
      <c r="O357" s="186">
        <f>'Trade Data'!D23</f>
        <v>0.34040677916778361</v>
      </c>
      <c r="P357" s="187">
        <v>1</v>
      </c>
      <c r="Q357" s="352"/>
      <c r="R357" s="352"/>
      <c r="S357" s="352"/>
      <c r="T357" s="352"/>
      <c r="U357" s="352"/>
      <c r="V357" s="352"/>
      <c r="W357" s="352"/>
      <c r="X357" s="352"/>
      <c r="Y357" s="352"/>
      <c r="Z357" s="352"/>
      <c r="AA357" s="352"/>
      <c r="AB357" s="352"/>
      <c r="AC357" s="352"/>
      <c r="AD357" s="352"/>
      <c r="AE357" s="352"/>
      <c r="AF357" s="352"/>
      <c r="AG357" s="352"/>
      <c r="AH357" s="352"/>
      <c r="AI357" s="352"/>
      <c r="AJ357" s="352"/>
      <c r="AK357" s="352"/>
      <c r="AL357" s="352"/>
      <c r="AM357" s="352"/>
      <c r="AN357" s="352"/>
      <c r="AO357" s="352"/>
      <c r="AP357" s="352"/>
      <c r="AQ357" s="352"/>
      <c r="AR357" s="352"/>
      <c r="AS357" s="352"/>
      <c r="AT357" s="352"/>
      <c r="AU357" s="352"/>
      <c r="AV357" s="352"/>
      <c r="AW357" s="352"/>
      <c r="AX357" s="352"/>
      <c r="AY357" s="352"/>
      <c r="AZ357" s="352"/>
      <c r="BA357" s="352"/>
      <c r="BB357" s="352"/>
      <c r="BC357" s="352"/>
      <c r="BD357" s="352"/>
      <c r="BE357" s="352"/>
      <c r="BF357" s="352"/>
      <c r="BG357" s="352"/>
      <c r="BH357" s="352"/>
      <c r="BI357" s="352"/>
      <c r="BJ357" s="352"/>
      <c r="BK357" s="352"/>
      <c r="BL357" s="352"/>
      <c r="BM357" s="352"/>
      <c r="BN357" s="352"/>
      <c r="BO357" s="352"/>
      <c r="BP357" s="352"/>
      <c r="BQ357" s="352"/>
      <c r="BR357" s="352"/>
      <c r="BS357" s="352"/>
      <c r="BT357" s="352"/>
      <c r="BU357" s="352"/>
      <c r="BV357" s="352"/>
      <c r="BW357" s="352"/>
      <c r="BX357" s="352"/>
      <c r="BY357" s="352"/>
      <c r="BZ357" s="352"/>
      <c r="CA357" s="352"/>
      <c r="CB357" s="352"/>
      <c r="CC357" s="352"/>
      <c r="CD357" s="352"/>
      <c r="CE357" s="352"/>
      <c r="CF357" s="352"/>
      <c r="CG357" s="352"/>
      <c r="CH357" s="352"/>
      <c r="CI357" s="352"/>
      <c r="CJ357" s="352"/>
      <c r="CK357" s="352"/>
      <c r="CL357" s="352"/>
      <c r="CM357" s="352"/>
      <c r="CN357" s="352"/>
      <c r="CO357" s="352"/>
      <c r="CP357" s="352"/>
      <c r="CQ357" s="352"/>
      <c r="CR357" s="352"/>
      <c r="CS357" s="352"/>
      <c r="CT357" s="352"/>
      <c r="CU357" s="352"/>
      <c r="CV357" s="352"/>
      <c r="CW357" s="352"/>
      <c r="CX357" s="352"/>
      <c r="CY357" s="352"/>
      <c r="CZ357" s="352"/>
      <c r="DA357" s="352"/>
      <c r="DB357" s="352"/>
      <c r="DC357" s="352"/>
      <c r="DD357" s="352"/>
      <c r="DE357" s="352"/>
      <c r="DF357" s="352"/>
      <c r="DG357" s="352"/>
      <c r="DH357" s="352"/>
      <c r="DI357" s="352"/>
      <c r="DJ357" s="352"/>
      <c r="DK357" s="352"/>
      <c r="DL357" s="352"/>
      <c r="DM357" s="352"/>
      <c r="DN357" s="352"/>
      <c r="DO357" s="352"/>
      <c r="DP357" s="352"/>
      <c r="DQ357" s="352"/>
      <c r="DR357" s="352"/>
      <c r="DS357" s="352"/>
      <c r="DT357" s="352"/>
      <c r="DU357" s="352"/>
      <c r="DV357" s="352"/>
      <c r="DW357" s="352"/>
      <c r="DX357" s="352"/>
      <c r="DY357" s="352"/>
      <c r="DZ357" s="352"/>
      <c r="EA357" s="352"/>
      <c r="EB357" s="352"/>
      <c r="EC357" s="352"/>
      <c r="ED357" s="352"/>
      <c r="EE357" s="352"/>
      <c r="EF357" s="352"/>
      <c r="EG357" s="352"/>
      <c r="EH357" s="352"/>
      <c r="EI357" s="352"/>
      <c r="EJ357" s="352"/>
      <c r="EK357" s="352"/>
      <c r="EL357" s="352"/>
      <c r="EM357" s="352"/>
      <c r="EN357" s="352"/>
    </row>
    <row r="358" spans="1:144" ht="20.100000000000001" customHeight="1">
      <c r="A358" s="118" t="s">
        <v>117</v>
      </c>
      <c r="B358" s="118" t="s">
        <v>533</v>
      </c>
      <c r="C358" s="119">
        <v>0</v>
      </c>
      <c r="D358" s="120">
        <f>'Sectors % GDP'!E30</f>
        <v>117209.01</v>
      </c>
      <c r="E358" s="120">
        <f t="shared" si="10"/>
        <v>0</v>
      </c>
      <c r="F358" s="123">
        <v>1</v>
      </c>
      <c r="G358" s="120">
        <v>2</v>
      </c>
      <c r="H358" s="122">
        <v>55.14</v>
      </c>
      <c r="I358" s="122">
        <v>60.46</v>
      </c>
      <c r="J358" s="123">
        <v>68.400000000000006</v>
      </c>
      <c r="K358" s="123">
        <v>34.54</v>
      </c>
      <c r="L358" s="123">
        <f t="shared" si="11"/>
        <v>2.4</v>
      </c>
      <c r="M358" s="134">
        <v>2.4E-2</v>
      </c>
      <c r="N358" s="124">
        <v>5</v>
      </c>
      <c r="O358" s="125">
        <f>'Trade Data'!D23</f>
        <v>0.34040677916778361</v>
      </c>
      <c r="P358" s="126">
        <v>1</v>
      </c>
      <c r="Q358" s="352"/>
      <c r="R358" s="352"/>
      <c r="S358" s="352"/>
      <c r="T358" s="352"/>
      <c r="U358" s="352"/>
      <c r="V358" s="352"/>
      <c r="W358" s="352"/>
      <c r="X358" s="352"/>
      <c r="Y358" s="352"/>
      <c r="Z358" s="352"/>
      <c r="AA358" s="352"/>
      <c r="AB358" s="352"/>
      <c r="AC358" s="352"/>
      <c r="AD358" s="352"/>
      <c r="AE358" s="352"/>
      <c r="AF358" s="352"/>
      <c r="AG358" s="352"/>
      <c r="AH358" s="352"/>
      <c r="AI358" s="352"/>
      <c r="AJ358" s="352"/>
      <c r="AK358" s="352"/>
      <c r="AL358" s="352"/>
      <c r="AM358" s="352"/>
      <c r="AN358" s="352"/>
      <c r="AO358" s="352"/>
      <c r="AP358" s="352"/>
      <c r="AQ358" s="352"/>
      <c r="AR358" s="352"/>
      <c r="AS358" s="352"/>
      <c r="AT358" s="352"/>
      <c r="AU358" s="352"/>
      <c r="AV358" s="352"/>
      <c r="AW358" s="352"/>
      <c r="AX358" s="352"/>
      <c r="AY358" s="352"/>
      <c r="AZ358" s="352"/>
      <c r="BA358" s="352"/>
      <c r="BB358" s="352"/>
      <c r="BC358" s="352"/>
      <c r="BD358" s="352"/>
      <c r="BE358" s="352"/>
      <c r="BF358" s="352"/>
      <c r="BG358" s="352"/>
      <c r="BH358" s="352"/>
      <c r="BI358" s="352"/>
      <c r="BJ358" s="352"/>
      <c r="BK358" s="352"/>
      <c r="BL358" s="352"/>
      <c r="BM358" s="352"/>
      <c r="BN358" s="352"/>
      <c r="BO358" s="352"/>
      <c r="BP358" s="352"/>
      <c r="BQ358" s="352"/>
      <c r="BR358" s="352"/>
      <c r="BS358" s="352"/>
      <c r="BT358" s="352"/>
      <c r="BU358" s="352"/>
      <c r="BV358" s="352"/>
      <c r="BW358" s="352"/>
      <c r="BX358" s="352"/>
      <c r="BY358" s="352"/>
      <c r="BZ358" s="352"/>
      <c r="CA358" s="352"/>
      <c r="CB358" s="352"/>
      <c r="CC358" s="352"/>
      <c r="CD358" s="352"/>
      <c r="CE358" s="352"/>
      <c r="CF358" s="352"/>
      <c r="CG358" s="352"/>
      <c r="CH358" s="352"/>
      <c r="CI358" s="352"/>
      <c r="CJ358" s="352"/>
      <c r="CK358" s="352"/>
      <c r="CL358" s="352"/>
      <c r="CM358" s="352"/>
      <c r="CN358" s="352"/>
      <c r="CO358" s="352"/>
      <c r="CP358" s="352"/>
      <c r="CQ358" s="352"/>
      <c r="CR358" s="352"/>
      <c r="CS358" s="352"/>
      <c r="CT358" s="352"/>
      <c r="CU358" s="352"/>
      <c r="CV358" s="352"/>
      <c r="CW358" s="352"/>
      <c r="CX358" s="352"/>
      <c r="CY358" s="352"/>
      <c r="CZ358" s="352"/>
      <c r="DA358" s="352"/>
      <c r="DB358" s="352"/>
      <c r="DC358" s="352"/>
      <c r="DD358" s="352"/>
      <c r="DE358" s="352"/>
      <c r="DF358" s="352"/>
      <c r="DG358" s="352"/>
      <c r="DH358" s="352"/>
      <c r="DI358" s="352"/>
      <c r="DJ358" s="352"/>
      <c r="DK358" s="352"/>
      <c r="DL358" s="352"/>
      <c r="DM358" s="352"/>
      <c r="DN358" s="352"/>
      <c r="DO358" s="352"/>
      <c r="DP358" s="352"/>
      <c r="DQ358" s="352"/>
      <c r="DR358" s="352"/>
      <c r="DS358" s="352"/>
      <c r="DT358" s="352"/>
      <c r="DU358" s="352"/>
      <c r="DV358" s="352"/>
      <c r="DW358" s="352"/>
      <c r="DX358" s="352"/>
      <c r="DY358" s="352"/>
      <c r="DZ358" s="352"/>
      <c r="EA358" s="352"/>
      <c r="EB358" s="352"/>
      <c r="EC358" s="352"/>
      <c r="ED358" s="352"/>
      <c r="EE358" s="352"/>
      <c r="EF358" s="352"/>
      <c r="EG358" s="352"/>
      <c r="EH358" s="352"/>
      <c r="EI358" s="352"/>
      <c r="EJ358" s="352"/>
      <c r="EK358" s="352"/>
      <c r="EL358" s="352"/>
      <c r="EM358" s="352"/>
      <c r="EN358" s="352"/>
    </row>
    <row r="359" spans="1:144" s="169" customFormat="1" ht="20.100000000000001" customHeight="1">
      <c r="A359" s="160" t="s">
        <v>118</v>
      </c>
      <c r="B359" s="160" t="s">
        <v>532</v>
      </c>
      <c r="C359" s="161">
        <v>0</v>
      </c>
      <c r="D359" s="162">
        <f>'Sectors % GDP'!E28</f>
        <v>15171.57</v>
      </c>
      <c r="E359" s="162">
        <f t="shared" si="10"/>
        <v>0</v>
      </c>
      <c r="F359" s="165">
        <v>0</v>
      </c>
      <c r="G359" s="162">
        <v>0</v>
      </c>
      <c r="H359" s="164">
        <v>68.709999999999994</v>
      </c>
      <c r="I359" s="164">
        <v>91.43</v>
      </c>
      <c r="J359" s="165">
        <v>63.68</v>
      </c>
      <c r="K359" s="165">
        <v>34.54</v>
      </c>
      <c r="L359" s="165">
        <f t="shared" si="11"/>
        <v>2.4</v>
      </c>
      <c r="M359" s="177">
        <v>2.4E-2</v>
      </c>
      <c r="N359" s="166">
        <v>5</v>
      </c>
      <c r="O359" s="167">
        <f>'Trade Data'!D23</f>
        <v>0.34040677916778361</v>
      </c>
      <c r="P359" s="170">
        <v>0</v>
      </c>
      <c r="Q359" s="352"/>
      <c r="R359" s="352"/>
      <c r="S359" s="352"/>
      <c r="T359" s="352"/>
      <c r="U359" s="352"/>
      <c r="V359" s="352"/>
      <c r="W359" s="352"/>
      <c r="X359" s="352"/>
      <c r="Y359" s="352"/>
      <c r="Z359" s="352"/>
      <c r="AA359" s="352"/>
      <c r="AB359" s="352"/>
      <c r="AC359" s="352"/>
      <c r="AD359" s="352"/>
      <c r="AE359" s="352"/>
      <c r="AF359" s="352"/>
      <c r="AG359" s="352"/>
      <c r="AH359" s="352"/>
      <c r="AI359" s="352"/>
      <c r="AJ359" s="352"/>
      <c r="AK359" s="352"/>
      <c r="AL359" s="352"/>
      <c r="AM359" s="352"/>
      <c r="AN359" s="352"/>
      <c r="AO359" s="352"/>
      <c r="AP359" s="352"/>
      <c r="AQ359" s="352"/>
      <c r="AR359" s="352"/>
      <c r="AS359" s="352"/>
      <c r="AT359" s="352"/>
      <c r="AU359" s="352"/>
      <c r="AV359" s="352"/>
      <c r="AW359" s="352"/>
      <c r="AX359" s="352"/>
      <c r="AY359" s="352"/>
      <c r="AZ359" s="352"/>
      <c r="BA359" s="352"/>
      <c r="BB359" s="352"/>
      <c r="BC359" s="352"/>
      <c r="BD359" s="352"/>
      <c r="BE359" s="352"/>
      <c r="BF359" s="352"/>
      <c r="BG359" s="352"/>
      <c r="BH359" s="352"/>
      <c r="BI359" s="352"/>
      <c r="BJ359" s="352"/>
      <c r="BK359" s="352"/>
      <c r="BL359" s="352"/>
      <c r="BM359" s="352"/>
      <c r="BN359" s="352"/>
      <c r="BO359" s="352"/>
      <c r="BP359" s="352"/>
      <c r="BQ359" s="352"/>
      <c r="BR359" s="352"/>
      <c r="BS359" s="352"/>
      <c r="BT359" s="352"/>
      <c r="BU359" s="352"/>
      <c r="BV359" s="352"/>
      <c r="BW359" s="352"/>
      <c r="BX359" s="352"/>
      <c r="BY359" s="352"/>
      <c r="BZ359" s="352"/>
      <c r="CA359" s="352"/>
      <c r="CB359" s="352"/>
      <c r="CC359" s="352"/>
      <c r="CD359" s="352"/>
      <c r="CE359" s="352"/>
      <c r="CF359" s="352"/>
      <c r="CG359" s="352"/>
      <c r="CH359" s="352"/>
      <c r="CI359" s="352"/>
      <c r="CJ359" s="352"/>
      <c r="CK359" s="352"/>
      <c r="CL359" s="352"/>
      <c r="CM359" s="352"/>
      <c r="CN359" s="352"/>
      <c r="CO359" s="352"/>
      <c r="CP359" s="352"/>
      <c r="CQ359" s="352"/>
      <c r="CR359" s="352"/>
      <c r="CS359" s="352"/>
      <c r="CT359" s="352"/>
      <c r="CU359" s="352"/>
      <c r="CV359" s="352"/>
      <c r="CW359" s="352"/>
      <c r="CX359" s="352"/>
      <c r="CY359" s="352"/>
      <c r="CZ359" s="352"/>
      <c r="DA359" s="352"/>
      <c r="DB359" s="352"/>
      <c r="DC359" s="352"/>
      <c r="DD359" s="352"/>
      <c r="DE359" s="352"/>
      <c r="DF359" s="352"/>
      <c r="DG359" s="352"/>
      <c r="DH359" s="352"/>
      <c r="DI359" s="352"/>
      <c r="DJ359" s="352"/>
      <c r="DK359" s="352"/>
      <c r="DL359" s="352"/>
      <c r="DM359" s="352"/>
      <c r="DN359" s="352"/>
      <c r="DO359" s="352"/>
      <c r="DP359" s="352"/>
      <c r="DQ359" s="352"/>
      <c r="DR359" s="352"/>
      <c r="DS359" s="352"/>
      <c r="DT359" s="352"/>
      <c r="DU359" s="352"/>
      <c r="DV359" s="352"/>
      <c r="DW359" s="352"/>
      <c r="DX359" s="352"/>
      <c r="DY359" s="352"/>
      <c r="DZ359" s="352"/>
      <c r="EA359" s="352"/>
      <c r="EB359" s="352"/>
      <c r="EC359" s="352"/>
      <c r="ED359" s="352"/>
      <c r="EE359" s="352"/>
      <c r="EF359" s="352"/>
      <c r="EG359" s="352"/>
      <c r="EH359" s="352"/>
      <c r="EI359" s="352"/>
      <c r="EJ359" s="352"/>
      <c r="EK359" s="352"/>
      <c r="EL359" s="352"/>
      <c r="EM359" s="352"/>
      <c r="EN359" s="352"/>
    </row>
    <row r="360" spans="1:144" s="188" customFormat="1" ht="20.100000000000001" customHeight="1">
      <c r="A360" s="179" t="s">
        <v>118</v>
      </c>
      <c r="B360" s="179" t="s">
        <v>531</v>
      </c>
      <c r="C360" s="180">
        <f>SUM('Thomson Reuters IMA  ($)'!I719:I720)</f>
        <v>40.5</v>
      </c>
      <c r="D360" s="181">
        <f>'Sectors % GDP'!E29</f>
        <v>70719.42</v>
      </c>
      <c r="E360" s="181">
        <f t="shared" si="10"/>
        <v>5.7268569227519113E-4</v>
      </c>
      <c r="F360" s="184">
        <v>1</v>
      </c>
      <c r="G360" s="181">
        <v>4</v>
      </c>
      <c r="H360" s="183">
        <v>68.709999999999994</v>
      </c>
      <c r="I360" s="183">
        <v>91.43</v>
      </c>
      <c r="J360" s="184">
        <v>63.68</v>
      </c>
      <c r="K360" s="184">
        <v>34.54</v>
      </c>
      <c r="L360" s="184">
        <f t="shared" si="11"/>
        <v>2.4</v>
      </c>
      <c r="M360" s="194">
        <v>2.4E-2</v>
      </c>
      <c r="N360" s="185">
        <v>5</v>
      </c>
      <c r="O360" s="186">
        <f>'Trade Data'!D23</f>
        <v>0.34040677916778361</v>
      </c>
      <c r="P360" s="189">
        <v>1</v>
      </c>
      <c r="Q360" s="352"/>
      <c r="R360" s="352"/>
      <c r="S360" s="352"/>
      <c r="T360" s="352"/>
      <c r="U360" s="352"/>
      <c r="V360" s="352"/>
      <c r="W360" s="352"/>
      <c r="X360" s="352"/>
      <c r="Y360" s="352"/>
      <c r="Z360" s="352"/>
      <c r="AA360" s="352"/>
      <c r="AB360" s="352"/>
      <c r="AC360" s="352"/>
      <c r="AD360" s="352"/>
      <c r="AE360" s="352"/>
      <c r="AF360" s="352"/>
      <c r="AG360" s="352"/>
      <c r="AH360" s="352"/>
      <c r="AI360" s="352"/>
      <c r="AJ360" s="352"/>
      <c r="AK360" s="352"/>
      <c r="AL360" s="352"/>
      <c r="AM360" s="352"/>
      <c r="AN360" s="352"/>
      <c r="AO360" s="352"/>
      <c r="AP360" s="352"/>
      <c r="AQ360" s="352"/>
      <c r="AR360" s="352"/>
      <c r="AS360" s="352"/>
      <c r="AT360" s="352"/>
      <c r="AU360" s="352"/>
      <c r="AV360" s="352"/>
      <c r="AW360" s="352"/>
      <c r="AX360" s="352"/>
      <c r="AY360" s="352"/>
      <c r="AZ360" s="352"/>
      <c r="BA360" s="352"/>
      <c r="BB360" s="352"/>
      <c r="BC360" s="352"/>
      <c r="BD360" s="352"/>
      <c r="BE360" s="352"/>
      <c r="BF360" s="352"/>
      <c r="BG360" s="352"/>
      <c r="BH360" s="352"/>
      <c r="BI360" s="352"/>
      <c r="BJ360" s="352"/>
      <c r="BK360" s="352"/>
      <c r="BL360" s="352"/>
      <c r="BM360" s="352"/>
      <c r="BN360" s="352"/>
      <c r="BO360" s="352"/>
      <c r="BP360" s="352"/>
      <c r="BQ360" s="352"/>
      <c r="BR360" s="352"/>
      <c r="BS360" s="352"/>
      <c r="BT360" s="352"/>
      <c r="BU360" s="352"/>
      <c r="BV360" s="352"/>
      <c r="BW360" s="352"/>
      <c r="BX360" s="352"/>
      <c r="BY360" s="352"/>
      <c r="BZ360" s="352"/>
      <c r="CA360" s="352"/>
      <c r="CB360" s="352"/>
      <c r="CC360" s="352"/>
      <c r="CD360" s="352"/>
      <c r="CE360" s="352"/>
      <c r="CF360" s="352"/>
      <c r="CG360" s="352"/>
      <c r="CH360" s="352"/>
      <c r="CI360" s="352"/>
      <c r="CJ360" s="352"/>
      <c r="CK360" s="352"/>
      <c r="CL360" s="352"/>
      <c r="CM360" s="352"/>
      <c r="CN360" s="352"/>
      <c r="CO360" s="352"/>
      <c r="CP360" s="352"/>
      <c r="CQ360" s="352"/>
      <c r="CR360" s="352"/>
      <c r="CS360" s="352"/>
      <c r="CT360" s="352"/>
      <c r="CU360" s="352"/>
      <c r="CV360" s="352"/>
      <c r="CW360" s="352"/>
      <c r="CX360" s="352"/>
      <c r="CY360" s="352"/>
      <c r="CZ360" s="352"/>
      <c r="DA360" s="352"/>
      <c r="DB360" s="352"/>
      <c r="DC360" s="352"/>
      <c r="DD360" s="352"/>
      <c r="DE360" s="352"/>
      <c r="DF360" s="352"/>
      <c r="DG360" s="352"/>
      <c r="DH360" s="352"/>
      <c r="DI360" s="352"/>
      <c r="DJ360" s="352"/>
      <c r="DK360" s="352"/>
      <c r="DL360" s="352"/>
      <c r="DM360" s="352"/>
      <c r="DN360" s="352"/>
      <c r="DO360" s="352"/>
      <c r="DP360" s="352"/>
      <c r="DQ360" s="352"/>
      <c r="DR360" s="352"/>
      <c r="DS360" s="352"/>
      <c r="DT360" s="352"/>
      <c r="DU360" s="352"/>
      <c r="DV360" s="352"/>
      <c r="DW360" s="352"/>
      <c r="DX360" s="352"/>
      <c r="DY360" s="352"/>
      <c r="DZ360" s="352"/>
      <c r="EA360" s="352"/>
      <c r="EB360" s="352"/>
      <c r="EC360" s="352"/>
      <c r="ED360" s="352"/>
      <c r="EE360" s="352"/>
      <c r="EF360" s="352"/>
      <c r="EG360" s="352"/>
      <c r="EH360" s="352"/>
      <c r="EI360" s="352"/>
      <c r="EJ360" s="352"/>
      <c r="EK360" s="352"/>
      <c r="EL360" s="352"/>
      <c r="EM360" s="352"/>
      <c r="EN360" s="352"/>
    </row>
    <row r="361" spans="1:144" ht="20.100000000000001" customHeight="1">
      <c r="A361" s="118" t="s">
        <v>118</v>
      </c>
      <c r="B361" s="118" t="s">
        <v>530</v>
      </c>
      <c r="C361" s="119">
        <f>'Thomson Reuters IMA  ($)'!I718</f>
        <v>1.988</v>
      </c>
      <c r="D361" s="120">
        <f>'Sectors % GDP'!E30</f>
        <v>117209.01</v>
      </c>
      <c r="E361" s="120">
        <f t="shared" si="10"/>
        <v>1.6961153413035397E-5</v>
      </c>
      <c r="F361" s="123">
        <v>1</v>
      </c>
      <c r="G361" s="120">
        <v>5</v>
      </c>
      <c r="H361" s="122">
        <v>68.709999999999994</v>
      </c>
      <c r="I361" s="122">
        <v>91.43</v>
      </c>
      <c r="J361" s="123">
        <v>63.68</v>
      </c>
      <c r="K361" s="123">
        <v>34.54</v>
      </c>
      <c r="L361" s="123">
        <f t="shared" si="11"/>
        <v>2.4</v>
      </c>
      <c r="M361" s="134">
        <v>2.4E-2</v>
      </c>
      <c r="N361" s="124">
        <v>5</v>
      </c>
      <c r="O361" s="125">
        <f>'Trade Data'!D23</f>
        <v>0.34040677916778361</v>
      </c>
      <c r="P361" s="127">
        <v>1</v>
      </c>
      <c r="Q361" s="352"/>
      <c r="R361" s="352"/>
      <c r="S361" s="352"/>
      <c r="T361" s="352"/>
      <c r="U361" s="352"/>
      <c r="V361" s="352"/>
      <c r="W361" s="352"/>
      <c r="X361" s="352"/>
      <c r="Y361" s="352"/>
      <c r="Z361" s="352"/>
      <c r="AA361" s="352"/>
      <c r="AB361" s="352"/>
      <c r="AC361" s="352"/>
      <c r="AD361" s="352"/>
      <c r="AE361" s="352"/>
      <c r="AF361" s="352"/>
      <c r="AG361" s="352"/>
      <c r="AH361" s="352"/>
      <c r="AI361" s="352"/>
      <c r="AJ361" s="352"/>
      <c r="AK361" s="352"/>
      <c r="AL361" s="352"/>
      <c r="AM361" s="352"/>
      <c r="AN361" s="352"/>
      <c r="AO361" s="352"/>
      <c r="AP361" s="352"/>
      <c r="AQ361" s="352"/>
      <c r="AR361" s="352"/>
      <c r="AS361" s="352"/>
      <c r="AT361" s="352"/>
      <c r="AU361" s="352"/>
      <c r="AV361" s="352"/>
      <c r="AW361" s="352"/>
      <c r="AX361" s="352"/>
      <c r="AY361" s="352"/>
      <c r="AZ361" s="352"/>
      <c r="BA361" s="352"/>
      <c r="BB361" s="352"/>
      <c r="BC361" s="352"/>
      <c r="BD361" s="352"/>
      <c r="BE361" s="352"/>
      <c r="BF361" s="352"/>
      <c r="BG361" s="352"/>
      <c r="BH361" s="352"/>
      <c r="BI361" s="352"/>
      <c r="BJ361" s="352"/>
      <c r="BK361" s="352"/>
      <c r="BL361" s="352"/>
      <c r="BM361" s="352"/>
      <c r="BN361" s="352"/>
      <c r="BO361" s="352"/>
      <c r="BP361" s="352"/>
      <c r="BQ361" s="352"/>
      <c r="BR361" s="352"/>
      <c r="BS361" s="352"/>
      <c r="BT361" s="352"/>
      <c r="BU361" s="352"/>
      <c r="BV361" s="352"/>
      <c r="BW361" s="352"/>
      <c r="BX361" s="352"/>
      <c r="BY361" s="352"/>
      <c r="BZ361" s="352"/>
      <c r="CA361" s="352"/>
      <c r="CB361" s="352"/>
      <c r="CC361" s="352"/>
      <c r="CD361" s="352"/>
      <c r="CE361" s="352"/>
      <c r="CF361" s="352"/>
      <c r="CG361" s="352"/>
      <c r="CH361" s="352"/>
      <c r="CI361" s="352"/>
      <c r="CJ361" s="352"/>
      <c r="CK361" s="352"/>
      <c r="CL361" s="352"/>
      <c r="CM361" s="352"/>
      <c r="CN361" s="352"/>
      <c r="CO361" s="352"/>
      <c r="CP361" s="352"/>
      <c r="CQ361" s="352"/>
      <c r="CR361" s="352"/>
      <c r="CS361" s="352"/>
      <c r="CT361" s="352"/>
      <c r="CU361" s="352"/>
      <c r="CV361" s="352"/>
      <c r="CW361" s="352"/>
      <c r="CX361" s="352"/>
      <c r="CY361" s="352"/>
      <c r="CZ361" s="352"/>
      <c r="DA361" s="352"/>
      <c r="DB361" s="352"/>
      <c r="DC361" s="352"/>
      <c r="DD361" s="352"/>
      <c r="DE361" s="352"/>
      <c r="DF361" s="352"/>
      <c r="DG361" s="352"/>
      <c r="DH361" s="352"/>
      <c r="DI361" s="352"/>
      <c r="DJ361" s="352"/>
      <c r="DK361" s="352"/>
      <c r="DL361" s="352"/>
      <c r="DM361" s="352"/>
      <c r="DN361" s="352"/>
      <c r="DO361" s="352"/>
      <c r="DP361" s="352"/>
      <c r="DQ361" s="352"/>
      <c r="DR361" s="352"/>
      <c r="DS361" s="352"/>
      <c r="DT361" s="352"/>
      <c r="DU361" s="352"/>
      <c r="DV361" s="352"/>
      <c r="DW361" s="352"/>
      <c r="DX361" s="352"/>
      <c r="DY361" s="352"/>
      <c r="DZ361" s="352"/>
      <c r="EA361" s="352"/>
      <c r="EB361" s="352"/>
      <c r="EC361" s="352"/>
      <c r="ED361" s="352"/>
      <c r="EE361" s="352"/>
      <c r="EF361" s="352"/>
      <c r="EG361" s="352"/>
      <c r="EH361" s="352"/>
      <c r="EI361" s="352"/>
      <c r="EJ361" s="352"/>
      <c r="EK361" s="352"/>
      <c r="EL361" s="352"/>
      <c r="EM361" s="352"/>
      <c r="EN361" s="352"/>
    </row>
    <row r="362" spans="1:144" s="169" customFormat="1" ht="20.100000000000001" customHeight="1">
      <c r="A362" s="160" t="s">
        <v>119</v>
      </c>
      <c r="B362" s="160" t="s">
        <v>529</v>
      </c>
      <c r="C362" s="161">
        <v>0</v>
      </c>
      <c r="D362" s="162">
        <f>'Sectors % GDP'!E28</f>
        <v>15171.57</v>
      </c>
      <c r="E362" s="162">
        <f t="shared" si="10"/>
        <v>0</v>
      </c>
      <c r="F362" s="165">
        <v>0</v>
      </c>
      <c r="G362" s="162">
        <v>0</v>
      </c>
      <c r="H362" s="164">
        <v>58.18</v>
      </c>
      <c r="I362" s="164">
        <v>68.44</v>
      </c>
      <c r="J362" s="165">
        <v>68.760000000000005</v>
      </c>
      <c r="K362" s="165">
        <v>34.54</v>
      </c>
      <c r="L362" s="165">
        <f t="shared" si="11"/>
        <v>2.4</v>
      </c>
      <c r="M362" s="177">
        <v>2.4E-2</v>
      </c>
      <c r="N362" s="166">
        <v>5</v>
      </c>
      <c r="O362" s="167">
        <f>'Trade Data'!D23</f>
        <v>0.34040677916778361</v>
      </c>
      <c r="P362" s="168">
        <v>0</v>
      </c>
      <c r="Q362" s="352"/>
      <c r="R362" s="352"/>
      <c r="S362" s="352"/>
      <c r="T362" s="352"/>
      <c r="U362" s="352"/>
      <c r="V362" s="352"/>
      <c r="W362" s="352"/>
      <c r="X362" s="352"/>
      <c r="Y362" s="352"/>
      <c r="Z362" s="352"/>
      <c r="AA362" s="352"/>
      <c r="AB362" s="352"/>
      <c r="AC362" s="352"/>
      <c r="AD362" s="352"/>
      <c r="AE362" s="352"/>
      <c r="AF362" s="352"/>
      <c r="AG362" s="352"/>
      <c r="AH362" s="352"/>
      <c r="AI362" s="352"/>
      <c r="AJ362" s="352"/>
      <c r="AK362" s="352"/>
      <c r="AL362" s="352"/>
      <c r="AM362" s="352"/>
      <c r="AN362" s="352"/>
      <c r="AO362" s="352"/>
      <c r="AP362" s="352"/>
      <c r="AQ362" s="352"/>
      <c r="AR362" s="352"/>
      <c r="AS362" s="352"/>
      <c r="AT362" s="352"/>
      <c r="AU362" s="352"/>
      <c r="AV362" s="352"/>
      <c r="AW362" s="352"/>
      <c r="AX362" s="352"/>
      <c r="AY362" s="352"/>
      <c r="AZ362" s="352"/>
      <c r="BA362" s="352"/>
      <c r="BB362" s="352"/>
      <c r="BC362" s="352"/>
      <c r="BD362" s="352"/>
      <c r="BE362" s="352"/>
      <c r="BF362" s="352"/>
      <c r="BG362" s="352"/>
      <c r="BH362" s="352"/>
      <c r="BI362" s="352"/>
      <c r="BJ362" s="352"/>
      <c r="BK362" s="352"/>
      <c r="BL362" s="352"/>
      <c r="BM362" s="352"/>
      <c r="BN362" s="352"/>
      <c r="BO362" s="352"/>
      <c r="BP362" s="352"/>
      <c r="BQ362" s="352"/>
      <c r="BR362" s="352"/>
      <c r="BS362" s="352"/>
      <c r="BT362" s="352"/>
      <c r="BU362" s="352"/>
      <c r="BV362" s="352"/>
      <c r="BW362" s="352"/>
      <c r="BX362" s="352"/>
      <c r="BY362" s="352"/>
      <c r="BZ362" s="352"/>
      <c r="CA362" s="352"/>
      <c r="CB362" s="352"/>
      <c r="CC362" s="352"/>
      <c r="CD362" s="352"/>
      <c r="CE362" s="352"/>
      <c r="CF362" s="352"/>
      <c r="CG362" s="352"/>
      <c r="CH362" s="352"/>
      <c r="CI362" s="352"/>
      <c r="CJ362" s="352"/>
      <c r="CK362" s="352"/>
      <c r="CL362" s="352"/>
      <c r="CM362" s="352"/>
      <c r="CN362" s="352"/>
      <c r="CO362" s="352"/>
      <c r="CP362" s="352"/>
      <c r="CQ362" s="352"/>
      <c r="CR362" s="352"/>
      <c r="CS362" s="352"/>
      <c r="CT362" s="352"/>
      <c r="CU362" s="352"/>
      <c r="CV362" s="352"/>
      <c r="CW362" s="352"/>
      <c r="CX362" s="352"/>
      <c r="CY362" s="352"/>
      <c r="CZ362" s="352"/>
      <c r="DA362" s="352"/>
      <c r="DB362" s="352"/>
      <c r="DC362" s="352"/>
      <c r="DD362" s="352"/>
      <c r="DE362" s="352"/>
      <c r="DF362" s="352"/>
      <c r="DG362" s="352"/>
      <c r="DH362" s="352"/>
      <c r="DI362" s="352"/>
      <c r="DJ362" s="352"/>
      <c r="DK362" s="352"/>
      <c r="DL362" s="352"/>
      <c r="DM362" s="352"/>
      <c r="DN362" s="352"/>
      <c r="DO362" s="352"/>
      <c r="DP362" s="352"/>
      <c r="DQ362" s="352"/>
      <c r="DR362" s="352"/>
      <c r="DS362" s="352"/>
      <c r="DT362" s="352"/>
      <c r="DU362" s="352"/>
      <c r="DV362" s="352"/>
      <c r="DW362" s="352"/>
      <c r="DX362" s="352"/>
      <c r="DY362" s="352"/>
      <c r="DZ362" s="352"/>
      <c r="EA362" s="352"/>
      <c r="EB362" s="352"/>
      <c r="EC362" s="352"/>
      <c r="ED362" s="352"/>
      <c r="EE362" s="352"/>
      <c r="EF362" s="352"/>
      <c r="EG362" s="352"/>
      <c r="EH362" s="352"/>
      <c r="EI362" s="352"/>
      <c r="EJ362" s="352"/>
      <c r="EK362" s="352"/>
      <c r="EL362" s="352"/>
      <c r="EM362" s="352"/>
      <c r="EN362" s="352"/>
    </row>
    <row r="363" spans="1:144" s="188" customFormat="1" ht="20.100000000000001" customHeight="1">
      <c r="A363" s="179" t="s">
        <v>119</v>
      </c>
      <c r="B363" s="179" t="s">
        <v>528</v>
      </c>
      <c r="C363" s="180">
        <f>SUM('Thomson Reuters IMA  ($)'!I721:I722)</f>
        <v>8.5849999999999991</v>
      </c>
      <c r="D363" s="181">
        <f>'Sectors % GDP'!E29</f>
        <v>70719.42</v>
      </c>
      <c r="E363" s="181">
        <f t="shared" si="10"/>
        <v>1.2139522637487693E-4</v>
      </c>
      <c r="F363" s="184">
        <v>1</v>
      </c>
      <c r="G363" s="181">
        <v>3</v>
      </c>
      <c r="H363" s="183">
        <v>58.18</v>
      </c>
      <c r="I363" s="183">
        <v>68.44</v>
      </c>
      <c r="J363" s="184">
        <v>68.760000000000005</v>
      </c>
      <c r="K363" s="184">
        <v>34.54</v>
      </c>
      <c r="L363" s="184">
        <f t="shared" si="11"/>
        <v>2.4</v>
      </c>
      <c r="M363" s="194">
        <v>2.4E-2</v>
      </c>
      <c r="N363" s="185">
        <v>5</v>
      </c>
      <c r="O363" s="186">
        <f>'Trade Data'!D23</f>
        <v>0.34040677916778361</v>
      </c>
      <c r="P363" s="187">
        <v>1</v>
      </c>
      <c r="Q363" s="352"/>
      <c r="R363" s="352"/>
      <c r="S363" s="352"/>
      <c r="T363" s="352"/>
      <c r="U363" s="352"/>
      <c r="V363" s="352"/>
      <c r="W363" s="352"/>
      <c r="X363" s="352"/>
      <c r="Y363" s="352"/>
      <c r="Z363" s="352"/>
      <c r="AA363" s="352"/>
      <c r="AB363" s="352"/>
      <c r="AC363" s="352"/>
      <c r="AD363" s="352"/>
      <c r="AE363" s="352"/>
      <c r="AF363" s="352"/>
      <c r="AG363" s="352"/>
      <c r="AH363" s="352"/>
      <c r="AI363" s="352"/>
      <c r="AJ363" s="352"/>
      <c r="AK363" s="352"/>
      <c r="AL363" s="352"/>
      <c r="AM363" s="352"/>
      <c r="AN363" s="352"/>
      <c r="AO363" s="352"/>
      <c r="AP363" s="352"/>
      <c r="AQ363" s="352"/>
      <c r="AR363" s="352"/>
      <c r="AS363" s="352"/>
      <c r="AT363" s="352"/>
      <c r="AU363" s="352"/>
      <c r="AV363" s="352"/>
      <c r="AW363" s="352"/>
      <c r="AX363" s="352"/>
      <c r="AY363" s="352"/>
      <c r="AZ363" s="352"/>
      <c r="BA363" s="352"/>
      <c r="BB363" s="352"/>
      <c r="BC363" s="352"/>
      <c r="BD363" s="352"/>
      <c r="BE363" s="352"/>
      <c r="BF363" s="352"/>
      <c r="BG363" s="352"/>
      <c r="BH363" s="352"/>
      <c r="BI363" s="352"/>
      <c r="BJ363" s="352"/>
      <c r="BK363" s="352"/>
      <c r="BL363" s="352"/>
      <c r="BM363" s="352"/>
      <c r="BN363" s="352"/>
      <c r="BO363" s="352"/>
      <c r="BP363" s="352"/>
      <c r="BQ363" s="352"/>
      <c r="BR363" s="352"/>
      <c r="BS363" s="352"/>
      <c r="BT363" s="352"/>
      <c r="BU363" s="352"/>
      <c r="BV363" s="352"/>
      <c r="BW363" s="352"/>
      <c r="BX363" s="352"/>
      <c r="BY363" s="352"/>
      <c r="BZ363" s="352"/>
      <c r="CA363" s="352"/>
      <c r="CB363" s="352"/>
      <c r="CC363" s="352"/>
      <c r="CD363" s="352"/>
      <c r="CE363" s="352"/>
      <c r="CF363" s="352"/>
      <c r="CG363" s="352"/>
      <c r="CH363" s="352"/>
      <c r="CI363" s="352"/>
      <c r="CJ363" s="352"/>
      <c r="CK363" s="352"/>
      <c r="CL363" s="352"/>
      <c r="CM363" s="352"/>
      <c r="CN363" s="352"/>
      <c r="CO363" s="352"/>
      <c r="CP363" s="352"/>
      <c r="CQ363" s="352"/>
      <c r="CR363" s="352"/>
      <c r="CS363" s="352"/>
      <c r="CT363" s="352"/>
      <c r="CU363" s="352"/>
      <c r="CV363" s="352"/>
      <c r="CW363" s="352"/>
      <c r="CX363" s="352"/>
      <c r="CY363" s="352"/>
      <c r="CZ363" s="352"/>
      <c r="DA363" s="352"/>
      <c r="DB363" s="352"/>
      <c r="DC363" s="352"/>
      <c r="DD363" s="352"/>
      <c r="DE363" s="352"/>
      <c r="DF363" s="352"/>
      <c r="DG363" s="352"/>
      <c r="DH363" s="352"/>
      <c r="DI363" s="352"/>
      <c r="DJ363" s="352"/>
      <c r="DK363" s="352"/>
      <c r="DL363" s="352"/>
      <c r="DM363" s="352"/>
      <c r="DN363" s="352"/>
      <c r="DO363" s="352"/>
      <c r="DP363" s="352"/>
      <c r="DQ363" s="352"/>
      <c r="DR363" s="352"/>
      <c r="DS363" s="352"/>
      <c r="DT363" s="352"/>
      <c r="DU363" s="352"/>
      <c r="DV363" s="352"/>
      <c r="DW363" s="352"/>
      <c r="DX363" s="352"/>
      <c r="DY363" s="352"/>
      <c r="DZ363" s="352"/>
      <c r="EA363" s="352"/>
      <c r="EB363" s="352"/>
      <c r="EC363" s="352"/>
      <c r="ED363" s="352"/>
      <c r="EE363" s="352"/>
      <c r="EF363" s="352"/>
      <c r="EG363" s="352"/>
      <c r="EH363" s="352"/>
      <c r="EI363" s="352"/>
      <c r="EJ363" s="352"/>
      <c r="EK363" s="352"/>
      <c r="EL363" s="352"/>
      <c r="EM363" s="352"/>
      <c r="EN363" s="352"/>
    </row>
    <row r="364" spans="1:144" ht="20.100000000000001" customHeight="1">
      <c r="A364" s="118" t="s">
        <v>119</v>
      </c>
      <c r="B364" s="118" t="s">
        <v>527</v>
      </c>
      <c r="C364" s="119">
        <v>0</v>
      </c>
      <c r="D364" s="120">
        <f>'Sectors % GDP'!E30</f>
        <v>117209.01</v>
      </c>
      <c r="E364" s="120">
        <f t="shared" si="10"/>
        <v>0</v>
      </c>
      <c r="F364" s="123">
        <v>1</v>
      </c>
      <c r="G364" s="120">
        <v>2</v>
      </c>
      <c r="H364" s="122">
        <v>58.18</v>
      </c>
      <c r="I364" s="122">
        <v>68.44</v>
      </c>
      <c r="J364" s="123">
        <v>68.760000000000005</v>
      </c>
      <c r="K364" s="123">
        <v>34.54</v>
      </c>
      <c r="L364" s="123">
        <f t="shared" si="11"/>
        <v>2.4</v>
      </c>
      <c r="M364" s="134">
        <v>2.4E-2</v>
      </c>
      <c r="N364" s="124">
        <v>5</v>
      </c>
      <c r="O364" s="125">
        <f>'Trade Data'!D23</f>
        <v>0.34040677916778361</v>
      </c>
      <c r="P364" s="126">
        <v>1</v>
      </c>
      <c r="Q364" s="352"/>
      <c r="R364" s="352"/>
      <c r="S364" s="352"/>
      <c r="T364" s="352"/>
      <c r="U364" s="352"/>
      <c r="V364" s="352"/>
      <c r="W364" s="352"/>
      <c r="X364" s="352"/>
      <c r="Y364" s="352"/>
      <c r="Z364" s="352"/>
      <c r="AA364" s="352"/>
      <c r="AB364" s="352"/>
      <c r="AC364" s="352"/>
      <c r="AD364" s="352"/>
      <c r="AE364" s="352"/>
      <c r="AF364" s="352"/>
      <c r="AG364" s="352"/>
      <c r="AH364" s="352"/>
      <c r="AI364" s="352"/>
      <c r="AJ364" s="352"/>
      <c r="AK364" s="352"/>
      <c r="AL364" s="352"/>
      <c r="AM364" s="352"/>
      <c r="AN364" s="352"/>
      <c r="AO364" s="352"/>
      <c r="AP364" s="352"/>
      <c r="AQ364" s="352"/>
      <c r="AR364" s="352"/>
      <c r="AS364" s="352"/>
      <c r="AT364" s="352"/>
      <c r="AU364" s="352"/>
      <c r="AV364" s="352"/>
      <c r="AW364" s="352"/>
      <c r="AX364" s="352"/>
      <c r="AY364" s="352"/>
      <c r="AZ364" s="352"/>
      <c r="BA364" s="352"/>
      <c r="BB364" s="352"/>
      <c r="BC364" s="352"/>
      <c r="BD364" s="352"/>
      <c r="BE364" s="352"/>
      <c r="BF364" s="352"/>
      <c r="BG364" s="352"/>
      <c r="BH364" s="352"/>
      <c r="BI364" s="352"/>
      <c r="BJ364" s="352"/>
      <c r="BK364" s="352"/>
      <c r="BL364" s="352"/>
      <c r="BM364" s="352"/>
      <c r="BN364" s="352"/>
      <c r="BO364" s="352"/>
      <c r="BP364" s="352"/>
      <c r="BQ364" s="352"/>
      <c r="BR364" s="352"/>
      <c r="BS364" s="352"/>
      <c r="BT364" s="352"/>
      <c r="BU364" s="352"/>
      <c r="BV364" s="352"/>
      <c r="BW364" s="352"/>
      <c r="BX364" s="352"/>
      <c r="BY364" s="352"/>
      <c r="BZ364" s="352"/>
      <c r="CA364" s="352"/>
      <c r="CB364" s="352"/>
      <c r="CC364" s="352"/>
      <c r="CD364" s="352"/>
      <c r="CE364" s="352"/>
      <c r="CF364" s="352"/>
      <c r="CG364" s="352"/>
      <c r="CH364" s="352"/>
      <c r="CI364" s="352"/>
      <c r="CJ364" s="352"/>
      <c r="CK364" s="352"/>
      <c r="CL364" s="352"/>
      <c r="CM364" s="352"/>
      <c r="CN364" s="352"/>
      <c r="CO364" s="352"/>
      <c r="CP364" s="352"/>
      <c r="CQ364" s="352"/>
      <c r="CR364" s="352"/>
      <c r="CS364" s="352"/>
      <c r="CT364" s="352"/>
      <c r="CU364" s="352"/>
      <c r="CV364" s="352"/>
      <c r="CW364" s="352"/>
      <c r="CX364" s="352"/>
      <c r="CY364" s="352"/>
      <c r="CZ364" s="352"/>
      <c r="DA364" s="352"/>
      <c r="DB364" s="352"/>
      <c r="DC364" s="352"/>
      <c r="DD364" s="352"/>
      <c r="DE364" s="352"/>
      <c r="DF364" s="352"/>
      <c r="DG364" s="352"/>
      <c r="DH364" s="352"/>
      <c r="DI364" s="352"/>
      <c r="DJ364" s="352"/>
      <c r="DK364" s="352"/>
      <c r="DL364" s="352"/>
      <c r="DM364" s="352"/>
      <c r="DN364" s="352"/>
      <c r="DO364" s="352"/>
      <c r="DP364" s="352"/>
      <c r="DQ364" s="352"/>
      <c r="DR364" s="352"/>
      <c r="DS364" s="352"/>
      <c r="DT364" s="352"/>
      <c r="DU364" s="352"/>
      <c r="DV364" s="352"/>
      <c r="DW364" s="352"/>
      <c r="DX364" s="352"/>
      <c r="DY364" s="352"/>
      <c r="DZ364" s="352"/>
      <c r="EA364" s="352"/>
      <c r="EB364" s="352"/>
      <c r="EC364" s="352"/>
      <c r="ED364" s="352"/>
      <c r="EE364" s="352"/>
      <c r="EF364" s="352"/>
      <c r="EG364" s="352"/>
      <c r="EH364" s="352"/>
      <c r="EI364" s="352"/>
      <c r="EJ364" s="352"/>
      <c r="EK364" s="352"/>
      <c r="EL364" s="352"/>
      <c r="EM364" s="352"/>
      <c r="EN364" s="352"/>
    </row>
    <row r="365" spans="1:144" s="169" customFormat="1" ht="20.100000000000001" customHeight="1">
      <c r="A365" s="160" t="s">
        <v>120</v>
      </c>
      <c r="B365" s="160" t="s">
        <v>526</v>
      </c>
      <c r="C365" s="161">
        <v>0</v>
      </c>
      <c r="D365" s="162">
        <f>'Sectors % GDP'!G28</f>
        <v>14923.256000000001</v>
      </c>
      <c r="E365" s="162">
        <f t="shared" si="10"/>
        <v>0</v>
      </c>
      <c r="F365" s="165">
        <v>0</v>
      </c>
      <c r="G365" s="162">
        <v>0</v>
      </c>
      <c r="H365" s="164">
        <v>51.71</v>
      </c>
      <c r="I365" s="164">
        <v>65.58</v>
      </c>
      <c r="J365" s="165">
        <v>61.77</v>
      </c>
      <c r="K365" s="165">
        <v>28.33</v>
      </c>
      <c r="L365" s="165">
        <f t="shared" si="11"/>
        <v>2.4</v>
      </c>
      <c r="M365" s="177">
        <v>2.4E-2</v>
      </c>
      <c r="N365" s="166">
        <v>5</v>
      </c>
      <c r="O365" s="167">
        <f>'Trade Data'!D23</f>
        <v>0.34040677916778361</v>
      </c>
      <c r="P365" s="170">
        <v>0</v>
      </c>
      <c r="Q365" s="352"/>
      <c r="R365" s="352"/>
      <c r="S365" s="352"/>
      <c r="T365" s="352"/>
      <c r="U365" s="352"/>
      <c r="V365" s="352"/>
      <c r="W365" s="352"/>
      <c r="X365" s="352"/>
      <c r="Y365" s="352"/>
      <c r="Z365" s="352"/>
      <c r="AA365" s="352"/>
      <c r="AB365" s="352"/>
      <c r="AC365" s="352"/>
      <c r="AD365" s="352"/>
      <c r="AE365" s="352"/>
      <c r="AF365" s="352"/>
      <c r="AG365" s="352"/>
      <c r="AH365" s="352"/>
      <c r="AI365" s="352"/>
      <c r="AJ365" s="352"/>
      <c r="AK365" s="352"/>
      <c r="AL365" s="352"/>
      <c r="AM365" s="352"/>
      <c r="AN365" s="352"/>
      <c r="AO365" s="352"/>
      <c r="AP365" s="352"/>
      <c r="AQ365" s="352"/>
      <c r="AR365" s="352"/>
      <c r="AS365" s="352"/>
      <c r="AT365" s="352"/>
      <c r="AU365" s="352"/>
      <c r="AV365" s="352"/>
      <c r="AW365" s="352"/>
      <c r="AX365" s="352"/>
      <c r="AY365" s="352"/>
      <c r="AZ365" s="352"/>
      <c r="BA365" s="352"/>
      <c r="BB365" s="352"/>
      <c r="BC365" s="352"/>
      <c r="BD365" s="352"/>
      <c r="BE365" s="352"/>
      <c r="BF365" s="352"/>
      <c r="BG365" s="352"/>
      <c r="BH365" s="352"/>
      <c r="BI365" s="352"/>
      <c r="BJ365" s="352"/>
      <c r="BK365" s="352"/>
      <c r="BL365" s="352"/>
      <c r="BM365" s="352"/>
      <c r="BN365" s="352"/>
      <c r="BO365" s="352"/>
      <c r="BP365" s="352"/>
      <c r="BQ365" s="352"/>
      <c r="BR365" s="352"/>
      <c r="BS365" s="352"/>
      <c r="BT365" s="352"/>
      <c r="BU365" s="352"/>
      <c r="BV365" s="352"/>
      <c r="BW365" s="352"/>
      <c r="BX365" s="352"/>
      <c r="BY365" s="352"/>
      <c r="BZ365" s="352"/>
      <c r="CA365" s="352"/>
      <c r="CB365" s="352"/>
      <c r="CC365" s="352"/>
      <c r="CD365" s="352"/>
      <c r="CE365" s="352"/>
      <c r="CF365" s="352"/>
      <c r="CG365" s="352"/>
      <c r="CH365" s="352"/>
      <c r="CI365" s="352"/>
      <c r="CJ365" s="352"/>
      <c r="CK365" s="352"/>
      <c r="CL365" s="352"/>
      <c r="CM365" s="352"/>
      <c r="CN365" s="352"/>
      <c r="CO365" s="352"/>
      <c r="CP365" s="352"/>
      <c r="CQ365" s="352"/>
      <c r="CR365" s="352"/>
      <c r="CS365" s="352"/>
      <c r="CT365" s="352"/>
      <c r="CU365" s="352"/>
      <c r="CV365" s="352"/>
      <c r="CW365" s="352"/>
      <c r="CX365" s="352"/>
      <c r="CY365" s="352"/>
      <c r="CZ365" s="352"/>
      <c r="DA365" s="352"/>
      <c r="DB365" s="352"/>
      <c r="DC365" s="352"/>
      <c r="DD365" s="352"/>
      <c r="DE365" s="352"/>
      <c r="DF365" s="352"/>
      <c r="DG365" s="352"/>
      <c r="DH365" s="352"/>
      <c r="DI365" s="352"/>
      <c r="DJ365" s="352"/>
      <c r="DK365" s="352"/>
      <c r="DL365" s="352"/>
      <c r="DM365" s="352"/>
      <c r="DN365" s="352"/>
      <c r="DO365" s="352"/>
      <c r="DP365" s="352"/>
      <c r="DQ365" s="352"/>
      <c r="DR365" s="352"/>
      <c r="DS365" s="352"/>
      <c r="DT365" s="352"/>
      <c r="DU365" s="352"/>
      <c r="DV365" s="352"/>
      <c r="DW365" s="352"/>
      <c r="DX365" s="352"/>
      <c r="DY365" s="352"/>
      <c r="DZ365" s="352"/>
      <c r="EA365" s="352"/>
      <c r="EB365" s="352"/>
      <c r="EC365" s="352"/>
      <c r="ED365" s="352"/>
      <c r="EE365" s="352"/>
      <c r="EF365" s="352"/>
      <c r="EG365" s="352"/>
      <c r="EH365" s="352"/>
      <c r="EI365" s="352"/>
      <c r="EJ365" s="352"/>
      <c r="EK365" s="352"/>
      <c r="EL365" s="352"/>
      <c r="EM365" s="352"/>
      <c r="EN365" s="352"/>
    </row>
    <row r="366" spans="1:144" s="188" customFormat="1" ht="20.100000000000001" customHeight="1">
      <c r="A366" s="179" t="s">
        <v>120</v>
      </c>
      <c r="B366" s="179" t="s">
        <v>525</v>
      </c>
      <c r="C366" s="180">
        <f>SUM('Thomson Reuters IMA  ($)'!I723:I724)</f>
        <v>4.28</v>
      </c>
      <c r="D366" s="181">
        <f>'Sectors % GDP'!G29</f>
        <v>63135.373</v>
      </c>
      <c r="E366" s="181">
        <f t="shared" si="10"/>
        <v>6.7790840484937032E-5</v>
      </c>
      <c r="F366" s="184">
        <v>1</v>
      </c>
      <c r="G366" s="181">
        <v>5</v>
      </c>
      <c r="H366" s="183">
        <v>51.71</v>
      </c>
      <c r="I366" s="183">
        <v>65.58</v>
      </c>
      <c r="J366" s="184">
        <v>61.77</v>
      </c>
      <c r="K366" s="184">
        <v>28.33</v>
      </c>
      <c r="L366" s="184">
        <f t="shared" si="11"/>
        <v>2.4</v>
      </c>
      <c r="M366" s="194">
        <v>2.4E-2</v>
      </c>
      <c r="N366" s="185">
        <v>5</v>
      </c>
      <c r="O366" s="186">
        <f>'Trade Data'!D23</f>
        <v>0.34040677916778361</v>
      </c>
      <c r="P366" s="189">
        <v>1</v>
      </c>
      <c r="Q366" s="352"/>
      <c r="R366" s="352"/>
      <c r="S366" s="352"/>
      <c r="T366" s="352"/>
      <c r="U366" s="352"/>
      <c r="V366" s="352"/>
      <c r="W366" s="352"/>
      <c r="X366" s="352"/>
      <c r="Y366" s="352"/>
      <c r="Z366" s="352"/>
      <c r="AA366" s="352"/>
      <c r="AB366" s="352"/>
      <c r="AC366" s="352"/>
      <c r="AD366" s="352"/>
      <c r="AE366" s="352"/>
      <c r="AF366" s="352"/>
      <c r="AG366" s="352"/>
      <c r="AH366" s="352"/>
      <c r="AI366" s="352"/>
      <c r="AJ366" s="352"/>
      <c r="AK366" s="352"/>
      <c r="AL366" s="352"/>
      <c r="AM366" s="352"/>
      <c r="AN366" s="352"/>
      <c r="AO366" s="352"/>
      <c r="AP366" s="352"/>
      <c r="AQ366" s="352"/>
      <c r="AR366" s="352"/>
      <c r="AS366" s="352"/>
      <c r="AT366" s="352"/>
      <c r="AU366" s="352"/>
      <c r="AV366" s="352"/>
      <c r="AW366" s="352"/>
      <c r="AX366" s="352"/>
      <c r="AY366" s="352"/>
      <c r="AZ366" s="352"/>
      <c r="BA366" s="352"/>
      <c r="BB366" s="352"/>
      <c r="BC366" s="352"/>
      <c r="BD366" s="352"/>
      <c r="BE366" s="352"/>
      <c r="BF366" s="352"/>
      <c r="BG366" s="352"/>
      <c r="BH366" s="352"/>
      <c r="BI366" s="352"/>
      <c r="BJ366" s="352"/>
      <c r="BK366" s="352"/>
      <c r="BL366" s="352"/>
      <c r="BM366" s="352"/>
      <c r="BN366" s="352"/>
      <c r="BO366" s="352"/>
      <c r="BP366" s="352"/>
      <c r="BQ366" s="352"/>
      <c r="BR366" s="352"/>
      <c r="BS366" s="352"/>
      <c r="BT366" s="352"/>
      <c r="BU366" s="352"/>
      <c r="BV366" s="352"/>
      <c r="BW366" s="352"/>
      <c r="BX366" s="352"/>
      <c r="BY366" s="352"/>
      <c r="BZ366" s="352"/>
      <c r="CA366" s="352"/>
      <c r="CB366" s="352"/>
      <c r="CC366" s="352"/>
      <c r="CD366" s="352"/>
      <c r="CE366" s="352"/>
      <c r="CF366" s="352"/>
      <c r="CG366" s="352"/>
      <c r="CH366" s="352"/>
      <c r="CI366" s="352"/>
      <c r="CJ366" s="352"/>
      <c r="CK366" s="352"/>
      <c r="CL366" s="352"/>
      <c r="CM366" s="352"/>
      <c r="CN366" s="352"/>
      <c r="CO366" s="352"/>
      <c r="CP366" s="352"/>
      <c r="CQ366" s="352"/>
      <c r="CR366" s="352"/>
      <c r="CS366" s="352"/>
      <c r="CT366" s="352"/>
      <c r="CU366" s="352"/>
      <c r="CV366" s="352"/>
      <c r="CW366" s="352"/>
      <c r="CX366" s="352"/>
      <c r="CY366" s="352"/>
      <c r="CZ366" s="352"/>
      <c r="DA366" s="352"/>
      <c r="DB366" s="352"/>
      <c r="DC366" s="352"/>
      <c r="DD366" s="352"/>
      <c r="DE366" s="352"/>
      <c r="DF366" s="352"/>
      <c r="DG366" s="352"/>
      <c r="DH366" s="352"/>
      <c r="DI366" s="352"/>
      <c r="DJ366" s="352"/>
      <c r="DK366" s="352"/>
      <c r="DL366" s="352"/>
      <c r="DM366" s="352"/>
      <c r="DN366" s="352"/>
      <c r="DO366" s="352"/>
      <c r="DP366" s="352"/>
      <c r="DQ366" s="352"/>
      <c r="DR366" s="352"/>
      <c r="DS366" s="352"/>
      <c r="DT366" s="352"/>
      <c r="DU366" s="352"/>
      <c r="DV366" s="352"/>
      <c r="DW366" s="352"/>
      <c r="DX366" s="352"/>
      <c r="DY366" s="352"/>
      <c r="DZ366" s="352"/>
      <c r="EA366" s="352"/>
      <c r="EB366" s="352"/>
      <c r="EC366" s="352"/>
      <c r="ED366" s="352"/>
      <c r="EE366" s="352"/>
      <c r="EF366" s="352"/>
      <c r="EG366" s="352"/>
      <c r="EH366" s="352"/>
      <c r="EI366" s="352"/>
      <c r="EJ366" s="352"/>
      <c r="EK366" s="352"/>
      <c r="EL366" s="352"/>
      <c r="EM366" s="352"/>
      <c r="EN366" s="352"/>
    </row>
    <row r="367" spans="1:144" ht="20.100000000000001" customHeight="1">
      <c r="A367" s="118" t="s">
        <v>120</v>
      </c>
      <c r="B367" s="118" t="s">
        <v>524</v>
      </c>
      <c r="C367" s="119">
        <v>0</v>
      </c>
      <c r="D367" s="120">
        <f>'Sectors % GDP'!G30</f>
        <v>114251.371</v>
      </c>
      <c r="E367" s="120">
        <f t="shared" si="10"/>
        <v>0</v>
      </c>
      <c r="F367" s="123">
        <v>1</v>
      </c>
      <c r="G367" s="120">
        <v>4</v>
      </c>
      <c r="H367" s="122">
        <v>51.71</v>
      </c>
      <c r="I367" s="122">
        <v>65.58</v>
      </c>
      <c r="J367" s="123">
        <v>61.77</v>
      </c>
      <c r="K367" s="123">
        <v>28.33</v>
      </c>
      <c r="L367" s="123">
        <f t="shared" si="11"/>
        <v>2.4</v>
      </c>
      <c r="M367" s="134">
        <v>2.4E-2</v>
      </c>
      <c r="N367" s="124">
        <v>5</v>
      </c>
      <c r="O367" s="125">
        <f>'Trade Data'!D23</f>
        <v>0.34040677916778361</v>
      </c>
      <c r="P367" s="127">
        <v>1</v>
      </c>
      <c r="Q367" s="352"/>
      <c r="R367" s="352"/>
      <c r="S367" s="352"/>
      <c r="T367" s="352"/>
      <c r="U367" s="352"/>
      <c r="V367" s="352"/>
      <c r="W367" s="352"/>
      <c r="X367" s="352"/>
      <c r="Y367" s="352"/>
      <c r="Z367" s="352"/>
      <c r="AA367" s="352"/>
      <c r="AB367" s="352"/>
      <c r="AC367" s="352"/>
      <c r="AD367" s="352"/>
      <c r="AE367" s="352"/>
      <c r="AF367" s="352"/>
      <c r="AG367" s="352"/>
      <c r="AH367" s="352"/>
      <c r="AI367" s="352"/>
      <c r="AJ367" s="352"/>
      <c r="AK367" s="352"/>
      <c r="AL367" s="352"/>
      <c r="AM367" s="352"/>
      <c r="AN367" s="352"/>
      <c r="AO367" s="352"/>
      <c r="AP367" s="352"/>
      <c r="AQ367" s="352"/>
      <c r="AR367" s="352"/>
      <c r="AS367" s="352"/>
      <c r="AT367" s="352"/>
      <c r="AU367" s="352"/>
      <c r="AV367" s="352"/>
      <c r="AW367" s="352"/>
      <c r="AX367" s="352"/>
      <c r="AY367" s="352"/>
      <c r="AZ367" s="352"/>
      <c r="BA367" s="352"/>
      <c r="BB367" s="352"/>
      <c r="BC367" s="352"/>
      <c r="BD367" s="352"/>
      <c r="BE367" s="352"/>
      <c r="BF367" s="352"/>
      <c r="BG367" s="352"/>
      <c r="BH367" s="352"/>
      <c r="BI367" s="352"/>
      <c r="BJ367" s="352"/>
      <c r="BK367" s="352"/>
      <c r="BL367" s="352"/>
      <c r="BM367" s="352"/>
      <c r="BN367" s="352"/>
      <c r="BO367" s="352"/>
      <c r="BP367" s="352"/>
      <c r="BQ367" s="352"/>
      <c r="BR367" s="352"/>
      <c r="BS367" s="352"/>
      <c r="BT367" s="352"/>
      <c r="BU367" s="352"/>
      <c r="BV367" s="352"/>
      <c r="BW367" s="352"/>
      <c r="BX367" s="352"/>
      <c r="BY367" s="352"/>
      <c r="BZ367" s="352"/>
      <c r="CA367" s="352"/>
      <c r="CB367" s="352"/>
      <c r="CC367" s="352"/>
      <c r="CD367" s="352"/>
      <c r="CE367" s="352"/>
      <c r="CF367" s="352"/>
      <c r="CG367" s="352"/>
      <c r="CH367" s="352"/>
      <c r="CI367" s="352"/>
      <c r="CJ367" s="352"/>
      <c r="CK367" s="352"/>
      <c r="CL367" s="352"/>
      <c r="CM367" s="352"/>
      <c r="CN367" s="352"/>
      <c r="CO367" s="352"/>
      <c r="CP367" s="352"/>
      <c r="CQ367" s="352"/>
      <c r="CR367" s="352"/>
      <c r="CS367" s="352"/>
      <c r="CT367" s="352"/>
      <c r="CU367" s="352"/>
      <c r="CV367" s="352"/>
      <c r="CW367" s="352"/>
      <c r="CX367" s="352"/>
      <c r="CY367" s="352"/>
      <c r="CZ367" s="352"/>
      <c r="DA367" s="352"/>
      <c r="DB367" s="352"/>
      <c r="DC367" s="352"/>
      <c r="DD367" s="352"/>
      <c r="DE367" s="352"/>
      <c r="DF367" s="352"/>
      <c r="DG367" s="352"/>
      <c r="DH367" s="352"/>
      <c r="DI367" s="352"/>
      <c r="DJ367" s="352"/>
      <c r="DK367" s="352"/>
      <c r="DL367" s="352"/>
      <c r="DM367" s="352"/>
      <c r="DN367" s="352"/>
      <c r="DO367" s="352"/>
      <c r="DP367" s="352"/>
      <c r="DQ367" s="352"/>
      <c r="DR367" s="352"/>
      <c r="DS367" s="352"/>
      <c r="DT367" s="352"/>
      <c r="DU367" s="352"/>
      <c r="DV367" s="352"/>
      <c r="DW367" s="352"/>
      <c r="DX367" s="352"/>
      <c r="DY367" s="352"/>
      <c r="DZ367" s="352"/>
      <c r="EA367" s="352"/>
      <c r="EB367" s="352"/>
      <c r="EC367" s="352"/>
      <c r="ED367" s="352"/>
      <c r="EE367" s="352"/>
      <c r="EF367" s="352"/>
      <c r="EG367" s="352"/>
      <c r="EH367" s="352"/>
      <c r="EI367" s="352"/>
      <c r="EJ367" s="352"/>
      <c r="EK367" s="352"/>
      <c r="EL367" s="352"/>
      <c r="EM367" s="352"/>
      <c r="EN367" s="352"/>
    </row>
    <row r="368" spans="1:144" s="169" customFormat="1" ht="20.100000000000001" customHeight="1">
      <c r="A368" s="160" t="s">
        <v>121</v>
      </c>
      <c r="B368" s="160" t="s">
        <v>523</v>
      </c>
      <c r="C368" s="161">
        <v>0</v>
      </c>
      <c r="D368" s="162">
        <f>'Sectors % GDP'!G28</f>
        <v>14923.256000000001</v>
      </c>
      <c r="E368" s="162">
        <f t="shared" si="10"/>
        <v>0</v>
      </c>
      <c r="F368" s="165">
        <v>0</v>
      </c>
      <c r="G368" s="162">
        <v>0</v>
      </c>
      <c r="H368" s="164">
        <v>46.32</v>
      </c>
      <c r="I368" s="164">
        <v>53.74</v>
      </c>
      <c r="J368" s="165">
        <v>59.69</v>
      </c>
      <c r="K368" s="165">
        <v>28.33</v>
      </c>
      <c r="L368" s="165">
        <f t="shared" si="11"/>
        <v>3.3000000000000003</v>
      </c>
      <c r="M368" s="166">
        <v>3.3000000000000002E-2</v>
      </c>
      <c r="N368" s="166">
        <v>5.75</v>
      </c>
      <c r="O368" s="167">
        <f>'Trade Data'!F23</f>
        <v>0.35702986979301843</v>
      </c>
      <c r="P368" s="168">
        <v>0</v>
      </c>
      <c r="Q368" s="352"/>
      <c r="R368" s="352"/>
      <c r="S368" s="352"/>
      <c r="T368" s="352"/>
      <c r="U368" s="352"/>
      <c r="V368" s="352"/>
      <c r="W368" s="352"/>
      <c r="X368" s="352"/>
      <c r="Y368" s="352"/>
      <c r="Z368" s="352"/>
      <c r="AA368" s="352"/>
      <c r="AB368" s="352"/>
      <c r="AC368" s="352"/>
      <c r="AD368" s="352"/>
      <c r="AE368" s="352"/>
      <c r="AF368" s="352"/>
      <c r="AG368" s="352"/>
      <c r="AH368" s="352"/>
      <c r="AI368" s="352"/>
      <c r="AJ368" s="352"/>
      <c r="AK368" s="352"/>
      <c r="AL368" s="352"/>
      <c r="AM368" s="352"/>
      <c r="AN368" s="352"/>
      <c r="AO368" s="352"/>
      <c r="AP368" s="352"/>
      <c r="AQ368" s="352"/>
      <c r="AR368" s="352"/>
      <c r="AS368" s="352"/>
      <c r="AT368" s="352"/>
      <c r="AU368" s="352"/>
      <c r="AV368" s="352"/>
      <c r="AW368" s="352"/>
      <c r="AX368" s="352"/>
      <c r="AY368" s="352"/>
      <c r="AZ368" s="352"/>
      <c r="BA368" s="352"/>
      <c r="BB368" s="352"/>
      <c r="BC368" s="352"/>
      <c r="BD368" s="352"/>
      <c r="BE368" s="352"/>
      <c r="BF368" s="352"/>
      <c r="BG368" s="352"/>
      <c r="BH368" s="352"/>
      <c r="BI368" s="352"/>
      <c r="BJ368" s="352"/>
      <c r="BK368" s="352"/>
      <c r="BL368" s="352"/>
      <c r="BM368" s="352"/>
      <c r="BN368" s="352"/>
      <c r="BO368" s="352"/>
      <c r="BP368" s="352"/>
      <c r="BQ368" s="352"/>
      <c r="BR368" s="352"/>
      <c r="BS368" s="352"/>
      <c r="BT368" s="352"/>
      <c r="BU368" s="352"/>
      <c r="BV368" s="352"/>
      <c r="BW368" s="352"/>
      <c r="BX368" s="352"/>
      <c r="BY368" s="352"/>
      <c r="BZ368" s="352"/>
      <c r="CA368" s="352"/>
      <c r="CB368" s="352"/>
      <c r="CC368" s="352"/>
      <c r="CD368" s="352"/>
      <c r="CE368" s="352"/>
      <c r="CF368" s="352"/>
      <c r="CG368" s="352"/>
      <c r="CH368" s="352"/>
      <c r="CI368" s="352"/>
      <c r="CJ368" s="352"/>
      <c r="CK368" s="352"/>
      <c r="CL368" s="352"/>
      <c r="CM368" s="352"/>
      <c r="CN368" s="352"/>
      <c r="CO368" s="352"/>
      <c r="CP368" s="352"/>
      <c r="CQ368" s="352"/>
      <c r="CR368" s="352"/>
      <c r="CS368" s="352"/>
      <c r="CT368" s="352"/>
      <c r="CU368" s="352"/>
      <c r="CV368" s="352"/>
      <c r="CW368" s="352"/>
      <c r="CX368" s="352"/>
      <c r="CY368" s="352"/>
      <c r="CZ368" s="352"/>
      <c r="DA368" s="352"/>
      <c r="DB368" s="352"/>
      <c r="DC368" s="352"/>
      <c r="DD368" s="352"/>
      <c r="DE368" s="352"/>
      <c r="DF368" s="352"/>
      <c r="DG368" s="352"/>
      <c r="DH368" s="352"/>
      <c r="DI368" s="352"/>
      <c r="DJ368" s="352"/>
      <c r="DK368" s="352"/>
      <c r="DL368" s="352"/>
      <c r="DM368" s="352"/>
      <c r="DN368" s="352"/>
      <c r="DO368" s="352"/>
      <c r="DP368" s="352"/>
      <c r="DQ368" s="352"/>
      <c r="DR368" s="352"/>
      <c r="DS368" s="352"/>
      <c r="DT368" s="352"/>
      <c r="DU368" s="352"/>
      <c r="DV368" s="352"/>
      <c r="DW368" s="352"/>
      <c r="DX368" s="352"/>
      <c r="DY368" s="352"/>
      <c r="DZ368" s="352"/>
      <c r="EA368" s="352"/>
      <c r="EB368" s="352"/>
      <c r="EC368" s="352"/>
      <c r="ED368" s="352"/>
      <c r="EE368" s="352"/>
      <c r="EF368" s="352"/>
      <c r="EG368" s="352"/>
      <c r="EH368" s="352"/>
      <c r="EI368" s="352"/>
      <c r="EJ368" s="352"/>
      <c r="EK368" s="352"/>
      <c r="EL368" s="352"/>
      <c r="EM368" s="352"/>
      <c r="EN368" s="352"/>
    </row>
    <row r="369" spans="1:144" s="188" customFormat="1" ht="20.100000000000001" customHeight="1">
      <c r="A369" s="179" t="s">
        <v>121</v>
      </c>
      <c r="B369" s="179" t="s">
        <v>522</v>
      </c>
      <c r="C369" s="180">
        <f>SUM('Thomson Reuters IMA  ($)'!I725:I730)</f>
        <v>278.78800000000001</v>
      </c>
      <c r="D369" s="181">
        <f>'Sectors % GDP'!G29</f>
        <v>63135.373</v>
      </c>
      <c r="E369" s="181">
        <f t="shared" si="10"/>
        <v>4.4157179525968751E-3</v>
      </c>
      <c r="F369" s="184">
        <v>1</v>
      </c>
      <c r="G369" s="181">
        <v>10</v>
      </c>
      <c r="H369" s="183">
        <v>46.32</v>
      </c>
      <c r="I369" s="183">
        <v>53.74</v>
      </c>
      <c r="J369" s="184">
        <v>59.69</v>
      </c>
      <c r="K369" s="184">
        <v>28.33</v>
      </c>
      <c r="L369" s="184">
        <f t="shared" si="11"/>
        <v>3.3000000000000003</v>
      </c>
      <c r="M369" s="185">
        <v>3.3000000000000002E-2</v>
      </c>
      <c r="N369" s="185">
        <v>5.75</v>
      </c>
      <c r="O369" s="186">
        <f>'Trade Data'!F23</f>
        <v>0.35702986979301843</v>
      </c>
      <c r="P369" s="187">
        <v>1</v>
      </c>
      <c r="Q369" s="352"/>
      <c r="R369" s="352"/>
      <c r="S369" s="352"/>
      <c r="T369" s="352"/>
      <c r="U369" s="352"/>
      <c r="V369" s="352"/>
      <c r="W369" s="352"/>
      <c r="X369" s="352"/>
      <c r="Y369" s="352"/>
      <c r="Z369" s="352"/>
      <c r="AA369" s="352"/>
      <c r="AB369" s="352"/>
      <c r="AC369" s="352"/>
      <c r="AD369" s="352"/>
      <c r="AE369" s="352"/>
      <c r="AF369" s="352"/>
      <c r="AG369" s="352"/>
      <c r="AH369" s="352"/>
      <c r="AI369" s="352"/>
      <c r="AJ369" s="352"/>
      <c r="AK369" s="352"/>
      <c r="AL369" s="352"/>
      <c r="AM369" s="352"/>
      <c r="AN369" s="352"/>
      <c r="AO369" s="352"/>
      <c r="AP369" s="352"/>
      <c r="AQ369" s="352"/>
      <c r="AR369" s="352"/>
      <c r="AS369" s="352"/>
      <c r="AT369" s="352"/>
      <c r="AU369" s="352"/>
      <c r="AV369" s="352"/>
      <c r="AW369" s="352"/>
      <c r="AX369" s="352"/>
      <c r="AY369" s="352"/>
      <c r="AZ369" s="352"/>
      <c r="BA369" s="352"/>
      <c r="BB369" s="352"/>
      <c r="BC369" s="352"/>
      <c r="BD369" s="352"/>
      <c r="BE369" s="352"/>
      <c r="BF369" s="352"/>
      <c r="BG369" s="352"/>
      <c r="BH369" s="352"/>
      <c r="BI369" s="352"/>
      <c r="BJ369" s="352"/>
      <c r="BK369" s="352"/>
      <c r="BL369" s="352"/>
      <c r="BM369" s="352"/>
      <c r="BN369" s="352"/>
      <c r="BO369" s="352"/>
      <c r="BP369" s="352"/>
      <c r="BQ369" s="352"/>
      <c r="BR369" s="352"/>
      <c r="BS369" s="352"/>
      <c r="BT369" s="352"/>
      <c r="BU369" s="352"/>
      <c r="BV369" s="352"/>
      <c r="BW369" s="352"/>
      <c r="BX369" s="352"/>
      <c r="BY369" s="352"/>
      <c r="BZ369" s="352"/>
      <c r="CA369" s="352"/>
      <c r="CB369" s="352"/>
      <c r="CC369" s="352"/>
      <c r="CD369" s="352"/>
      <c r="CE369" s="352"/>
      <c r="CF369" s="352"/>
      <c r="CG369" s="352"/>
      <c r="CH369" s="352"/>
      <c r="CI369" s="352"/>
      <c r="CJ369" s="352"/>
      <c r="CK369" s="352"/>
      <c r="CL369" s="352"/>
      <c r="CM369" s="352"/>
      <c r="CN369" s="352"/>
      <c r="CO369" s="352"/>
      <c r="CP369" s="352"/>
      <c r="CQ369" s="352"/>
      <c r="CR369" s="352"/>
      <c r="CS369" s="352"/>
      <c r="CT369" s="352"/>
      <c r="CU369" s="352"/>
      <c r="CV369" s="352"/>
      <c r="CW369" s="352"/>
      <c r="CX369" s="352"/>
      <c r="CY369" s="352"/>
      <c r="CZ369" s="352"/>
      <c r="DA369" s="352"/>
      <c r="DB369" s="352"/>
      <c r="DC369" s="352"/>
      <c r="DD369" s="352"/>
      <c r="DE369" s="352"/>
      <c r="DF369" s="352"/>
      <c r="DG369" s="352"/>
      <c r="DH369" s="352"/>
      <c r="DI369" s="352"/>
      <c r="DJ369" s="352"/>
      <c r="DK369" s="352"/>
      <c r="DL369" s="352"/>
      <c r="DM369" s="352"/>
      <c r="DN369" s="352"/>
      <c r="DO369" s="352"/>
      <c r="DP369" s="352"/>
      <c r="DQ369" s="352"/>
      <c r="DR369" s="352"/>
      <c r="DS369" s="352"/>
      <c r="DT369" s="352"/>
      <c r="DU369" s="352"/>
      <c r="DV369" s="352"/>
      <c r="DW369" s="352"/>
      <c r="DX369" s="352"/>
      <c r="DY369" s="352"/>
      <c r="DZ369" s="352"/>
      <c r="EA369" s="352"/>
      <c r="EB369" s="352"/>
      <c r="EC369" s="352"/>
      <c r="ED369" s="352"/>
      <c r="EE369" s="352"/>
      <c r="EF369" s="352"/>
      <c r="EG369" s="352"/>
      <c r="EH369" s="352"/>
      <c r="EI369" s="352"/>
      <c r="EJ369" s="352"/>
      <c r="EK369" s="352"/>
      <c r="EL369" s="352"/>
      <c r="EM369" s="352"/>
      <c r="EN369" s="352"/>
    </row>
    <row r="370" spans="1:144" ht="20.100000000000001" customHeight="1">
      <c r="A370" s="118" t="s">
        <v>121</v>
      </c>
      <c r="B370" s="118" t="s">
        <v>521</v>
      </c>
      <c r="C370" s="119">
        <v>0</v>
      </c>
      <c r="D370" s="120">
        <f>'Sectors % GDP'!G30</f>
        <v>114251.371</v>
      </c>
      <c r="E370" s="120">
        <f t="shared" si="10"/>
        <v>0</v>
      </c>
      <c r="F370" s="123">
        <v>0</v>
      </c>
      <c r="G370" s="120">
        <v>0</v>
      </c>
      <c r="H370" s="122">
        <v>46.32</v>
      </c>
      <c r="I370" s="122">
        <v>53.74</v>
      </c>
      <c r="J370" s="123">
        <v>59.69</v>
      </c>
      <c r="K370" s="123">
        <v>28.33</v>
      </c>
      <c r="L370" s="123">
        <f t="shared" si="11"/>
        <v>3.3000000000000003</v>
      </c>
      <c r="M370" s="124">
        <v>3.3000000000000002E-2</v>
      </c>
      <c r="N370" s="124">
        <v>5.75</v>
      </c>
      <c r="O370" s="125">
        <f>'Trade Data'!F23</f>
        <v>0.35702986979301843</v>
      </c>
      <c r="P370" s="126">
        <v>1</v>
      </c>
      <c r="Q370" s="352"/>
      <c r="R370" s="352"/>
      <c r="S370" s="352"/>
      <c r="T370" s="352"/>
      <c r="U370" s="352"/>
      <c r="V370" s="352"/>
      <c r="W370" s="352"/>
      <c r="X370" s="352"/>
      <c r="Y370" s="352"/>
      <c r="Z370" s="352"/>
      <c r="AA370" s="352"/>
      <c r="AB370" s="352"/>
      <c r="AC370" s="352"/>
      <c r="AD370" s="352"/>
      <c r="AE370" s="352"/>
      <c r="AF370" s="352"/>
      <c r="AG370" s="352"/>
      <c r="AH370" s="352"/>
      <c r="AI370" s="352"/>
      <c r="AJ370" s="352"/>
      <c r="AK370" s="352"/>
      <c r="AL370" s="352"/>
      <c r="AM370" s="352"/>
      <c r="AN370" s="352"/>
      <c r="AO370" s="352"/>
      <c r="AP370" s="352"/>
      <c r="AQ370" s="352"/>
      <c r="AR370" s="352"/>
      <c r="AS370" s="352"/>
      <c r="AT370" s="352"/>
      <c r="AU370" s="352"/>
      <c r="AV370" s="352"/>
      <c r="AW370" s="352"/>
      <c r="AX370" s="352"/>
      <c r="AY370" s="352"/>
      <c r="AZ370" s="352"/>
      <c r="BA370" s="352"/>
      <c r="BB370" s="352"/>
      <c r="BC370" s="352"/>
      <c r="BD370" s="352"/>
      <c r="BE370" s="352"/>
      <c r="BF370" s="352"/>
      <c r="BG370" s="352"/>
      <c r="BH370" s="352"/>
      <c r="BI370" s="352"/>
      <c r="BJ370" s="352"/>
      <c r="BK370" s="352"/>
      <c r="BL370" s="352"/>
      <c r="BM370" s="352"/>
      <c r="BN370" s="352"/>
      <c r="BO370" s="352"/>
      <c r="BP370" s="352"/>
      <c r="BQ370" s="352"/>
      <c r="BR370" s="352"/>
      <c r="BS370" s="352"/>
      <c r="BT370" s="352"/>
      <c r="BU370" s="352"/>
      <c r="BV370" s="352"/>
      <c r="BW370" s="352"/>
      <c r="BX370" s="352"/>
      <c r="BY370" s="352"/>
      <c r="BZ370" s="352"/>
      <c r="CA370" s="352"/>
      <c r="CB370" s="352"/>
      <c r="CC370" s="352"/>
      <c r="CD370" s="352"/>
      <c r="CE370" s="352"/>
      <c r="CF370" s="352"/>
      <c r="CG370" s="352"/>
      <c r="CH370" s="352"/>
      <c r="CI370" s="352"/>
      <c r="CJ370" s="352"/>
      <c r="CK370" s="352"/>
      <c r="CL370" s="352"/>
      <c r="CM370" s="352"/>
      <c r="CN370" s="352"/>
      <c r="CO370" s="352"/>
      <c r="CP370" s="352"/>
      <c r="CQ370" s="352"/>
      <c r="CR370" s="352"/>
      <c r="CS370" s="352"/>
      <c r="CT370" s="352"/>
      <c r="CU370" s="352"/>
      <c r="CV370" s="352"/>
      <c r="CW370" s="352"/>
      <c r="CX370" s="352"/>
      <c r="CY370" s="352"/>
      <c r="CZ370" s="352"/>
      <c r="DA370" s="352"/>
      <c r="DB370" s="352"/>
      <c r="DC370" s="352"/>
      <c r="DD370" s="352"/>
      <c r="DE370" s="352"/>
      <c r="DF370" s="352"/>
      <c r="DG370" s="352"/>
      <c r="DH370" s="352"/>
      <c r="DI370" s="352"/>
      <c r="DJ370" s="352"/>
      <c r="DK370" s="352"/>
      <c r="DL370" s="352"/>
      <c r="DM370" s="352"/>
      <c r="DN370" s="352"/>
      <c r="DO370" s="352"/>
      <c r="DP370" s="352"/>
      <c r="DQ370" s="352"/>
      <c r="DR370" s="352"/>
      <c r="DS370" s="352"/>
      <c r="DT370" s="352"/>
      <c r="DU370" s="352"/>
      <c r="DV370" s="352"/>
      <c r="DW370" s="352"/>
      <c r="DX370" s="352"/>
      <c r="DY370" s="352"/>
      <c r="DZ370" s="352"/>
      <c r="EA370" s="352"/>
      <c r="EB370" s="352"/>
      <c r="EC370" s="352"/>
      <c r="ED370" s="352"/>
      <c r="EE370" s="352"/>
      <c r="EF370" s="352"/>
      <c r="EG370" s="352"/>
      <c r="EH370" s="352"/>
      <c r="EI370" s="352"/>
      <c r="EJ370" s="352"/>
      <c r="EK370" s="352"/>
      <c r="EL370" s="352"/>
      <c r="EM370" s="352"/>
      <c r="EN370" s="352"/>
    </row>
    <row r="371" spans="1:144" s="169" customFormat="1" ht="20.100000000000001" customHeight="1">
      <c r="A371" s="160" t="s">
        <v>122</v>
      </c>
      <c r="B371" s="160" t="s">
        <v>520</v>
      </c>
      <c r="C371" s="161">
        <v>0</v>
      </c>
      <c r="D371" s="162">
        <f>'Sectors % GDP'!G28</f>
        <v>14923.256000000001</v>
      </c>
      <c r="E371" s="162">
        <f t="shared" si="10"/>
        <v>0</v>
      </c>
      <c r="F371" s="165">
        <v>0</v>
      </c>
      <c r="G371" s="162">
        <v>0</v>
      </c>
      <c r="H371" s="164">
        <v>61.09</v>
      </c>
      <c r="I371" s="164">
        <v>86.41</v>
      </c>
      <c r="J371" s="165">
        <v>61.29</v>
      </c>
      <c r="K371" s="165">
        <v>28.33</v>
      </c>
      <c r="L371" s="165">
        <f t="shared" si="11"/>
        <v>3.3000000000000003</v>
      </c>
      <c r="M371" s="166">
        <v>3.3000000000000002E-2</v>
      </c>
      <c r="N371" s="166">
        <v>5.75</v>
      </c>
      <c r="O371" s="167">
        <f>'Trade Data'!F23</f>
        <v>0.35702986979301843</v>
      </c>
      <c r="P371" s="170">
        <v>0</v>
      </c>
      <c r="Q371" s="352"/>
      <c r="R371" s="352"/>
      <c r="S371" s="352"/>
      <c r="T371" s="352"/>
      <c r="U371" s="352"/>
      <c r="V371" s="352"/>
      <c r="W371" s="352"/>
      <c r="X371" s="352"/>
      <c r="Y371" s="352"/>
      <c r="Z371" s="352"/>
      <c r="AA371" s="352"/>
      <c r="AB371" s="352"/>
      <c r="AC371" s="352"/>
      <c r="AD371" s="352"/>
      <c r="AE371" s="352"/>
      <c r="AF371" s="352"/>
      <c r="AG371" s="352"/>
      <c r="AH371" s="352"/>
      <c r="AI371" s="352"/>
      <c r="AJ371" s="352"/>
      <c r="AK371" s="352"/>
      <c r="AL371" s="352"/>
      <c r="AM371" s="352"/>
      <c r="AN371" s="352"/>
      <c r="AO371" s="352"/>
      <c r="AP371" s="352"/>
      <c r="AQ371" s="352"/>
      <c r="AR371" s="352"/>
      <c r="AS371" s="352"/>
      <c r="AT371" s="352"/>
      <c r="AU371" s="352"/>
      <c r="AV371" s="352"/>
      <c r="AW371" s="352"/>
      <c r="AX371" s="352"/>
      <c r="AY371" s="352"/>
      <c r="AZ371" s="352"/>
      <c r="BA371" s="352"/>
      <c r="BB371" s="352"/>
      <c r="BC371" s="352"/>
      <c r="BD371" s="352"/>
      <c r="BE371" s="352"/>
      <c r="BF371" s="352"/>
      <c r="BG371" s="352"/>
      <c r="BH371" s="352"/>
      <c r="BI371" s="352"/>
      <c r="BJ371" s="352"/>
      <c r="BK371" s="352"/>
      <c r="BL371" s="352"/>
      <c r="BM371" s="352"/>
      <c r="BN371" s="352"/>
      <c r="BO371" s="352"/>
      <c r="BP371" s="352"/>
      <c r="BQ371" s="352"/>
      <c r="BR371" s="352"/>
      <c r="BS371" s="352"/>
      <c r="BT371" s="352"/>
      <c r="BU371" s="352"/>
      <c r="BV371" s="352"/>
      <c r="BW371" s="352"/>
      <c r="BX371" s="352"/>
      <c r="BY371" s="352"/>
      <c r="BZ371" s="352"/>
      <c r="CA371" s="352"/>
      <c r="CB371" s="352"/>
      <c r="CC371" s="352"/>
      <c r="CD371" s="352"/>
      <c r="CE371" s="352"/>
      <c r="CF371" s="352"/>
      <c r="CG371" s="352"/>
      <c r="CH371" s="352"/>
      <c r="CI371" s="352"/>
      <c r="CJ371" s="352"/>
      <c r="CK371" s="352"/>
      <c r="CL371" s="352"/>
      <c r="CM371" s="352"/>
      <c r="CN371" s="352"/>
      <c r="CO371" s="352"/>
      <c r="CP371" s="352"/>
      <c r="CQ371" s="352"/>
      <c r="CR371" s="352"/>
      <c r="CS371" s="352"/>
      <c r="CT371" s="352"/>
      <c r="CU371" s="352"/>
      <c r="CV371" s="352"/>
      <c r="CW371" s="352"/>
      <c r="CX371" s="352"/>
      <c r="CY371" s="352"/>
      <c r="CZ371" s="352"/>
      <c r="DA371" s="352"/>
      <c r="DB371" s="352"/>
      <c r="DC371" s="352"/>
      <c r="DD371" s="352"/>
      <c r="DE371" s="352"/>
      <c r="DF371" s="352"/>
      <c r="DG371" s="352"/>
      <c r="DH371" s="352"/>
      <c r="DI371" s="352"/>
      <c r="DJ371" s="352"/>
      <c r="DK371" s="352"/>
      <c r="DL371" s="352"/>
      <c r="DM371" s="352"/>
      <c r="DN371" s="352"/>
      <c r="DO371" s="352"/>
      <c r="DP371" s="352"/>
      <c r="DQ371" s="352"/>
      <c r="DR371" s="352"/>
      <c r="DS371" s="352"/>
      <c r="DT371" s="352"/>
      <c r="DU371" s="352"/>
      <c r="DV371" s="352"/>
      <c r="DW371" s="352"/>
      <c r="DX371" s="352"/>
      <c r="DY371" s="352"/>
      <c r="DZ371" s="352"/>
      <c r="EA371" s="352"/>
      <c r="EB371" s="352"/>
      <c r="EC371" s="352"/>
      <c r="ED371" s="352"/>
      <c r="EE371" s="352"/>
      <c r="EF371" s="352"/>
      <c r="EG371" s="352"/>
      <c r="EH371" s="352"/>
      <c r="EI371" s="352"/>
      <c r="EJ371" s="352"/>
      <c r="EK371" s="352"/>
      <c r="EL371" s="352"/>
      <c r="EM371" s="352"/>
      <c r="EN371" s="352"/>
    </row>
    <row r="372" spans="1:144" s="188" customFormat="1" ht="20.100000000000001" customHeight="1">
      <c r="A372" s="179" t="s">
        <v>122</v>
      </c>
      <c r="B372" s="179" t="s">
        <v>519</v>
      </c>
      <c r="C372" s="180">
        <f>'Thomson Reuters IMA  ($)'!I731</f>
        <v>3.2109999999999999</v>
      </c>
      <c r="D372" s="181">
        <f>'Sectors % GDP'!G29</f>
        <v>63135.373</v>
      </c>
      <c r="E372" s="181">
        <f t="shared" si="10"/>
        <v>5.085896934512448E-5</v>
      </c>
      <c r="F372" s="184">
        <v>1</v>
      </c>
      <c r="G372" s="181">
        <v>4</v>
      </c>
      <c r="H372" s="183">
        <v>61.09</v>
      </c>
      <c r="I372" s="183">
        <v>86.41</v>
      </c>
      <c r="J372" s="184">
        <v>61.29</v>
      </c>
      <c r="K372" s="184">
        <v>28.33</v>
      </c>
      <c r="L372" s="184">
        <f t="shared" si="11"/>
        <v>3.3000000000000003</v>
      </c>
      <c r="M372" s="185">
        <v>3.3000000000000002E-2</v>
      </c>
      <c r="N372" s="185">
        <v>5.75</v>
      </c>
      <c r="O372" s="186">
        <f>'Trade Data'!F23</f>
        <v>0.35702986979301843</v>
      </c>
      <c r="P372" s="189">
        <v>1</v>
      </c>
      <c r="Q372" s="352"/>
      <c r="R372" s="352"/>
      <c r="S372" s="352"/>
      <c r="T372" s="352"/>
      <c r="U372" s="352"/>
      <c r="V372" s="352"/>
      <c r="W372" s="352"/>
      <c r="X372" s="352"/>
      <c r="Y372" s="352"/>
      <c r="Z372" s="352"/>
      <c r="AA372" s="352"/>
      <c r="AB372" s="352"/>
      <c r="AC372" s="352"/>
      <c r="AD372" s="352"/>
      <c r="AE372" s="352"/>
      <c r="AF372" s="352"/>
      <c r="AG372" s="352"/>
      <c r="AH372" s="352"/>
      <c r="AI372" s="352"/>
      <c r="AJ372" s="352"/>
      <c r="AK372" s="352"/>
      <c r="AL372" s="352"/>
      <c r="AM372" s="352"/>
      <c r="AN372" s="352"/>
      <c r="AO372" s="352"/>
      <c r="AP372" s="352"/>
      <c r="AQ372" s="352"/>
      <c r="AR372" s="352"/>
      <c r="AS372" s="352"/>
      <c r="AT372" s="352"/>
      <c r="AU372" s="352"/>
      <c r="AV372" s="352"/>
      <c r="AW372" s="352"/>
      <c r="AX372" s="352"/>
      <c r="AY372" s="352"/>
      <c r="AZ372" s="352"/>
      <c r="BA372" s="352"/>
      <c r="BB372" s="352"/>
      <c r="BC372" s="352"/>
      <c r="BD372" s="352"/>
      <c r="BE372" s="352"/>
      <c r="BF372" s="352"/>
      <c r="BG372" s="352"/>
      <c r="BH372" s="352"/>
      <c r="BI372" s="352"/>
      <c r="BJ372" s="352"/>
      <c r="BK372" s="352"/>
      <c r="BL372" s="352"/>
      <c r="BM372" s="352"/>
      <c r="BN372" s="352"/>
      <c r="BO372" s="352"/>
      <c r="BP372" s="352"/>
      <c r="BQ372" s="352"/>
      <c r="BR372" s="352"/>
      <c r="BS372" s="352"/>
      <c r="BT372" s="352"/>
      <c r="BU372" s="352"/>
      <c r="BV372" s="352"/>
      <c r="BW372" s="352"/>
      <c r="BX372" s="352"/>
      <c r="BY372" s="352"/>
      <c r="BZ372" s="352"/>
      <c r="CA372" s="352"/>
      <c r="CB372" s="352"/>
      <c r="CC372" s="352"/>
      <c r="CD372" s="352"/>
      <c r="CE372" s="352"/>
      <c r="CF372" s="352"/>
      <c r="CG372" s="352"/>
      <c r="CH372" s="352"/>
      <c r="CI372" s="352"/>
      <c r="CJ372" s="352"/>
      <c r="CK372" s="352"/>
      <c r="CL372" s="352"/>
      <c r="CM372" s="352"/>
      <c r="CN372" s="352"/>
      <c r="CO372" s="352"/>
      <c r="CP372" s="352"/>
      <c r="CQ372" s="352"/>
      <c r="CR372" s="352"/>
      <c r="CS372" s="352"/>
      <c r="CT372" s="352"/>
      <c r="CU372" s="352"/>
      <c r="CV372" s="352"/>
      <c r="CW372" s="352"/>
      <c r="CX372" s="352"/>
      <c r="CY372" s="352"/>
      <c r="CZ372" s="352"/>
      <c r="DA372" s="352"/>
      <c r="DB372" s="352"/>
      <c r="DC372" s="352"/>
      <c r="DD372" s="352"/>
      <c r="DE372" s="352"/>
      <c r="DF372" s="352"/>
      <c r="DG372" s="352"/>
      <c r="DH372" s="352"/>
      <c r="DI372" s="352"/>
      <c r="DJ372" s="352"/>
      <c r="DK372" s="352"/>
      <c r="DL372" s="352"/>
      <c r="DM372" s="352"/>
      <c r="DN372" s="352"/>
      <c r="DO372" s="352"/>
      <c r="DP372" s="352"/>
      <c r="DQ372" s="352"/>
      <c r="DR372" s="352"/>
      <c r="DS372" s="352"/>
      <c r="DT372" s="352"/>
      <c r="DU372" s="352"/>
      <c r="DV372" s="352"/>
      <c r="DW372" s="352"/>
      <c r="DX372" s="352"/>
      <c r="DY372" s="352"/>
      <c r="DZ372" s="352"/>
      <c r="EA372" s="352"/>
      <c r="EB372" s="352"/>
      <c r="EC372" s="352"/>
      <c r="ED372" s="352"/>
      <c r="EE372" s="352"/>
      <c r="EF372" s="352"/>
      <c r="EG372" s="352"/>
      <c r="EH372" s="352"/>
      <c r="EI372" s="352"/>
      <c r="EJ372" s="352"/>
      <c r="EK372" s="352"/>
      <c r="EL372" s="352"/>
      <c r="EM372" s="352"/>
      <c r="EN372" s="352"/>
    </row>
    <row r="373" spans="1:144" ht="20.100000000000001" customHeight="1">
      <c r="A373" s="118" t="s">
        <v>122</v>
      </c>
      <c r="B373" s="118" t="s">
        <v>518</v>
      </c>
      <c r="C373" s="119">
        <v>0</v>
      </c>
      <c r="D373" s="120">
        <f>'Sectors % GDP'!G30</f>
        <v>114251.371</v>
      </c>
      <c r="E373" s="120">
        <f t="shared" si="10"/>
        <v>0</v>
      </c>
      <c r="F373" s="123">
        <v>1</v>
      </c>
      <c r="G373" s="120">
        <v>5</v>
      </c>
      <c r="H373" s="122">
        <v>61.09</v>
      </c>
      <c r="I373" s="122">
        <v>86.41</v>
      </c>
      <c r="J373" s="123">
        <v>61.29</v>
      </c>
      <c r="K373" s="123">
        <v>28.33</v>
      </c>
      <c r="L373" s="123">
        <f t="shared" si="11"/>
        <v>3.3000000000000003</v>
      </c>
      <c r="M373" s="124">
        <v>3.3000000000000002E-2</v>
      </c>
      <c r="N373" s="124">
        <v>5.75</v>
      </c>
      <c r="O373" s="125">
        <f>'Trade Data'!F23</f>
        <v>0.35702986979301843</v>
      </c>
      <c r="P373" s="127">
        <v>1</v>
      </c>
      <c r="Q373" s="352"/>
      <c r="R373" s="352"/>
      <c r="S373" s="352"/>
      <c r="T373" s="352"/>
      <c r="U373" s="352"/>
      <c r="V373" s="352"/>
      <c r="W373" s="352"/>
      <c r="X373" s="352"/>
      <c r="Y373" s="352"/>
      <c r="Z373" s="352"/>
      <c r="AA373" s="352"/>
      <c r="AB373" s="352"/>
      <c r="AC373" s="352"/>
      <c r="AD373" s="352"/>
      <c r="AE373" s="352"/>
      <c r="AF373" s="352"/>
      <c r="AG373" s="352"/>
      <c r="AH373" s="352"/>
      <c r="AI373" s="352"/>
      <c r="AJ373" s="352"/>
      <c r="AK373" s="352"/>
      <c r="AL373" s="352"/>
      <c r="AM373" s="352"/>
      <c r="AN373" s="352"/>
      <c r="AO373" s="352"/>
      <c r="AP373" s="352"/>
      <c r="AQ373" s="352"/>
      <c r="AR373" s="352"/>
      <c r="AS373" s="352"/>
      <c r="AT373" s="352"/>
      <c r="AU373" s="352"/>
      <c r="AV373" s="352"/>
      <c r="AW373" s="352"/>
      <c r="AX373" s="352"/>
      <c r="AY373" s="352"/>
      <c r="AZ373" s="352"/>
      <c r="BA373" s="352"/>
      <c r="BB373" s="352"/>
      <c r="BC373" s="352"/>
      <c r="BD373" s="352"/>
      <c r="BE373" s="352"/>
      <c r="BF373" s="352"/>
      <c r="BG373" s="352"/>
      <c r="BH373" s="352"/>
      <c r="BI373" s="352"/>
      <c r="BJ373" s="352"/>
      <c r="BK373" s="352"/>
      <c r="BL373" s="352"/>
      <c r="BM373" s="352"/>
      <c r="BN373" s="352"/>
      <c r="BO373" s="352"/>
      <c r="BP373" s="352"/>
      <c r="BQ373" s="352"/>
      <c r="BR373" s="352"/>
      <c r="BS373" s="352"/>
      <c r="BT373" s="352"/>
      <c r="BU373" s="352"/>
      <c r="BV373" s="352"/>
      <c r="BW373" s="352"/>
      <c r="BX373" s="352"/>
      <c r="BY373" s="352"/>
      <c r="BZ373" s="352"/>
      <c r="CA373" s="352"/>
      <c r="CB373" s="352"/>
      <c r="CC373" s="352"/>
      <c r="CD373" s="352"/>
      <c r="CE373" s="352"/>
      <c r="CF373" s="352"/>
      <c r="CG373" s="352"/>
      <c r="CH373" s="352"/>
      <c r="CI373" s="352"/>
      <c r="CJ373" s="352"/>
      <c r="CK373" s="352"/>
      <c r="CL373" s="352"/>
      <c r="CM373" s="352"/>
      <c r="CN373" s="352"/>
      <c r="CO373" s="352"/>
      <c r="CP373" s="352"/>
      <c r="CQ373" s="352"/>
      <c r="CR373" s="352"/>
      <c r="CS373" s="352"/>
      <c r="CT373" s="352"/>
      <c r="CU373" s="352"/>
      <c r="CV373" s="352"/>
      <c r="CW373" s="352"/>
      <c r="CX373" s="352"/>
      <c r="CY373" s="352"/>
      <c r="CZ373" s="352"/>
      <c r="DA373" s="352"/>
      <c r="DB373" s="352"/>
      <c r="DC373" s="352"/>
      <c r="DD373" s="352"/>
      <c r="DE373" s="352"/>
      <c r="DF373" s="352"/>
      <c r="DG373" s="352"/>
      <c r="DH373" s="352"/>
      <c r="DI373" s="352"/>
      <c r="DJ373" s="352"/>
      <c r="DK373" s="352"/>
      <c r="DL373" s="352"/>
      <c r="DM373" s="352"/>
      <c r="DN373" s="352"/>
      <c r="DO373" s="352"/>
      <c r="DP373" s="352"/>
      <c r="DQ373" s="352"/>
      <c r="DR373" s="352"/>
      <c r="DS373" s="352"/>
      <c r="DT373" s="352"/>
      <c r="DU373" s="352"/>
      <c r="DV373" s="352"/>
      <c r="DW373" s="352"/>
      <c r="DX373" s="352"/>
      <c r="DY373" s="352"/>
      <c r="DZ373" s="352"/>
      <c r="EA373" s="352"/>
      <c r="EB373" s="352"/>
      <c r="EC373" s="352"/>
      <c r="ED373" s="352"/>
      <c r="EE373" s="352"/>
      <c r="EF373" s="352"/>
      <c r="EG373" s="352"/>
      <c r="EH373" s="352"/>
      <c r="EI373" s="352"/>
      <c r="EJ373" s="352"/>
      <c r="EK373" s="352"/>
      <c r="EL373" s="352"/>
      <c r="EM373" s="352"/>
      <c r="EN373" s="352"/>
    </row>
    <row r="374" spans="1:144" s="169" customFormat="1" ht="20.100000000000001" customHeight="1">
      <c r="A374" s="160" t="s">
        <v>123</v>
      </c>
      <c r="B374" s="160" t="s">
        <v>517</v>
      </c>
      <c r="C374" s="161">
        <v>0</v>
      </c>
      <c r="D374" s="162">
        <f>'Sectors % GDP'!G28</f>
        <v>14923.256000000001</v>
      </c>
      <c r="E374" s="162">
        <f t="shared" si="10"/>
        <v>0</v>
      </c>
      <c r="F374" s="165">
        <v>0</v>
      </c>
      <c r="G374" s="162">
        <v>0</v>
      </c>
      <c r="H374" s="164">
        <v>46.72</v>
      </c>
      <c r="I374" s="164">
        <v>53.75</v>
      </c>
      <c r="J374" s="165">
        <v>61.3</v>
      </c>
      <c r="K374" s="165">
        <v>28.33</v>
      </c>
      <c r="L374" s="165">
        <f t="shared" si="11"/>
        <v>3.3000000000000003</v>
      </c>
      <c r="M374" s="166">
        <v>3.3000000000000002E-2</v>
      </c>
      <c r="N374" s="166">
        <v>5.75</v>
      </c>
      <c r="O374" s="167">
        <f>'Trade Data'!F23</f>
        <v>0.35702986979301843</v>
      </c>
      <c r="P374" s="168">
        <v>0</v>
      </c>
      <c r="Q374" s="352"/>
      <c r="R374" s="352"/>
      <c r="S374" s="352"/>
      <c r="T374" s="352"/>
      <c r="U374" s="352"/>
      <c r="V374" s="352"/>
      <c r="W374" s="352"/>
      <c r="X374" s="352"/>
      <c r="Y374" s="352"/>
      <c r="Z374" s="352"/>
      <c r="AA374" s="352"/>
      <c r="AB374" s="352"/>
      <c r="AC374" s="352"/>
      <c r="AD374" s="352"/>
      <c r="AE374" s="352"/>
      <c r="AF374" s="352"/>
      <c r="AG374" s="352"/>
      <c r="AH374" s="352"/>
      <c r="AI374" s="352"/>
      <c r="AJ374" s="352"/>
      <c r="AK374" s="352"/>
      <c r="AL374" s="352"/>
      <c r="AM374" s="352"/>
      <c r="AN374" s="352"/>
      <c r="AO374" s="352"/>
      <c r="AP374" s="352"/>
      <c r="AQ374" s="352"/>
      <c r="AR374" s="352"/>
      <c r="AS374" s="352"/>
      <c r="AT374" s="352"/>
      <c r="AU374" s="352"/>
      <c r="AV374" s="352"/>
      <c r="AW374" s="352"/>
      <c r="AX374" s="352"/>
      <c r="AY374" s="352"/>
      <c r="AZ374" s="352"/>
      <c r="BA374" s="352"/>
      <c r="BB374" s="352"/>
      <c r="BC374" s="352"/>
      <c r="BD374" s="352"/>
      <c r="BE374" s="352"/>
      <c r="BF374" s="352"/>
      <c r="BG374" s="352"/>
      <c r="BH374" s="352"/>
      <c r="BI374" s="352"/>
      <c r="BJ374" s="352"/>
      <c r="BK374" s="352"/>
      <c r="BL374" s="352"/>
      <c r="BM374" s="352"/>
      <c r="BN374" s="352"/>
      <c r="BO374" s="352"/>
      <c r="BP374" s="352"/>
      <c r="BQ374" s="352"/>
      <c r="BR374" s="352"/>
      <c r="BS374" s="352"/>
      <c r="BT374" s="352"/>
      <c r="BU374" s="352"/>
      <c r="BV374" s="352"/>
      <c r="BW374" s="352"/>
      <c r="BX374" s="352"/>
      <c r="BY374" s="352"/>
      <c r="BZ374" s="352"/>
      <c r="CA374" s="352"/>
      <c r="CB374" s="352"/>
      <c r="CC374" s="352"/>
      <c r="CD374" s="352"/>
      <c r="CE374" s="352"/>
      <c r="CF374" s="352"/>
      <c r="CG374" s="352"/>
      <c r="CH374" s="352"/>
      <c r="CI374" s="352"/>
      <c r="CJ374" s="352"/>
      <c r="CK374" s="352"/>
      <c r="CL374" s="352"/>
      <c r="CM374" s="352"/>
      <c r="CN374" s="352"/>
      <c r="CO374" s="352"/>
      <c r="CP374" s="352"/>
      <c r="CQ374" s="352"/>
      <c r="CR374" s="352"/>
      <c r="CS374" s="352"/>
      <c r="CT374" s="352"/>
      <c r="CU374" s="352"/>
      <c r="CV374" s="352"/>
      <c r="CW374" s="352"/>
      <c r="CX374" s="352"/>
      <c r="CY374" s="352"/>
      <c r="CZ374" s="352"/>
      <c r="DA374" s="352"/>
      <c r="DB374" s="352"/>
      <c r="DC374" s="352"/>
      <c r="DD374" s="352"/>
      <c r="DE374" s="352"/>
      <c r="DF374" s="352"/>
      <c r="DG374" s="352"/>
      <c r="DH374" s="352"/>
      <c r="DI374" s="352"/>
      <c r="DJ374" s="352"/>
      <c r="DK374" s="352"/>
      <c r="DL374" s="352"/>
      <c r="DM374" s="352"/>
      <c r="DN374" s="352"/>
      <c r="DO374" s="352"/>
      <c r="DP374" s="352"/>
      <c r="DQ374" s="352"/>
      <c r="DR374" s="352"/>
      <c r="DS374" s="352"/>
      <c r="DT374" s="352"/>
      <c r="DU374" s="352"/>
      <c r="DV374" s="352"/>
      <c r="DW374" s="352"/>
      <c r="DX374" s="352"/>
      <c r="DY374" s="352"/>
      <c r="DZ374" s="352"/>
      <c r="EA374" s="352"/>
      <c r="EB374" s="352"/>
      <c r="EC374" s="352"/>
      <c r="ED374" s="352"/>
      <c r="EE374" s="352"/>
      <c r="EF374" s="352"/>
      <c r="EG374" s="352"/>
      <c r="EH374" s="352"/>
      <c r="EI374" s="352"/>
      <c r="EJ374" s="352"/>
      <c r="EK374" s="352"/>
      <c r="EL374" s="352"/>
      <c r="EM374" s="352"/>
      <c r="EN374" s="352"/>
    </row>
    <row r="375" spans="1:144" s="188" customFormat="1" ht="20.100000000000001" customHeight="1">
      <c r="A375" s="179" t="s">
        <v>123</v>
      </c>
      <c r="B375" s="179" t="s">
        <v>516</v>
      </c>
      <c r="C375" s="180">
        <v>0</v>
      </c>
      <c r="D375" s="181">
        <f>'Sectors % GDP'!G29</f>
        <v>63135.373</v>
      </c>
      <c r="E375" s="181">
        <f t="shared" si="10"/>
        <v>0</v>
      </c>
      <c r="F375" s="184">
        <v>0</v>
      </c>
      <c r="G375" s="181">
        <v>0</v>
      </c>
      <c r="H375" s="183">
        <v>46.72</v>
      </c>
      <c r="I375" s="183">
        <v>53.75</v>
      </c>
      <c r="J375" s="184">
        <v>61.3</v>
      </c>
      <c r="K375" s="184">
        <v>28.33</v>
      </c>
      <c r="L375" s="184">
        <f t="shared" si="11"/>
        <v>3.3000000000000003</v>
      </c>
      <c r="M375" s="185">
        <v>3.3000000000000002E-2</v>
      </c>
      <c r="N375" s="185">
        <v>5.75</v>
      </c>
      <c r="O375" s="186">
        <f>'Trade Data'!F23</f>
        <v>0.35702986979301843</v>
      </c>
      <c r="P375" s="187">
        <v>1</v>
      </c>
      <c r="Q375" s="352"/>
      <c r="R375" s="352"/>
      <c r="S375" s="352"/>
      <c r="T375" s="352"/>
      <c r="U375" s="352"/>
      <c r="V375" s="352"/>
      <c r="W375" s="352"/>
      <c r="X375" s="352"/>
      <c r="Y375" s="352"/>
      <c r="Z375" s="352"/>
      <c r="AA375" s="352"/>
      <c r="AB375" s="352"/>
      <c r="AC375" s="352"/>
      <c r="AD375" s="352"/>
      <c r="AE375" s="352"/>
      <c r="AF375" s="352"/>
      <c r="AG375" s="352"/>
      <c r="AH375" s="352"/>
      <c r="AI375" s="352"/>
      <c r="AJ375" s="352"/>
      <c r="AK375" s="352"/>
      <c r="AL375" s="352"/>
      <c r="AM375" s="352"/>
      <c r="AN375" s="352"/>
      <c r="AO375" s="352"/>
      <c r="AP375" s="352"/>
      <c r="AQ375" s="352"/>
      <c r="AR375" s="352"/>
      <c r="AS375" s="352"/>
      <c r="AT375" s="352"/>
      <c r="AU375" s="352"/>
      <c r="AV375" s="352"/>
      <c r="AW375" s="352"/>
      <c r="AX375" s="352"/>
      <c r="AY375" s="352"/>
      <c r="AZ375" s="352"/>
      <c r="BA375" s="352"/>
      <c r="BB375" s="352"/>
      <c r="BC375" s="352"/>
      <c r="BD375" s="352"/>
      <c r="BE375" s="352"/>
      <c r="BF375" s="352"/>
      <c r="BG375" s="352"/>
      <c r="BH375" s="352"/>
      <c r="BI375" s="352"/>
      <c r="BJ375" s="352"/>
      <c r="BK375" s="352"/>
      <c r="BL375" s="352"/>
      <c r="BM375" s="352"/>
      <c r="BN375" s="352"/>
      <c r="BO375" s="352"/>
      <c r="BP375" s="352"/>
      <c r="BQ375" s="352"/>
      <c r="BR375" s="352"/>
      <c r="BS375" s="352"/>
      <c r="BT375" s="352"/>
      <c r="BU375" s="352"/>
      <c r="BV375" s="352"/>
      <c r="BW375" s="352"/>
      <c r="BX375" s="352"/>
      <c r="BY375" s="352"/>
      <c r="BZ375" s="352"/>
      <c r="CA375" s="352"/>
      <c r="CB375" s="352"/>
      <c r="CC375" s="352"/>
      <c r="CD375" s="352"/>
      <c r="CE375" s="352"/>
      <c r="CF375" s="352"/>
      <c r="CG375" s="352"/>
      <c r="CH375" s="352"/>
      <c r="CI375" s="352"/>
      <c r="CJ375" s="352"/>
      <c r="CK375" s="352"/>
      <c r="CL375" s="352"/>
      <c r="CM375" s="352"/>
      <c r="CN375" s="352"/>
      <c r="CO375" s="352"/>
      <c r="CP375" s="352"/>
      <c r="CQ375" s="352"/>
      <c r="CR375" s="352"/>
      <c r="CS375" s="352"/>
      <c r="CT375" s="352"/>
      <c r="CU375" s="352"/>
      <c r="CV375" s="352"/>
      <c r="CW375" s="352"/>
      <c r="CX375" s="352"/>
      <c r="CY375" s="352"/>
      <c r="CZ375" s="352"/>
      <c r="DA375" s="352"/>
      <c r="DB375" s="352"/>
      <c r="DC375" s="352"/>
      <c r="DD375" s="352"/>
      <c r="DE375" s="352"/>
      <c r="DF375" s="352"/>
      <c r="DG375" s="352"/>
      <c r="DH375" s="352"/>
      <c r="DI375" s="352"/>
      <c r="DJ375" s="352"/>
      <c r="DK375" s="352"/>
      <c r="DL375" s="352"/>
      <c r="DM375" s="352"/>
      <c r="DN375" s="352"/>
      <c r="DO375" s="352"/>
      <c r="DP375" s="352"/>
      <c r="DQ375" s="352"/>
      <c r="DR375" s="352"/>
      <c r="DS375" s="352"/>
      <c r="DT375" s="352"/>
      <c r="DU375" s="352"/>
      <c r="DV375" s="352"/>
      <c r="DW375" s="352"/>
      <c r="DX375" s="352"/>
      <c r="DY375" s="352"/>
      <c r="DZ375" s="352"/>
      <c r="EA375" s="352"/>
      <c r="EB375" s="352"/>
      <c r="EC375" s="352"/>
      <c r="ED375" s="352"/>
      <c r="EE375" s="352"/>
      <c r="EF375" s="352"/>
      <c r="EG375" s="352"/>
      <c r="EH375" s="352"/>
      <c r="EI375" s="352"/>
      <c r="EJ375" s="352"/>
      <c r="EK375" s="352"/>
      <c r="EL375" s="352"/>
      <c r="EM375" s="352"/>
      <c r="EN375" s="352"/>
    </row>
    <row r="376" spans="1:144" ht="20.100000000000001" customHeight="1">
      <c r="A376" s="118" t="s">
        <v>123</v>
      </c>
      <c r="B376" s="118" t="s">
        <v>515</v>
      </c>
      <c r="C376" s="119">
        <v>0</v>
      </c>
      <c r="D376" s="120">
        <f>'Sectors % GDP'!G30</f>
        <v>114251.371</v>
      </c>
      <c r="E376" s="120">
        <f t="shared" si="10"/>
        <v>0</v>
      </c>
      <c r="F376" s="123">
        <v>0</v>
      </c>
      <c r="G376" s="120">
        <v>0</v>
      </c>
      <c r="H376" s="122">
        <v>46.72</v>
      </c>
      <c r="I376" s="122">
        <v>53.75</v>
      </c>
      <c r="J376" s="123">
        <v>61.3</v>
      </c>
      <c r="K376" s="123">
        <v>28.33</v>
      </c>
      <c r="L376" s="123">
        <f t="shared" si="11"/>
        <v>3.3000000000000003</v>
      </c>
      <c r="M376" s="124">
        <v>3.3000000000000002E-2</v>
      </c>
      <c r="N376" s="124">
        <v>5.75</v>
      </c>
      <c r="O376" s="125">
        <f>'Trade Data'!F23</f>
        <v>0.35702986979301843</v>
      </c>
      <c r="P376" s="126">
        <v>1</v>
      </c>
      <c r="Q376" s="352"/>
      <c r="R376" s="352"/>
      <c r="S376" s="352"/>
      <c r="T376" s="352"/>
      <c r="U376" s="352"/>
      <c r="V376" s="352"/>
      <c r="W376" s="352"/>
      <c r="X376" s="352"/>
      <c r="Y376" s="352"/>
      <c r="Z376" s="352"/>
      <c r="AA376" s="352"/>
      <c r="AB376" s="352"/>
      <c r="AC376" s="352"/>
      <c r="AD376" s="352"/>
      <c r="AE376" s="352"/>
      <c r="AF376" s="352"/>
      <c r="AG376" s="352"/>
      <c r="AH376" s="352"/>
      <c r="AI376" s="352"/>
      <c r="AJ376" s="352"/>
      <c r="AK376" s="352"/>
      <c r="AL376" s="352"/>
      <c r="AM376" s="352"/>
      <c r="AN376" s="352"/>
      <c r="AO376" s="352"/>
      <c r="AP376" s="352"/>
      <c r="AQ376" s="352"/>
      <c r="AR376" s="352"/>
      <c r="AS376" s="352"/>
      <c r="AT376" s="352"/>
      <c r="AU376" s="352"/>
      <c r="AV376" s="352"/>
      <c r="AW376" s="352"/>
      <c r="AX376" s="352"/>
      <c r="AY376" s="352"/>
      <c r="AZ376" s="352"/>
      <c r="BA376" s="352"/>
      <c r="BB376" s="352"/>
      <c r="BC376" s="352"/>
      <c r="BD376" s="352"/>
      <c r="BE376" s="352"/>
      <c r="BF376" s="352"/>
      <c r="BG376" s="352"/>
      <c r="BH376" s="352"/>
      <c r="BI376" s="352"/>
      <c r="BJ376" s="352"/>
      <c r="BK376" s="352"/>
      <c r="BL376" s="352"/>
      <c r="BM376" s="352"/>
      <c r="BN376" s="352"/>
      <c r="BO376" s="352"/>
      <c r="BP376" s="352"/>
      <c r="BQ376" s="352"/>
      <c r="BR376" s="352"/>
      <c r="BS376" s="352"/>
      <c r="BT376" s="352"/>
      <c r="BU376" s="352"/>
      <c r="BV376" s="352"/>
      <c r="BW376" s="352"/>
      <c r="BX376" s="352"/>
      <c r="BY376" s="352"/>
      <c r="BZ376" s="352"/>
      <c r="CA376" s="352"/>
      <c r="CB376" s="352"/>
      <c r="CC376" s="352"/>
      <c r="CD376" s="352"/>
      <c r="CE376" s="352"/>
      <c r="CF376" s="352"/>
      <c r="CG376" s="352"/>
      <c r="CH376" s="352"/>
      <c r="CI376" s="352"/>
      <c r="CJ376" s="352"/>
      <c r="CK376" s="352"/>
      <c r="CL376" s="352"/>
      <c r="CM376" s="352"/>
      <c r="CN376" s="352"/>
      <c r="CO376" s="352"/>
      <c r="CP376" s="352"/>
      <c r="CQ376" s="352"/>
      <c r="CR376" s="352"/>
      <c r="CS376" s="352"/>
      <c r="CT376" s="352"/>
      <c r="CU376" s="352"/>
      <c r="CV376" s="352"/>
      <c r="CW376" s="352"/>
      <c r="CX376" s="352"/>
      <c r="CY376" s="352"/>
      <c r="CZ376" s="352"/>
      <c r="DA376" s="352"/>
      <c r="DB376" s="352"/>
      <c r="DC376" s="352"/>
      <c r="DD376" s="352"/>
      <c r="DE376" s="352"/>
      <c r="DF376" s="352"/>
      <c r="DG376" s="352"/>
      <c r="DH376" s="352"/>
      <c r="DI376" s="352"/>
      <c r="DJ376" s="352"/>
      <c r="DK376" s="352"/>
      <c r="DL376" s="352"/>
      <c r="DM376" s="352"/>
      <c r="DN376" s="352"/>
      <c r="DO376" s="352"/>
      <c r="DP376" s="352"/>
      <c r="DQ376" s="352"/>
      <c r="DR376" s="352"/>
      <c r="DS376" s="352"/>
      <c r="DT376" s="352"/>
      <c r="DU376" s="352"/>
      <c r="DV376" s="352"/>
      <c r="DW376" s="352"/>
      <c r="DX376" s="352"/>
      <c r="DY376" s="352"/>
      <c r="DZ376" s="352"/>
      <c r="EA376" s="352"/>
      <c r="EB376" s="352"/>
      <c r="EC376" s="352"/>
      <c r="ED376" s="352"/>
      <c r="EE376" s="352"/>
      <c r="EF376" s="352"/>
      <c r="EG376" s="352"/>
      <c r="EH376" s="352"/>
      <c r="EI376" s="352"/>
      <c r="EJ376" s="352"/>
      <c r="EK376" s="352"/>
      <c r="EL376" s="352"/>
      <c r="EM376" s="352"/>
      <c r="EN376" s="352"/>
    </row>
    <row r="377" spans="1:144" s="169" customFormat="1" ht="20.100000000000001" customHeight="1">
      <c r="A377" s="160" t="s">
        <v>124</v>
      </c>
      <c r="B377" s="160" t="s">
        <v>514</v>
      </c>
      <c r="C377" s="161">
        <v>0</v>
      </c>
      <c r="D377" s="162">
        <f>'Sectors % GDP'!I28</f>
        <v>14647.5</v>
      </c>
      <c r="E377" s="162">
        <f t="shared" si="10"/>
        <v>0</v>
      </c>
      <c r="F377" s="165">
        <v>0</v>
      </c>
      <c r="G377" s="162">
        <v>0</v>
      </c>
      <c r="H377" s="164">
        <v>53.62</v>
      </c>
      <c r="I377" s="164">
        <v>66.680000000000007</v>
      </c>
      <c r="J377" s="165">
        <v>67.8</v>
      </c>
      <c r="K377" s="165">
        <v>26.34</v>
      </c>
      <c r="L377" s="165">
        <f t="shared" si="11"/>
        <v>3.3000000000000003</v>
      </c>
      <c r="M377" s="166">
        <v>3.3000000000000002E-2</v>
      </c>
      <c r="N377" s="166">
        <v>5.75</v>
      </c>
      <c r="O377" s="167">
        <f>'Trade Data'!F23</f>
        <v>0.35702986979301843</v>
      </c>
      <c r="P377" s="170">
        <v>0</v>
      </c>
      <c r="Q377" s="352"/>
      <c r="R377" s="352"/>
      <c r="S377" s="352"/>
      <c r="T377" s="352"/>
      <c r="U377" s="352"/>
      <c r="V377" s="352"/>
      <c r="W377" s="352"/>
      <c r="X377" s="352"/>
      <c r="Y377" s="352"/>
      <c r="Z377" s="352"/>
      <c r="AA377" s="352"/>
      <c r="AB377" s="352"/>
      <c r="AC377" s="352"/>
      <c r="AD377" s="352"/>
      <c r="AE377" s="352"/>
      <c r="AF377" s="352"/>
      <c r="AG377" s="352"/>
      <c r="AH377" s="352"/>
      <c r="AI377" s="352"/>
      <c r="AJ377" s="352"/>
      <c r="AK377" s="352"/>
      <c r="AL377" s="352"/>
      <c r="AM377" s="352"/>
      <c r="AN377" s="352"/>
      <c r="AO377" s="352"/>
      <c r="AP377" s="352"/>
      <c r="AQ377" s="352"/>
      <c r="AR377" s="352"/>
      <c r="AS377" s="352"/>
      <c r="AT377" s="352"/>
      <c r="AU377" s="352"/>
      <c r="AV377" s="352"/>
      <c r="AW377" s="352"/>
      <c r="AX377" s="352"/>
      <c r="AY377" s="352"/>
      <c r="AZ377" s="352"/>
      <c r="BA377" s="352"/>
      <c r="BB377" s="352"/>
      <c r="BC377" s="352"/>
      <c r="BD377" s="352"/>
      <c r="BE377" s="352"/>
      <c r="BF377" s="352"/>
      <c r="BG377" s="352"/>
      <c r="BH377" s="352"/>
      <c r="BI377" s="352"/>
      <c r="BJ377" s="352"/>
      <c r="BK377" s="352"/>
      <c r="BL377" s="352"/>
      <c r="BM377" s="352"/>
      <c r="BN377" s="352"/>
      <c r="BO377" s="352"/>
      <c r="BP377" s="352"/>
      <c r="BQ377" s="352"/>
      <c r="BR377" s="352"/>
      <c r="BS377" s="352"/>
      <c r="BT377" s="352"/>
      <c r="BU377" s="352"/>
      <c r="BV377" s="352"/>
      <c r="BW377" s="352"/>
      <c r="BX377" s="352"/>
      <c r="BY377" s="352"/>
      <c r="BZ377" s="352"/>
      <c r="CA377" s="352"/>
      <c r="CB377" s="352"/>
      <c r="CC377" s="352"/>
      <c r="CD377" s="352"/>
      <c r="CE377" s="352"/>
      <c r="CF377" s="352"/>
      <c r="CG377" s="352"/>
      <c r="CH377" s="352"/>
      <c r="CI377" s="352"/>
      <c r="CJ377" s="352"/>
      <c r="CK377" s="352"/>
      <c r="CL377" s="352"/>
      <c r="CM377" s="352"/>
      <c r="CN377" s="352"/>
      <c r="CO377" s="352"/>
      <c r="CP377" s="352"/>
      <c r="CQ377" s="352"/>
      <c r="CR377" s="352"/>
      <c r="CS377" s="352"/>
      <c r="CT377" s="352"/>
      <c r="CU377" s="352"/>
      <c r="CV377" s="352"/>
      <c r="CW377" s="352"/>
      <c r="CX377" s="352"/>
      <c r="CY377" s="352"/>
      <c r="CZ377" s="352"/>
      <c r="DA377" s="352"/>
      <c r="DB377" s="352"/>
      <c r="DC377" s="352"/>
      <c r="DD377" s="352"/>
      <c r="DE377" s="352"/>
      <c r="DF377" s="352"/>
      <c r="DG377" s="352"/>
      <c r="DH377" s="352"/>
      <c r="DI377" s="352"/>
      <c r="DJ377" s="352"/>
      <c r="DK377" s="352"/>
      <c r="DL377" s="352"/>
      <c r="DM377" s="352"/>
      <c r="DN377" s="352"/>
      <c r="DO377" s="352"/>
      <c r="DP377" s="352"/>
      <c r="DQ377" s="352"/>
      <c r="DR377" s="352"/>
      <c r="DS377" s="352"/>
      <c r="DT377" s="352"/>
      <c r="DU377" s="352"/>
      <c r="DV377" s="352"/>
      <c r="DW377" s="352"/>
      <c r="DX377" s="352"/>
      <c r="DY377" s="352"/>
      <c r="DZ377" s="352"/>
      <c r="EA377" s="352"/>
      <c r="EB377" s="352"/>
      <c r="EC377" s="352"/>
      <c r="ED377" s="352"/>
      <c r="EE377" s="352"/>
      <c r="EF377" s="352"/>
      <c r="EG377" s="352"/>
      <c r="EH377" s="352"/>
      <c r="EI377" s="352"/>
      <c r="EJ377" s="352"/>
      <c r="EK377" s="352"/>
      <c r="EL377" s="352"/>
      <c r="EM377" s="352"/>
      <c r="EN377" s="352"/>
    </row>
    <row r="378" spans="1:144" s="188" customFormat="1" ht="20.100000000000001" customHeight="1">
      <c r="A378" s="179" t="s">
        <v>124</v>
      </c>
      <c r="B378" s="179" t="s">
        <v>513</v>
      </c>
      <c r="C378" s="180">
        <f>'Thomson Reuters IMA  ($)'!I732</f>
        <v>8</v>
      </c>
      <c r="D378" s="181">
        <f>'Sectors % GDP'!I29</f>
        <v>70893.899999999994</v>
      </c>
      <c r="E378" s="181">
        <f t="shared" si="10"/>
        <v>1.1284468762474628E-4</v>
      </c>
      <c r="F378" s="184">
        <v>1</v>
      </c>
      <c r="G378" s="181">
        <v>2</v>
      </c>
      <c r="H378" s="183">
        <v>53.62</v>
      </c>
      <c r="I378" s="183">
        <v>66.680000000000007</v>
      </c>
      <c r="J378" s="184">
        <v>67.8</v>
      </c>
      <c r="K378" s="184">
        <v>26.34</v>
      </c>
      <c r="L378" s="184">
        <f t="shared" si="11"/>
        <v>3.3000000000000003</v>
      </c>
      <c r="M378" s="185">
        <v>3.3000000000000002E-2</v>
      </c>
      <c r="N378" s="185">
        <v>5.75</v>
      </c>
      <c r="O378" s="186">
        <f>'Trade Data'!F23</f>
        <v>0.35702986979301843</v>
      </c>
      <c r="P378" s="189">
        <v>1</v>
      </c>
      <c r="Q378" s="352"/>
      <c r="R378" s="352"/>
      <c r="S378" s="352"/>
      <c r="T378" s="352"/>
      <c r="U378" s="352"/>
      <c r="V378" s="352"/>
      <c r="W378" s="352"/>
      <c r="X378" s="352"/>
      <c r="Y378" s="352"/>
      <c r="Z378" s="352"/>
      <c r="AA378" s="352"/>
      <c r="AB378" s="352"/>
      <c r="AC378" s="352"/>
      <c r="AD378" s="352"/>
      <c r="AE378" s="352"/>
      <c r="AF378" s="352"/>
      <c r="AG378" s="352"/>
      <c r="AH378" s="352"/>
      <c r="AI378" s="352"/>
      <c r="AJ378" s="352"/>
      <c r="AK378" s="352"/>
      <c r="AL378" s="352"/>
      <c r="AM378" s="352"/>
      <c r="AN378" s="352"/>
      <c r="AO378" s="352"/>
      <c r="AP378" s="352"/>
      <c r="AQ378" s="352"/>
      <c r="AR378" s="352"/>
      <c r="AS378" s="352"/>
      <c r="AT378" s="352"/>
      <c r="AU378" s="352"/>
      <c r="AV378" s="352"/>
      <c r="AW378" s="352"/>
      <c r="AX378" s="352"/>
      <c r="AY378" s="352"/>
      <c r="AZ378" s="352"/>
      <c r="BA378" s="352"/>
      <c r="BB378" s="352"/>
      <c r="BC378" s="352"/>
      <c r="BD378" s="352"/>
      <c r="BE378" s="352"/>
      <c r="BF378" s="352"/>
      <c r="BG378" s="352"/>
      <c r="BH378" s="352"/>
      <c r="BI378" s="352"/>
      <c r="BJ378" s="352"/>
      <c r="BK378" s="352"/>
      <c r="BL378" s="352"/>
      <c r="BM378" s="352"/>
      <c r="BN378" s="352"/>
      <c r="BO378" s="352"/>
      <c r="BP378" s="352"/>
      <c r="BQ378" s="352"/>
      <c r="BR378" s="352"/>
      <c r="BS378" s="352"/>
      <c r="BT378" s="352"/>
      <c r="BU378" s="352"/>
      <c r="BV378" s="352"/>
      <c r="BW378" s="352"/>
      <c r="BX378" s="352"/>
      <c r="BY378" s="352"/>
      <c r="BZ378" s="352"/>
      <c r="CA378" s="352"/>
      <c r="CB378" s="352"/>
      <c r="CC378" s="352"/>
      <c r="CD378" s="352"/>
      <c r="CE378" s="352"/>
      <c r="CF378" s="352"/>
      <c r="CG378" s="352"/>
      <c r="CH378" s="352"/>
      <c r="CI378" s="352"/>
      <c r="CJ378" s="352"/>
      <c r="CK378" s="352"/>
      <c r="CL378" s="352"/>
      <c r="CM378" s="352"/>
      <c r="CN378" s="352"/>
      <c r="CO378" s="352"/>
      <c r="CP378" s="352"/>
      <c r="CQ378" s="352"/>
      <c r="CR378" s="352"/>
      <c r="CS378" s="352"/>
      <c r="CT378" s="352"/>
      <c r="CU378" s="352"/>
      <c r="CV378" s="352"/>
      <c r="CW378" s="352"/>
      <c r="CX378" s="352"/>
      <c r="CY378" s="352"/>
      <c r="CZ378" s="352"/>
      <c r="DA378" s="352"/>
      <c r="DB378" s="352"/>
      <c r="DC378" s="352"/>
      <c r="DD378" s="352"/>
      <c r="DE378" s="352"/>
      <c r="DF378" s="352"/>
      <c r="DG378" s="352"/>
      <c r="DH378" s="352"/>
      <c r="DI378" s="352"/>
      <c r="DJ378" s="352"/>
      <c r="DK378" s="352"/>
      <c r="DL378" s="352"/>
      <c r="DM378" s="352"/>
      <c r="DN378" s="352"/>
      <c r="DO378" s="352"/>
      <c r="DP378" s="352"/>
      <c r="DQ378" s="352"/>
      <c r="DR378" s="352"/>
      <c r="DS378" s="352"/>
      <c r="DT378" s="352"/>
      <c r="DU378" s="352"/>
      <c r="DV378" s="352"/>
      <c r="DW378" s="352"/>
      <c r="DX378" s="352"/>
      <c r="DY378" s="352"/>
      <c r="DZ378" s="352"/>
      <c r="EA378" s="352"/>
      <c r="EB378" s="352"/>
      <c r="EC378" s="352"/>
      <c r="ED378" s="352"/>
      <c r="EE378" s="352"/>
      <c r="EF378" s="352"/>
      <c r="EG378" s="352"/>
      <c r="EH378" s="352"/>
      <c r="EI378" s="352"/>
      <c r="EJ378" s="352"/>
      <c r="EK378" s="352"/>
      <c r="EL378" s="352"/>
      <c r="EM378" s="352"/>
      <c r="EN378" s="352"/>
    </row>
    <row r="379" spans="1:144" ht="20.100000000000001" customHeight="1">
      <c r="A379" s="118" t="s">
        <v>124</v>
      </c>
      <c r="B379" s="118" t="s">
        <v>512</v>
      </c>
      <c r="C379" s="119">
        <v>0</v>
      </c>
      <c r="D379" s="120">
        <f>'Sectors % GDP'!I30</f>
        <v>109563.30000000002</v>
      </c>
      <c r="E379" s="120">
        <f t="shared" si="10"/>
        <v>0</v>
      </c>
      <c r="F379" s="123">
        <v>1</v>
      </c>
      <c r="G379" s="120">
        <v>1</v>
      </c>
      <c r="H379" s="122">
        <v>53.62</v>
      </c>
      <c r="I379" s="122">
        <v>66.680000000000007</v>
      </c>
      <c r="J379" s="123">
        <v>67.8</v>
      </c>
      <c r="K379" s="123">
        <v>26.34</v>
      </c>
      <c r="L379" s="123">
        <f t="shared" si="11"/>
        <v>3.3000000000000003</v>
      </c>
      <c r="M379" s="124">
        <v>3.3000000000000002E-2</v>
      </c>
      <c r="N379" s="124">
        <v>5.75</v>
      </c>
      <c r="O379" s="125">
        <f>'Trade Data'!F23</f>
        <v>0.35702986979301843</v>
      </c>
      <c r="P379" s="127">
        <v>1</v>
      </c>
      <c r="Q379" s="352"/>
      <c r="R379" s="352"/>
      <c r="S379" s="352"/>
      <c r="T379" s="352"/>
      <c r="U379" s="352"/>
      <c r="V379" s="352"/>
      <c r="W379" s="352"/>
      <c r="X379" s="352"/>
      <c r="Y379" s="352"/>
      <c r="Z379" s="352"/>
      <c r="AA379" s="352"/>
      <c r="AB379" s="352"/>
      <c r="AC379" s="352"/>
      <c r="AD379" s="352"/>
      <c r="AE379" s="352"/>
      <c r="AF379" s="352"/>
      <c r="AG379" s="352"/>
      <c r="AH379" s="352"/>
      <c r="AI379" s="352"/>
      <c r="AJ379" s="352"/>
      <c r="AK379" s="352"/>
      <c r="AL379" s="352"/>
      <c r="AM379" s="352"/>
      <c r="AN379" s="352"/>
      <c r="AO379" s="352"/>
      <c r="AP379" s="352"/>
      <c r="AQ379" s="352"/>
      <c r="AR379" s="352"/>
      <c r="AS379" s="352"/>
      <c r="AT379" s="352"/>
      <c r="AU379" s="352"/>
      <c r="AV379" s="352"/>
      <c r="AW379" s="352"/>
      <c r="AX379" s="352"/>
      <c r="AY379" s="352"/>
      <c r="AZ379" s="352"/>
      <c r="BA379" s="352"/>
      <c r="BB379" s="352"/>
      <c r="BC379" s="352"/>
      <c r="BD379" s="352"/>
      <c r="BE379" s="352"/>
      <c r="BF379" s="352"/>
      <c r="BG379" s="352"/>
      <c r="BH379" s="352"/>
      <c r="BI379" s="352"/>
      <c r="BJ379" s="352"/>
      <c r="BK379" s="352"/>
      <c r="BL379" s="352"/>
      <c r="BM379" s="352"/>
      <c r="BN379" s="352"/>
      <c r="BO379" s="352"/>
      <c r="BP379" s="352"/>
      <c r="BQ379" s="352"/>
      <c r="BR379" s="352"/>
      <c r="BS379" s="352"/>
      <c r="BT379" s="352"/>
      <c r="BU379" s="352"/>
      <c r="BV379" s="352"/>
      <c r="BW379" s="352"/>
      <c r="BX379" s="352"/>
      <c r="BY379" s="352"/>
      <c r="BZ379" s="352"/>
      <c r="CA379" s="352"/>
      <c r="CB379" s="352"/>
      <c r="CC379" s="352"/>
      <c r="CD379" s="352"/>
      <c r="CE379" s="352"/>
      <c r="CF379" s="352"/>
      <c r="CG379" s="352"/>
      <c r="CH379" s="352"/>
      <c r="CI379" s="352"/>
      <c r="CJ379" s="352"/>
      <c r="CK379" s="352"/>
      <c r="CL379" s="352"/>
      <c r="CM379" s="352"/>
      <c r="CN379" s="352"/>
      <c r="CO379" s="352"/>
      <c r="CP379" s="352"/>
      <c r="CQ379" s="352"/>
      <c r="CR379" s="352"/>
      <c r="CS379" s="352"/>
      <c r="CT379" s="352"/>
      <c r="CU379" s="352"/>
      <c r="CV379" s="352"/>
      <c r="CW379" s="352"/>
      <c r="CX379" s="352"/>
      <c r="CY379" s="352"/>
      <c r="CZ379" s="352"/>
      <c r="DA379" s="352"/>
      <c r="DB379" s="352"/>
      <c r="DC379" s="352"/>
      <c r="DD379" s="352"/>
      <c r="DE379" s="352"/>
      <c r="DF379" s="352"/>
      <c r="DG379" s="352"/>
      <c r="DH379" s="352"/>
      <c r="DI379" s="352"/>
      <c r="DJ379" s="352"/>
      <c r="DK379" s="352"/>
      <c r="DL379" s="352"/>
      <c r="DM379" s="352"/>
      <c r="DN379" s="352"/>
      <c r="DO379" s="352"/>
      <c r="DP379" s="352"/>
      <c r="DQ379" s="352"/>
      <c r="DR379" s="352"/>
      <c r="DS379" s="352"/>
      <c r="DT379" s="352"/>
      <c r="DU379" s="352"/>
      <c r="DV379" s="352"/>
      <c r="DW379" s="352"/>
      <c r="DX379" s="352"/>
      <c r="DY379" s="352"/>
      <c r="DZ379" s="352"/>
      <c r="EA379" s="352"/>
      <c r="EB379" s="352"/>
      <c r="EC379" s="352"/>
      <c r="ED379" s="352"/>
      <c r="EE379" s="352"/>
      <c r="EF379" s="352"/>
      <c r="EG379" s="352"/>
      <c r="EH379" s="352"/>
      <c r="EI379" s="352"/>
      <c r="EJ379" s="352"/>
      <c r="EK379" s="352"/>
      <c r="EL379" s="352"/>
      <c r="EM379" s="352"/>
      <c r="EN379" s="352"/>
    </row>
    <row r="380" spans="1:144" s="169" customFormat="1" ht="20.100000000000001" customHeight="1">
      <c r="A380" s="160" t="s">
        <v>125</v>
      </c>
      <c r="B380" s="160" t="s">
        <v>511</v>
      </c>
      <c r="C380" s="161">
        <v>0</v>
      </c>
      <c r="D380" s="162">
        <f>'Sectors % GDP'!I28</f>
        <v>14647.5</v>
      </c>
      <c r="E380" s="162">
        <f t="shared" si="10"/>
        <v>0</v>
      </c>
      <c r="F380" s="165">
        <v>0</v>
      </c>
      <c r="G380" s="162">
        <v>0</v>
      </c>
      <c r="H380" s="164">
        <v>63.09</v>
      </c>
      <c r="I380" s="164">
        <v>89.76</v>
      </c>
      <c r="J380" s="165">
        <v>65.2</v>
      </c>
      <c r="K380" s="165">
        <v>26.34</v>
      </c>
      <c r="L380" s="165">
        <f t="shared" si="11"/>
        <v>3.9</v>
      </c>
      <c r="M380" s="166">
        <v>3.9E-2</v>
      </c>
      <c r="N380" s="166">
        <v>6.25</v>
      </c>
      <c r="O380" s="167">
        <f>'Trade Data'!H23</f>
        <v>0.38369501611034146</v>
      </c>
      <c r="P380" s="168">
        <v>0</v>
      </c>
      <c r="Q380" s="352"/>
      <c r="R380" s="352"/>
      <c r="S380" s="352"/>
      <c r="T380" s="352"/>
      <c r="U380" s="352"/>
      <c r="V380" s="352"/>
      <c r="W380" s="352"/>
      <c r="X380" s="352"/>
      <c r="Y380" s="352"/>
      <c r="Z380" s="352"/>
      <c r="AA380" s="352"/>
      <c r="AB380" s="352"/>
      <c r="AC380" s="352"/>
      <c r="AD380" s="352"/>
      <c r="AE380" s="352"/>
      <c r="AF380" s="352"/>
      <c r="AG380" s="352"/>
      <c r="AH380" s="352"/>
      <c r="AI380" s="352"/>
      <c r="AJ380" s="352"/>
      <c r="AK380" s="352"/>
      <c r="AL380" s="352"/>
      <c r="AM380" s="352"/>
      <c r="AN380" s="352"/>
      <c r="AO380" s="352"/>
      <c r="AP380" s="352"/>
      <c r="AQ380" s="352"/>
      <c r="AR380" s="352"/>
      <c r="AS380" s="352"/>
      <c r="AT380" s="352"/>
      <c r="AU380" s="352"/>
      <c r="AV380" s="352"/>
      <c r="AW380" s="352"/>
      <c r="AX380" s="352"/>
      <c r="AY380" s="352"/>
      <c r="AZ380" s="352"/>
      <c r="BA380" s="352"/>
      <c r="BB380" s="352"/>
      <c r="BC380" s="352"/>
      <c r="BD380" s="352"/>
      <c r="BE380" s="352"/>
      <c r="BF380" s="352"/>
      <c r="BG380" s="352"/>
      <c r="BH380" s="352"/>
      <c r="BI380" s="352"/>
      <c r="BJ380" s="352"/>
      <c r="BK380" s="352"/>
      <c r="BL380" s="352"/>
      <c r="BM380" s="352"/>
      <c r="BN380" s="352"/>
      <c r="BO380" s="352"/>
      <c r="BP380" s="352"/>
      <c r="BQ380" s="352"/>
      <c r="BR380" s="352"/>
      <c r="BS380" s="352"/>
      <c r="BT380" s="352"/>
      <c r="BU380" s="352"/>
      <c r="BV380" s="352"/>
      <c r="BW380" s="352"/>
      <c r="BX380" s="352"/>
      <c r="BY380" s="352"/>
      <c r="BZ380" s="352"/>
      <c r="CA380" s="352"/>
      <c r="CB380" s="352"/>
      <c r="CC380" s="352"/>
      <c r="CD380" s="352"/>
      <c r="CE380" s="352"/>
      <c r="CF380" s="352"/>
      <c r="CG380" s="352"/>
      <c r="CH380" s="352"/>
      <c r="CI380" s="352"/>
      <c r="CJ380" s="352"/>
      <c r="CK380" s="352"/>
      <c r="CL380" s="352"/>
      <c r="CM380" s="352"/>
      <c r="CN380" s="352"/>
      <c r="CO380" s="352"/>
      <c r="CP380" s="352"/>
      <c r="CQ380" s="352"/>
      <c r="CR380" s="352"/>
      <c r="CS380" s="352"/>
      <c r="CT380" s="352"/>
      <c r="CU380" s="352"/>
      <c r="CV380" s="352"/>
      <c r="CW380" s="352"/>
      <c r="CX380" s="352"/>
      <c r="CY380" s="352"/>
      <c r="CZ380" s="352"/>
      <c r="DA380" s="352"/>
      <c r="DB380" s="352"/>
      <c r="DC380" s="352"/>
      <c r="DD380" s="352"/>
      <c r="DE380" s="352"/>
      <c r="DF380" s="352"/>
      <c r="DG380" s="352"/>
      <c r="DH380" s="352"/>
      <c r="DI380" s="352"/>
      <c r="DJ380" s="352"/>
      <c r="DK380" s="352"/>
      <c r="DL380" s="352"/>
      <c r="DM380" s="352"/>
      <c r="DN380" s="352"/>
      <c r="DO380" s="352"/>
      <c r="DP380" s="352"/>
      <c r="DQ380" s="352"/>
      <c r="DR380" s="352"/>
      <c r="DS380" s="352"/>
      <c r="DT380" s="352"/>
      <c r="DU380" s="352"/>
      <c r="DV380" s="352"/>
      <c r="DW380" s="352"/>
      <c r="DX380" s="352"/>
      <c r="DY380" s="352"/>
      <c r="DZ380" s="352"/>
      <c r="EA380" s="352"/>
      <c r="EB380" s="352"/>
      <c r="EC380" s="352"/>
      <c r="ED380" s="352"/>
      <c r="EE380" s="352"/>
      <c r="EF380" s="352"/>
      <c r="EG380" s="352"/>
      <c r="EH380" s="352"/>
      <c r="EI380" s="352"/>
      <c r="EJ380" s="352"/>
      <c r="EK380" s="352"/>
      <c r="EL380" s="352"/>
      <c r="EM380" s="352"/>
      <c r="EN380" s="352"/>
    </row>
    <row r="381" spans="1:144" s="188" customFormat="1" ht="20.100000000000001" customHeight="1">
      <c r="A381" s="179" t="s">
        <v>125</v>
      </c>
      <c r="B381" s="179" t="s">
        <v>510</v>
      </c>
      <c r="C381" s="180">
        <f>'Thomson Reuters IMA  ($)'!I733+'Thomson Reuters IMA  ($)'!I734</f>
        <v>0.90199999999999991</v>
      </c>
      <c r="D381" s="181">
        <f>'Sectors % GDP'!I29</f>
        <v>70893.899999999994</v>
      </c>
      <c r="E381" s="181">
        <f t="shared" si="10"/>
        <v>1.2723238529690142E-5</v>
      </c>
      <c r="F381" s="184">
        <v>1</v>
      </c>
      <c r="G381" s="181">
        <v>3</v>
      </c>
      <c r="H381" s="183">
        <v>63.09</v>
      </c>
      <c r="I381" s="183">
        <v>89.76</v>
      </c>
      <c r="J381" s="184">
        <v>65.2</v>
      </c>
      <c r="K381" s="184">
        <v>26.34</v>
      </c>
      <c r="L381" s="184">
        <f t="shared" si="11"/>
        <v>3.9</v>
      </c>
      <c r="M381" s="185">
        <v>3.9E-2</v>
      </c>
      <c r="N381" s="185">
        <v>6.25</v>
      </c>
      <c r="O381" s="186">
        <f>'Trade Data'!H23</f>
        <v>0.38369501611034146</v>
      </c>
      <c r="P381" s="187">
        <v>1</v>
      </c>
      <c r="Q381" s="352"/>
      <c r="R381" s="352"/>
      <c r="S381" s="352"/>
      <c r="T381" s="352"/>
      <c r="U381" s="352"/>
      <c r="V381" s="352"/>
      <c r="W381" s="352"/>
      <c r="X381" s="352"/>
      <c r="Y381" s="352"/>
      <c r="Z381" s="352"/>
      <c r="AA381" s="352"/>
      <c r="AB381" s="352"/>
      <c r="AC381" s="352"/>
      <c r="AD381" s="352"/>
      <c r="AE381" s="352"/>
      <c r="AF381" s="352"/>
      <c r="AG381" s="352"/>
      <c r="AH381" s="352"/>
      <c r="AI381" s="352"/>
      <c r="AJ381" s="352"/>
      <c r="AK381" s="352"/>
      <c r="AL381" s="352"/>
      <c r="AM381" s="352"/>
      <c r="AN381" s="352"/>
      <c r="AO381" s="352"/>
      <c r="AP381" s="352"/>
      <c r="AQ381" s="352"/>
      <c r="AR381" s="352"/>
      <c r="AS381" s="352"/>
      <c r="AT381" s="352"/>
      <c r="AU381" s="352"/>
      <c r="AV381" s="352"/>
      <c r="AW381" s="352"/>
      <c r="AX381" s="352"/>
      <c r="AY381" s="352"/>
      <c r="AZ381" s="352"/>
      <c r="BA381" s="352"/>
      <c r="BB381" s="352"/>
      <c r="BC381" s="352"/>
      <c r="BD381" s="352"/>
      <c r="BE381" s="352"/>
      <c r="BF381" s="352"/>
      <c r="BG381" s="352"/>
      <c r="BH381" s="352"/>
      <c r="BI381" s="352"/>
      <c r="BJ381" s="352"/>
      <c r="BK381" s="352"/>
      <c r="BL381" s="352"/>
      <c r="BM381" s="352"/>
      <c r="BN381" s="352"/>
      <c r="BO381" s="352"/>
      <c r="BP381" s="352"/>
      <c r="BQ381" s="352"/>
      <c r="BR381" s="352"/>
      <c r="BS381" s="352"/>
      <c r="BT381" s="352"/>
      <c r="BU381" s="352"/>
      <c r="BV381" s="352"/>
      <c r="BW381" s="352"/>
      <c r="BX381" s="352"/>
      <c r="BY381" s="352"/>
      <c r="BZ381" s="352"/>
      <c r="CA381" s="352"/>
      <c r="CB381" s="352"/>
      <c r="CC381" s="352"/>
      <c r="CD381" s="352"/>
      <c r="CE381" s="352"/>
      <c r="CF381" s="352"/>
      <c r="CG381" s="352"/>
      <c r="CH381" s="352"/>
      <c r="CI381" s="352"/>
      <c r="CJ381" s="352"/>
      <c r="CK381" s="352"/>
      <c r="CL381" s="352"/>
      <c r="CM381" s="352"/>
      <c r="CN381" s="352"/>
      <c r="CO381" s="352"/>
      <c r="CP381" s="352"/>
      <c r="CQ381" s="352"/>
      <c r="CR381" s="352"/>
      <c r="CS381" s="352"/>
      <c r="CT381" s="352"/>
      <c r="CU381" s="352"/>
      <c r="CV381" s="352"/>
      <c r="CW381" s="352"/>
      <c r="CX381" s="352"/>
      <c r="CY381" s="352"/>
      <c r="CZ381" s="352"/>
      <c r="DA381" s="352"/>
      <c r="DB381" s="352"/>
      <c r="DC381" s="352"/>
      <c r="DD381" s="352"/>
      <c r="DE381" s="352"/>
      <c r="DF381" s="352"/>
      <c r="DG381" s="352"/>
      <c r="DH381" s="352"/>
      <c r="DI381" s="352"/>
      <c r="DJ381" s="352"/>
      <c r="DK381" s="352"/>
      <c r="DL381" s="352"/>
      <c r="DM381" s="352"/>
      <c r="DN381" s="352"/>
      <c r="DO381" s="352"/>
      <c r="DP381" s="352"/>
      <c r="DQ381" s="352"/>
      <c r="DR381" s="352"/>
      <c r="DS381" s="352"/>
      <c r="DT381" s="352"/>
      <c r="DU381" s="352"/>
      <c r="DV381" s="352"/>
      <c r="DW381" s="352"/>
      <c r="DX381" s="352"/>
      <c r="DY381" s="352"/>
      <c r="DZ381" s="352"/>
      <c r="EA381" s="352"/>
      <c r="EB381" s="352"/>
      <c r="EC381" s="352"/>
      <c r="ED381" s="352"/>
      <c r="EE381" s="352"/>
      <c r="EF381" s="352"/>
      <c r="EG381" s="352"/>
      <c r="EH381" s="352"/>
      <c r="EI381" s="352"/>
      <c r="EJ381" s="352"/>
      <c r="EK381" s="352"/>
      <c r="EL381" s="352"/>
      <c r="EM381" s="352"/>
      <c r="EN381" s="352"/>
    </row>
    <row r="382" spans="1:144" ht="20.100000000000001" customHeight="1">
      <c r="A382" s="118" t="s">
        <v>125</v>
      </c>
      <c r="B382" s="118" t="s">
        <v>509</v>
      </c>
      <c r="C382" s="119">
        <v>0</v>
      </c>
      <c r="D382" s="120">
        <f>'Sectors % GDP'!I30</f>
        <v>109563.30000000002</v>
      </c>
      <c r="E382" s="120">
        <f t="shared" si="10"/>
        <v>0</v>
      </c>
      <c r="F382" s="123">
        <v>1</v>
      </c>
      <c r="G382" s="120">
        <v>1</v>
      </c>
      <c r="H382" s="122">
        <v>63.09</v>
      </c>
      <c r="I382" s="122">
        <v>89.76</v>
      </c>
      <c r="J382" s="123">
        <v>65.2</v>
      </c>
      <c r="K382" s="123">
        <v>26.34</v>
      </c>
      <c r="L382" s="123">
        <f t="shared" si="11"/>
        <v>3.9</v>
      </c>
      <c r="M382" s="124">
        <v>3.9E-2</v>
      </c>
      <c r="N382" s="124">
        <v>6.25</v>
      </c>
      <c r="O382" s="125">
        <f>'Trade Data'!H23</f>
        <v>0.38369501611034146</v>
      </c>
      <c r="P382" s="126">
        <v>1</v>
      </c>
      <c r="Q382" s="352"/>
      <c r="R382" s="352"/>
      <c r="S382" s="352"/>
      <c r="T382" s="352"/>
      <c r="U382" s="352"/>
      <c r="V382" s="352"/>
      <c r="W382" s="352"/>
      <c r="X382" s="352"/>
      <c r="Y382" s="352"/>
      <c r="Z382" s="352"/>
      <c r="AA382" s="352"/>
      <c r="AB382" s="352"/>
      <c r="AC382" s="352"/>
      <c r="AD382" s="352"/>
      <c r="AE382" s="352"/>
      <c r="AF382" s="352"/>
      <c r="AG382" s="352"/>
      <c r="AH382" s="352"/>
      <c r="AI382" s="352"/>
      <c r="AJ382" s="352"/>
      <c r="AK382" s="352"/>
      <c r="AL382" s="352"/>
      <c r="AM382" s="352"/>
      <c r="AN382" s="352"/>
      <c r="AO382" s="352"/>
      <c r="AP382" s="352"/>
      <c r="AQ382" s="352"/>
      <c r="AR382" s="352"/>
      <c r="AS382" s="352"/>
      <c r="AT382" s="352"/>
      <c r="AU382" s="352"/>
      <c r="AV382" s="352"/>
      <c r="AW382" s="352"/>
      <c r="AX382" s="352"/>
      <c r="AY382" s="352"/>
      <c r="AZ382" s="352"/>
      <c r="BA382" s="352"/>
      <c r="BB382" s="352"/>
      <c r="BC382" s="352"/>
      <c r="BD382" s="352"/>
      <c r="BE382" s="352"/>
      <c r="BF382" s="352"/>
      <c r="BG382" s="352"/>
      <c r="BH382" s="352"/>
      <c r="BI382" s="352"/>
      <c r="BJ382" s="352"/>
      <c r="BK382" s="352"/>
      <c r="BL382" s="352"/>
      <c r="BM382" s="352"/>
      <c r="BN382" s="352"/>
      <c r="BO382" s="352"/>
      <c r="BP382" s="352"/>
      <c r="BQ382" s="352"/>
      <c r="BR382" s="352"/>
      <c r="BS382" s="352"/>
      <c r="BT382" s="352"/>
      <c r="BU382" s="352"/>
      <c r="BV382" s="352"/>
      <c r="BW382" s="352"/>
      <c r="BX382" s="352"/>
      <c r="BY382" s="352"/>
      <c r="BZ382" s="352"/>
      <c r="CA382" s="352"/>
      <c r="CB382" s="352"/>
      <c r="CC382" s="352"/>
      <c r="CD382" s="352"/>
      <c r="CE382" s="352"/>
      <c r="CF382" s="352"/>
      <c r="CG382" s="352"/>
      <c r="CH382" s="352"/>
      <c r="CI382" s="352"/>
      <c r="CJ382" s="352"/>
      <c r="CK382" s="352"/>
      <c r="CL382" s="352"/>
      <c r="CM382" s="352"/>
      <c r="CN382" s="352"/>
      <c r="CO382" s="352"/>
      <c r="CP382" s="352"/>
      <c r="CQ382" s="352"/>
      <c r="CR382" s="352"/>
      <c r="CS382" s="352"/>
      <c r="CT382" s="352"/>
      <c r="CU382" s="352"/>
      <c r="CV382" s="352"/>
      <c r="CW382" s="352"/>
      <c r="CX382" s="352"/>
      <c r="CY382" s="352"/>
      <c r="CZ382" s="352"/>
      <c r="DA382" s="352"/>
      <c r="DB382" s="352"/>
      <c r="DC382" s="352"/>
      <c r="DD382" s="352"/>
      <c r="DE382" s="352"/>
      <c r="DF382" s="352"/>
      <c r="DG382" s="352"/>
      <c r="DH382" s="352"/>
      <c r="DI382" s="352"/>
      <c r="DJ382" s="352"/>
      <c r="DK382" s="352"/>
      <c r="DL382" s="352"/>
      <c r="DM382" s="352"/>
      <c r="DN382" s="352"/>
      <c r="DO382" s="352"/>
      <c r="DP382" s="352"/>
      <c r="DQ382" s="352"/>
      <c r="DR382" s="352"/>
      <c r="DS382" s="352"/>
      <c r="DT382" s="352"/>
      <c r="DU382" s="352"/>
      <c r="DV382" s="352"/>
      <c r="DW382" s="352"/>
      <c r="DX382" s="352"/>
      <c r="DY382" s="352"/>
      <c r="DZ382" s="352"/>
      <c r="EA382" s="352"/>
      <c r="EB382" s="352"/>
      <c r="EC382" s="352"/>
      <c r="ED382" s="352"/>
      <c r="EE382" s="352"/>
      <c r="EF382" s="352"/>
      <c r="EG382" s="352"/>
      <c r="EH382" s="352"/>
      <c r="EI382" s="352"/>
      <c r="EJ382" s="352"/>
      <c r="EK382" s="352"/>
      <c r="EL382" s="352"/>
      <c r="EM382" s="352"/>
      <c r="EN382" s="352"/>
    </row>
    <row r="383" spans="1:144" s="169" customFormat="1" ht="20.100000000000001" customHeight="1">
      <c r="A383" s="160" t="s">
        <v>126</v>
      </c>
      <c r="B383" s="160" t="s">
        <v>508</v>
      </c>
      <c r="C383" s="161">
        <v>0</v>
      </c>
      <c r="D383" s="162">
        <f>'Sectors % GDP'!I28</f>
        <v>14647.5</v>
      </c>
      <c r="E383" s="162">
        <f t="shared" si="10"/>
        <v>0</v>
      </c>
      <c r="F383" s="165">
        <v>0</v>
      </c>
      <c r="G383" s="162">
        <v>0</v>
      </c>
      <c r="H383" s="164">
        <v>62.44</v>
      </c>
      <c r="I383" s="164">
        <v>90.46</v>
      </c>
      <c r="J383" s="165">
        <v>60.35</v>
      </c>
      <c r="K383" s="165">
        <v>26.34</v>
      </c>
      <c r="L383" s="165">
        <f t="shared" si="11"/>
        <v>3.9</v>
      </c>
      <c r="M383" s="166">
        <v>3.9E-2</v>
      </c>
      <c r="N383" s="166">
        <v>6.25</v>
      </c>
      <c r="O383" s="167">
        <f>'Trade Data'!H23</f>
        <v>0.38369501611034146</v>
      </c>
      <c r="P383" s="170">
        <v>0</v>
      </c>
      <c r="Q383" s="352"/>
      <c r="R383" s="352"/>
      <c r="S383" s="352"/>
      <c r="T383" s="352"/>
      <c r="U383" s="352"/>
      <c r="V383" s="352"/>
      <c r="W383" s="352"/>
      <c r="X383" s="352"/>
      <c r="Y383" s="352"/>
      <c r="Z383" s="352"/>
      <c r="AA383" s="352"/>
      <c r="AB383" s="352"/>
      <c r="AC383" s="352"/>
      <c r="AD383" s="352"/>
      <c r="AE383" s="352"/>
      <c r="AF383" s="352"/>
      <c r="AG383" s="352"/>
      <c r="AH383" s="352"/>
      <c r="AI383" s="352"/>
      <c r="AJ383" s="352"/>
      <c r="AK383" s="352"/>
      <c r="AL383" s="352"/>
      <c r="AM383" s="352"/>
      <c r="AN383" s="352"/>
      <c r="AO383" s="352"/>
      <c r="AP383" s="352"/>
      <c r="AQ383" s="352"/>
      <c r="AR383" s="352"/>
      <c r="AS383" s="352"/>
      <c r="AT383" s="352"/>
      <c r="AU383" s="352"/>
      <c r="AV383" s="352"/>
      <c r="AW383" s="352"/>
      <c r="AX383" s="352"/>
      <c r="AY383" s="352"/>
      <c r="AZ383" s="352"/>
      <c r="BA383" s="352"/>
      <c r="BB383" s="352"/>
      <c r="BC383" s="352"/>
      <c r="BD383" s="352"/>
      <c r="BE383" s="352"/>
      <c r="BF383" s="352"/>
      <c r="BG383" s="352"/>
      <c r="BH383" s="352"/>
      <c r="BI383" s="352"/>
      <c r="BJ383" s="352"/>
      <c r="BK383" s="352"/>
      <c r="BL383" s="352"/>
      <c r="BM383" s="352"/>
      <c r="BN383" s="352"/>
      <c r="BO383" s="352"/>
      <c r="BP383" s="352"/>
      <c r="BQ383" s="352"/>
      <c r="BR383" s="352"/>
      <c r="BS383" s="352"/>
      <c r="BT383" s="352"/>
      <c r="BU383" s="352"/>
      <c r="BV383" s="352"/>
      <c r="BW383" s="352"/>
      <c r="BX383" s="352"/>
      <c r="BY383" s="352"/>
      <c r="BZ383" s="352"/>
      <c r="CA383" s="352"/>
      <c r="CB383" s="352"/>
      <c r="CC383" s="352"/>
      <c r="CD383" s="352"/>
      <c r="CE383" s="352"/>
      <c r="CF383" s="352"/>
      <c r="CG383" s="352"/>
      <c r="CH383" s="352"/>
      <c r="CI383" s="352"/>
      <c r="CJ383" s="352"/>
      <c r="CK383" s="352"/>
      <c r="CL383" s="352"/>
      <c r="CM383" s="352"/>
      <c r="CN383" s="352"/>
      <c r="CO383" s="352"/>
      <c r="CP383" s="352"/>
      <c r="CQ383" s="352"/>
      <c r="CR383" s="352"/>
      <c r="CS383" s="352"/>
      <c r="CT383" s="352"/>
      <c r="CU383" s="352"/>
      <c r="CV383" s="352"/>
      <c r="CW383" s="352"/>
      <c r="CX383" s="352"/>
      <c r="CY383" s="352"/>
      <c r="CZ383" s="352"/>
      <c r="DA383" s="352"/>
      <c r="DB383" s="352"/>
      <c r="DC383" s="352"/>
      <c r="DD383" s="352"/>
      <c r="DE383" s="352"/>
      <c r="DF383" s="352"/>
      <c r="DG383" s="352"/>
      <c r="DH383" s="352"/>
      <c r="DI383" s="352"/>
      <c r="DJ383" s="352"/>
      <c r="DK383" s="352"/>
      <c r="DL383" s="352"/>
      <c r="DM383" s="352"/>
      <c r="DN383" s="352"/>
      <c r="DO383" s="352"/>
      <c r="DP383" s="352"/>
      <c r="DQ383" s="352"/>
      <c r="DR383" s="352"/>
      <c r="DS383" s="352"/>
      <c r="DT383" s="352"/>
      <c r="DU383" s="352"/>
      <c r="DV383" s="352"/>
      <c r="DW383" s="352"/>
      <c r="DX383" s="352"/>
      <c r="DY383" s="352"/>
      <c r="DZ383" s="352"/>
      <c r="EA383" s="352"/>
      <c r="EB383" s="352"/>
      <c r="EC383" s="352"/>
      <c r="ED383" s="352"/>
      <c r="EE383" s="352"/>
      <c r="EF383" s="352"/>
      <c r="EG383" s="352"/>
      <c r="EH383" s="352"/>
      <c r="EI383" s="352"/>
      <c r="EJ383" s="352"/>
      <c r="EK383" s="352"/>
      <c r="EL383" s="352"/>
      <c r="EM383" s="352"/>
      <c r="EN383" s="352"/>
    </row>
    <row r="384" spans="1:144" s="188" customFormat="1" ht="20.100000000000001" customHeight="1">
      <c r="A384" s="179" t="s">
        <v>126</v>
      </c>
      <c r="B384" s="179" t="s">
        <v>507</v>
      </c>
      <c r="C384" s="180">
        <f>SUM('Thomson Reuters IMA  ($)'!I735:I738)</f>
        <v>7.18</v>
      </c>
      <c r="D384" s="181">
        <f>'Sectors % GDP'!I29</f>
        <v>70893.899999999994</v>
      </c>
      <c r="E384" s="181">
        <f t="shared" si="10"/>
        <v>1.0127810714320979E-4</v>
      </c>
      <c r="F384" s="184">
        <v>1</v>
      </c>
      <c r="G384" s="181">
        <v>6</v>
      </c>
      <c r="H384" s="183">
        <v>62.44</v>
      </c>
      <c r="I384" s="183">
        <v>90.46</v>
      </c>
      <c r="J384" s="184">
        <v>60.35</v>
      </c>
      <c r="K384" s="184">
        <v>26.34</v>
      </c>
      <c r="L384" s="184">
        <f t="shared" si="11"/>
        <v>3.9</v>
      </c>
      <c r="M384" s="185">
        <v>3.9E-2</v>
      </c>
      <c r="N384" s="185">
        <v>6.25</v>
      </c>
      <c r="O384" s="186">
        <f>'Trade Data'!H23</f>
        <v>0.38369501611034146</v>
      </c>
      <c r="P384" s="189">
        <v>1</v>
      </c>
      <c r="Q384" s="352"/>
      <c r="R384" s="352"/>
      <c r="S384" s="352"/>
      <c r="T384" s="352"/>
      <c r="U384" s="352"/>
      <c r="V384" s="352"/>
      <c r="W384" s="352"/>
      <c r="X384" s="352"/>
      <c r="Y384" s="352"/>
      <c r="Z384" s="352"/>
      <c r="AA384" s="352"/>
      <c r="AB384" s="352"/>
      <c r="AC384" s="352"/>
      <c r="AD384" s="352"/>
      <c r="AE384" s="352"/>
      <c r="AF384" s="352"/>
      <c r="AG384" s="352"/>
      <c r="AH384" s="352"/>
      <c r="AI384" s="352"/>
      <c r="AJ384" s="352"/>
      <c r="AK384" s="352"/>
      <c r="AL384" s="352"/>
      <c r="AM384" s="352"/>
      <c r="AN384" s="352"/>
      <c r="AO384" s="352"/>
      <c r="AP384" s="352"/>
      <c r="AQ384" s="352"/>
      <c r="AR384" s="352"/>
      <c r="AS384" s="352"/>
      <c r="AT384" s="352"/>
      <c r="AU384" s="352"/>
      <c r="AV384" s="352"/>
      <c r="AW384" s="352"/>
      <c r="AX384" s="352"/>
      <c r="AY384" s="352"/>
      <c r="AZ384" s="352"/>
      <c r="BA384" s="352"/>
      <c r="BB384" s="352"/>
      <c r="BC384" s="352"/>
      <c r="BD384" s="352"/>
      <c r="BE384" s="352"/>
      <c r="BF384" s="352"/>
      <c r="BG384" s="352"/>
      <c r="BH384" s="352"/>
      <c r="BI384" s="352"/>
      <c r="BJ384" s="352"/>
      <c r="BK384" s="352"/>
      <c r="BL384" s="352"/>
      <c r="BM384" s="352"/>
      <c r="BN384" s="352"/>
      <c r="BO384" s="352"/>
      <c r="BP384" s="352"/>
      <c r="BQ384" s="352"/>
      <c r="BR384" s="352"/>
      <c r="BS384" s="352"/>
      <c r="BT384" s="352"/>
      <c r="BU384" s="352"/>
      <c r="BV384" s="352"/>
      <c r="BW384" s="352"/>
      <c r="BX384" s="352"/>
      <c r="BY384" s="352"/>
      <c r="BZ384" s="352"/>
      <c r="CA384" s="352"/>
      <c r="CB384" s="352"/>
      <c r="CC384" s="352"/>
      <c r="CD384" s="352"/>
      <c r="CE384" s="352"/>
      <c r="CF384" s="352"/>
      <c r="CG384" s="352"/>
      <c r="CH384" s="352"/>
      <c r="CI384" s="352"/>
      <c r="CJ384" s="352"/>
      <c r="CK384" s="352"/>
      <c r="CL384" s="352"/>
      <c r="CM384" s="352"/>
      <c r="CN384" s="352"/>
      <c r="CO384" s="352"/>
      <c r="CP384" s="352"/>
      <c r="CQ384" s="352"/>
      <c r="CR384" s="352"/>
      <c r="CS384" s="352"/>
      <c r="CT384" s="352"/>
      <c r="CU384" s="352"/>
      <c r="CV384" s="352"/>
      <c r="CW384" s="352"/>
      <c r="CX384" s="352"/>
      <c r="CY384" s="352"/>
      <c r="CZ384" s="352"/>
      <c r="DA384" s="352"/>
      <c r="DB384" s="352"/>
      <c r="DC384" s="352"/>
      <c r="DD384" s="352"/>
      <c r="DE384" s="352"/>
      <c r="DF384" s="352"/>
      <c r="DG384" s="352"/>
      <c r="DH384" s="352"/>
      <c r="DI384" s="352"/>
      <c r="DJ384" s="352"/>
      <c r="DK384" s="352"/>
      <c r="DL384" s="352"/>
      <c r="DM384" s="352"/>
      <c r="DN384" s="352"/>
      <c r="DO384" s="352"/>
      <c r="DP384" s="352"/>
      <c r="DQ384" s="352"/>
      <c r="DR384" s="352"/>
      <c r="DS384" s="352"/>
      <c r="DT384" s="352"/>
      <c r="DU384" s="352"/>
      <c r="DV384" s="352"/>
      <c r="DW384" s="352"/>
      <c r="DX384" s="352"/>
      <c r="DY384" s="352"/>
      <c r="DZ384" s="352"/>
      <c r="EA384" s="352"/>
      <c r="EB384" s="352"/>
      <c r="EC384" s="352"/>
      <c r="ED384" s="352"/>
      <c r="EE384" s="352"/>
      <c r="EF384" s="352"/>
      <c r="EG384" s="352"/>
      <c r="EH384" s="352"/>
      <c r="EI384" s="352"/>
      <c r="EJ384" s="352"/>
      <c r="EK384" s="352"/>
      <c r="EL384" s="352"/>
      <c r="EM384" s="352"/>
      <c r="EN384" s="352"/>
    </row>
    <row r="385" spans="1:144" ht="20.100000000000001" customHeight="1">
      <c r="A385" s="118" t="s">
        <v>126</v>
      </c>
      <c r="B385" s="118" t="s">
        <v>506</v>
      </c>
      <c r="C385" s="119">
        <f>'Thomson Reuters IMA  ($)'!I739</f>
        <v>1651.155</v>
      </c>
      <c r="D385" s="120">
        <f>'Sectors % GDP'!I30</f>
        <v>109563.30000000002</v>
      </c>
      <c r="E385" s="120">
        <f t="shared" si="10"/>
        <v>1.5070329206951595E-2</v>
      </c>
      <c r="F385" s="123">
        <v>1</v>
      </c>
      <c r="G385" s="120">
        <v>6</v>
      </c>
      <c r="H385" s="122">
        <v>62.44</v>
      </c>
      <c r="I385" s="122">
        <v>90.46</v>
      </c>
      <c r="J385" s="123">
        <v>60.35</v>
      </c>
      <c r="K385" s="123">
        <v>26.34</v>
      </c>
      <c r="L385" s="123">
        <f t="shared" si="11"/>
        <v>3.9</v>
      </c>
      <c r="M385" s="124">
        <v>3.9E-2</v>
      </c>
      <c r="N385" s="124">
        <v>6.25</v>
      </c>
      <c r="O385" s="125">
        <f>'Trade Data'!H23</f>
        <v>0.38369501611034146</v>
      </c>
      <c r="P385" s="127">
        <v>1</v>
      </c>
      <c r="Q385" s="352"/>
      <c r="R385" s="352"/>
      <c r="S385" s="352"/>
      <c r="T385" s="352"/>
      <c r="U385" s="352"/>
      <c r="V385" s="352"/>
      <c r="W385" s="352"/>
      <c r="X385" s="352"/>
      <c r="Y385" s="352"/>
      <c r="Z385" s="352"/>
      <c r="AA385" s="352"/>
      <c r="AB385" s="352"/>
      <c r="AC385" s="352"/>
      <c r="AD385" s="352"/>
      <c r="AE385" s="352"/>
      <c r="AF385" s="352"/>
      <c r="AG385" s="352"/>
      <c r="AH385" s="352"/>
      <c r="AI385" s="352"/>
      <c r="AJ385" s="352"/>
      <c r="AK385" s="352"/>
      <c r="AL385" s="352"/>
      <c r="AM385" s="352"/>
      <c r="AN385" s="352"/>
      <c r="AO385" s="352"/>
      <c r="AP385" s="352"/>
      <c r="AQ385" s="352"/>
      <c r="AR385" s="352"/>
      <c r="AS385" s="352"/>
      <c r="AT385" s="352"/>
      <c r="AU385" s="352"/>
      <c r="AV385" s="352"/>
      <c r="AW385" s="352"/>
      <c r="AX385" s="352"/>
      <c r="AY385" s="352"/>
      <c r="AZ385" s="352"/>
      <c r="BA385" s="352"/>
      <c r="BB385" s="352"/>
      <c r="BC385" s="352"/>
      <c r="BD385" s="352"/>
      <c r="BE385" s="352"/>
      <c r="BF385" s="352"/>
      <c r="BG385" s="352"/>
      <c r="BH385" s="352"/>
      <c r="BI385" s="352"/>
      <c r="BJ385" s="352"/>
      <c r="BK385" s="352"/>
      <c r="BL385" s="352"/>
      <c r="BM385" s="352"/>
      <c r="BN385" s="352"/>
      <c r="BO385" s="352"/>
      <c r="BP385" s="352"/>
      <c r="BQ385" s="352"/>
      <c r="BR385" s="352"/>
      <c r="BS385" s="352"/>
      <c r="BT385" s="352"/>
      <c r="BU385" s="352"/>
      <c r="BV385" s="352"/>
      <c r="BW385" s="352"/>
      <c r="BX385" s="352"/>
      <c r="BY385" s="352"/>
      <c r="BZ385" s="352"/>
      <c r="CA385" s="352"/>
      <c r="CB385" s="352"/>
      <c r="CC385" s="352"/>
      <c r="CD385" s="352"/>
      <c r="CE385" s="352"/>
      <c r="CF385" s="352"/>
      <c r="CG385" s="352"/>
      <c r="CH385" s="352"/>
      <c r="CI385" s="352"/>
      <c r="CJ385" s="352"/>
      <c r="CK385" s="352"/>
      <c r="CL385" s="352"/>
      <c r="CM385" s="352"/>
      <c r="CN385" s="352"/>
      <c r="CO385" s="352"/>
      <c r="CP385" s="352"/>
      <c r="CQ385" s="352"/>
      <c r="CR385" s="352"/>
      <c r="CS385" s="352"/>
      <c r="CT385" s="352"/>
      <c r="CU385" s="352"/>
      <c r="CV385" s="352"/>
      <c r="CW385" s="352"/>
      <c r="CX385" s="352"/>
      <c r="CY385" s="352"/>
      <c r="CZ385" s="352"/>
      <c r="DA385" s="352"/>
      <c r="DB385" s="352"/>
      <c r="DC385" s="352"/>
      <c r="DD385" s="352"/>
      <c r="DE385" s="352"/>
      <c r="DF385" s="352"/>
      <c r="DG385" s="352"/>
      <c r="DH385" s="352"/>
      <c r="DI385" s="352"/>
      <c r="DJ385" s="352"/>
      <c r="DK385" s="352"/>
      <c r="DL385" s="352"/>
      <c r="DM385" s="352"/>
      <c r="DN385" s="352"/>
      <c r="DO385" s="352"/>
      <c r="DP385" s="352"/>
      <c r="DQ385" s="352"/>
      <c r="DR385" s="352"/>
      <c r="DS385" s="352"/>
      <c r="DT385" s="352"/>
      <c r="DU385" s="352"/>
      <c r="DV385" s="352"/>
      <c r="DW385" s="352"/>
      <c r="DX385" s="352"/>
      <c r="DY385" s="352"/>
      <c r="DZ385" s="352"/>
      <c r="EA385" s="352"/>
      <c r="EB385" s="352"/>
      <c r="EC385" s="352"/>
      <c r="ED385" s="352"/>
      <c r="EE385" s="352"/>
      <c r="EF385" s="352"/>
      <c r="EG385" s="352"/>
      <c r="EH385" s="352"/>
      <c r="EI385" s="352"/>
      <c r="EJ385" s="352"/>
      <c r="EK385" s="352"/>
      <c r="EL385" s="352"/>
      <c r="EM385" s="352"/>
      <c r="EN385" s="352"/>
    </row>
    <row r="386" spans="1:144" s="169" customFormat="1" ht="20.100000000000001" customHeight="1">
      <c r="A386" s="160" t="s">
        <v>127</v>
      </c>
      <c r="B386" s="160" t="s">
        <v>505</v>
      </c>
      <c r="C386" s="161">
        <v>0</v>
      </c>
      <c r="D386" s="162">
        <f>'Sectors % GDP'!I28</f>
        <v>14647.5</v>
      </c>
      <c r="E386" s="162">
        <f t="shared" ref="E386:E449" si="12">C386/D386</f>
        <v>0</v>
      </c>
      <c r="F386" s="165">
        <v>0</v>
      </c>
      <c r="G386" s="162">
        <v>0</v>
      </c>
      <c r="H386" s="164">
        <v>67</v>
      </c>
      <c r="I386" s="164">
        <v>88.99</v>
      </c>
      <c r="J386" s="165">
        <v>73.650000000000006</v>
      </c>
      <c r="K386" s="165">
        <v>26.34</v>
      </c>
      <c r="L386" s="165">
        <f t="shared" si="11"/>
        <v>3.9</v>
      </c>
      <c r="M386" s="166">
        <v>3.9E-2</v>
      </c>
      <c r="N386" s="166">
        <v>6.25</v>
      </c>
      <c r="O386" s="167">
        <f>'Trade Data'!H23</f>
        <v>0.38369501611034146</v>
      </c>
      <c r="P386" s="168">
        <v>0</v>
      </c>
      <c r="Q386" s="352"/>
      <c r="R386" s="352"/>
      <c r="S386" s="352"/>
      <c r="T386" s="352"/>
      <c r="U386" s="352"/>
      <c r="V386" s="352"/>
      <c r="W386" s="352"/>
      <c r="X386" s="352"/>
      <c r="Y386" s="352"/>
      <c r="Z386" s="352"/>
      <c r="AA386" s="352"/>
      <c r="AB386" s="352"/>
      <c r="AC386" s="352"/>
      <c r="AD386" s="352"/>
      <c r="AE386" s="352"/>
      <c r="AF386" s="352"/>
      <c r="AG386" s="352"/>
      <c r="AH386" s="352"/>
      <c r="AI386" s="352"/>
      <c r="AJ386" s="352"/>
      <c r="AK386" s="352"/>
      <c r="AL386" s="352"/>
      <c r="AM386" s="352"/>
      <c r="AN386" s="352"/>
      <c r="AO386" s="352"/>
      <c r="AP386" s="352"/>
      <c r="AQ386" s="352"/>
      <c r="AR386" s="352"/>
      <c r="AS386" s="352"/>
      <c r="AT386" s="352"/>
      <c r="AU386" s="352"/>
      <c r="AV386" s="352"/>
      <c r="AW386" s="352"/>
      <c r="AX386" s="352"/>
      <c r="AY386" s="352"/>
      <c r="AZ386" s="352"/>
      <c r="BA386" s="352"/>
      <c r="BB386" s="352"/>
      <c r="BC386" s="352"/>
      <c r="BD386" s="352"/>
      <c r="BE386" s="352"/>
      <c r="BF386" s="352"/>
      <c r="BG386" s="352"/>
      <c r="BH386" s="352"/>
      <c r="BI386" s="352"/>
      <c r="BJ386" s="352"/>
      <c r="BK386" s="352"/>
      <c r="BL386" s="352"/>
      <c r="BM386" s="352"/>
      <c r="BN386" s="352"/>
      <c r="BO386" s="352"/>
      <c r="BP386" s="352"/>
      <c r="BQ386" s="352"/>
      <c r="BR386" s="352"/>
      <c r="BS386" s="352"/>
      <c r="BT386" s="352"/>
      <c r="BU386" s="352"/>
      <c r="BV386" s="352"/>
      <c r="BW386" s="352"/>
      <c r="BX386" s="352"/>
      <c r="BY386" s="352"/>
      <c r="BZ386" s="352"/>
      <c r="CA386" s="352"/>
      <c r="CB386" s="352"/>
      <c r="CC386" s="352"/>
      <c r="CD386" s="352"/>
      <c r="CE386" s="352"/>
      <c r="CF386" s="352"/>
      <c r="CG386" s="352"/>
      <c r="CH386" s="352"/>
      <c r="CI386" s="352"/>
      <c r="CJ386" s="352"/>
      <c r="CK386" s="352"/>
      <c r="CL386" s="352"/>
      <c r="CM386" s="352"/>
      <c r="CN386" s="352"/>
      <c r="CO386" s="352"/>
      <c r="CP386" s="352"/>
      <c r="CQ386" s="352"/>
      <c r="CR386" s="352"/>
      <c r="CS386" s="352"/>
      <c r="CT386" s="352"/>
      <c r="CU386" s="352"/>
      <c r="CV386" s="352"/>
      <c r="CW386" s="352"/>
      <c r="CX386" s="352"/>
      <c r="CY386" s="352"/>
      <c r="CZ386" s="352"/>
      <c r="DA386" s="352"/>
      <c r="DB386" s="352"/>
      <c r="DC386" s="352"/>
      <c r="DD386" s="352"/>
      <c r="DE386" s="352"/>
      <c r="DF386" s="352"/>
      <c r="DG386" s="352"/>
      <c r="DH386" s="352"/>
      <c r="DI386" s="352"/>
      <c r="DJ386" s="352"/>
      <c r="DK386" s="352"/>
      <c r="DL386" s="352"/>
      <c r="DM386" s="352"/>
      <c r="DN386" s="352"/>
      <c r="DO386" s="352"/>
      <c r="DP386" s="352"/>
      <c r="DQ386" s="352"/>
      <c r="DR386" s="352"/>
      <c r="DS386" s="352"/>
      <c r="DT386" s="352"/>
      <c r="DU386" s="352"/>
      <c r="DV386" s="352"/>
      <c r="DW386" s="352"/>
      <c r="DX386" s="352"/>
      <c r="DY386" s="352"/>
      <c r="DZ386" s="352"/>
      <c r="EA386" s="352"/>
      <c r="EB386" s="352"/>
      <c r="EC386" s="352"/>
      <c r="ED386" s="352"/>
      <c r="EE386" s="352"/>
      <c r="EF386" s="352"/>
      <c r="EG386" s="352"/>
      <c r="EH386" s="352"/>
      <c r="EI386" s="352"/>
      <c r="EJ386" s="352"/>
      <c r="EK386" s="352"/>
      <c r="EL386" s="352"/>
      <c r="EM386" s="352"/>
      <c r="EN386" s="352"/>
    </row>
    <row r="387" spans="1:144" s="188" customFormat="1" ht="20.100000000000001" customHeight="1">
      <c r="A387" s="179" t="s">
        <v>127</v>
      </c>
      <c r="B387" s="179" t="s">
        <v>504</v>
      </c>
      <c r="C387" s="180">
        <f>SUM('Thomson Reuters IMA  ($)'!I740:I743)</f>
        <v>1237.7919999999999</v>
      </c>
      <c r="D387" s="181">
        <f>'Sectors % GDP'!I29</f>
        <v>70893.899999999994</v>
      </c>
      <c r="E387" s="181">
        <f t="shared" si="12"/>
        <v>1.7459781448051243E-2</v>
      </c>
      <c r="F387" s="184">
        <v>1</v>
      </c>
      <c r="G387" s="181">
        <v>6</v>
      </c>
      <c r="H387" s="183">
        <v>67</v>
      </c>
      <c r="I387" s="183">
        <v>88.99</v>
      </c>
      <c r="J387" s="184">
        <v>73.650000000000006</v>
      </c>
      <c r="K387" s="184">
        <v>26.34</v>
      </c>
      <c r="L387" s="184">
        <f t="shared" ref="L387:L450" si="13">M387*100</f>
        <v>3.9</v>
      </c>
      <c r="M387" s="185">
        <v>3.9E-2</v>
      </c>
      <c r="N387" s="185">
        <v>6.25</v>
      </c>
      <c r="O387" s="186">
        <f>'Trade Data'!H23</f>
        <v>0.38369501611034146</v>
      </c>
      <c r="P387" s="187">
        <v>1</v>
      </c>
      <c r="Q387" s="352"/>
      <c r="R387" s="352"/>
      <c r="S387" s="352"/>
      <c r="T387" s="352"/>
      <c r="U387" s="352"/>
      <c r="V387" s="352"/>
      <c r="W387" s="352"/>
      <c r="X387" s="352"/>
      <c r="Y387" s="352"/>
      <c r="Z387" s="352"/>
      <c r="AA387" s="352"/>
      <c r="AB387" s="352"/>
      <c r="AC387" s="352"/>
      <c r="AD387" s="352"/>
      <c r="AE387" s="352"/>
      <c r="AF387" s="352"/>
      <c r="AG387" s="352"/>
      <c r="AH387" s="352"/>
      <c r="AI387" s="352"/>
      <c r="AJ387" s="352"/>
      <c r="AK387" s="352"/>
      <c r="AL387" s="352"/>
      <c r="AM387" s="352"/>
      <c r="AN387" s="352"/>
      <c r="AO387" s="352"/>
      <c r="AP387" s="352"/>
      <c r="AQ387" s="352"/>
      <c r="AR387" s="352"/>
      <c r="AS387" s="352"/>
      <c r="AT387" s="352"/>
      <c r="AU387" s="352"/>
      <c r="AV387" s="352"/>
      <c r="AW387" s="352"/>
      <c r="AX387" s="352"/>
      <c r="AY387" s="352"/>
      <c r="AZ387" s="352"/>
      <c r="BA387" s="352"/>
      <c r="BB387" s="352"/>
      <c r="BC387" s="352"/>
      <c r="BD387" s="352"/>
      <c r="BE387" s="352"/>
      <c r="BF387" s="352"/>
      <c r="BG387" s="352"/>
      <c r="BH387" s="352"/>
      <c r="BI387" s="352"/>
      <c r="BJ387" s="352"/>
      <c r="BK387" s="352"/>
      <c r="BL387" s="352"/>
      <c r="BM387" s="352"/>
      <c r="BN387" s="352"/>
      <c r="BO387" s="352"/>
      <c r="BP387" s="352"/>
      <c r="BQ387" s="352"/>
      <c r="BR387" s="352"/>
      <c r="BS387" s="352"/>
      <c r="BT387" s="352"/>
      <c r="BU387" s="352"/>
      <c r="BV387" s="352"/>
      <c r="BW387" s="352"/>
      <c r="BX387" s="352"/>
      <c r="BY387" s="352"/>
      <c r="BZ387" s="352"/>
      <c r="CA387" s="352"/>
      <c r="CB387" s="352"/>
      <c r="CC387" s="352"/>
      <c r="CD387" s="352"/>
      <c r="CE387" s="352"/>
      <c r="CF387" s="352"/>
      <c r="CG387" s="352"/>
      <c r="CH387" s="352"/>
      <c r="CI387" s="352"/>
      <c r="CJ387" s="352"/>
      <c r="CK387" s="352"/>
      <c r="CL387" s="352"/>
      <c r="CM387" s="352"/>
      <c r="CN387" s="352"/>
      <c r="CO387" s="352"/>
      <c r="CP387" s="352"/>
      <c r="CQ387" s="352"/>
      <c r="CR387" s="352"/>
      <c r="CS387" s="352"/>
      <c r="CT387" s="352"/>
      <c r="CU387" s="352"/>
      <c r="CV387" s="352"/>
      <c r="CW387" s="352"/>
      <c r="CX387" s="352"/>
      <c r="CY387" s="352"/>
      <c r="CZ387" s="352"/>
      <c r="DA387" s="352"/>
      <c r="DB387" s="352"/>
      <c r="DC387" s="352"/>
      <c r="DD387" s="352"/>
      <c r="DE387" s="352"/>
      <c r="DF387" s="352"/>
      <c r="DG387" s="352"/>
      <c r="DH387" s="352"/>
      <c r="DI387" s="352"/>
      <c r="DJ387" s="352"/>
      <c r="DK387" s="352"/>
      <c r="DL387" s="352"/>
      <c r="DM387" s="352"/>
      <c r="DN387" s="352"/>
      <c r="DO387" s="352"/>
      <c r="DP387" s="352"/>
      <c r="DQ387" s="352"/>
      <c r="DR387" s="352"/>
      <c r="DS387" s="352"/>
      <c r="DT387" s="352"/>
      <c r="DU387" s="352"/>
      <c r="DV387" s="352"/>
      <c r="DW387" s="352"/>
      <c r="DX387" s="352"/>
      <c r="DY387" s="352"/>
      <c r="DZ387" s="352"/>
      <c r="EA387" s="352"/>
      <c r="EB387" s="352"/>
      <c r="EC387" s="352"/>
      <c r="ED387" s="352"/>
      <c r="EE387" s="352"/>
      <c r="EF387" s="352"/>
      <c r="EG387" s="352"/>
      <c r="EH387" s="352"/>
      <c r="EI387" s="352"/>
      <c r="EJ387" s="352"/>
      <c r="EK387" s="352"/>
      <c r="EL387" s="352"/>
      <c r="EM387" s="352"/>
      <c r="EN387" s="352"/>
    </row>
    <row r="388" spans="1:144" ht="20.100000000000001" customHeight="1">
      <c r="A388" s="118" t="s">
        <v>127</v>
      </c>
      <c r="B388" s="118" t="s">
        <v>503</v>
      </c>
      <c r="C388" s="119">
        <v>0</v>
      </c>
      <c r="D388" s="120">
        <f>'Sectors % GDP'!I30</f>
        <v>109563.30000000002</v>
      </c>
      <c r="E388" s="120">
        <f t="shared" si="12"/>
        <v>0</v>
      </c>
      <c r="F388" s="123">
        <v>1</v>
      </c>
      <c r="G388" s="120">
        <v>3</v>
      </c>
      <c r="H388" s="122">
        <v>67</v>
      </c>
      <c r="I388" s="122">
        <v>88.99</v>
      </c>
      <c r="J388" s="123">
        <v>73.650000000000006</v>
      </c>
      <c r="K388" s="123">
        <v>26.34</v>
      </c>
      <c r="L388" s="123">
        <f t="shared" si="13"/>
        <v>3.9</v>
      </c>
      <c r="M388" s="124">
        <v>3.9E-2</v>
      </c>
      <c r="N388" s="124">
        <v>6.25</v>
      </c>
      <c r="O388" s="125">
        <f>'Trade Data'!H23</f>
        <v>0.38369501611034146</v>
      </c>
      <c r="P388" s="126">
        <v>1</v>
      </c>
      <c r="Q388" s="352"/>
      <c r="R388" s="352"/>
      <c r="S388" s="352"/>
      <c r="T388" s="352"/>
      <c r="U388" s="352"/>
      <c r="V388" s="352"/>
      <c r="W388" s="352"/>
      <c r="X388" s="352"/>
      <c r="Y388" s="352"/>
      <c r="Z388" s="352"/>
      <c r="AA388" s="352"/>
      <c r="AB388" s="352"/>
      <c r="AC388" s="352"/>
      <c r="AD388" s="352"/>
      <c r="AE388" s="352"/>
      <c r="AF388" s="352"/>
      <c r="AG388" s="352"/>
      <c r="AH388" s="352"/>
      <c r="AI388" s="352"/>
      <c r="AJ388" s="352"/>
      <c r="AK388" s="352"/>
      <c r="AL388" s="352"/>
      <c r="AM388" s="352"/>
      <c r="AN388" s="352"/>
      <c r="AO388" s="352"/>
      <c r="AP388" s="352"/>
      <c r="AQ388" s="352"/>
      <c r="AR388" s="352"/>
      <c r="AS388" s="352"/>
      <c r="AT388" s="352"/>
      <c r="AU388" s="352"/>
      <c r="AV388" s="352"/>
      <c r="AW388" s="352"/>
      <c r="AX388" s="352"/>
      <c r="AY388" s="352"/>
      <c r="AZ388" s="352"/>
      <c r="BA388" s="352"/>
      <c r="BB388" s="352"/>
      <c r="BC388" s="352"/>
      <c r="BD388" s="352"/>
      <c r="BE388" s="352"/>
      <c r="BF388" s="352"/>
      <c r="BG388" s="352"/>
      <c r="BH388" s="352"/>
      <c r="BI388" s="352"/>
      <c r="BJ388" s="352"/>
      <c r="BK388" s="352"/>
      <c r="BL388" s="352"/>
      <c r="BM388" s="352"/>
      <c r="BN388" s="352"/>
      <c r="BO388" s="352"/>
      <c r="BP388" s="352"/>
      <c r="BQ388" s="352"/>
      <c r="BR388" s="352"/>
      <c r="BS388" s="352"/>
      <c r="BT388" s="352"/>
      <c r="BU388" s="352"/>
      <c r="BV388" s="352"/>
      <c r="BW388" s="352"/>
      <c r="BX388" s="352"/>
      <c r="BY388" s="352"/>
      <c r="BZ388" s="352"/>
      <c r="CA388" s="352"/>
      <c r="CB388" s="352"/>
      <c r="CC388" s="352"/>
      <c r="CD388" s="352"/>
      <c r="CE388" s="352"/>
      <c r="CF388" s="352"/>
      <c r="CG388" s="352"/>
      <c r="CH388" s="352"/>
      <c r="CI388" s="352"/>
      <c r="CJ388" s="352"/>
      <c r="CK388" s="352"/>
      <c r="CL388" s="352"/>
      <c r="CM388" s="352"/>
      <c r="CN388" s="352"/>
      <c r="CO388" s="352"/>
      <c r="CP388" s="352"/>
      <c r="CQ388" s="352"/>
      <c r="CR388" s="352"/>
      <c r="CS388" s="352"/>
      <c r="CT388" s="352"/>
      <c r="CU388" s="352"/>
      <c r="CV388" s="352"/>
      <c r="CW388" s="352"/>
      <c r="CX388" s="352"/>
      <c r="CY388" s="352"/>
      <c r="CZ388" s="352"/>
      <c r="DA388" s="352"/>
      <c r="DB388" s="352"/>
      <c r="DC388" s="352"/>
      <c r="DD388" s="352"/>
      <c r="DE388" s="352"/>
      <c r="DF388" s="352"/>
      <c r="DG388" s="352"/>
      <c r="DH388" s="352"/>
      <c r="DI388" s="352"/>
      <c r="DJ388" s="352"/>
      <c r="DK388" s="352"/>
      <c r="DL388" s="352"/>
      <c r="DM388" s="352"/>
      <c r="DN388" s="352"/>
      <c r="DO388" s="352"/>
      <c r="DP388" s="352"/>
      <c r="DQ388" s="352"/>
      <c r="DR388" s="352"/>
      <c r="DS388" s="352"/>
      <c r="DT388" s="352"/>
      <c r="DU388" s="352"/>
      <c r="DV388" s="352"/>
      <c r="DW388" s="352"/>
      <c r="DX388" s="352"/>
      <c r="DY388" s="352"/>
      <c r="DZ388" s="352"/>
      <c r="EA388" s="352"/>
      <c r="EB388" s="352"/>
      <c r="EC388" s="352"/>
      <c r="ED388" s="352"/>
      <c r="EE388" s="352"/>
      <c r="EF388" s="352"/>
      <c r="EG388" s="352"/>
      <c r="EH388" s="352"/>
      <c r="EI388" s="352"/>
      <c r="EJ388" s="352"/>
      <c r="EK388" s="352"/>
      <c r="EL388" s="352"/>
      <c r="EM388" s="352"/>
      <c r="EN388" s="352"/>
    </row>
    <row r="389" spans="1:144" s="169" customFormat="1" ht="20.100000000000001" customHeight="1">
      <c r="A389" s="160" t="s">
        <v>128</v>
      </c>
      <c r="B389" s="160" t="s">
        <v>502</v>
      </c>
      <c r="C389" s="161">
        <v>0</v>
      </c>
      <c r="D389" s="162">
        <f>'Sectors % GDP'!K28</f>
        <v>15750.75</v>
      </c>
      <c r="E389" s="162">
        <f t="shared" si="12"/>
        <v>0</v>
      </c>
      <c r="F389" s="165">
        <v>1</v>
      </c>
      <c r="G389" s="162">
        <v>1</v>
      </c>
      <c r="H389" s="164">
        <v>52.66</v>
      </c>
      <c r="I389" s="164">
        <v>70.959999999999994</v>
      </c>
      <c r="J389" s="165">
        <v>63.54</v>
      </c>
      <c r="K389" s="165">
        <v>25.99</v>
      </c>
      <c r="L389" s="165">
        <f t="shared" si="13"/>
        <v>3.9</v>
      </c>
      <c r="M389" s="166">
        <v>3.9E-2</v>
      </c>
      <c r="N389" s="166">
        <v>6.25</v>
      </c>
      <c r="O389" s="167">
        <f>'Trade Data'!H23</f>
        <v>0.38369501611034146</v>
      </c>
      <c r="P389" s="170">
        <v>0</v>
      </c>
      <c r="Q389" s="352"/>
      <c r="R389" s="352"/>
      <c r="S389" s="352"/>
      <c r="T389" s="352"/>
      <c r="U389" s="352"/>
      <c r="V389" s="352"/>
      <c r="W389" s="352"/>
      <c r="X389" s="352"/>
      <c r="Y389" s="352"/>
      <c r="Z389" s="352"/>
      <c r="AA389" s="352"/>
      <c r="AB389" s="352"/>
      <c r="AC389" s="352"/>
      <c r="AD389" s="352"/>
      <c r="AE389" s="352"/>
      <c r="AF389" s="352"/>
      <c r="AG389" s="352"/>
      <c r="AH389" s="352"/>
      <c r="AI389" s="352"/>
      <c r="AJ389" s="352"/>
      <c r="AK389" s="352"/>
      <c r="AL389" s="352"/>
      <c r="AM389" s="352"/>
      <c r="AN389" s="352"/>
      <c r="AO389" s="352"/>
      <c r="AP389" s="352"/>
      <c r="AQ389" s="352"/>
      <c r="AR389" s="352"/>
      <c r="AS389" s="352"/>
      <c r="AT389" s="352"/>
      <c r="AU389" s="352"/>
      <c r="AV389" s="352"/>
      <c r="AW389" s="352"/>
      <c r="AX389" s="352"/>
      <c r="AY389" s="352"/>
      <c r="AZ389" s="352"/>
      <c r="BA389" s="352"/>
      <c r="BB389" s="352"/>
      <c r="BC389" s="352"/>
      <c r="BD389" s="352"/>
      <c r="BE389" s="352"/>
      <c r="BF389" s="352"/>
      <c r="BG389" s="352"/>
      <c r="BH389" s="352"/>
      <c r="BI389" s="352"/>
      <c r="BJ389" s="352"/>
      <c r="BK389" s="352"/>
      <c r="BL389" s="352"/>
      <c r="BM389" s="352"/>
      <c r="BN389" s="352"/>
      <c r="BO389" s="352"/>
      <c r="BP389" s="352"/>
      <c r="BQ389" s="352"/>
      <c r="BR389" s="352"/>
      <c r="BS389" s="352"/>
      <c r="BT389" s="352"/>
      <c r="BU389" s="352"/>
      <c r="BV389" s="352"/>
      <c r="BW389" s="352"/>
      <c r="BX389" s="352"/>
      <c r="BY389" s="352"/>
      <c r="BZ389" s="352"/>
      <c r="CA389" s="352"/>
      <c r="CB389" s="352"/>
      <c r="CC389" s="352"/>
      <c r="CD389" s="352"/>
      <c r="CE389" s="352"/>
      <c r="CF389" s="352"/>
      <c r="CG389" s="352"/>
      <c r="CH389" s="352"/>
      <c r="CI389" s="352"/>
      <c r="CJ389" s="352"/>
      <c r="CK389" s="352"/>
      <c r="CL389" s="352"/>
      <c r="CM389" s="352"/>
      <c r="CN389" s="352"/>
      <c r="CO389" s="352"/>
      <c r="CP389" s="352"/>
      <c r="CQ389" s="352"/>
      <c r="CR389" s="352"/>
      <c r="CS389" s="352"/>
      <c r="CT389" s="352"/>
      <c r="CU389" s="352"/>
      <c r="CV389" s="352"/>
      <c r="CW389" s="352"/>
      <c r="CX389" s="352"/>
      <c r="CY389" s="352"/>
      <c r="CZ389" s="352"/>
      <c r="DA389" s="352"/>
      <c r="DB389" s="352"/>
      <c r="DC389" s="352"/>
      <c r="DD389" s="352"/>
      <c r="DE389" s="352"/>
      <c r="DF389" s="352"/>
      <c r="DG389" s="352"/>
      <c r="DH389" s="352"/>
      <c r="DI389" s="352"/>
      <c r="DJ389" s="352"/>
      <c r="DK389" s="352"/>
      <c r="DL389" s="352"/>
      <c r="DM389" s="352"/>
      <c r="DN389" s="352"/>
      <c r="DO389" s="352"/>
      <c r="DP389" s="352"/>
      <c r="DQ389" s="352"/>
      <c r="DR389" s="352"/>
      <c r="DS389" s="352"/>
      <c r="DT389" s="352"/>
      <c r="DU389" s="352"/>
      <c r="DV389" s="352"/>
      <c r="DW389" s="352"/>
      <c r="DX389" s="352"/>
      <c r="DY389" s="352"/>
      <c r="DZ389" s="352"/>
      <c r="EA389" s="352"/>
      <c r="EB389" s="352"/>
      <c r="EC389" s="352"/>
      <c r="ED389" s="352"/>
      <c r="EE389" s="352"/>
      <c r="EF389" s="352"/>
      <c r="EG389" s="352"/>
      <c r="EH389" s="352"/>
      <c r="EI389" s="352"/>
      <c r="EJ389" s="352"/>
      <c r="EK389" s="352"/>
      <c r="EL389" s="352"/>
      <c r="EM389" s="352"/>
      <c r="EN389" s="352"/>
    </row>
    <row r="390" spans="1:144" s="188" customFormat="1" ht="20.100000000000001" customHeight="1">
      <c r="A390" s="179" t="s">
        <v>128</v>
      </c>
      <c r="B390" s="179" t="s">
        <v>501</v>
      </c>
      <c r="C390" s="180">
        <f>SUM('Thomson Reuters IMA  ($)'!I744:I752)-'Thomson Reuters IMA  ($)'!I749</f>
        <v>25.866999999999997</v>
      </c>
      <c r="D390" s="181">
        <f>'Sectors % GDP'!K29</f>
        <v>76233.63</v>
      </c>
      <c r="E390" s="181">
        <f t="shared" si="12"/>
        <v>3.3931219069589097E-4</v>
      </c>
      <c r="F390" s="184">
        <v>1</v>
      </c>
      <c r="G390" s="181">
        <v>10</v>
      </c>
      <c r="H390" s="183">
        <v>52.66</v>
      </c>
      <c r="I390" s="183">
        <v>70.959999999999994</v>
      </c>
      <c r="J390" s="184">
        <v>63.54</v>
      </c>
      <c r="K390" s="184">
        <v>25.99</v>
      </c>
      <c r="L390" s="184">
        <f t="shared" si="13"/>
        <v>3.9</v>
      </c>
      <c r="M390" s="185">
        <v>3.9E-2</v>
      </c>
      <c r="N390" s="185">
        <v>6.25</v>
      </c>
      <c r="O390" s="186">
        <f>'Trade Data'!H23</f>
        <v>0.38369501611034146</v>
      </c>
      <c r="P390" s="189">
        <v>1</v>
      </c>
      <c r="Q390" s="352"/>
      <c r="R390" s="352"/>
      <c r="S390" s="352"/>
      <c r="T390" s="352"/>
      <c r="U390" s="352"/>
      <c r="V390" s="352"/>
      <c r="W390" s="352"/>
      <c r="X390" s="352"/>
      <c r="Y390" s="352"/>
      <c r="Z390" s="352"/>
      <c r="AA390" s="352"/>
      <c r="AB390" s="352"/>
      <c r="AC390" s="352"/>
      <c r="AD390" s="352"/>
      <c r="AE390" s="352"/>
      <c r="AF390" s="352"/>
      <c r="AG390" s="352"/>
      <c r="AH390" s="352"/>
      <c r="AI390" s="352"/>
      <c r="AJ390" s="352"/>
      <c r="AK390" s="352"/>
      <c r="AL390" s="352"/>
      <c r="AM390" s="352"/>
      <c r="AN390" s="352"/>
      <c r="AO390" s="352"/>
      <c r="AP390" s="352"/>
      <c r="AQ390" s="352"/>
      <c r="AR390" s="352"/>
      <c r="AS390" s="352"/>
      <c r="AT390" s="352"/>
      <c r="AU390" s="352"/>
      <c r="AV390" s="352"/>
      <c r="AW390" s="352"/>
      <c r="AX390" s="352"/>
      <c r="AY390" s="352"/>
      <c r="AZ390" s="352"/>
      <c r="BA390" s="352"/>
      <c r="BB390" s="352"/>
      <c r="BC390" s="352"/>
      <c r="BD390" s="352"/>
      <c r="BE390" s="352"/>
      <c r="BF390" s="352"/>
      <c r="BG390" s="352"/>
      <c r="BH390" s="352"/>
      <c r="BI390" s="352"/>
      <c r="BJ390" s="352"/>
      <c r="BK390" s="352"/>
      <c r="BL390" s="352"/>
      <c r="BM390" s="352"/>
      <c r="BN390" s="352"/>
      <c r="BO390" s="352"/>
      <c r="BP390" s="352"/>
      <c r="BQ390" s="352"/>
      <c r="BR390" s="352"/>
      <c r="BS390" s="352"/>
      <c r="BT390" s="352"/>
      <c r="BU390" s="352"/>
      <c r="BV390" s="352"/>
      <c r="BW390" s="352"/>
      <c r="BX390" s="352"/>
      <c r="BY390" s="352"/>
      <c r="BZ390" s="352"/>
      <c r="CA390" s="352"/>
      <c r="CB390" s="352"/>
      <c r="CC390" s="352"/>
      <c r="CD390" s="352"/>
      <c r="CE390" s="352"/>
      <c r="CF390" s="352"/>
      <c r="CG390" s="352"/>
      <c r="CH390" s="352"/>
      <c r="CI390" s="352"/>
      <c r="CJ390" s="352"/>
      <c r="CK390" s="352"/>
      <c r="CL390" s="352"/>
      <c r="CM390" s="352"/>
      <c r="CN390" s="352"/>
      <c r="CO390" s="352"/>
      <c r="CP390" s="352"/>
      <c r="CQ390" s="352"/>
      <c r="CR390" s="352"/>
      <c r="CS390" s="352"/>
      <c r="CT390" s="352"/>
      <c r="CU390" s="352"/>
      <c r="CV390" s="352"/>
      <c r="CW390" s="352"/>
      <c r="CX390" s="352"/>
      <c r="CY390" s="352"/>
      <c r="CZ390" s="352"/>
      <c r="DA390" s="352"/>
      <c r="DB390" s="352"/>
      <c r="DC390" s="352"/>
      <c r="DD390" s="352"/>
      <c r="DE390" s="352"/>
      <c r="DF390" s="352"/>
      <c r="DG390" s="352"/>
      <c r="DH390" s="352"/>
      <c r="DI390" s="352"/>
      <c r="DJ390" s="352"/>
      <c r="DK390" s="352"/>
      <c r="DL390" s="352"/>
      <c r="DM390" s="352"/>
      <c r="DN390" s="352"/>
      <c r="DO390" s="352"/>
      <c r="DP390" s="352"/>
      <c r="DQ390" s="352"/>
      <c r="DR390" s="352"/>
      <c r="DS390" s="352"/>
      <c r="DT390" s="352"/>
      <c r="DU390" s="352"/>
      <c r="DV390" s="352"/>
      <c r="DW390" s="352"/>
      <c r="DX390" s="352"/>
      <c r="DY390" s="352"/>
      <c r="DZ390" s="352"/>
      <c r="EA390" s="352"/>
      <c r="EB390" s="352"/>
      <c r="EC390" s="352"/>
      <c r="ED390" s="352"/>
      <c r="EE390" s="352"/>
      <c r="EF390" s="352"/>
      <c r="EG390" s="352"/>
      <c r="EH390" s="352"/>
      <c r="EI390" s="352"/>
      <c r="EJ390" s="352"/>
      <c r="EK390" s="352"/>
      <c r="EL390" s="352"/>
      <c r="EM390" s="352"/>
      <c r="EN390" s="352"/>
    </row>
    <row r="391" spans="1:144" ht="20.100000000000001" customHeight="1">
      <c r="A391" s="118" t="s">
        <v>128</v>
      </c>
      <c r="B391" s="118" t="s">
        <v>500</v>
      </c>
      <c r="C391" s="119">
        <f>'Thomson Reuters IMA  ($)'!I749</f>
        <v>2.7589999999999999</v>
      </c>
      <c r="D391" s="120">
        <f>'Sectors % GDP'!K30</f>
        <v>117815.61000000002</v>
      </c>
      <c r="E391" s="120">
        <f t="shared" si="12"/>
        <v>2.3417949455084936E-5</v>
      </c>
      <c r="F391" s="123">
        <v>1</v>
      </c>
      <c r="G391" s="120">
        <v>3</v>
      </c>
      <c r="H391" s="122">
        <v>52.66</v>
      </c>
      <c r="I391" s="122">
        <v>70.959999999999994</v>
      </c>
      <c r="J391" s="123">
        <v>63.54</v>
      </c>
      <c r="K391" s="123">
        <v>25.99</v>
      </c>
      <c r="L391" s="123">
        <f t="shared" si="13"/>
        <v>3.9</v>
      </c>
      <c r="M391" s="124">
        <v>3.9E-2</v>
      </c>
      <c r="N391" s="124">
        <v>6.25</v>
      </c>
      <c r="O391" s="125">
        <f>'Trade Data'!H23</f>
        <v>0.38369501611034146</v>
      </c>
      <c r="P391" s="127">
        <v>1</v>
      </c>
      <c r="Q391" s="352"/>
      <c r="R391" s="352"/>
      <c r="S391" s="352"/>
      <c r="T391" s="352"/>
      <c r="U391" s="352"/>
      <c r="V391" s="352"/>
      <c r="W391" s="352"/>
      <c r="X391" s="352"/>
      <c r="Y391" s="352"/>
      <c r="Z391" s="352"/>
      <c r="AA391" s="352"/>
      <c r="AB391" s="352"/>
      <c r="AC391" s="352"/>
      <c r="AD391" s="352"/>
      <c r="AE391" s="352"/>
      <c r="AF391" s="352"/>
      <c r="AG391" s="352"/>
      <c r="AH391" s="352"/>
      <c r="AI391" s="352"/>
      <c r="AJ391" s="352"/>
      <c r="AK391" s="352"/>
      <c r="AL391" s="352"/>
      <c r="AM391" s="352"/>
      <c r="AN391" s="352"/>
      <c r="AO391" s="352"/>
      <c r="AP391" s="352"/>
      <c r="AQ391" s="352"/>
      <c r="AR391" s="352"/>
      <c r="AS391" s="352"/>
      <c r="AT391" s="352"/>
      <c r="AU391" s="352"/>
      <c r="AV391" s="352"/>
      <c r="AW391" s="352"/>
      <c r="AX391" s="352"/>
      <c r="AY391" s="352"/>
      <c r="AZ391" s="352"/>
      <c r="BA391" s="352"/>
      <c r="BB391" s="352"/>
      <c r="BC391" s="352"/>
      <c r="BD391" s="352"/>
      <c r="BE391" s="352"/>
      <c r="BF391" s="352"/>
      <c r="BG391" s="352"/>
      <c r="BH391" s="352"/>
      <c r="BI391" s="352"/>
      <c r="BJ391" s="352"/>
      <c r="BK391" s="352"/>
      <c r="BL391" s="352"/>
      <c r="BM391" s="352"/>
      <c r="BN391" s="352"/>
      <c r="BO391" s="352"/>
      <c r="BP391" s="352"/>
      <c r="BQ391" s="352"/>
      <c r="BR391" s="352"/>
      <c r="BS391" s="352"/>
      <c r="BT391" s="352"/>
      <c r="BU391" s="352"/>
      <c r="BV391" s="352"/>
      <c r="BW391" s="352"/>
      <c r="BX391" s="352"/>
      <c r="BY391" s="352"/>
      <c r="BZ391" s="352"/>
      <c r="CA391" s="352"/>
      <c r="CB391" s="352"/>
      <c r="CC391" s="352"/>
      <c r="CD391" s="352"/>
      <c r="CE391" s="352"/>
      <c r="CF391" s="352"/>
      <c r="CG391" s="352"/>
      <c r="CH391" s="352"/>
      <c r="CI391" s="352"/>
      <c r="CJ391" s="352"/>
      <c r="CK391" s="352"/>
      <c r="CL391" s="352"/>
      <c r="CM391" s="352"/>
      <c r="CN391" s="352"/>
      <c r="CO391" s="352"/>
      <c r="CP391" s="352"/>
      <c r="CQ391" s="352"/>
      <c r="CR391" s="352"/>
      <c r="CS391" s="352"/>
      <c r="CT391" s="352"/>
      <c r="CU391" s="352"/>
      <c r="CV391" s="352"/>
      <c r="CW391" s="352"/>
      <c r="CX391" s="352"/>
      <c r="CY391" s="352"/>
      <c r="CZ391" s="352"/>
      <c r="DA391" s="352"/>
      <c r="DB391" s="352"/>
      <c r="DC391" s="352"/>
      <c r="DD391" s="352"/>
      <c r="DE391" s="352"/>
      <c r="DF391" s="352"/>
      <c r="DG391" s="352"/>
      <c r="DH391" s="352"/>
      <c r="DI391" s="352"/>
      <c r="DJ391" s="352"/>
      <c r="DK391" s="352"/>
      <c r="DL391" s="352"/>
      <c r="DM391" s="352"/>
      <c r="DN391" s="352"/>
      <c r="DO391" s="352"/>
      <c r="DP391" s="352"/>
      <c r="DQ391" s="352"/>
      <c r="DR391" s="352"/>
      <c r="DS391" s="352"/>
      <c r="DT391" s="352"/>
      <c r="DU391" s="352"/>
      <c r="DV391" s="352"/>
      <c r="DW391" s="352"/>
      <c r="DX391" s="352"/>
      <c r="DY391" s="352"/>
      <c r="DZ391" s="352"/>
      <c r="EA391" s="352"/>
      <c r="EB391" s="352"/>
      <c r="EC391" s="352"/>
      <c r="ED391" s="352"/>
      <c r="EE391" s="352"/>
      <c r="EF391" s="352"/>
      <c r="EG391" s="352"/>
      <c r="EH391" s="352"/>
      <c r="EI391" s="352"/>
      <c r="EJ391" s="352"/>
      <c r="EK391" s="352"/>
      <c r="EL391" s="352"/>
      <c r="EM391" s="352"/>
      <c r="EN391" s="352"/>
    </row>
    <row r="392" spans="1:144" s="169" customFormat="1" ht="20.100000000000001" customHeight="1">
      <c r="A392" s="160" t="s">
        <v>129</v>
      </c>
      <c r="B392" s="160" t="s">
        <v>499</v>
      </c>
      <c r="C392" s="161">
        <f>'Thomson Reuters IMA  ($)'!I754</f>
        <v>15</v>
      </c>
      <c r="D392" s="162">
        <f>'Sectors % GDP'!K28</f>
        <v>15750.75</v>
      </c>
      <c r="E392" s="162">
        <f t="shared" si="12"/>
        <v>9.5233560306652067E-4</v>
      </c>
      <c r="F392" s="165">
        <v>1</v>
      </c>
      <c r="G392" s="162">
        <v>1</v>
      </c>
      <c r="H392" s="164">
        <v>51</v>
      </c>
      <c r="I392" s="164">
        <v>74.89</v>
      </c>
      <c r="J392" s="165">
        <v>54.47</v>
      </c>
      <c r="K392" s="165">
        <v>25.99</v>
      </c>
      <c r="L392" s="165">
        <f t="shared" si="13"/>
        <v>3.5000000000000004</v>
      </c>
      <c r="M392" s="166">
        <v>3.5000000000000003E-2</v>
      </c>
      <c r="N392" s="166">
        <v>5.69</v>
      </c>
      <c r="O392" s="167">
        <f>'Trade Data'!J23</f>
        <v>0.40208861083365133</v>
      </c>
      <c r="P392" s="168">
        <v>0</v>
      </c>
      <c r="Q392" s="352"/>
      <c r="R392" s="352"/>
      <c r="S392" s="352"/>
      <c r="T392" s="352"/>
      <c r="U392" s="352"/>
      <c r="V392" s="352"/>
      <c r="W392" s="352"/>
      <c r="X392" s="352"/>
      <c r="Y392" s="352"/>
      <c r="Z392" s="352"/>
      <c r="AA392" s="352"/>
      <c r="AB392" s="352"/>
      <c r="AC392" s="352"/>
      <c r="AD392" s="352"/>
      <c r="AE392" s="352"/>
      <c r="AF392" s="352"/>
      <c r="AG392" s="352"/>
      <c r="AH392" s="352"/>
      <c r="AI392" s="352"/>
      <c r="AJ392" s="352"/>
      <c r="AK392" s="352"/>
      <c r="AL392" s="352"/>
      <c r="AM392" s="352"/>
      <c r="AN392" s="352"/>
      <c r="AO392" s="352"/>
      <c r="AP392" s="352"/>
      <c r="AQ392" s="352"/>
      <c r="AR392" s="352"/>
      <c r="AS392" s="352"/>
      <c r="AT392" s="352"/>
      <c r="AU392" s="352"/>
      <c r="AV392" s="352"/>
      <c r="AW392" s="352"/>
      <c r="AX392" s="352"/>
      <c r="AY392" s="352"/>
      <c r="AZ392" s="352"/>
      <c r="BA392" s="352"/>
      <c r="BB392" s="352"/>
      <c r="BC392" s="352"/>
      <c r="BD392" s="352"/>
      <c r="BE392" s="352"/>
      <c r="BF392" s="352"/>
      <c r="BG392" s="352"/>
      <c r="BH392" s="352"/>
      <c r="BI392" s="352"/>
      <c r="BJ392" s="352"/>
      <c r="BK392" s="352"/>
      <c r="BL392" s="352"/>
      <c r="BM392" s="352"/>
      <c r="BN392" s="352"/>
      <c r="BO392" s="352"/>
      <c r="BP392" s="352"/>
      <c r="BQ392" s="352"/>
      <c r="BR392" s="352"/>
      <c r="BS392" s="352"/>
      <c r="BT392" s="352"/>
      <c r="BU392" s="352"/>
      <c r="BV392" s="352"/>
      <c r="BW392" s="352"/>
      <c r="BX392" s="352"/>
      <c r="BY392" s="352"/>
      <c r="BZ392" s="352"/>
      <c r="CA392" s="352"/>
      <c r="CB392" s="352"/>
      <c r="CC392" s="352"/>
      <c r="CD392" s="352"/>
      <c r="CE392" s="352"/>
      <c r="CF392" s="352"/>
      <c r="CG392" s="352"/>
      <c r="CH392" s="352"/>
      <c r="CI392" s="352"/>
      <c r="CJ392" s="352"/>
      <c r="CK392" s="352"/>
      <c r="CL392" s="352"/>
      <c r="CM392" s="352"/>
      <c r="CN392" s="352"/>
      <c r="CO392" s="352"/>
      <c r="CP392" s="352"/>
      <c r="CQ392" s="352"/>
      <c r="CR392" s="352"/>
      <c r="CS392" s="352"/>
      <c r="CT392" s="352"/>
      <c r="CU392" s="352"/>
      <c r="CV392" s="352"/>
      <c r="CW392" s="352"/>
      <c r="CX392" s="352"/>
      <c r="CY392" s="352"/>
      <c r="CZ392" s="352"/>
      <c r="DA392" s="352"/>
      <c r="DB392" s="352"/>
      <c r="DC392" s="352"/>
      <c r="DD392" s="352"/>
      <c r="DE392" s="352"/>
      <c r="DF392" s="352"/>
      <c r="DG392" s="352"/>
      <c r="DH392" s="352"/>
      <c r="DI392" s="352"/>
      <c r="DJ392" s="352"/>
      <c r="DK392" s="352"/>
      <c r="DL392" s="352"/>
      <c r="DM392" s="352"/>
      <c r="DN392" s="352"/>
      <c r="DO392" s="352"/>
      <c r="DP392" s="352"/>
      <c r="DQ392" s="352"/>
      <c r="DR392" s="352"/>
      <c r="DS392" s="352"/>
      <c r="DT392" s="352"/>
      <c r="DU392" s="352"/>
      <c r="DV392" s="352"/>
      <c r="DW392" s="352"/>
      <c r="DX392" s="352"/>
      <c r="DY392" s="352"/>
      <c r="DZ392" s="352"/>
      <c r="EA392" s="352"/>
      <c r="EB392" s="352"/>
      <c r="EC392" s="352"/>
      <c r="ED392" s="352"/>
      <c r="EE392" s="352"/>
      <c r="EF392" s="352"/>
      <c r="EG392" s="352"/>
      <c r="EH392" s="352"/>
      <c r="EI392" s="352"/>
      <c r="EJ392" s="352"/>
      <c r="EK392" s="352"/>
      <c r="EL392" s="352"/>
      <c r="EM392" s="352"/>
      <c r="EN392" s="352"/>
    </row>
    <row r="393" spans="1:144" s="188" customFormat="1" ht="20.100000000000001" customHeight="1">
      <c r="A393" s="179" t="s">
        <v>129</v>
      </c>
      <c r="B393" s="179" t="s">
        <v>498</v>
      </c>
      <c r="C393" s="180">
        <f>'Thomson Reuters IMA  ($)'!I753+'Thomson Reuters IMA  ($)'!I755</f>
        <v>24</v>
      </c>
      <c r="D393" s="181">
        <f>'Sectors % GDP'!K29</f>
        <v>76233.63</v>
      </c>
      <c r="E393" s="181">
        <f t="shared" si="12"/>
        <v>3.1482168696413902E-4</v>
      </c>
      <c r="F393" s="184">
        <v>1</v>
      </c>
      <c r="G393" s="181">
        <v>2</v>
      </c>
      <c r="H393" s="183">
        <v>51</v>
      </c>
      <c r="I393" s="183">
        <v>74.89</v>
      </c>
      <c r="J393" s="184">
        <v>54.47</v>
      </c>
      <c r="K393" s="184">
        <v>25.99</v>
      </c>
      <c r="L393" s="184">
        <f t="shared" si="13"/>
        <v>3.5000000000000004</v>
      </c>
      <c r="M393" s="185">
        <v>3.5000000000000003E-2</v>
      </c>
      <c r="N393" s="185">
        <v>5.69</v>
      </c>
      <c r="O393" s="186">
        <f>'Trade Data'!J23</f>
        <v>0.40208861083365133</v>
      </c>
      <c r="P393" s="187">
        <v>1</v>
      </c>
      <c r="Q393" s="352"/>
      <c r="R393" s="352"/>
      <c r="S393" s="352"/>
      <c r="T393" s="352"/>
      <c r="U393" s="352"/>
      <c r="V393" s="352"/>
      <c r="W393" s="352"/>
      <c r="X393" s="352"/>
      <c r="Y393" s="352"/>
      <c r="Z393" s="352"/>
      <c r="AA393" s="352"/>
      <c r="AB393" s="352"/>
      <c r="AC393" s="352"/>
      <c r="AD393" s="352"/>
      <c r="AE393" s="352"/>
      <c r="AF393" s="352"/>
      <c r="AG393" s="352"/>
      <c r="AH393" s="352"/>
      <c r="AI393" s="352"/>
      <c r="AJ393" s="352"/>
      <c r="AK393" s="352"/>
      <c r="AL393" s="352"/>
      <c r="AM393" s="352"/>
      <c r="AN393" s="352"/>
      <c r="AO393" s="352"/>
      <c r="AP393" s="352"/>
      <c r="AQ393" s="352"/>
      <c r="AR393" s="352"/>
      <c r="AS393" s="352"/>
      <c r="AT393" s="352"/>
      <c r="AU393" s="352"/>
      <c r="AV393" s="352"/>
      <c r="AW393" s="352"/>
      <c r="AX393" s="352"/>
      <c r="AY393" s="352"/>
      <c r="AZ393" s="352"/>
      <c r="BA393" s="352"/>
      <c r="BB393" s="352"/>
      <c r="BC393" s="352"/>
      <c r="BD393" s="352"/>
      <c r="BE393" s="352"/>
      <c r="BF393" s="352"/>
      <c r="BG393" s="352"/>
      <c r="BH393" s="352"/>
      <c r="BI393" s="352"/>
      <c r="BJ393" s="352"/>
      <c r="BK393" s="352"/>
      <c r="BL393" s="352"/>
      <c r="BM393" s="352"/>
      <c r="BN393" s="352"/>
      <c r="BO393" s="352"/>
      <c r="BP393" s="352"/>
      <c r="BQ393" s="352"/>
      <c r="BR393" s="352"/>
      <c r="BS393" s="352"/>
      <c r="BT393" s="352"/>
      <c r="BU393" s="352"/>
      <c r="BV393" s="352"/>
      <c r="BW393" s="352"/>
      <c r="BX393" s="352"/>
      <c r="BY393" s="352"/>
      <c r="BZ393" s="352"/>
      <c r="CA393" s="352"/>
      <c r="CB393" s="352"/>
      <c r="CC393" s="352"/>
      <c r="CD393" s="352"/>
      <c r="CE393" s="352"/>
      <c r="CF393" s="352"/>
      <c r="CG393" s="352"/>
      <c r="CH393" s="352"/>
      <c r="CI393" s="352"/>
      <c r="CJ393" s="352"/>
      <c r="CK393" s="352"/>
      <c r="CL393" s="352"/>
      <c r="CM393" s="352"/>
      <c r="CN393" s="352"/>
      <c r="CO393" s="352"/>
      <c r="CP393" s="352"/>
      <c r="CQ393" s="352"/>
      <c r="CR393" s="352"/>
      <c r="CS393" s="352"/>
      <c r="CT393" s="352"/>
      <c r="CU393" s="352"/>
      <c r="CV393" s="352"/>
      <c r="CW393" s="352"/>
      <c r="CX393" s="352"/>
      <c r="CY393" s="352"/>
      <c r="CZ393" s="352"/>
      <c r="DA393" s="352"/>
      <c r="DB393" s="352"/>
      <c r="DC393" s="352"/>
      <c r="DD393" s="352"/>
      <c r="DE393" s="352"/>
      <c r="DF393" s="352"/>
      <c r="DG393" s="352"/>
      <c r="DH393" s="352"/>
      <c r="DI393" s="352"/>
      <c r="DJ393" s="352"/>
      <c r="DK393" s="352"/>
      <c r="DL393" s="352"/>
      <c r="DM393" s="352"/>
      <c r="DN393" s="352"/>
      <c r="DO393" s="352"/>
      <c r="DP393" s="352"/>
      <c r="DQ393" s="352"/>
      <c r="DR393" s="352"/>
      <c r="DS393" s="352"/>
      <c r="DT393" s="352"/>
      <c r="DU393" s="352"/>
      <c r="DV393" s="352"/>
      <c r="DW393" s="352"/>
      <c r="DX393" s="352"/>
      <c r="DY393" s="352"/>
      <c r="DZ393" s="352"/>
      <c r="EA393" s="352"/>
      <c r="EB393" s="352"/>
      <c r="EC393" s="352"/>
      <c r="ED393" s="352"/>
      <c r="EE393" s="352"/>
      <c r="EF393" s="352"/>
      <c r="EG393" s="352"/>
      <c r="EH393" s="352"/>
      <c r="EI393" s="352"/>
      <c r="EJ393" s="352"/>
      <c r="EK393" s="352"/>
      <c r="EL393" s="352"/>
      <c r="EM393" s="352"/>
      <c r="EN393" s="352"/>
    </row>
    <row r="394" spans="1:144" ht="20.100000000000001" customHeight="1">
      <c r="A394" s="118" t="s">
        <v>129</v>
      </c>
      <c r="B394" s="118" t="s">
        <v>497</v>
      </c>
      <c r="C394" s="119">
        <f>'Thomson Reuters IMA  ($)'!I756</f>
        <v>84.7</v>
      </c>
      <c r="D394" s="120">
        <f>'Sectors % GDP'!K30</f>
        <v>117815.61000000002</v>
      </c>
      <c r="E394" s="120">
        <f t="shared" si="12"/>
        <v>7.1892001407962826E-4</v>
      </c>
      <c r="F394" s="123">
        <v>1</v>
      </c>
      <c r="G394" s="120">
        <v>2</v>
      </c>
      <c r="H394" s="122">
        <v>51</v>
      </c>
      <c r="I394" s="122">
        <v>74.89</v>
      </c>
      <c r="J394" s="123">
        <v>54.47</v>
      </c>
      <c r="K394" s="123">
        <v>25.99</v>
      </c>
      <c r="L394" s="123">
        <f t="shared" si="13"/>
        <v>3.5000000000000004</v>
      </c>
      <c r="M394" s="124">
        <v>3.5000000000000003E-2</v>
      </c>
      <c r="N394" s="124">
        <v>5.69</v>
      </c>
      <c r="O394" s="125">
        <f>'Trade Data'!J23</f>
        <v>0.40208861083365133</v>
      </c>
      <c r="P394" s="126">
        <v>1</v>
      </c>
      <c r="Q394" s="352"/>
      <c r="R394" s="352"/>
      <c r="S394" s="352"/>
      <c r="T394" s="352"/>
      <c r="U394" s="352"/>
      <c r="V394" s="352"/>
      <c r="W394" s="352"/>
      <c r="X394" s="352"/>
      <c r="Y394" s="352"/>
      <c r="Z394" s="352"/>
      <c r="AA394" s="352"/>
      <c r="AB394" s="352"/>
      <c r="AC394" s="352"/>
      <c r="AD394" s="352"/>
      <c r="AE394" s="352"/>
      <c r="AF394" s="352"/>
      <c r="AG394" s="352"/>
      <c r="AH394" s="352"/>
      <c r="AI394" s="352"/>
      <c r="AJ394" s="352"/>
      <c r="AK394" s="352"/>
      <c r="AL394" s="352"/>
      <c r="AM394" s="352"/>
      <c r="AN394" s="352"/>
      <c r="AO394" s="352"/>
      <c r="AP394" s="352"/>
      <c r="AQ394" s="352"/>
      <c r="AR394" s="352"/>
      <c r="AS394" s="352"/>
      <c r="AT394" s="352"/>
      <c r="AU394" s="352"/>
      <c r="AV394" s="352"/>
      <c r="AW394" s="352"/>
      <c r="AX394" s="352"/>
      <c r="AY394" s="352"/>
      <c r="AZ394" s="352"/>
      <c r="BA394" s="352"/>
      <c r="BB394" s="352"/>
      <c r="BC394" s="352"/>
      <c r="BD394" s="352"/>
      <c r="BE394" s="352"/>
      <c r="BF394" s="352"/>
      <c r="BG394" s="352"/>
      <c r="BH394" s="352"/>
      <c r="BI394" s="352"/>
      <c r="BJ394" s="352"/>
      <c r="BK394" s="352"/>
      <c r="BL394" s="352"/>
      <c r="BM394" s="352"/>
      <c r="BN394" s="352"/>
      <c r="BO394" s="352"/>
      <c r="BP394" s="352"/>
      <c r="BQ394" s="352"/>
      <c r="BR394" s="352"/>
      <c r="BS394" s="352"/>
      <c r="BT394" s="352"/>
      <c r="BU394" s="352"/>
      <c r="BV394" s="352"/>
      <c r="BW394" s="352"/>
      <c r="BX394" s="352"/>
      <c r="BY394" s="352"/>
      <c r="BZ394" s="352"/>
      <c r="CA394" s="352"/>
      <c r="CB394" s="352"/>
      <c r="CC394" s="352"/>
      <c r="CD394" s="352"/>
      <c r="CE394" s="352"/>
      <c r="CF394" s="352"/>
      <c r="CG394" s="352"/>
      <c r="CH394" s="352"/>
      <c r="CI394" s="352"/>
      <c r="CJ394" s="352"/>
      <c r="CK394" s="352"/>
      <c r="CL394" s="352"/>
      <c r="CM394" s="352"/>
      <c r="CN394" s="352"/>
      <c r="CO394" s="352"/>
      <c r="CP394" s="352"/>
      <c r="CQ394" s="352"/>
      <c r="CR394" s="352"/>
      <c r="CS394" s="352"/>
      <c r="CT394" s="352"/>
      <c r="CU394" s="352"/>
      <c r="CV394" s="352"/>
      <c r="CW394" s="352"/>
      <c r="CX394" s="352"/>
      <c r="CY394" s="352"/>
      <c r="CZ394" s="352"/>
      <c r="DA394" s="352"/>
      <c r="DB394" s="352"/>
      <c r="DC394" s="352"/>
      <c r="DD394" s="352"/>
      <c r="DE394" s="352"/>
      <c r="DF394" s="352"/>
      <c r="DG394" s="352"/>
      <c r="DH394" s="352"/>
      <c r="DI394" s="352"/>
      <c r="DJ394" s="352"/>
      <c r="DK394" s="352"/>
      <c r="DL394" s="352"/>
      <c r="DM394" s="352"/>
      <c r="DN394" s="352"/>
      <c r="DO394" s="352"/>
      <c r="DP394" s="352"/>
      <c r="DQ394" s="352"/>
      <c r="DR394" s="352"/>
      <c r="DS394" s="352"/>
      <c r="DT394" s="352"/>
      <c r="DU394" s="352"/>
      <c r="DV394" s="352"/>
      <c r="DW394" s="352"/>
      <c r="DX394" s="352"/>
      <c r="DY394" s="352"/>
      <c r="DZ394" s="352"/>
      <c r="EA394" s="352"/>
      <c r="EB394" s="352"/>
      <c r="EC394" s="352"/>
      <c r="ED394" s="352"/>
      <c r="EE394" s="352"/>
      <c r="EF394" s="352"/>
      <c r="EG394" s="352"/>
      <c r="EH394" s="352"/>
      <c r="EI394" s="352"/>
      <c r="EJ394" s="352"/>
      <c r="EK394" s="352"/>
      <c r="EL394" s="352"/>
      <c r="EM394" s="352"/>
      <c r="EN394" s="352"/>
    </row>
    <row r="395" spans="1:144" s="169" customFormat="1" ht="20.100000000000001" customHeight="1">
      <c r="A395" s="160" t="s">
        <v>130</v>
      </c>
      <c r="B395" s="160" t="s">
        <v>496</v>
      </c>
      <c r="C395" s="161">
        <v>0</v>
      </c>
      <c r="D395" s="162">
        <f>'Sectors % GDP'!K28</f>
        <v>15750.75</v>
      </c>
      <c r="E395" s="162">
        <f t="shared" si="12"/>
        <v>0</v>
      </c>
      <c r="F395" s="165">
        <v>0</v>
      </c>
      <c r="G395" s="162">
        <v>0</v>
      </c>
      <c r="H395" s="164">
        <v>52.4</v>
      </c>
      <c r="I395" s="164">
        <v>78.42</v>
      </c>
      <c r="J395" s="165">
        <v>53.96</v>
      </c>
      <c r="K395" s="165">
        <v>25.99</v>
      </c>
      <c r="L395" s="165">
        <f t="shared" si="13"/>
        <v>3.5000000000000004</v>
      </c>
      <c r="M395" s="166">
        <v>3.5000000000000003E-2</v>
      </c>
      <c r="N395" s="166">
        <v>5.69</v>
      </c>
      <c r="O395" s="167">
        <f>'Trade Data'!J23</f>
        <v>0.40208861083365133</v>
      </c>
      <c r="P395" s="170">
        <v>0</v>
      </c>
      <c r="Q395" s="352"/>
      <c r="R395" s="352"/>
      <c r="S395" s="352"/>
      <c r="T395" s="352"/>
      <c r="U395" s="352"/>
      <c r="V395" s="352"/>
      <c r="W395" s="352"/>
      <c r="X395" s="352"/>
      <c r="Y395" s="352"/>
      <c r="Z395" s="352"/>
      <c r="AA395" s="352"/>
      <c r="AB395" s="352"/>
      <c r="AC395" s="352"/>
      <c r="AD395" s="352"/>
      <c r="AE395" s="352"/>
      <c r="AF395" s="352"/>
      <c r="AG395" s="352"/>
      <c r="AH395" s="352"/>
      <c r="AI395" s="352"/>
      <c r="AJ395" s="352"/>
      <c r="AK395" s="352"/>
      <c r="AL395" s="352"/>
      <c r="AM395" s="352"/>
      <c r="AN395" s="352"/>
      <c r="AO395" s="352"/>
      <c r="AP395" s="352"/>
      <c r="AQ395" s="352"/>
      <c r="AR395" s="352"/>
      <c r="AS395" s="352"/>
      <c r="AT395" s="352"/>
      <c r="AU395" s="352"/>
      <c r="AV395" s="352"/>
      <c r="AW395" s="352"/>
      <c r="AX395" s="352"/>
      <c r="AY395" s="352"/>
      <c r="AZ395" s="352"/>
      <c r="BA395" s="352"/>
      <c r="BB395" s="352"/>
      <c r="BC395" s="352"/>
      <c r="BD395" s="352"/>
      <c r="BE395" s="352"/>
      <c r="BF395" s="352"/>
      <c r="BG395" s="352"/>
      <c r="BH395" s="352"/>
      <c r="BI395" s="352"/>
      <c r="BJ395" s="352"/>
      <c r="BK395" s="352"/>
      <c r="BL395" s="352"/>
      <c r="BM395" s="352"/>
      <c r="BN395" s="352"/>
      <c r="BO395" s="352"/>
      <c r="BP395" s="352"/>
      <c r="BQ395" s="352"/>
      <c r="BR395" s="352"/>
      <c r="BS395" s="352"/>
      <c r="BT395" s="352"/>
      <c r="BU395" s="352"/>
      <c r="BV395" s="352"/>
      <c r="BW395" s="352"/>
      <c r="BX395" s="352"/>
      <c r="BY395" s="352"/>
      <c r="BZ395" s="352"/>
      <c r="CA395" s="352"/>
      <c r="CB395" s="352"/>
      <c r="CC395" s="352"/>
      <c r="CD395" s="352"/>
      <c r="CE395" s="352"/>
      <c r="CF395" s="352"/>
      <c r="CG395" s="352"/>
      <c r="CH395" s="352"/>
      <c r="CI395" s="352"/>
      <c r="CJ395" s="352"/>
      <c r="CK395" s="352"/>
      <c r="CL395" s="352"/>
      <c r="CM395" s="352"/>
      <c r="CN395" s="352"/>
      <c r="CO395" s="352"/>
      <c r="CP395" s="352"/>
      <c r="CQ395" s="352"/>
      <c r="CR395" s="352"/>
      <c r="CS395" s="352"/>
      <c r="CT395" s="352"/>
      <c r="CU395" s="352"/>
      <c r="CV395" s="352"/>
      <c r="CW395" s="352"/>
      <c r="CX395" s="352"/>
      <c r="CY395" s="352"/>
      <c r="CZ395" s="352"/>
      <c r="DA395" s="352"/>
      <c r="DB395" s="352"/>
      <c r="DC395" s="352"/>
      <c r="DD395" s="352"/>
      <c r="DE395" s="352"/>
      <c r="DF395" s="352"/>
      <c r="DG395" s="352"/>
      <c r="DH395" s="352"/>
      <c r="DI395" s="352"/>
      <c r="DJ395" s="352"/>
      <c r="DK395" s="352"/>
      <c r="DL395" s="352"/>
      <c r="DM395" s="352"/>
      <c r="DN395" s="352"/>
      <c r="DO395" s="352"/>
      <c r="DP395" s="352"/>
      <c r="DQ395" s="352"/>
      <c r="DR395" s="352"/>
      <c r="DS395" s="352"/>
      <c r="DT395" s="352"/>
      <c r="DU395" s="352"/>
      <c r="DV395" s="352"/>
      <c r="DW395" s="352"/>
      <c r="DX395" s="352"/>
      <c r="DY395" s="352"/>
      <c r="DZ395" s="352"/>
      <c r="EA395" s="352"/>
      <c r="EB395" s="352"/>
      <c r="EC395" s="352"/>
      <c r="ED395" s="352"/>
      <c r="EE395" s="352"/>
      <c r="EF395" s="352"/>
      <c r="EG395" s="352"/>
      <c r="EH395" s="352"/>
      <c r="EI395" s="352"/>
      <c r="EJ395" s="352"/>
      <c r="EK395" s="352"/>
      <c r="EL395" s="352"/>
      <c r="EM395" s="352"/>
      <c r="EN395" s="352"/>
    </row>
    <row r="396" spans="1:144" s="188" customFormat="1" ht="20.100000000000001" customHeight="1">
      <c r="A396" s="179" t="s">
        <v>130</v>
      </c>
      <c r="B396" s="179" t="s">
        <v>495</v>
      </c>
      <c r="C396" s="180">
        <f>'Thomson Reuters IMA  ($)'!I758+'Thomson Reuters IMA  ($)'!I759+'Thomson Reuters IMA  ($)'!I760</f>
        <v>45.439</v>
      </c>
      <c r="D396" s="181">
        <f>'Sectors % GDP'!K29</f>
        <v>76233.63</v>
      </c>
      <c r="E396" s="181">
        <f t="shared" si="12"/>
        <v>5.9604927641514639E-4</v>
      </c>
      <c r="F396" s="184">
        <v>1</v>
      </c>
      <c r="G396" s="181">
        <v>3</v>
      </c>
      <c r="H396" s="183">
        <v>52.4</v>
      </c>
      <c r="I396" s="183">
        <v>78.42</v>
      </c>
      <c r="J396" s="184">
        <v>53.96</v>
      </c>
      <c r="K396" s="184">
        <v>25.99</v>
      </c>
      <c r="L396" s="184">
        <f t="shared" si="13"/>
        <v>3.5000000000000004</v>
      </c>
      <c r="M396" s="185">
        <v>3.5000000000000003E-2</v>
      </c>
      <c r="N396" s="185">
        <v>5.69</v>
      </c>
      <c r="O396" s="186">
        <f>'Trade Data'!J23</f>
        <v>0.40208861083365133</v>
      </c>
      <c r="P396" s="189">
        <v>1</v>
      </c>
      <c r="Q396" s="352"/>
      <c r="R396" s="352"/>
      <c r="S396" s="352"/>
      <c r="T396" s="352"/>
      <c r="U396" s="352"/>
      <c r="V396" s="352"/>
      <c r="W396" s="352"/>
      <c r="X396" s="352"/>
      <c r="Y396" s="352"/>
      <c r="Z396" s="352"/>
      <c r="AA396" s="352"/>
      <c r="AB396" s="352"/>
      <c r="AC396" s="352"/>
      <c r="AD396" s="352"/>
      <c r="AE396" s="352"/>
      <c r="AF396" s="352"/>
      <c r="AG396" s="352"/>
      <c r="AH396" s="352"/>
      <c r="AI396" s="352"/>
      <c r="AJ396" s="352"/>
      <c r="AK396" s="352"/>
      <c r="AL396" s="352"/>
      <c r="AM396" s="352"/>
      <c r="AN396" s="352"/>
      <c r="AO396" s="352"/>
      <c r="AP396" s="352"/>
      <c r="AQ396" s="352"/>
      <c r="AR396" s="352"/>
      <c r="AS396" s="352"/>
      <c r="AT396" s="352"/>
      <c r="AU396" s="352"/>
      <c r="AV396" s="352"/>
      <c r="AW396" s="352"/>
      <c r="AX396" s="352"/>
      <c r="AY396" s="352"/>
      <c r="AZ396" s="352"/>
      <c r="BA396" s="352"/>
      <c r="BB396" s="352"/>
      <c r="BC396" s="352"/>
      <c r="BD396" s="352"/>
      <c r="BE396" s="352"/>
      <c r="BF396" s="352"/>
      <c r="BG396" s="352"/>
      <c r="BH396" s="352"/>
      <c r="BI396" s="352"/>
      <c r="BJ396" s="352"/>
      <c r="BK396" s="352"/>
      <c r="BL396" s="352"/>
      <c r="BM396" s="352"/>
      <c r="BN396" s="352"/>
      <c r="BO396" s="352"/>
      <c r="BP396" s="352"/>
      <c r="BQ396" s="352"/>
      <c r="BR396" s="352"/>
      <c r="BS396" s="352"/>
      <c r="BT396" s="352"/>
      <c r="BU396" s="352"/>
      <c r="BV396" s="352"/>
      <c r="BW396" s="352"/>
      <c r="BX396" s="352"/>
      <c r="BY396" s="352"/>
      <c r="BZ396" s="352"/>
      <c r="CA396" s="352"/>
      <c r="CB396" s="352"/>
      <c r="CC396" s="352"/>
      <c r="CD396" s="352"/>
      <c r="CE396" s="352"/>
      <c r="CF396" s="352"/>
      <c r="CG396" s="352"/>
      <c r="CH396" s="352"/>
      <c r="CI396" s="352"/>
      <c r="CJ396" s="352"/>
      <c r="CK396" s="352"/>
      <c r="CL396" s="352"/>
      <c r="CM396" s="352"/>
      <c r="CN396" s="352"/>
      <c r="CO396" s="352"/>
      <c r="CP396" s="352"/>
      <c r="CQ396" s="352"/>
      <c r="CR396" s="352"/>
      <c r="CS396" s="352"/>
      <c r="CT396" s="352"/>
      <c r="CU396" s="352"/>
      <c r="CV396" s="352"/>
      <c r="CW396" s="352"/>
      <c r="CX396" s="352"/>
      <c r="CY396" s="352"/>
      <c r="CZ396" s="352"/>
      <c r="DA396" s="352"/>
      <c r="DB396" s="352"/>
      <c r="DC396" s="352"/>
      <c r="DD396" s="352"/>
      <c r="DE396" s="352"/>
      <c r="DF396" s="352"/>
      <c r="DG396" s="352"/>
      <c r="DH396" s="352"/>
      <c r="DI396" s="352"/>
      <c r="DJ396" s="352"/>
      <c r="DK396" s="352"/>
      <c r="DL396" s="352"/>
      <c r="DM396" s="352"/>
      <c r="DN396" s="352"/>
      <c r="DO396" s="352"/>
      <c r="DP396" s="352"/>
      <c r="DQ396" s="352"/>
      <c r="DR396" s="352"/>
      <c r="DS396" s="352"/>
      <c r="DT396" s="352"/>
      <c r="DU396" s="352"/>
      <c r="DV396" s="352"/>
      <c r="DW396" s="352"/>
      <c r="DX396" s="352"/>
      <c r="DY396" s="352"/>
      <c r="DZ396" s="352"/>
      <c r="EA396" s="352"/>
      <c r="EB396" s="352"/>
      <c r="EC396" s="352"/>
      <c r="ED396" s="352"/>
      <c r="EE396" s="352"/>
      <c r="EF396" s="352"/>
      <c r="EG396" s="352"/>
      <c r="EH396" s="352"/>
      <c r="EI396" s="352"/>
      <c r="EJ396" s="352"/>
      <c r="EK396" s="352"/>
      <c r="EL396" s="352"/>
      <c r="EM396" s="352"/>
      <c r="EN396" s="352"/>
    </row>
    <row r="397" spans="1:144" ht="20.100000000000001" customHeight="1">
      <c r="A397" s="118" t="s">
        <v>130</v>
      </c>
      <c r="B397" s="118" t="s">
        <v>494</v>
      </c>
      <c r="C397" s="119">
        <f>'Thomson Reuters IMA  ($)'!I757+'Thomson Reuters IMA  ($)'!I761</f>
        <v>1390.35</v>
      </c>
      <c r="D397" s="120">
        <f>'Sectors % GDP'!K30</f>
        <v>117815.61000000002</v>
      </c>
      <c r="E397" s="120">
        <f t="shared" si="12"/>
        <v>1.1801067787197297E-2</v>
      </c>
      <c r="F397" s="123">
        <v>1</v>
      </c>
      <c r="G397" s="120">
        <v>9</v>
      </c>
      <c r="H397" s="122">
        <v>52.4</v>
      </c>
      <c r="I397" s="122">
        <v>78.42</v>
      </c>
      <c r="J397" s="123">
        <v>53.96</v>
      </c>
      <c r="K397" s="123">
        <v>25.99</v>
      </c>
      <c r="L397" s="123">
        <f t="shared" si="13"/>
        <v>3.5000000000000004</v>
      </c>
      <c r="M397" s="124">
        <v>3.5000000000000003E-2</v>
      </c>
      <c r="N397" s="124">
        <v>5.69</v>
      </c>
      <c r="O397" s="125">
        <f>'Trade Data'!J23</f>
        <v>0.40208861083365133</v>
      </c>
      <c r="P397" s="127">
        <v>1</v>
      </c>
      <c r="Q397" s="352"/>
      <c r="R397" s="352"/>
      <c r="S397" s="352"/>
      <c r="T397" s="352"/>
      <c r="U397" s="352"/>
      <c r="V397" s="352"/>
      <c r="W397" s="352"/>
      <c r="X397" s="352"/>
      <c r="Y397" s="352"/>
      <c r="Z397" s="352"/>
      <c r="AA397" s="352"/>
      <c r="AB397" s="352"/>
      <c r="AC397" s="352"/>
      <c r="AD397" s="352"/>
      <c r="AE397" s="352"/>
      <c r="AF397" s="352"/>
      <c r="AG397" s="352"/>
      <c r="AH397" s="352"/>
      <c r="AI397" s="352"/>
      <c r="AJ397" s="352"/>
      <c r="AK397" s="352"/>
      <c r="AL397" s="352"/>
      <c r="AM397" s="352"/>
      <c r="AN397" s="352"/>
      <c r="AO397" s="352"/>
      <c r="AP397" s="352"/>
      <c r="AQ397" s="352"/>
      <c r="AR397" s="352"/>
      <c r="AS397" s="352"/>
      <c r="AT397" s="352"/>
      <c r="AU397" s="352"/>
      <c r="AV397" s="352"/>
      <c r="AW397" s="352"/>
      <c r="AX397" s="352"/>
      <c r="AY397" s="352"/>
      <c r="AZ397" s="352"/>
      <c r="BA397" s="352"/>
      <c r="BB397" s="352"/>
      <c r="BC397" s="352"/>
      <c r="BD397" s="352"/>
      <c r="BE397" s="352"/>
      <c r="BF397" s="352"/>
      <c r="BG397" s="352"/>
      <c r="BH397" s="352"/>
      <c r="BI397" s="352"/>
      <c r="BJ397" s="352"/>
      <c r="BK397" s="352"/>
      <c r="BL397" s="352"/>
      <c r="BM397" s="352"/>
      <c r="BN397" s="352"/>
      <c r="BO397" s="352"/>
      <c r="BP397" s="352"/>
      <c r="BQ397" s="352"/>
      <c r="BR397" s="352"/>
      <c r="BS397" s="352"/>
      <c r="BT397" s="352"/>
      <c r="BU397" s="352"/>
      <c r="BV397" s="352"/>
      <c r="BW397" s="352"/>
      <c r="BX397" s="352"/>
      <c r="BY397" s="352"/>
      <c r="BZ397" s="352"/>
      <c r="CA397" s="352"/>
      <c r="CB397" s="352"/>
      <c r="CC397" s="352"/>
      <c r="CD397" s="352"/>
      <c r="CE397" s="352"/>
      <c r="CF397" s="352"/>
      <c r="CG397" s="352"/>
      <c r="CH397" s="352"/>
      <c r="CI397" s="352"/>
      <c r="CJ397" s="352"/>
      <c r="CK397" s="352"/>
      <c r="CL397" s="352"/>
      <c r="CM397" s="352"/>
      <c r="CN397" s="352"/>
      <c r="CO397" s="352"/>
      <c r="CP397" s="352"/>
      <c r="CQ397" s="352"/>
      <c r="CR397" s="352"/>
      <c r="CS397" s="352"/>
      <c r="CT397" s="352"/>
      <c r="CU397" s="352"/>
      <c r="CV397" s="352"/>
      <c r="CW397" s="352"/>
      <c r="CX397" s="352"/>
      <c r="CY397" s="352"/>
      <c r="CZ397" s="352"/>
      <c r="DA397" s="352"/>
      <c r="DB397" s="352"/>
      <c r="DC397" s="352"/>
      <c r="DD397" s="352"/>
      <c r="DE397" s="352"/>
      <c r="DF397" s="352"/>
      <c r="DG397" s="352"/>
      <c r="DH397" s="352"/>
      <c r="DI397" s="352"/>
      <c r="DJ397" s="352"/>
      <c r="DK397" s="352"/>
      <c r="DL397" s="352"/>
      <c r="DM397" s="352"/>
      <c r="DN397" s="352"/>
      <c r="DO397" s="352"/>
      <c r="DP397" s="352"/>
      <c r="DQ397" s="352"/>
      <c r="DR397" s="352"/>
      <c r="DS397" s="352"/>
      <c r="DT397" s="352"/>
      <c r="DU397" s="352"/>
      <c r="DV397" s="352"/>
      <c r="DW397" s="352"/>
      <c r="DX397" s="352"/>
      <c r="DY397" s="352"/>
      <c r="DZ397" s="352"/>
      <c r="EA397" s="352"/>
      <c r="EB397" s="352"/>
      <c r="EC397" s="352"/>
      <c r="ED397" s="352"/>
      <c r="EE397" s="352"/>
      <c r="EF397" s="352"/>
      <c r="EG397" s="352"/>
      <c r="EH397" s="352"/>
      <c r="EI397" s="352"/>
      <c r="EJ397" s="352"/>
      <c r="EK397" s="352"/>
      <c r="EL397" s="352"/>
      <c r="EM397" s="352"/>
      <c r="EN397" s="352"/>
    </row>
    <row r="398" spans="1:144" s="169" customFormat="1" ht="20.100000000000001" customHeight="1">
      <c r="A398" s="160" t="s">
        <v>131</v>
      </c>
      <c r="B398" s="160" t="s">
        <v>867</v>
      </c>
      <c r="C398" s="161">
        <v>0</v>
      </c>
      <c r="D398" s="162">
        <f>'Sectors % GDP'!K28</f>
        <v>15750.75</v>
      </c>
      <c r="E398" s="162">
        <f t="shared" si="12"/>
        <v>0</v>
      </c>
      <c r="F398" s="165">
        <v>1</v>
      </c>
      <c r="G398" s="162">
        <v>1</v>
      </c>
      <c r="H398" s="164">
        <v>66.83</v>
      </c>
      <c r="I398" s="164">
        <v>95.25</v>
      </c>
      <c r="J398" s="165">
        <v>60.56</v>
      </c>
      <c r="K398" s="165">
        <v>25.99</v>
      </c>
      <c r="L398" s="165">
        <f t="shared" si="13"/>
        <v>3.5000000000000004</v>
      </c>
      <c r="M398" s="166">
        <v>3.5000000000000003E-2</v>
      </c>
      <c r="N398" s="166">
        <v>5.69</v>
      </c>
      <c r="O398" s="167">
        <f>'Trade Data'!J23</f>
        <v>0.40208861083365133</v>
      </c>
      <c r="P398" s="168">
        <v>0</v>
      </c>
      <c r="Q398" s="352"/>
      <c r="R398" s="352"/>
      <c r="S398" s="352"/>
      <c r="T398" s="352"/>
      <c r="U398" s="352"/>
      <c r="V398" s="352"/>
      <c r="W398" s="352"/>
      <c r="X398" s="352"/>
      <c r="Y398" s="352"/>
      <c r="Z398" s="352"/>
      <c r="AA398" s="352"/>
      <c r="AB398" s="352"/>
      <c r="AC398" s="352"/>
      <c r="AD398" s="352"/>
      <c r="AE398" s="352"/>
      <c r="AF398" s="352"/>
      <c r="AG398" s="352"/>
      <c r="AH398" s="352"/>
      <c r="AI398" s="352"/>
      <c r="AJ398" s="352"/>
      <c r="AK398" s="352"/>
      <c r="AL398" s="352"/>
      <c r="AM398" s="352"/>
      <c r="AN398" s="352"/>
      <c r="AO398" s="352"/>
      <c r="AP398" s="352"/>
      <c r="AQ398" s="352"/>
      <c r="AR398" s="352"/>
      <c r="AS398" s="352"/>
      <c r="AT398" s="352"/>
      <c r="AU398" s="352"/>
      <c r="AV398" s="352"/>
      <c r="AW398" s="352"/>
      <c r="AX398" s="352"/>
      <c r="AY398" s="352"/>
      <c r="AZ398" s="352"/>
      <c r="BA398" s="352"/>
      <c r="BB398" s="352"/>
      <c r="BC398" s="352"/>
      <c r="BD398" s="352"/>
      <c r="BE398" s="352"/>
      <c r="BF398" s="352"/>
      <c r="BG398" s="352"/>
      <c r="BH398" s="352"/>
      <c r="BI398" s="352"/>
      <c r="BJ398" s="352"/>
      <c r="BK398" s="352"/>
      <c r="BL398" s="352"/>
      <c r="BM398" s="352"/>
      <c r="BN398" s="352"/>
      <c r="BO398" s="352"/>
      <c r="BP398" s="352"/>
      <c r="BQ398" s="352"/>
      <c r="BR398" s="352"/>
      <c r="BS398" s="352"/>
      <c r="BT398" s="352"/>
      <c r="BU398" s="352"/>
      <c r="BV398" s="352"/>
      <c r="BW398" s="352"/>
      <c r="BX398" s="352"/>
      <c r="BY398" s="352"/>
      <c r="BZ398" s="352"/>
      <c r="CA398" s="352"/>
      <c r="CB398" s="352"/>
      <c r="CC398" s="352"/>
      <c r="CD398" s="352"/>
      <c r="CE398" s="352"/>
      <c r="CF398" s="352"/>
      <c r="CG398" s="352"/>
      <c r="CH398" s="352"/>
      <c r="CI398" s="352"/>
      <c r="CJ398" s="352"/>
      <c r="CK398" s="352"/>
      <c r="CL398" s="352"/>
      <c r="CM398" s="352"/>
      <c r="CN398" s="352"/>
      <c r="CO398" s="352"/>
      <c r="CP398" s="352"/>
      <c r="CQ398" s="352"/>
      <c r="CR398" s="352"/>
      <c r="CS398" s="352"/>
      <c r="CT398" s="352"/>
      <c r="CU398" s="352"/>
      <c r="CV398" s="352"/>
      <c r="CW398" s="352"/>
      <c r="CX398" s="352"/>
      <c r="CY398" s="352"/>
      <c r="CZ398" s="352"/>
      <c r="DA398" s="352"/>
      <c r="DB398" s="352"/>
      <c r="DC398" s="352"/>
      <c r="DD398" s="352"/>
      <c r="DE398" s="352"/>
      <c r="DF398" s="352"/>
      <c r="DG398" s="352"/>
      <c r="DH398" s="352"/>
      <c r="DI398" s="352"/>
      <c r="DJ398" s="352"/>
      <c r="DK398" s="352"/>
      <c r="DL398" s="352"/>
      <c r="DM398" s="352"/>
      <c r="DN398" s="352"/>
      <c r="DO398" s="352"/>
      <c r="DP398" s="352"/>
      <c r="DQ398" s="352"/>
      <c r="DR398" s="352"/>
      <c r="DS398" s="352"/>
      <c r="DT398" s="352"/>
      <c r="DU398" s="352"/>
      <c r="DV398" s="352"/>
      <c r="DW398" s="352"/>
      <c r="DX398" s="352"/>
      <c r="DY398" s="352"/>
      <c r="DZ398" s="352"/>
      <c r="EA398" s="352"/>
      <c r="EB398" s="352"/>
      <c r="EC398" s="352"/>
      <c r="ED398" s="352"/>
      <c r="EE398" s="352"/>
      <c r="EF398" s="352"/>
      <c r="EG398" s="352"/>
      <c r="EH398" s="352"/>
      <c r="EI398" s="352"/>
      <c r="EJ398" s="352"/>
      <c r="EK398" s="352"/>
      <c r="EL398" s="352"/>
      <c r="EM398" s="352"/>
      <c r="EN398" s="352"/>
    </row>
    <row r="399" spans="1:144" s="188" customFormat="1" ht="20.100000000000001" customHeight="1">
      <c r="A399" s="179" t="s">
        <v>131</v>
      </c>
      <c r="B399" s="179" t="s">
        <v>868</v>
      </c>
      <c r="C399" s="180">
        <f>'Thomson Reuters IMA  ($)'!I762+'Thomson Reuters IMA  ($)'!I763+'Thomson Reuters IMA  ($)'!I764</f>
        <v>2684.808</v>
      </c>
      <c r="D399" s="181">
        <f>'Sectors % GDP'!K29</f>
        <v>76233.63</v>
      </c>
      <c r="E399" s="181">
        <f t="shared" si="12"/>
        <v>3.5218157655617338E-2</v>
      </c>
      <c r="F399" s="184">
        <v>1</v>
      </c>
      <c r="G399" s="181">
        <v>5</v>
      </c>
      <c r="H399" s="183">
        <v>66.83</v>
      </c>
      <c r="I399" s="183">
        <v>95.25</v>
      </c>
      <c r="J399" s="184">
        <v>60.56</v>
      </c>
      <c r="K399" s="184">
        <v>25.99</v>
      </c>
      <c r="L399" s="184">
        <f t="shared" si="13"/>
        <v>3.5000000000000004</v>
      </c>
      <c r="M399" s="185">
        <v>3.5000000000000003E-2</v>
      </c>
      <c r="N399" s="185">
        <v>5.69</v>
      </c>
      <c r="O399" s="186">
        <f>'Trade Data'!J23</f>
        <v>0.40208861083365133</v>
      </c>
      <c r="P399" s="187">
        <v>1</v>
      </c>
      <c r="Q399" s="352"/>
      <c r="R399" s="352"/>
      <c r="S399" s="352"/>
      <c r="T399" s="352"/>
      <c r="U399" s="352"/>
      <c r="V399" s="352"/>
      <c r="W399" s="352"/>
      <c r="X399" s="352"/>
      <c r="Y399" s="352"/>
      <c r="Z399" s="352"/>
      <c r="AA399" s="352"/>
      <c r="AB399" s="352"/>
      <c r="AC399" s="352"/>
      <c r="AD399" s="352"/>
      <c r="AE399" s="352"/>
      <c r="AF399" s="352"/>
      <c r="AG399" s="352"/>
      <c r="AH399" s="352"/>
      <c r="AI399" s="352"/>
      <c r="AJ399" s="352"/>
      <c r="AK399" s="352"/>
      <c r="AL399" s="352"/>
      <c r="AM399" s="352"/>
      <c r="AN399" s="352"/>
      <c r="AO399" s="352"/>
      <c r="AP399" s="352"/>
      <c r="AQ399" s="352"/>
      <c r="AR399" s="352"/>
      <c r="AS399" s="352"/>
      <c r="AT399" s="352"/>
      <c r="AU399" s="352"/>
      <c r="AV399" s="352"/>
      <c r="AW399" s="352"/>
      <c r="AX399" s="352"/>
      <c r="AY399" s="352"/>
      <c r="AZ399" s="352"/>
      <c r="BA399" s="352"/>
      <c r="BB399" s="352"/>
      <c r="BC399" s="352"/>
      <c r="BD399" s="352"/>
      <c r="BE399" s="352"/>
      <c r="BF399" s="352"/>
      <c r="BG399" s="352"/>
      <c r="BH399" s="352"/>
      <c r="BI399" s="352"/>
      <c r="BJ399" s="352"/>
      <c r="BK399" s="352"/>
      <c r="BL399" s="352"/>
      <c r="BM399" s="352"/>
      <c r="BN399" s="352"/>
      <c r="BO399" s="352"/>
      <c r="BP399" s="352"/>
      <c r="BQ399" s="352"/>
      <c r="BR399" s="352"/>
      <c r="BS399" s="352"/>
      <c r="BT399" s="352"/>
      <c r="BU399" s="352"/>
      <c r="BV399" s="352"/>
      <c r="BW399" s="352"/>
      <c r="BX399" s="352"/>
      <c r="BY399" s="352"/>
      <c r="BZ399" s="352"/>
      <c r="CA399" s="352"/>
      <c r="CB399" s="352"/>
      <c r="CC399" s="352"/>
      <c r="CD399" s="352"/>
      <c r="CE399" s="352"/>
      <c r="CF399" s="352"/>
      <c r="CG399" s="352"/>
      <c r="CH399" s="352"/>
      <c r="CI399" s="352"/>
      <c r="CJ399" s="352"/>
      <c r="CK399" s="352"/>
      <c r="CL399" s="352"/>
      <c r="CM399" s="352"/>
      <c r="CN399" s="352"/>
      <c r="CO399" s="352"/>
      <c r="CP399" s="352"/>
      <c r="CQ399" s="352"/>
      <c r="CR399" s="352"/>
      <c r="CS399" s="352"/>
      <c r="CT399" s="352"/>
      <c r="CU399" s="352"/>
      <c r="CV399" s="352"/>
      <c r="CW399" s="352"/>
      <c r="CX399" s="352"/>
      <c r="CY399" s="352"/>
      <c r="CZ399" s="352"/>
      <c r="DA399" s="352"/>
      <c r="DB399" s="352"/>
      <c r="DC399" s="352"/>
      <c r="DD399" s="352"/>
      <c r="DE399" s="352"/>
      <c r="DF399" s="352"/>
      <c r="DG399" s="352"/>
      <c r="DH399" s="352"/>
      <c r="DI399" s="352"/>
      <c r="DJ399" s="352"/>
      <c r="DK399" s="352"/>
      <c r="DL399" s="352"/>
      <c r="DM399" s="352"/>
      <c r="DN399" s="352"/>
      <c r="DO399" s="352"/>
      <c r="DP399" s="352"/>
      <c r="DQ399" s="352"/>
      <c r="DR399" s="352"/>
      <c r="DS399" s="352"/>
      <c r="DT399" s="352"/>
      <c r="DU399" s="352"/>
      <c r="DV399" s="352"/>
      <c r="DW399" s="352"/>
      <c r="DX399" s="352"/>
      <c r="DY399" s="352"/>
      <c r="DZ399" s="352"/>
      <c r="EA399" s="352"/>
      <c r="EB399" s="352"/>
      <c r="EC399" s="352"/>
      <c r="ED399" s="352"/>
      <c r="EE399" s="352"/>
      <c r="EF399" s="352"/>
      <c r="EG399" s="352"/>
      <c r="EH399" s="352"/>
      <c r="EI399" s="352"/>
      <c r="EJ399" s="352"/>
      <c r="EK399" s="352"/>
      <c r="EL399" s="352"/>
      <c r="EM399" s="352"/>
      <c r="EN399" s="352"/>
    </row>
    <row r="400" spans="1:144" ht="20.100000000000001" customHeight="1">
      <c r="A400" s="118" t="s">
        <v>131</v>
      </c>
      <c r="B400" s="118" t="s">
        <v>869</v>
      </c>
      <c r="C400" s="119">
        <f>0</f>
        <v>0</v>
      </c>
      <c r="D400" s="120">
        <f>'Sectors % GDP'!K30</f>
        <v>117815.61000000002</v>
      </c>
      <c r="E400" s="120">
        <f t="shared" si="12"/>
        <v>0</v>
      </c>
      <c r="F400" s="123">
        <v>1</v>
      </c>
      <c r="G400" s="120">
        <v>2</v>
      </c>
      <c r="H400" s="122">
        <v>66.83</v>
      </c>
      <c r="I400" s="122">
        <v>95.25</v>
      </c>
      <c r="J400" s="123">
        <v>60.56</v>
      </c>
      <c r="K400" s="123">
        <v>25.99</v>
      </c>
      <c r="L400" s="123">
        <f t="shared" si="13"/>
        <v>3.5000000000000004</v>
      </c>
      <c r="M400" s="124">
        <v>3.5000000000000003E-2</v>
      </c>
      <c r="N400" s="124">
        <v>5.69</v>
      </c>
      <c r="O400" s="125">
        <f>'Trade Data'!J23</f>
        <v>0.40208861083365133</v>
      </c>
      <c r="P400" s="126">
        <v>1</v>
      </c>
      <c r="Q400" s="352"/>
      <c r="R400" s="352"/>
      <c r="S400" s="352"/>
      <c r="T400" s="352"/>
      <c r="U400" s="352"/>
      <c r="V400" s="352"/>
      <c r="W400" s="352"/>
      <c r="X400" s="352"/>
      <c r="Y400" s="352"/>
      <c r="Z400" s="352"/>
      <c r="AA400" s="352"/>
      <c r="AB400" s="352"/>
      <c r="AC400" s="352"/>
      <c r="AD400" s="352"/>
      <c r="AE400" s="352"/>
      <c r="AF400" s="352"/>
      <c r="AG400" s="352"/>
      <c r="AH400" s="352"/>
      <c r="AI400" s="352"/>
      <c r="AJ400" s="352"/>
      <c r="AK400" s="352"/>
      <c r="AL400" s="352"/>
      <c r="AM400" s="352"/>
      <c r="AN400" s="352"/>
      <c r="AO400" s="352"/>
      <c r="AP400" s="352"/>
      <c r="AQ400" s="352"/>
      <c r="AR400" s="352"/>
      <c r="AS400" s="352"/>
      <c r="AT400" s="352"/>
      <c r="AU400" s="352"/>
      <c r="AV400" s="352"/>
      <c r="AW400" s="352"/>
      <c r="AX400" s="352"/>
      <c r="AY400" s="352"/>
      <c r="AZ400" s="352"/>
      <c r="BA400" s="352"/>
      <c r="BB400" s="352"/>
      <c r="BC400" s="352"/>
      <c r="BD400" s="352"/>
      <c r="BE400" s="352"/>
      <c r="BF400" s="352"/>
      <c r="BG400" s="352"/>
      <c r="BH400" s="352"/>
      <c r="BI400" s="352"/>
      <c r="BJ400" s="352"/>
      <c r="BK400" s="352"/>
      <c r="BL400" s="352"/>
      <c r="BM400" s="352"/>
      <c r="BN400" s="352"/>
      <c r="BO400" s="352"/>
      <c r="BP400" s="352"/>
      <c r="BQ400" s="352"/>
      <c r="BR400" s="352"/>
      <c r="BS400" s="352"/>
      <c r="BT400" s="352"/>
      <c r="BU400" s="352"/>
      <c r="BV400" s="352"/>
      <c r="BW400" s="352"/>
      <c r="BX400" s="352"/>
      <c r="BY400" s="352"/>
      <c r="BZ400" s="352"/>
      <c r="CA400" s="352"/>
      <c r="CB400" s="352"/>
      <c r="CC400" s="352"/>
      <c r="CD400" s="352"/>
      <c r="CE400" s="352"/>
      <c r="CF400" s="352"/>
      <c r="CG400" s="352"/>
      <c r="CH400" s="352"/>
      <c r="CI400" s="352"/>
      <c r="CJ400" s="352"/>
      <c r="CK400" s="352"/>
      <c r="CL400" s="352"/>
      <c r="CM400" s="352"/>
      <c r="CN400" s="352"/>
      <c r="CO400" s="352"/>
      <c r="CP400" s="352"/>
      <c r="CQ400" s="352"/>
      <c r="CR400" s="352"/>
      <c r="CS400" s="352"/>
      <c r="CT400" s="352"/>
      <c r="CU400" s="352"/>
      <c r="CV400" s="352"/>
      <c r="CW400" s="352"/>
      <c r="CX400" s="352"/>
      <c r="CY400" s="352"/>
      <c r="CZ400" s="352"/>
      <c r="DA400" s="352"/>
      <c r="DB400" s="352"/>
      <c r="DC400" s="352"/>
      <c r="DD400" s="352"/>
      <c r="DE400" s="352"/>
      <c r="DF400" s="352"/>
      <c r="DG400" s="352"/>
      <c r="DH400" s="352"/>
      <c r="DI400" s="352"/>
      <c r="DJ400" s="352"/>
      <c r="DK400" s="352"/>
      <c r="DL400" s="352"/>
      <c r="DM400" s="352"/>
      <c r="DN400" s="352"/>
      <c r="DO400" s="352"/>
      <c r="DP400" s="352"/>
      <c r="DQ400" s="352"/>
      <c r="DR400" s="352"/>
      <c r="DS400" s="352"/>
      <c r="DT400" s="352"/>
      <c r="DU400" s="352"/>
      <c r="DV400" s="352"/>
      <c r="DW400" s="352"/>
      <c r="DX400" s="352"/>
      <c r="DY400" s="352"/>
      <c r="DZ400" s="352"/>
      <c r="EA400" s="352"/>
      <c r="EB400" s="352"/>
      <c r="EC400" s="352"/>
      <c r="ED400" s="352"/>
      <c r="EE400" s="352"/>
      <c r="EF400" s="352"/>
      <c r="EG400" s="352"/>
      <c r="EH400" s="352"/>
      <c r="EI400" s="352"/>
      <c r="EJ400" s="352"/>
      <c r="EK400" s="352"/>
      <c r="EL400" s="352"/>
      <c r="EM400" s="352"/>
      <c r="EN400" s="352"/>
    </row>
    <row r="401" spans="1:144" s="169" customFormat="1" ht="20.100000000000001" customHeight="1">
      <c r="A401" s="160" t="s">
        <v>132</v>
      </c>
      <c r="B401" s="160" t="s">
        <v>493</v>
      </c>
      <c r="C401" s="161">
        <f>0</f>
        <v>0</v>
      </c>
      <c r="D401" s="162">
        <f>'Sectors % GDP'!C32</f>
        <v>12587.279999999999</v>
      </c>
      <c r="E401" s="162">
        <f t="shared" si="12"/>
        <v>0</v>
      </c>
      <c r="F401" s="165">
        <v>0</v>
      </c>
      <c r="G401" s="162">
        <v>0</v>
      </c>
      <c r="H401" s="164">
        <v>4.99</v>
      </c>
      <c r="I401" s="163">
        <v>17.04</v>
      </c>
      <c r="J401" s="165">
        <v>7.6</v>
      </c>
      <c r="K401" s="165">
        <v>4.3899999999999997</v>
      </c>
      <c r="L401" s="165">
        <f t="shared" si="13"/>
        <v>1.3</v>
      </c>
      <c r="M401" s="166">
        <v>1.2999999999999999E-2</v>
      </c>
      <c r="N401" s="166">
        <v>5.8</v>
      </c>
      <c r="O401" s="167">
        <f>'Trade Data'!B26</f>
        <v>0.59871477824404573</v>
      </c>
      <c r="P401" s="170">
        <v>0</v>
      </c>
      <c r="Q401" s="352"/>
      <c r="R401" s="352"/>
      <c r="S401" s="352"/>
      <c r="T401" s="352"/>
      <c r="U401" s="352"/>
      <c r="V401" s="352"/>
      <c r="W401" s="352"/>
      <c r="X401" s="352"/>
      <c r="Y401" s="352"/>
      <c r="Z401" s="352"/>
      <c r="AA401" s="352"/>
      <c r="AB401" s="352"/>
      <c r="AC401" s="352"/>
      <c r="AD401" s="352"/>
      <c r="AE401" s="352"/>
      <c r="AF401" s="352"/>
      <c r="AG401" s="352"/>
      <c r="AH401" s="352"/>
      <c r="AI401" s="352"/>
      <c r="AJ401" s="352"/>
      <c r="AK401" s="352"/>
      <c r="AL401" s="352"/>
      <c r="AM401" s="352"/>
      <c r="AN401" s="352"/>
      <c r="AO401" s="352"/>
      <c r="AP401" s="352"/>
      <c r="AQ401" s="352"/>
      <c r="AR401" s="352"/>
      <c r="AS401" s="352"/>
      <c r="AT401" s="352"/>
      <c r="AU401" s="352"/>
      <c r="AV401" s="352"/>
      <c r="AW401" s="352"/>
      <c r="AX401" s="352"/>
      <c r="AY401" s="352"/>
      <c r="AZ401" s="352"/>
      <c r="BA401" s="352"/>
      <c r="BB401" s="352"/>
      <c r="BC401" s="352"/>
      <c r="BD401" s="352"/>
      <c r="BE401" s="352"/>
      <c r="BF401" s="352"/>
      <c r="BG401" s="352"/>
      <c r="BH401" s="352"/>
      <c r="BI401" s="352"/>
      <c r="BJ401" s="352"/>
      <c r="BK401" s="352"/>
      <c r="BL401" s="352"/>
      <c r="BM401" s="352"/>
      <c r="BN401" s="352"/>
      <c r="BO401" s="352"/>
      <c r="BP401" s="352"/>
      <c r="BQ401" s="352"/>
      <c r="BR401" s="352"/>
      <c r="BS401" s="352"/>
      <c r="BT401" s="352"/>
      <c r="BU401" s="352"/>
      <c r="BV401" s="352"/>
      <c r="BW401" s="352"/>
      <c r="BX401" s="352"/>
      <c r="BY401" s="352"/>
      <c r="BZ401" s="352"/>
      <c r="CA401" s="352"/>
      <c r="CB401" s="352"/>
      <c r="CC401" s="352"/>
      <c r="CD401" s="352"/>
      <c r="CE401" s="352"/>
      <c r="CF401" s="352"/>
      <c r="CG401" s="352"/>
      <c r="CH401" s="352"/>
      <c r="CI401" s="352"/>
      <c r="CJ401" s="352"/>
      <c r="CK401" s="352"/>
      <c r="CL401" s="352"/>
      <c r="CM401" s="352"/>
      <c r="CN401" s="352"/>
      <c r="CO401" s="352"/>
      <c r="CP401" s="352"/>
      <c r="CQ401" s="352"/>
      <c r="CR401" s="352"/>
      <c r="CS401" s="352"/>
      <c r="CT401" s="352"/>
      <c r="CU401" s="352"/>
      <c r="CV401" s="352"/>
      <c r="CW401" s="352"/>
      <c r="CX401" s="352"/>
      <c r="CY401" s="352"/>
      <c r="CZ401" s="352"/>
      <c r="DA401" s="352"/>
      <c r="DB401" s="352"/>
      <c r="DC401" s="352"/>
      <c r="DD401" s="352"/>
      <c r="DE401" s="352"/>
      <c r="DF401" s="352"/>
      <c r="DG401" s="352"/>
      <c r="DH401" s="352"/>
      <c r="DI401" s="352"/>
      <c r="DJ401" s="352"/>
      <c r="DK401" s="352"/>
      <c r="DL401" s="352"/>
      <c r="DM401" s="352"/>
      <c r="DN401" s="352"/>
      <c r="DO401" s="352"/>
      <c r="DP401" s="352"/>
      <c r="DQ401" s="352"/>
      <c r="DR401" s="352"/>
      <c r="DS401" s="352"/>
      <c r="DT401" s="352"/>
      <c r="DU401" s="352"/>
      <c r="DV401" s="352"/>
      <c r="DW401" s="352"/>
      <c r="DX401" s="352"/>
      <c r="DY401" s="352"/>
      <c r="DZ401" s="352"/>
      <c r="EA401" s="352"/>
      <c r="EB401" s="352"/>
      <c r="EC401" s="352"/>
      <c r="ED401" s="352"/>
      <c r="EE401" s="352"/>
      <c r="EF401" s="352"/>
      <c r="EG401" s="352"/>
      <c r="EH401" s="352"/>
      <c r="EI401" s="352"/>
      <c r="EJ401" s="352"/>
      <c r="EK401" s="352"/>
      <c r="EL401" s="352"/>
      <c r="EM401" s="352"/>
      <c r="EN401" s="352"/>
    </row>
    <row r="402" spans="1:144" s="188" customFormat="1" ht="20.100000000000001" customHeight="1">
      <c r="A402" s="179" t="s">
        <v>132</v>
      </c>
      <c r="B402" s="179" t="s">
        <v>492</v>
      </c>
      <c r="C402" s="180">
        <f>0</f>
        <v>0</v>
      </c>
      <c r="D402" s="181">
        <f>'Sectors % GDP'!C33</f>
        <v>114785.68000000001</v>
      </c>
      <c r="E402" s="181">
        <f t="shared" si="12"/>
        <v>0</v>
      </c>
      <c r="F402" s="184">
        <v>0</v>
      </c>
      <c r="G402" s="181">
        <v>0</v>
      </c>
      <c r="H402" s="183">
        <v>4.99</v>
      </c>
      <c r="I402" s="182">
        <v>17.04</v>
      </c>
      <c r="J402" s="184">
        <v>7.6</v>
      </c>
      <c r="K402" s="184">
        <v>4.3899999999999997</v>
      </c>
      <c r="L402" s="184">
        <f t="shared" si="13"/>
        <v>1.3</v>
      </c>
      <c r="M402" s="185">
        <v>1.2999999999999999E-2</v>
      </c>
      <c r="N402" s="185">
        <v>5.8</v>
      </c>
      <c r="O402" s="186">
        <f>'Trade Data'!B26</f>
        <v>0.59871477824404573</v>
      </c>
      <c r="P402" s="189">
        <v>1</v>
      </c>
      <c r="Q402" s="352"/>
      <c r="R402" s="352"/>
      <c r="S402" s="352"/>
      <c r="T402" s="352"/>
      <c r="U402" s="352"/>
      <c r="V402" s="352"/>
      <c r="W402" s="352"/>
      <c r="X402" s="352"/>
      <c r="Y402" s="352"/>
      <c r="Z402" s="352"/>
      <c r="AA402" s="352"/>
      <c r="AB402" s="352"/>
      <c r="AC402" s="352"/>
      <c r="AD402" s="352"/>
      <c r="AE402" s="352"/>
      <c r="AF402" s="352"/>
      <c r="AG402" s="352"/>
      <c r="AH402" s="352"/>
      <c r="AI402" s="352"/>
      <c r="AJ402" s="352"/>
      <c r="AK402" s="352"/>
      <c r="AL402" s="352"/>
      <c r="AM402" s="352"/>
      <c r="AN402" s="352"/>
      <c r="AO402" s="352"/>
      <c r="AP402" s="352"/>
      <c r="AQ402" s="352"/>
      <c r="AR402" s="352"/>
      <c r="AS402" s="352"/>
      <c r="AT402" s="352"/>
      <c r="AU402" s="352"/>
      <c r="AV402" s="352"/>
      <c r="AW402" s="352"/>
      <c r="AX402" s="352"/>
      <c r="AY402" s="352"/>
      <c r="AZ402" s="352"/>
      <c r="BA402" s="352"/>
      <c r="BB402" s="352"/>
      <c r="BC402" s="352"/>
      <c r="BD402" s="352"/>
      <c r="BE402" s="352"/>
      <c r="BF402" s="352"/>
      <c r="BG402" s="352"/>
      <c r="BH402" s="352"/>
      <c r="BI402" s="352"/>
      <c r="BJ402" s="352"/>
      <c r="BK402" s="352"/>
      <c r="BL402" s="352"/>
      <c r="BM402" s="352"/>
      <c r="BN402" s="352"/>
      <c r="BO402" s="352"/>
      <c r="BP402" s="352"/>
      <c r="BQ402" s="352"/>
      <c r="BR402" s="352"/>
      <c r="BS402" s="352"/>
      <c r="BT402" s="352"/>
      <c r="BU402" s="352"/>
      <c r="BV402" s="352"/>
      <c r="BW402" s="352"/>
      <c r="BX402" s="352"/>
      <c r="BY402" s="352"/>
      <c r="BZ402" s="352"/>
      <c r="CA402" s="352"/>
      <c r="CB402" s="352"/>
      <c r="CC402" s="352"/>
      <c r="CD402" s="352"/>
      <c r="CE402" s="352"/>
      <c r="CF402" s="352"/>
      <c r="CG402" s="352"/>
      <c r="CH402" s="352"/>
      <c r="CI402" s="352"/>
      <c r="CJ402" s="352"/>
      <c r="CK402" s="352"/>
      <c r="CL402" s="352"/>
      <c r="CM402" s="352"/>
      <c r="CN402" s="352"/>
      <c r="CO402" s="352"/>
      <c r="CP402" s="352"/>
      <c r="CQ402" s="352"/>
      <c r="CR402" s="352"/>
      <c r="CS402" s="352"/>
      <c r="CT402" s="352"/>
      <c r="CU402" s="352"/>
      <c r="CV402" s="352"/>
      <c r="CW402" s="352"/>
      <c r="CX402" s="352"/>
      <c r="CY402" s="352"/>
      <c r="CZ402" s="352"/>
      <c r="DA402" s="352"/>
      <c r="DB402" s="352"/>
      <c r="DC402" s="352"/>
      <c r="DD402" s="352"/>
      <c r="DE402" s="352"/>
      <c r="DF402" s="352"/>
      <c r="DG402" s="352"/>
      <c r="DH402" s="352"/>
      <c r="DI402" s="352"/>
      <c r="DJ402" s="352"/>
      <c r="DK402" s="352"/>
      <c r="DL402" s="352"/>
      <c r="DM402" s="352"/>
      <c r="DN402" s="352"/>
      <c r="DO402" s="352"/>
      <c r="DP402" s="352"/>
      <c r="DQ402" s="352"/>
      <c r="DR402" s="352"/>
      <c r="DS402" s="352"/>
      <c r="DT402" s="352"/>
      <c r="DU402" s="352"/>
      <c r="DV402" s="352"/>
      <c r="DW402" s="352"/>
      <c r="DX402" s="352"/>
      <c r="DY402" s="352"/>
      <c r="DZ402" s="352"/>
      <c r="EA402" s="352"/>
      <c r="EB402" s="352"/>
      <c r="EC402" s="352"/>
      <c r="ED402" s="352"/>
      <c r="EE402" s="352"/>
      <c r="EF402" s="352"/>
      <c r="EG402" s="352"/>
      <c r="EH402" s="352"/>
      <c r="EI402" s="352"/>
      <c r="EJ402" s="352"/>
      <c r="EK402" s="352"/>
      <c r="EL402" s="352"/>
      <c r="EM402" s="352"/>
      <c r="EN402" s="352"/>
    </row>
    <row r="403" spans="1:144" ht="20.100000000000001" customHeight="1">
      <c r="A403" s="118" t="s">
        <v>132</v>
      </c>
      <c r="B403" s="118" t="s">
        <v>491</v>
      </c>
      <c r="C403" s="119">
        <f>0</f>
        <v>0</v>
      </c>
      <c r="D403" s="120">
        <f>'Sectors % GDP'!C34</f>
        <v>107027.04000000001</v>
      </c>
      <c r="E403" s="120">
        <f t="shared" si="12"/>
        <v>0</v>
      </c>
      <c r="F403" s="123">
        <v>0</v>
      </c>
      <c r="G403" s="120">
        <v>0</v>
      </c>
      <c r="H403" s="122">
        <v>4.99</v>
      </c>
      <c r="I403" s="121">
        <v>17.04</v>
      </c>
      <c r="J403" s="123">
        <v>7.6</v>
      </c>
      <c r="K403" s="123">
        <v>4.3899999999999997</v>
      </c>
      <c r="L403" s="123">
        <f t="shared" si="13"/>
        <v>1.3</v>
      </c>
      <c r="M403" s="124">
        <v>1.2999999999999999E-2</v>
      </c>
      <c r="N403" s="124">
        <v>5.8</v>
      </c>
      <c r="O403" s="125">
        <f>'Trade Data'!B26</f>
        <v>0.59871477824404573</v>
      </c>
      <c r="P403" s="127">
        <v>1</v>
      </c>
      <c r="Q403" s="352"/>
      <c r="R403" s="352"/>
      <c r="S403" s="352"/>
      <c r="T403" s="352"/>
      <c r="U403" s="352"/>
      <c r="V403" s="352"/>
      <c r="W403" s="352"/>
      <c r="X403" s="352"/>
      <c r="Y403" s="352"/>
      <c r="Z403" s="352"/>
      <c r="AA403" s="352"/>
      <c r="AB403" s="352"/>
      <c r="AC403" s="352"/>
      <c r="AD403" s="352"/>
      <c r="AE403" s="352"/>
      <c r="AF403" s="352"/>
      <c r="AG403" s="352"/>
      <c r="AH403" s="352"/>
      <c r="AI403" s="352"/>
      <c r="AJ403" s="352"/>
      <c r="AK403" s="352"/>
      <c r="AL403" s="352"/>
      <c r="AM403" s="352"/>
      <c r="AN403" s="352"/>
      <c r="AO403" s="352"/>
      <c r="AP403" s="352"/>
      <c r="AQ403" s="352"/>
      <c r="AR403" s="352"/>
      <c r="AS403" s="352"/>
      <c r="AT403" s="352"/>
      <c r="AU403" s="352"/>
      <c r="AV403" s="352"/>
      <c r="AW403" s="352"/>
      <c r="AX403" s="352"/>
      <c r="AY403" s="352"/>
      <c r="AZ403" s="352"/>
      <c r="BA403" s="352"/>
      <c r="BB403" s="352"/>
      <c r="BC403" s="352"/>
      <c r="BD403" s="352"/>
      <c r="BE403" s="352"/>
      <c r="BF403" s="352"/>
      <c r="BG403" s="352"/>
      <c r="BH403" s="352"/>
      <c r="BI403" s="352"/>
      <c r="BJ403" s="352"/>
      <c r="BK403" s="352"/>
      <c r="BL403" s="352"/>
      <c r="BM403" s="352"/>
      <c r="BN403" s="352"/>
      <c r="BO403" s="352"/>
      <c r="BP403" s="352"/>
      <c r="BQ403" s="352"/>
      <c r="BR403" s="352"/>
      <c r="BS403" s="352"/>
      <c r="BT403" s="352"/>
      <c r="BU403" s="352"/>
      <c r="BV403" s="352"/>
      <c r="BW403" s="352"/>
      <c r="BX403" s="352"/>
      <c r="BY403" s="352"/>
      <c r="BZ403" s="352"/>
      <c r="CA403" s="352"/>
      <c r="CB403" s="352"/>
      <c r="CC403" s="352"/>
      <c r="CD403" s="352"/>
      <c r="CE403" s="352"/>
      <c r="CF403" s="352"/>
      <c r="CG403" s="352"/>
      <c r="CH403" s="352"/>
      <c r="CI403" s="352"/>
      <c r="CJ403" s="352"/>
      <c r="CK403" s="352"/>
      <c r="CL403" s="352"/>
      <c r="CM403" s="352"/>
      <c r="CN403" s="352"/>
      <c r="CO403" s="352"/>
      <c r="CP403" s="352"/>
      <c r="CQ403" s="352"/>
      <c r="CR403" s="352"/>
      <c r="CS403" s="352"/>
      <c r="CT403" s="352"/>
      <c r="CU403" s="352"/>
      <c r="CV403" s="352"/>
      <c r="CW403" s="352"/>
      <c r="CX403" s="352"/>
      <c r="CY403" s="352"/>
      <c r="CZ403" s="352"/>
      <c r="DA403" s="352"/>
      <c r="DB403" s="352"/>
      <c r="DC403" s="352"/>
      <c r="DD403" s="352"/>
      <c r="DE403" s="352"/>
      <c r="DF403" s="352"/>
      <c r="DG403" s="352"/>
      <c r="DH403" s="352"/>
      <c r="DI403" s="352"/>
      <c r="DJ403" s="352"/>
      <c r="DK403" s="352"/>
      <c r="DL403" s="352"/>
      <c r="DM403" s="352"/>
      <c r="DN403" s="352"/>
      <c r="DO403" s="352"/>
      <c r="DP403" s="352"/>
      <c r="DQ403" s="352"/>
      <c r="DR403" s="352"/>
      <c r="DS403" s="352"/>
      <c r="DT403" s="352"/>
      <c r="DU403" s="352"/>
      <c r="DV403" s="352"/>
      <c r="DW403" s="352"/>
      <c r="DX403" s="352"/>
      <c r="DY403" s="352"/>
      <c r="DZ403" s="352"/>
      <c r="EA403" s="352"/>
      <c r="EB403" s="352"/>
      <c r="EC403" s="352"/>
      <c r="ED403" s="352"/>
      <c r="EE403" s="352"/>
      <c r="EF403" s="352"/>
      <c r="EG403" s="352"/>
      <c r="EH403" s="352"/>
      <c r="EI403" s="352"/>
      <c r="EJ403" s="352"/>
      <c r="EK403" s="352"/>
      <c r="EL403" s="352"/>
      <c r="EM403" s="352"/>
      <c r="EN403" s="352"/>
    </row>
    <row r="404" spans="1:144" s="169" customFormat="1" ht="20.100000000000001" customHeight="1">
      <c r="A404" s="160" t="s">
        <v>133</v>
      </c>
      <c r="B404" s="160" t="s">
        <v>490</v>
      </c>
      <c r="C404" s="161">
        <f>0</f>
        <v>0</v>
      </c>
      <c r="D404" s="162">
        <f>'Sectors % GDP'!C32</f>
        <v>12587.279999999999</v>
      </c>
      <c r="E404" s="162">
        <f t="shared" si="12"/>
        <v>0</v>
      </c>
      <c r="F404" s="165">
        <v>0</v>
      </c>
      <c r="G404" s="162">
        <v>0</v>
      </c>
      <c r="H404" s="164">
        <v>5.78</v>
      </c>
      <c r="I404" s="163">
        <v>9.98</v>
      </c>
      <c r="J404" s="164">
        <v>19.760000000000002</v>
      </c>
      <c r="K404" s="165">
        <v>4.3899999999999997</v>
      </c>
      <c r="L404" s="165">
        <f t="shared" si="13"/>
        <v>1.3</v>
      </c>
      <c r="M404" s="166">
        <v>1.2999999999999999E-2</v>
      </c>
      <c r="N404" s="166">
        <v>5.8</v>
      </c>
      <c r="O404" s="167">
        <f>'Trade Data'!B26</f>
        <v>0.59871477824404573</v>
      </c>
      <c r="P404" s="168">
        <v>0</v>
      </c>
      <c r="Q404" s="352"/>
      <c r="R404" s="352"/>
      <c r="S404" s="352"/>
      <c r="T404" s="352"/>
      <c r="U404" s="352"/>
      <c r="V404" s="352"/>
      <c r="W404" s="352"/>
      <c r="X404" s="352"/>
      <c r="Y404" s="352"/>
      <c r="Z404" s="352"/>
      <c r="AA404" s="352"/>
      <c r="AB404" s="352"/>
      <c r="AC404" s="352"/>
      <c r="AD404" s="352"/>
      <c r="AE404" s="352"/>
      <c r="AF404" s="352"/>
      <c r="AG404" s="352"/>
      <c r="AH404" s="352"/>
      <c r="AI404" s="352"/>
      <c r="AJ404" s="352"/>
      <c r="AK404" s="352"/>
      <c r="AL404" s="352"/>
      <c r="AM404" s="352"/>
      <c r="AN404" s="352"/>
      <c r="AO404" s="352"/>
      <c r="AP404" s="352"/>
      <c r="AQ404" s="352"/>
      <c r="AR404" s="352"/>
      <c r="AS404" s="352"/>
      <c r="AT404" s="352"/>
      <c r="AU404" s="352"/>
      <c r="AV404" s="352"/>
      <c r="AW404" s="352"/>
      <c r="AX404" s="352"/>
      <c r="AY404" s="352"/>
      <c r="AZ404" s="352"/>
      <c r="BA404" s="352"/>
      <c r="BB404" s="352"/>
      <c r="BC404" s="352"/>
      <c r="BD404" s="352"/>
      <c r="BE404" s="352"/>
      <c r="BF404" s="352"/>
      <c r="BG404" s="352"/>
      <c r="BH404" s="352"/>
      <c r="BI404" s="352"/>
      <c r="BJ404" s="352"/>
      <c r="BK404" s="352"/>
      <c r="BL404" s="352"/>
      <c r="BM404" s="352"/>
      <c r="BN404" s="352"/>
      <c r="BO404" s="352"/>
      <c r="BP404" s="352"/>
      <c r="BQ404" s="352"/>
      <c r="BR404" s="352"/>
      <c r="BS404" s="352"/>
      <c r="BT404" s="352"/>
      <c r="BU404" s="352"/>
      <c r="BV404" s="352"/>
      <c r="BW404" s="352"/>
      <c r="BX404" s="352"/>
      <c r="BY404" s="352"/>
      <c r="BZ404" s="352"/>
      <c r="CA404" s="352"/>
      <c r="CB404" s="352"/>
      <c r="CC404" s="352"/>
      <c r="CD404" s="352"/>
      <c r="CE404" s="352"/>
      <c r="CF404" s="352"/>
      <c r="CG404" s="352"/>
      <c r="CH404" s="352"/>
      <c r="CI404" s="352"/>
      <c r="CJ404" s="352"/>
      <c r="CK404" s="352"/>
      <c r="CL404" s="352"/>
      <c r="CM404" s="352"/>
      <c r="CN404" s="352"/>
      <c r="CO404" s="352"/>
      <c r="CP404" s="352"/>
      <c r="CQ404" s="352"/>
      <c r="CR404" s="352"/>
      <c r="CS404" s="352"/>
      <c r="CT404" s="352"/>
      <c r="CU404" s="352"/>
      <c r="CV404" s="352"/>
      <c r="CW404" s="352"/>
      <c r="CX404" s="352"/>
      <c r="CY404" s="352"/>
      <c r="CZ404" s="352"/>
      <c r="DA404" s="352"/>
      <c r="DB404" s="352"/>
      <c r="DC404" s="352"/>
      <c r="DD404" s="352"/>
      <c r="DE404" s="352"/>
      <c r="DF404" s="352"/>
      <c r="DG404" s="352"/>
      <c r="DH404" s="352"/>
      <c r="DI404" s="352"/>
      <c r="DJ404" s="352"/>
      <c r="DK404" s="352"/>
      <c r="DL404" s="352"/>
      <c r="DM404" s="352"/>
      <c r="DN404" s="352"/>
      <c r="DO404" s="352"/>
      <c r="DP404" s="352"/>
      <c r="DQ404" s="352"/>
      <c r="DR404" s="352"/>
      <c r="DS404" s="352"/>
      <c r="DT404" s="352"/>
      <c r="DU404" s="352"/>
      <c r="DV404" s="352"/>
      <c r="DW404" s="352"/>
      <c r="DX404" s="352"/>
      <c r="DY404" s="352"/>
      <c r="DZ404" s="352"/>
      <c r="EA404" s="352"/>
      <c r="EB404" s="352"/>
      <c r="EC404" s="352"/>
      <c r="ED404" s="352"/>
      <c r="EE404" s="352"/>
      <c r="EF404" s="352"/>
      <c r="EG404" s="352"/>
      <c r="EH404" s="352"/>
      <c r="EI404" s="352"/>
      <c r="EJ404" s="352"/>
      <c r="EK404" s="352"/>
      <c r="EL404" s="352"/>
      <c r="EM404" s="352"/>
      <c r="EN404" s="352"/>
    </row>
    <row r="405" spans="1:144" s="188" customFormat="1" ht="20.100000000000001" customHeight="1">
      <c r="A405" s="179" t="s">
        <v>133</v>
      </c>
      <c r="B405" s="179" t="s">
        <v>489</v>
      </c>
      <c r="C405" s="180">
        <f>0</f>
        <v>0</v>
      </c>
      <c r="D405" s="181">
        <f>'Sectors % GDP'!C33</f>
        <v>114785.68000000001</v>
      </c>
      <c r="E405" s="181">
        <f t="shared" si="12"/>
        <v>0</v>
      </c>
      <c r="F405" s="184">
        <v>0</v>
      </c>
      <c r="G405" s="181">
        <v>0</v>
      </c>
      <c r="H405" s="183">
        <v>5.78</v>
      </c>
      <c r="I405" s="182">
        <v>9.98</v>
      </c>
      <c r="J405" s="183">
        <v>19.760000000000002</v>
      </c>
      <c r="K405" s="184">
        <v>4.3899999999999997</v>
      </c>
      <c r="L405" s="184">
        <f t="shared" si="13"/>
        <v>1.3</v>
      </c>
      <c r="M405" s="185">
        <v>1.2999999999999999E-2</v>
      </c>
      <c r="N405" s="185">
        <v>5.8</v>
      </c>
      <c r="O405" s="186">
        <f>'Trade Data'!B26</f>
        <v>0.59871477824404573</v>
      </c>
      <c r="P405" s="187">
        <v>1</v>
      </c>
      <c r="Q405" s="352"/>
      <c r="R405" s="352"/>
      <c r="S405" s="352"/>
      <c r="T405" s="352"/>
      <c r="U405" s="352"/>
      <c r="V405" s="352"/>
      <c r="W405" s="352"/>
      <c r="X405" s="352"/>
      <c r="Y405" s="352"/>
      <c r="Z405" s="352"/>
      <c r="AA405" s="352"/>
      <c r="AB405" s="352"/>
      <c r="AC405" s="352"/>
      <c r="AD405" s="352"/>
      <c r="AE405" s="352"/>
      <c r="AF405" s="352"/>
      <c r="AG405" s="352"/>
      <c r="AH405" s="352"/>
      <c r="AI405" s="352"/>
      <c r="AJ405" s="352"/>
      <c r="AK405" s="352"/>
      <c r="AL405" s="352"/>
      <c r="AM405" s="352"/>
      <c r="AN405" s="352"/>
      <c r="AO405" s="352"/>
      <c r="AP405" s="352"/>
      <c r="AQ405" s="352"/>
      <c r="AR405" s="352"/>
      <c r="AS405" s="352"/>
      <c r="AT405" s="352"/>
      <c r="AU405" s="352"/>
      <c r="AV405" s="352"/>
      <c r="AW405" s="352"/>
      <c r="AX405" s="352"/>
      <c r="AY405" s="352"/>
      <c r="AZ405" s="352"/>
      <c r="BA405" s="352"/>
      <c r="BB405" s="352"/>
      <c r="BC405" s="352"/>
      <c r="BD405" s="352"/>
      <c r="BE405" s="352"/>
      <c r="BF405" s="352"/>
      <c r="BG405" s="352"/>
      <c r="BH405" s="352"/>
      <c r="BI405" s="352"/>
      <c r="BJ405" s="352"/>
      <c r="BK405" s="352"/>
      <c r="BL405" s="352"/>
      <c r="BM405" s="352"/>
      <c r="BN405" s="352"/>
      <c r="BO405" s="352"/>
      <c r="BP405" s="352"/>
      <c r="BQ405" s="352"/>
      <c r="BR405" s="352"/>
      <c r="BS405" s="352"/>
      <c r="BT405" s="352"/>
      <c r="BU405" s="352"/>
      <c r="BV405" s="352"/>
      <c r="BW405" s="352"/>
      <c r="BX405" s="352"/>
      <c r="BY405" s="352"/>
      <c r="BZ405" s="352"/>
      <c r="CA405" s="352"/>
      <c r="CB405" s="352"/>
      <c r="CC405" s="352"/>
      <c r="CD405" s="352"/>
      <c r="CE405" s="352"/>
      <c r="CF405" s="352"/>
      <c r="CG405" s="352"/>
      <c r="CH405" s="352"/>
      <c r="CI405" s="352"/>
      <c r="CJ405" s="352"/>
      <c r="CK405" s="352"/>
      <c r="CL405" s="352"/>
      <c r="CM405" s="352"/>
      <c r="CN405" s="352"/>
      <c r="CO405" s="352"/>
      <c r="CP405" s="352"/>
      <c r="CQ405" s="352"/>
      <c r="CR405" s="352"/>
      <c r="CS405" s="352"/>
      <c r="CT405" s="352"/>
      <c r="CU405" s="352"/>
      <c r="CV405" s="352"/>
      <c r="CW405" s="352"/>
      <c r="CX405" s="352"/>
      <c r="CY405" s="352"/>
      <c r="CZ405" s="352"/>
      <c r="DA405" s="352"/>
      <c r="DB405" s="352"/>
      <c r="DC405" s="352"/>
      <c r="DD405" s="352"/>
      <c r="DE405" s="352"/>
      <c r="DF405" s="352"/>
      <c r="DG405" s="352"/>
      <c r="DH405" s="352"/>
      <c r="DI405" s="352"/>
      <c r="DJ405" s="352"/>
      <c r="DK405" s="352"/>
      <c r="DL405" s="352"/>
      <c r="DM405" s="352"/>
      <c r="DN405" s="352"/>
      <c r="DO405" s="352"/>
      <c r="DP405" s="352"/>
      <c r="DQ405" s="352"/>
      <c r="DR405" s="352"/>
      <c r="DS405" s="352"/>
      <c r="DT405" s="352"/>
      <c r="DU405" s="352"/>
      <c r="DV405" s="352"/>
      <c r="DW405" s="352"/>
      <c r="DX405" s="352"/>
      <c r="DY405" s="352"/>
      <c r="DZ405" s="352"/>
      <c r="EA405" s="352"/>
      <c r="EB405" s="352"/>
      <c r="EC405" s="352"/>
      <c r="ED405" s="352"/>
      <c r="EE405" s="352"/>
      <c r="EF405" s="352"/>
      <c r="EG405" s="352"/>
      <c r="EH405" s="352"/>
      <c r="EI405" s="352"/>
      <c r="EJ405" s="352"/>
      <c r="EK405" s="352"/>
      <c r="EL405" s="352"/>
      <c r="EM405" s="352"/>
      <c r="EN405" s="352"/>
    </row>
    <row r="406" spans="1:144" ht="20.100000000000001" customHeight="1">
      <c r="A406" s="118" t="s">
        <v>133</v>
      </c>
      <c r="B406" s="118" t="s">
        <v>488</v>
      </c>
      <c r="C406" s="119">
        <f>0</f>
        <v>0</v>
      </c>
      <c r="D406" s="120">
        <f>'Sectors % GDP'!C34</f>
        <v>107027.04000000001</v>
      </c>
      <c r="E406" s="120">
        <f t="shared" si="12"/>
        <v>0</v>
      </c>
      <c r="F406" s="123">
        <v>0</v>
      </c>
      <c r="G406" s="120">
        <v>0</v>
      </c>
      <c r="H406" s="122">
        <v>5.78</v>
      </c>
      <c r="I406" s="121">
        <v>9.98</v>
      </c>
      <c r="J406" s="122">
        <v>19.760000000000002</v>
      </c>
      <c r="K406" s="123">
        <v>4.3899999999999997</v>
      </c>
      <c r="L406" s="123">
        <f t="shared" si="13"/>
        <v>1.3</v>
      </c>
      <c r="M406" s="124">
        <v>1.2999999999999999E-2</v>
      </c>
      <c r="N406" s="124">
        <v>5.8</v>
      </c>
      <c r="O406" s="125">
        <f>'Trade Data'!B26</f>
        <v>0.59871477824404573</v>
      </c>
      <c r="P406" s="126">
        <v>1</v>
      </c>
      <c r="Q406" s="352"/>
      <c r="R406" s="352"/>
      <c r="S406" s="352"/>
      <c r="T406" s="352"/>
      <c r="U406" s="352"/>
      <c r="V406" s="352"/>
      <c r="W406" s="352"/>
      <c r="X406" s="352"/>
      <c r="Y406" s="352"/>
      <c r="Z406" s="352"/>
      <c r="AA406" s="352"/>
      <c r="AB406" s="352"/>
      <c r="AC406" s="352"/>
      <c r="AD406" s="352"/>
      <c r="AE406" s="352"/>
      <c r="AF406" s="352"/>
      <c r="AG406" s="352"/>
      <c r="AH406" s="352"/>
      <c r="AI406" s="352"/>
      <c r="AJ406" s="352"/>
      <c r="AK406" s="352"/>
      <c r="AL406" s="352"/>
      <c r="AM406" s="352"/>
      <c r="AN406" s="352"/>
      <c r="AO406" s="352"/>
      <c r="AP406" s="352"/>
      <c r="AQ406" s="352"/>
      <c r="AR406" s="352"/>
      <c r="AS406" s="352"/>
      <c r="AT406" s="352"/>
      <c r="AU406" s="352"/>
      <c r="AV406" s="352"/>
      <c r="AW406" s="352"/>
      <c r="AX406" s="352"/>
      <c r="AY406" s="352"/>
      <c r="AZ406" s="352"/>
      <c r="BA406" s="352"/>
      <c r="BB406" s="352"/>
      <c r="BC406" s="352"/>
      <c r="BD406" s="352"/>
      <c r="BE406" s="352"/>
      <c r="BF406" s="352"/>
      <c r="BG406" s="352"/>
      <c r="BH406" s="352"/>
      <c r="BI406" s="352"/>
      <c r="BJ406" s="352"/>
      <c r="BK406" s="352"/>
      <c r="BL406" s="352"/>
      <c r="BM406" s="352"/>
      <c r="BN406" s="352"/>
      <c r="BO406" s="352"/>
      <c r="BP406" s="352"/>
      <c r="BQ406" s="352"/>
      <c r="BR406" s="352"/>
      <c r="BS406" s="352"/>
      <c r="BT406" s="352"/>
      <c r="BU406" s="352"/>
      <c r="BV406" s="352"/>
      <c r="BW406" s="352"/>
      <c r="BX406" s="352"/>
      <c r="BY406" s="352"/>
      <c r="BZ406" s="352"/>
      <c r="CA406" s="352"/>
      <c r="CB406" s="352"/>
      <c r="CC406" s="352"/>
      <c r="CD406" s="352"/>
      <c r="CE406" s="352"/>
      <c r="CF406" s="352"/>
      <c r="CG406" s="352"/>
      <c r="CH406" s="352"/>
      <c r="CI406" s="352"/>
      <c r="CJ406" s="352"/>
      <c r="CK406" s="352"/>
      <c r="CL406" s="352"/>
      <c r="CM406" s="352"/>
      <c r="CN406" s="352"/>
      <c r="CO406" s="352"/>
      <c r="CP406" s="352"/>
      <c r="CQ406" s="352"/>
      <c r="CR406" s="352"/>
      <c r="CS406" s="352"/>
      <c r="CT406" s="352"/>
      <c r="CU406" s="352"/>
      <c r="CV406" s="352"/>
      <c r="CW406" s="352"/>
      <c r="CX406" s="352"/>
      <c r="CY406" s="352"/>
      <c r="CZ406" s="352"/>
      <c r="DA406" s="352"/>
      <c r="DB406" s="352"/>
      <c r="DC406" s="352"/>
      <c r="DD406" s="352"/>
      <c r="DE406" s="352"/>
      <c r="DF406" s="352"/>
      <c r="DG406" s="352"/>
      <c r="DH406" s="352"/>
      <c r="DI406" s="352"/>
      <c r="DJ406" s="352"/>
      <c r="DK406" s="352"/>
      <c r="DL406" s="352"/>
      <c r="DM406" s="352"/>
      <c r="DN406" s="352"/>
      <c r="DO406" s="352"/>
      <c r="DP406" s="352"/>
      <c r="DQ406" s="352"/>
      <c r="DR406" s="352"/>
      <c r="DS406" s="352"/>
      <c r="DT406" s="352"/>
      <c r="DU406" s="352"/>
      <c r="DV406" s="352"/>
      <c r="DW406" s="352"/>
      <c r="DX406" s="352"/>
      <c r="DY406" s="352"/>
      <c r="DZ406" s="352"/>
      <c r="EA406" s="352"/>
      <c r="EB406" s="352"/>
      <c r="EC406" s="352"/>
      <c r="ED406" s="352"/>
      <c r="EE406" s="352"/>
      <c r="EF406" s="352"/>
      <c r="EG406" s="352"/>
      <c r="EH406" s="352"/>
      <c r="EI406" s="352"/>
      <c r="EJ406" s="352"/>
      <c r="EK406" s="352"/>
      <c r="EL406" s="352"/>
      <c r="EM406" s="352"/>
      <c r="EN406" s="352"/>
    </row>
    <row r="407" spans="1:144" s="169" customFormat="1" ht="20.100000000000001" customHeight="1">
      <c r="A407" s="160" t="s">
        <v>134</v>
      </c>
      <c r="B407" s="160" t="s">
        <v>487</v>
      </c>
      <c r="C407" s="161">
        <f>0</f>
        <v>0</v>
      </c>
      <c r="D407" s="162">
        <f>'Sectors % GDP'!C32</f>
        <v>12587.279999999999</v>
      </c>
      <c r="E407" s="162">
        <f t="shared" si="12"/>
        <v>0</v>
      </c>
      <c r="F407" s="165">
        <v>0</v>
      </c>
      <c r="G407" s="162">
        <v>0</v>
      </c>
      <c r="H407" s="164">
        <v>3.28</v>
      </c>
      <c r="I407" s="163">
        <v>12.63</v>
      </c>
      <c r="J407" s="164">
        <v>3.14</v>
      </c>
      <c r="K407" s="165">
        <v>4.3899999999999997</v>
      </c>
      <c r="L407" s="165">
        <f t="shared" si="13"/>
        <v>1.3</v>
      </c>
      <c r="M407" s="166">
        <v>1.2999999999999999E-2</v>
      </c>
      <c r="N407" s="166">
        <v>5.8</v>
      </c>
      <c r="O407" s="167">
        <f>'Trade Data'!B26</f>
        <v>0.59871477824404573</v>
      </c>
      <c r="P407" s="170">
        <v>0</v>
      </c>
      <c r="Q407" s="352"/>
      <c r="R407" s="352"/>
      <c r="S407" s="352"/>
      <c r="T407" s="352"/>
      <c r="U407" s="352"/>
      <c r="V407" s="352"/>
      <c r="W407" s="352"/>
      <c r="X407" s="352"/>
      <c r="Y407" s="352"/>
      <c r="Z407" s="352"/>
      <c r="AA407" s="352"/>
      <c r="AB407" s="352"/>
      <c r="AC407" s="352"/>
      <c r="AD407" s="352"/>
      <c r="AE407" s="352"/>
      <c r="AF407" s="352"/>
      <c r="AG407" s="352"/>
      <c r="AH407" s="352"/>
      <c r="AI407" s="352"/>
      <c r="AJ407" s="352"/>
      <c r="AK407" s="352"/>
      <c r="AL407" s="352"/>
      <c r="AM407" s="352"/>
      <c r="AN407" s="352"/>
      <c r="AO407" s="352"/>
      <c r="AP407" s="352"/>
      <c r="AQ407" s="352"/>
      <c r="AR407" s="352"/>
      <c r="AS407" s="352"/>
      <c r="AT407" s="352"/>
      <c r="AU407" s="352"/>
      <c r="AV407" s="352"/>
      <c r="AW407" s="352"/>
      <c r="AX407" s="352"/>
      <c r="AY407" s="352"/>
      <c r="AZ407" s="352"/>
      <c r="BA407" s="352"/>
      <c r="BB407" s="352"/>
      <c r="BC407" s="352"/>
      <c r="BD407" s="352"/>
      <c r="BE407" s="352"/>
      <c r="BF407" s="352"/>
      <c r="BG407" s="352"/>
      <c r="BH407" s="352"/>
      <c r="BI407" s="352"/>
      <c r="BJ407" s="352"/>
      <c r="BK407" s="352"/>
      <c r="BL407" s="352"/>
      <c r="BM407" s="352"/>
      <c r="BN407" s="352"/>
      <c r="BO407" s="352"/>
      <c r="BP407" s="352"/>
      <c r="BQ407" s="352"/>
      <c r="BR407" s="352"/>
      <c r="BS407" s="352"/>
      <c r="BT407" s="352"/>
      <c r="BU407" s="352"/>
      <c r="BV407" s="352"/>
      <c r="BW407" s="352"/>
      <c r="BX407" s="352"/>
      <c r="BY407" s="352"/>
      <c r="BZ407" s="352"/>
      <c r="CA407" s="352"/>
      <c r="CB407" s="352"/>
      <c r="CC407" s="352"/>
      <c r="CD407" s="352"/>
      <c r="CE407" s="352"/>
      <c r="CF407" s="352"/>
      <c r="CG407" s="352"/>
      <c r="CH407" s="352"/>
      <c r="CI407" s="352"/>
      <c r="CJ407" s="352"/>
      <c r="CK407" s="352"/>
      <c r="CL407" s="352"/>
      <c r="CM407" s="352"/>
      <c r="CN407" s="352"/>
      <c r="CO407" s="352"/>
      <c r="CP407" s="352"/>
      <c r="CQ407" s="352"/>
      <c r="CR407" s="352"/>
      <c r="CS407" s="352"/>
      <c r="CT407" s="352"/>
      <c r="CU407" s="352"/>
      <c r="CV407" s="352"/>
      <c r="CW407" s="352"/>
      <c r="CX407" s="352"/>
      <c r="CY407" s="352"/>
      <c r="CZ407" s="352"/>
      <c r="DA407" s="352"/>
      <c r="DB407" s="352"/>
      <c r="DC407" s="352"/>
      <c r="DD407" s="352"/>
      <c r="DE407" s="352"/>
      <c r="DF407" s="352"/>
      <c r="DG407" s="352"/>
      <c r="DH407" s="352"/>
      <c r="DI407" s="352"/>
      <c r="DJ407" s="352"/>
      <c r="DK407" s="352"/>
      <c r="DL407" s="352"/>
      <c r="DM407" s="352"/>
      <c r="DN407" s="352"/>
      <c r="DO407" s="352"/>
      <c r="DP407" s="352"/>
      <c r="DQ407" s="352"/>
      <c r="DR407" s="352"/>
      <c r="DS407" s="352"/>
      <c r="DT407" s="352"/>
      <c r="DU407" s="352"/>
      <c r="DV407" s="352"/>
      <c r="DW407" s="352"/>
      <c r="DX407" s="352"/>
      <c r="DY407" s="352"/>
      <c r="DZ407" s="352"/>
      <c r="EA407" s="352"/>
      <c r="EB407" s="352"/>
      <c r="EC407" s="352"/>
      <c r="ED407" s="352"/>
      <c r="EE407" s="352"/>
      <c r="EF407" s="352"/>
      <c r="EG407" s="352"/>
      <c r="EH407" s="352"/>
      <c r="EI407" s="352"/>
      <c r="EJ407" s="352"/>
      <c r="EK407" s="352"/>
      <c r="EL407" s="352"/>
      <c r="EM407" s="352"/>
      <c r="EN407" s="352"/>
    </row>
    <row r="408" spans="1:144" s="188" customFormat="1" ht="20.100000000000001" customHeight="1">
      <c r="A408" s="179" t="s">
        <v>134</v>
      </c>
      <c r="B408" s="179" t="s">
        <v>486</v>
      </c>
      <c r="C408" s="180">
        <f>0</f>
        <v>0</v>
      </c>
      <c r="D408" s="181">
        <f>'Sectors % GDP'!C33</f>
        <v>114785.68000000001</v>
      </c>
      <c r="E408" s="181">
        <f t="shared" si="12"/>
        <v>0</v>
      </c>
      <c r="F408" s="184">
        <v>0</v>
      </c>
      <c r="G408" s="181">
        <v>0</v>
      </c>
      <c r="H408" s="183">
        <v>3.28</v>
      </c>
      <c r="I408" s="182">
        <v>12.63</v>
      </c>
      <c r="J408" s="183">
        <v>3.14</v>
      </c>
      <c r="K408" s="184">
        <v>4.3899999999999997</v>
      </c>
      <c r="L408" s="184">
        <f t="shared" si="13"/>
        <v>1.3</v>
      </c>
      <c r="M408" s="185">
        <v>1.2999999999999999E-2</v>
      </c>
      <c r="N408" s="185">
        <v>5.8</v>
      </c>
      <c r="O408" s="186">
        <f>'Trade Data'!B26</f>
        <v>0.59871477824404573</v>
      </c>
      <c r="P408" s="189">
        <v>1</v>
      </c>
      <c r="Q408" s="352"/>
      <c r="R408" s="352"/>
      <c r="S408" s="352"/>
      <c r="T408" s="352"/>
      <c r="U408" s="352"/>
      <c r="V408" s="352"/>
      <c r="W408" s="352"/>
      <c r="X408" s="352"/>
      <c r="Y408" s="352"/>
      <c r="Z408" s="352"/>
      <c r="AA408" s="352"/>
      <c r="AB408" s="352"/>
      <c r="AC408" s="352"/>
      <c r="AD408" s="352"/>
      <c r="AE408" s="352"/>
      <c r="AF408" s="352"/>
      <c r="AG408" s="352"/>
      <c r="AH408" s="352"/>
      <c r="AI408" s="352"/>
      <c r="AJ408" s="352"/>
      <c r="AK408" s="352"/>
      <c r="AL408" s="352"/>
      <c r="AM408" s="352"/>
      <c r="AN408" s="352"/>
      <c r="AO408" s="352"/>
      <c r="AP408" s="352"/>
      <c r="AQ408" s="352"/>
      <c r="AR408" s="352"/>
      <c r="AS408" s="352"/>
      <c r="AT408" s="352"/>
      <c r="AU408" s="352"/>
      <c r="AV408" s="352"/>
      <c r="AW408" s="352"/>
      <c r="AX408" s="352"/>
      <c r="AY408" s="352"/>
      <c r="AZ408" s="352"/>
      <c r="BA408" s="352"/>
      <c r="BB408" s="352"/>
      <c r="BC408" s="352"/>
      <c r="BD408" s="352"/>
      <c r="BE408" s="352"/>
      <c r="BF408" s="352"/>
      <c r="BG408" s="352"/>
      <c r="BH408" s="352"/>
      <c r="BI408" s="352"/>
      <c r="BJ408" s="352"/>
      <c r="BK408" s="352"/>
      <c r="BL408" s="352"/>
      <c r="BM408" s="352"/>
      <c r="BN408" s="352"/>
      <c r="BO408" s="352"/>
      <c r="BP408" s="352"/>
      <c r="BQ408" s="352"/>
      <c r="BR408" s="352"/>
      <c r="BS408" s="352"/>
      <c r="BT408" s="352"/>
      <c r="BU408" s="352"/>
      <c r="BV408" s="352"/>
      <c r="BW408" s="352"/>
      <c r="BX408" s="352"/>
      <c r="BY408" s="352"/>
      <c r="BZ408" s="352"/>
      <c r="CA408" s="352"/>
      <c r="CB408" s="352"/>
      <c r="CC408" s="352"/>
      <c r="CD408" s="352"/>
      <c r="CE408" s="352"/>
      <c r="CF408" s="352"/>
      <c r="CG408" s="352"/>
      <c r="CH408" s="352"/>
      <c r="CI408" s="352"/>
      <c r="CJ408" s="352"/>
      <c r="CK408" s="352"/>
      <c r="CL408" s="352"/>
      <c r="CM408" s="352"/>
      <c r="CN408" s="352"/>
      <c r="CO408" s="352"/>
      <c r="CP408" s="352"/>
      <c r="CQ408" s="352"/>
      <c r="CR408" s="352"/>
      <c r="CS408" s="352"/>
      <c r="CT408" s="352"/>
      <c r="CU408" s="352"/>
      <c r="CV408" s="352"/>
      <c r="CW408" s="352"/>
      <c r="CX408" s="352"/>
      <c r="CY408" s="352"/>
      <c r="CZ408" s="352"/>
      <c r="DA408" s="352"/>
      <c r="DB408" s="352"/>
      <c r="DC408" s="352"/>
      <c r="DD408" s="352"/>
      <c r="DE408" s="352"/>
      <c r="DF408" s="352"/>
      <c r="DG408" s="352"/>
      <c r="DH408" s="352"/>
      <c r="DI408" s="352"/>
      <c r="DJ408" s="352"/>
      <c r="DK408" s="352"/>
      <c r="DL408" s="352"/>
      <c r="DM408" s="352"/>
      <c r="DN408" s="352"/>
      <c r="DO408" s="352"/>
      <c r="DP408" s="352"/>
      <c r="DQ408" s="352"/>
      <c r="DR408" s="352"/>
      <c r="DS408" s="352"/>
      <c r="DT408" s="352"/>
      <c r="DU408" s="352"/>
      <c r="DV408" s="352"/>
      <c r="DW408" s="352"/>
      <c r="DX408" s="352"/>
      <c r="DY408" s="352"/>
      <c r="DZ408" s="352"/>
      <c r="EA408" s="352"/>
      <c r="EB408" s="352"/>
      <c r="EC408" s="352"/>
      <c r="ED408" s="352"/>
      <c r="EE408" s="352"/>
      <c r="EF408" s="352"/>
      <c r="EG408" s="352"/>
      <c r="EH408" s="352"/>
      <c r="EI408" s="352"/>
      <c r="EJ408" s="352"/>
      <c r="EK408" s="352"/>
      <c r="EL408" s="352"/>
      <c r="EM408" s="352"/>
      <c r="EN408" s="352"/>
    </row>
    <row r="409" spans="1:144" ht="20.100000000000001" customHeight="1">
      <c r="A409" s="118" t="s">
        <v>134</v>
      </c>
      <c r="B409" s="118" t="s">
        <v>485</v>
      </c>
      <c r="C409" s="119">
        <f>0</f>
        <v>0</v>
      </c>
      <c r="D409" s="120">
        <f>'Sectors % GDP'!C34</f>
        <v>107027.04000000001</v>
      </c>
      <c r="E409" s="120">
        <f t="shared" si="12"/>
        <v>0</v>
      </c>
      <c r="F409" s="123">
        <v>0</v>
      </c>
      <c r="G409" s="120">
        <v>0</v>
      </c>
      <c r="H409" s="122">
        <v>3.28</v>
      </c>
      <c r="I409" s="121">
        <v>12.63</v>
      </c>
      <c r="J409" s="122">
        <v>3.14</v>
      </c>
      <c r="K409" s="123">
        <v>4.3899999999999997</v>
      </c>
      <c r="L409" s="123">
        <f t="shared" si="13"/>
        <v>1.3</v>
      </c>
      <c r="M409" s="124">
        <v>1.2999999999999999E-2</v>
      </c>
      <c r="N409" s="124">
        <v>5.8</v>
      </c>
      <c r="O409" s="125">
        <f>'Trade Data'!B26</f>
        <v>0.59871477824404573</v>
      </c>
      <c r="P409" s="127">
        <v>1</v>
      </c>
      <c r="Q409" s="352"/>
      <c r="R409" s="352"/>
      <c r="S409" s="352"/>
      <c r="T409" s="352"/>
      <c r="U409" s="352"/>
      <c r="V409" s="352"/>
      <c r="W409" s="352"/>
      <c r="X409" s="352"/>
      <c r="Y409" s="352"/>
      <c r="Z409" s="352"/>
      <c r="AA409" s="352"/>
      <c r="AB409" s="352"/>
      <c r="AC409" s="352"/>
      <c r="AD409" s="352"/>
      <c r="AE409" s="352"/>
      <c r="AF409" s="352"/>
      <c r="AG409" s="352"/>
      <c r="AH409" s="352"/>
      <c r="AI409" s="352"/>
      <c r="AJ409" s="352"/>
      <c r="AK409" s="352"/>
      <c r="AL409" s="352"/>
      <c r="AM409" s="352"/>
      <c r="AN409" s="352"/>
      <c r="AO409" s="352"/>
      <c r="AP409" s="352"/>
      <c r="AQ409" s="352"/>
      <c r="AR409" s="352"/>
      <c r="AS409" s="352"/>
      <c r="AT409" s="352"/>
      <c r="AU409" s="352"/>
      <c r="AV409" s="352"/>
      <c r="AW409" s="352"/>
      <c r="AX409" s="352"/>
      <c r="AY409" s="352"/>
      <c r="AZ409" s="352"/>
      <c r="BA409" s="352"/>
      <c r="BB409" s="352"/>
      <c r="BC409" s="352"/>
      <c r="BD409" s="352"/>
      <c r="BE409" s="352"/>
      <c r="BF409" s="352"/>
      <c r="BG409" s="352"/>
      <c r="BH409" s="352"/>
      <c r="BI409" s="352"/>
      <c r="BJ409" s="352"/>
      <c r="BK409" s="352"/>
      <c r="BL409" s="352"/>
      <c r="BM409" s="352"/>
      <c r="BN409" s="352"/>
      <c r="BO409" s="352"/>
      <c r="BP409" s="352"/>
      <c r="BQ409" s="352"/>
      <c r="BR409" s="352"/>
      <c r="BS409" s="352"/>
      <c r="BT409" s="352"/>
      <c r="BU409" s="352"/>
      <c r="BV409" s="352"/>
      <c r="BW409" s="352"/>
      <c r="BX409" s="352"/>
      <c r="BY409" s="352"/>
      <c r="BZ409" s="352"/>
      <c r="CA409" s="352"/>
      <c r="CB409" s="352"/>
      <c r="CC409" s="352"/>
      <c r="CD409" s="352"/>
      <c r="CE409" s="352"/>
      <c r="CF409" s="352"/>
      <c r="CG409" s="352"/>
      <c r="CH409" s="352"/>
      <c r="CI409" s="352"/>
      <c r="CJ409" s="352"/>
      <c r="CK409" s="352"/>
      <c r="CL409" s="352"/>
      <c r="CM409" s="352"/>
      <c r="CN409" s="352"/>
      <c r="CO409" s="352"/>
      <c r="CP409" s="352"/>
      <c r="CQ409" s="352"/>
      <c r="CR409" s="352"/>
      <c r="CS409" s="352"/>
      <c r="CT409" s="352"/>
      <c r="CU409" s="352"/>
      <c r="CV409" s="352"/>
      <c r="CW409" s="352"/>
      <c r="CX409" s="352"/>
      <c r="CY409" s="352"/>
      <c r="CZ409" s="352"/>
      <c r="DA409" s="352"/>
      <c r="DB409" s="352"/>
      <c r="DC409" s="352"/>
      <c r="DD409" s="352"/>
      <c r="DE409" s="352"/>
      <c r="DF409" s="352"/>
      <c r="DG409" s="352"/>
      <c r="DH409" s="352"/>
      <c r="DI409" s="352"/>
      <c r="DJ409" s="352"/>
      <c r="DK409" s="352"/>
      <c r="DL409" s="352"/>
      <c r="DM409" s="352"/>
      <c r="DN409" s="352"/>
      <c r="DO409" s="352"/>
      <c r="DP409" s="352"/>
      <c r="DQ409" s="352"/>
      <c r="DR409" s="352"/>
      <c r="DS409" s="352"/>
      <c r="DT409" s="352"/>
      <c r="DU409" s="352"/>
      <c r="DV409" s="352"/>
      <c r="DW409" s="352"/>
      <c r="DX409" s="352"/>
      <c r="DY409" s="352"/>
      <c r="DZ409" s="352"/>
      <c r="EA409" s="352"/>
      <c r="EB409" s="352"/>
      <c r="EC409" s="352"/>
      <c r="ED409" s="352"/>
      <c r="EE409" s="352"/>
      <c r="EF409" s="352"/>
      <c r="EG409" s="352"/>
      <c r="EH409" s="352"/>
      <c r="EI409" s="352"/>
      <c r="EJ409" s="352"/>
      <c r="EK409" s="352"/>
      <c r="EL409" s="352"/>
      <c r="EM409" s="352"/>
      <c r="EN409" s="352"/>
    </row>
    <row r="410" spans="1:144" s="169" customFormat="1" ht="20.100000000000001" customHeight="1">
      <c r="A410" s="160" t="s">
        <v>135</v>
      </c>
      <c r="B410" s="160" t="s">
        <v>484</v>
      </c>
      <c r="C410" s="161">
        <f>0</f>
        <v>0</v>
      </c>
      <c r="D410" s="162">
        <f>'Sectors % GDP'!E32</f>
        <v>11976.539999999999</v>
      </c>
      <c r="E410" s="162">
        <f t="shared" si="12"/>
        <v>0</v>
      </c>
      <c r="F410" s="165">
        <v>0</v>
      </c>
      <c r="G410" s="162">
        <v>0</v>
      </c>
      <c r="H410" s="164">
        <v>2.71</v>
      </c>
      <c r="I410" s="163">
        <v>5.48</v>
      </c>
      <c r="J410" s="164">
        <v>6.37</v>
      </c>
      <c r="K410" s="165">
        <v>4.3899999999999997</v>
      </c>
      <c r="L410" s="165">
        <f t="shared" si="13"/>
        <v>1.3</v>
      </c>
      <c r="M410" s="166">
        <v>1.2999999999999999E-2</v>
      </c>
      <c r="N410" s="166">
        <v>5.8</v>
      </c>
      <c r="O410" s="167">
        <f>'Trade Data'!B26</f>
        <v>0.59871477824404573</v>
      </c>
      <c r="P410" s="168">
        <v>0</v>
      </c>
      <c r="Q410" s="352"/>
      <c r="R410" s="352"/>
      <c r="S410" s="352"/>
      <c r="T410" s="352"/>
      <c r="U410" s="352"/>
      <c r="V410" s="352"/>
      <c r="W410" s="352"/>
      <c r="X410" s="352"/>
      <c r="Y410" s="352"/>
      <c r="Z410" s="352"/>
      <c r="AA410" s="352"/>
      <c r="AB410" s="352"/>
      <c r="AC410" s="352"/>
      <c r="AD410" s="352"/>
      <c r="AE410" s="352"/>
      <c r="AF410" s="352"/>
      <c r="AG410" s="352"/>
      <c r="AH410" s="352"/>
      <c r="AI410" s="352"/>
      <c r="AJ410" s="352"/>
      <c r="AK410" s="352"/>
      <c r="AL410" s="352"/>
      <c r="AM410" s="352"/>
      <c r="AN410" s="352"/>
      <c r="AO410" s="352"/>
      <c r="AP410" s="352"/>
      <c r="AQ410" s="352"/>
      <c r="AR410" s="352"/>
      <c r="AS410" s="352"/>
      <c r="AT410" s="352"/>
      <c r="AU410" s="352"/>
      <c r="AV410" s="352"/>
      <c r="AW410" s="352"/>
      <c r="AX410" s="352"/>
      <c r="AY410" s="352"/>
      <c r="AZ410" s="352"/>
      <c r="BA410" s="352"/>
      <c r="BB410" s="352"/>
      <c r="BC410" s="352"/>
      <c r="BD410" s="352"/>
      <c r="BE410" s="352"/>
      <c r="BF410" s="352"/>
      <c r="BG410" s="352"/>
      <c r="BH410" s="352"/>
      <c r="BI410" s="352"/>
      <c r="BJ410" s="352"/>
      <c r="BK410" s="352"/>
      <c r="BL410" s="352"/>
      <c r="BM410" s="352"/>
      <c r="BN410" s="352"/>
      <c r="BO410" s="352"/>
      <c r="BP410" s="352"/>
      <c r="BQ410" s="352"/>
      <c r="BR410" s="352"/>
      <c r="BS410" s="352"/>
      <c r="BT410" s="352"/>
      <c r="BU410" s="352"/>
      <c r="BV410" s="352"/>
      <c r="BW410" s="352"/>
      <c r="BX410" s="352"/>
      <c r="BY410" s="352"/>
      <c r="BZ410" s="352"/>
      <c r="CA410" s="352"/>
      <c r="CB410" s="352"/>
      <c r="CC410" s="352"/>
      <c r="CD410" s="352"/>
      <c r="CE410" s="352"/>
      <c r="CF410" s="352"/>
      <c r="CG410" s="352"/>
      <c r="CH410" s="352"/>
      <c r="CI410" s="352"/>
      <c r="CJ410" s="352"/>
      <c r="CK410" s="352"/>
      <c r="CL410" s="352"/>
      <c r="CM410" s="352"/>
      <c r="CN410" s="352"/>
      <c r="CO410" s="352"/>
      <c r="CP410" s="352"/>
      <c r="CQ410" s="352"/>
      <c r="CR410" s="352"/>
      <c r="CS410" s="352"/>
      <c r="CT410" s="352"/>
      <c r="CU410" s="352"/>
      <c r="CV410" s="352"/>
      <c r="CW410" s="352"/>
      <c r="CX410" s="352"/>
      <c r="CY410" s="352"/>
      <c r="CZ410" s="352"/>
      <c r="DA410" s="352"/>
      <c r="DB410" s="352"/>
      <c r="DC410" s="352"/>
      <c r="DD410" s="352"/>
      <c r="DE410" s="352"/>
      <c r="DF410" s="352"/>
      <c r="DG410" s="352"/>
      <c r="DH410" s="352"/>
      <c r="DI410" s="352"/>
      <c r="DJ410" s="352"/>
      <c r="DK410" s="352"/>
      <c r="DL410" s="352"/>
      <c r="DM410" s="352"/>
      <c r="DN410" s="352"/>
      <c r="DO410" s="352"/>
      <c r="DP410" s="352"/>
      <c r="DQ410" s="352"/>
      <c r="DR410" s="352"/>
      <c r="DS410" s="352"/>
      <c r="DT410" s="352"/>
      <c r="DU410" s="352"/>
      <c r="DV410" s="352"/>
      <c r="DW410" s="352"/>
      <c r="DX410" s="352"/>
      <c r="DY410" s="352"/>
      <c r="DZ410" s="352"/>
      <c r="EA410" s="352"/>
      <c r="EB410" s="352"/>
      <c r="EC410" s="352"/>
      <c r="ED410" s="352"/>
      <c r="EE410" s="352"/>
      <c r="EF410" s="352"/>
      <c r="EG410" s="352"/>
      <c r="EH410" s="352"/>
      <c r="EI410" s="352"/>
      <c r="EJ410" s="352"/>
      <c r="EK410" s="352"/>
      <c r="EL410" s="352"/>
      <c r="EM410" s="352"/>
      <c r="EN410" s="352"/>
    </row>
    <row r="411" spans="1:144" s="188" customFormat="1" ht="20.100000000000001" customHeight="1">
      <c r="A411" s="179" t="s">
        <v>135</v>
      </c>
      <c r="B411" s="179" t="s">
        <v>483</v>
      </c>
      <c r="C411" s="180">
        <f>'Thomson Reuters IMA  ($)'!I765</f>
        <v>71.528999999999996</v>
      </c>
      <c r="D411" s="181">
        <f>'Sectors % GDP'!E33</f>
        <v>88762.3</v>
      </c>
      <c r="E411" s="181">
        <f t="shared" si="12"/>
        <v>8.0584887953556858E-4</v>
      </c>
      <c r="F411" s="184">
        <v>1</v>
      </c>
      <c r="G411" s="181">
        <v>2</v>
      </c>
      <c r="H411" s="183">
        <v>2.71</v>
      </c>
      <c r="I411" s="182">
        <v>5.48</v>
      </c>
      <c r="J411" s="183">
        <v>6.37</v>
      </c>
      <c r="K411" s="184">
        <v>4.3899999999999997</v>
      </c>
      <c r="L411" s="184">
        <f t="shared" si="13"/>
        <v>1.3</v>
      </c>
      <c r="M411" s="185">
        <v>1.2999999999999999E-2</v>
      </c>
      <c r="N411" s="185">
        <v>5.8</v>
      </c>
      <c r="O411" s="186">
        <f>'Trade Data'!B26</f>
        <v>0.59871477824404573</v>
      </c>
      <c r="P411" s="187">
        <v>1</v>
      </c>
      <c r="Q411" s="352"/>
      <c r="R411" s="352"/>
      <c r="S411" s="352"/>
      <c r="T411" s="352"/>
      <c r="U411" s="352"/>
      <c r="V411" s="352"/>
      <c r="W411" s="352"/>
      <c r="X411" s="352"/>
      <c r="Y411" s="352"/>
      <c r="Z411" s="352"/>
      <c r="AA411" s="352"/>
      <c r="AB411" s="352"/>
      <c r="AC411" s="352"/>
      <c r="AD411" s="352"/>
      <c r="AE411" s="352"/>
      <c r="AF411" s="352"/>
      <c r="AG411" s="352"/>
      <c r="AH411" s="352"/>
      <c r="AI411" s="352"/>
      <c r="AJ411" s="352"/>
      <c r="AK411" s="352"/>
      <c r="AL411" s="352"/>
      <c r="AM411" s="352"/>
      <c r="AN411" s="352"/>
      <c r="AO411" s="352"/>
      <c r="AP411" s="352"/>
      <c r="AQ411" s="352"/>
      <c r="AR411" s="352"/>
      <c r="AS411" s="352"/>
      <c r="AT411" s="352"/>
      <c r="AU411" s="352"/>
      <c r="AV411" s="352"/>
      <c r="AW411" s="352"/>
      <c r="AX411" s="352"/>
      <c r="AY411" s="352"/>
      <c r="AZ411" s="352"/>
      <c r="BA411" s="352"/>
      <c r="BB411" s="352"/>
      <c r="BC411" s="352"/>
      <c r="BD411" s="352"/>
      <c r="BE411" s="352"/>
      <c r="BF411" s="352"/>
      <c r="BG411" s="352"/>
      <c r="BH411" s="352"/>
      <c r="BI411" s="352"/>
      <c r="BJ411" s="352"/>
      <c r="BK411" s="352"/>
      <c r="BL411" s="352"/>
      <c r="BM411" s="352"/>
      <c r="BN411" s="352"/>
      <c r="BO411" s="352"/>
      <c r="BP411" s="352"/>
      <c r="BQ411" s="352"/>
      <c r="BR411" s="352"/>
      <c r="BS411" s="352"/>
      <c r="BT411" s="352"/>
      <c r="BU411" s="352"/>
      <c r="BV411" s="352"/>
      <c r="BW411" s="352"/>
      <c r="BX411" s="352"/>
      <c r="BY411" s="352"/>
      <c r="BZ411" s="352"/>
      <c r="CA411" s="352"/>
      <c r="CB411" s="352"/>
      <c r="CC411" s="352"/>
      <c r="CD411" s="352"/>
      <c r="CE411" s="352"/>
      <c r="CF411" s="352"/>
      <c r="CG411" s="352"/>
      <c r="CH411" s="352"/>
      <c r="CI411" s="352"/>
      <c r="CJ411" s="352"/>
      <c r="CK411" s="352"/>
      <c r="CL411" s="352"/>
      <c r="CM411" s="352"/>
      <c r="CN411" s="352"/>
      <c r="CO411" s="352"/>
      <c r="CP411" s="352"/>
      <c r="CQ411" s="352"/>
      <c r="CR411" s="352"/>
      <c r="CS411" s="352"/>
      <c r="CT411" s="352"/>
      <c r="CU411" s="352"/>
      <c r="CV411" s="352"/>
      <c r="CW411" s="352"/>
      <c r="CX411" s="352"/>
      <c r="CY411" s="352"/>
      <c r="CZ411" s="352"/>
      <c r="DA411" s="352"/>
      <c r="DB411" s="352"/>
      <c r="DC411" s="352"/>
      <c r="DD411" s="352"/>
      <c r="DE411" s="352"/>
      <c r="DF411" s="352"/>
      <c r="DG411" s="352"/>
      <c r="DH411" s="352"/>
      <c r="DI411" s="352"/>
      <c r="DJ411" s="352"/>
      <c r="DK411" s="352"/>
      <c r="DL411" s="352"/>
      <c r="DM411" s="352"/>
      <c r="DN411" s="352"/>
      <c r="DO411" s="352"/>
      <c r="DP411" s="352"/>
      <c r="DQ411" s="352"/>
      <c r="DR411" s="352"/>
      <c r="DS411" s="352"/>
      <c r="DT411" s="352"/>
      <c r="DU411" s="352"/>
      <c r="DV411" s="352"/>
      <c r="DW411" s="352"/>
      <c r="DX411" s="352"/>
      <c r="DY411" s="352"/>
      <c r="DZ411" s="352"/>
      <c r="EA411" s="352"/>
      <c r="EB411" s="352"/>
      <c r="EC411" s="352"/>
      <c r="ED411" s="352"/>
      <c r="EE411" s="352"/>
      <c r="EF411" s="352"/>
      <c r="EG411" s="352"/>
      <c r="EH411" s="352"/>
      <c r="EI411" s="352"/>
      <c r="EJ411" s="352"/>
      <c r="EK411" s="352"/>
      <c r="EL411" s="352"/>
      <c r="EM411" s="352"/>
      <c r="EN411" s="352"/>
    </row>
    <row r="412" spans="1:144" ht="20.100000000000001" customHeight="1">
      <c r="A412" s="118" t="s">
        <v>135</v>
      </c>
      <c r="B412" s="118" t="s">
        <v>482</v>
      </c>
      <c r="C412" s="119">
        <v>0</v>
      </c>
      <c r="D412" s="120">
        <f>'Sectors % GDP'!E34</f>
        <v>111589.92499999999</v>
      </c>
      <c r="E412" s="120">
        <f t="shared" si="12"/>
        <v>0</v>
      </c>
      <c r="F412" s="123">
        <v>0</v>
      </c>
      <c r="G412" s="120">
        <v>0</v>
      </c>
      <c r="H412" s="122">
        <v>2.71</v>
      </c>
      <c r="I412" s="121">
        <v>5.48</v>
      </c>
      <c r="J412" s="122">
        <v>6.37</v>
      </c>
      <c r="K412" s="123">
        <v>4.3899999999999997</v>
      </c>
      <c r="L412" s="123">
        <f t="shared" si="13"/>
        <v>1.3</v>
      </c>
      <c r="M412" s="124">
        <v>1.2999999999999999E-2</v>
      </c>
      <c r="N412" s="124">
        <v>5.8</v>
      </c>
      <c r="O412" s="125">
        <f>'Trade Data'!B26</f>
        <v>0.59871477824404573</v>
      </c>
      <c r="P412" s="126">
        <v>1</v>
      </c>
      <c r="Q412" s="352"/>
      <c r="R412" s="352"/>
      <c r="S412" s="352"/>
      <c r="T412" s="352"/>
      <c r="U412" s="352"/>
      <c r="V412" s="352"/>
      <c r="W412" s="352"/>
      <c r="X412" s="352"/>
      <c r="Y412" s="352"/>
      <c r="Z412" s="352"/>
      <c r="AA412" s="352"/>
      <c r="AB412" s="352"/>
      <c r="AC412" s="352"/>
      <c r="AD412" s="352"/>
      <c r="AE412" s="352"/>
      <c r="AF412" s="352"/>
      <c r="AG412" s="352"/>
      <c r="AH412" s="352"/>
      <c r="AI412" s="352"/>
      <c r="AJ412" s="352"/>
      <c r="AK412" s="352"/>
      <c r="AL412" s="352"/>
      <c r="AM412" s="352"/>
      <c r="AN412" s="352"/>
      <c r="AO412" s="352"/>
      <c r="AP412" s="352"/>
      <c r="AQ412" s="352"/>
      <c r="AR412" s="352"/>
      <c r="AS412" s="352"/>
      <c r="AT412" s="352"/>
      <c r="AU412" s="352"/>
      <c r="AV412" s="352"/>
      <c r="AW412" s="352"/>
      <c r="AX412" s="352"/>
      <c r="AY412" s="352"/>
      <c r="AZ412" s="352"/>
      <c r="BA412" s="352"/>
      <c r="BB412" s="352"/>
      <c r="BC412" s="352"/>
      <c r="BD412" s="352"/>
      <c r="BE412" s="352"/>
      <c r="BF412" s="352"/>
      <c r="BG412" s="352"/>
      <c r="BH412" s="352"/>
      <c r="BI412" s="352"/>
      <c r="BJ412" s="352"/>
      <c r="BK412" s="352"/>
      <c r="BL412" s="352"/>
      <c r="BM412" s="352"/>
      <c r="BN412" s="352"/>
      <c r="BO412" s="352"/>
      <c r="BP412" s="352"/>
      <c r="BQ412" s="352"/>
      <c r="BR412" s="352"/>
      <c r="BS412" s="352"/>
      <c r="BT412" s="352"/>
      <c r="BU412" s="352"/>
      <c r="BV412" s="352"/>
      <c r="BW412" s="352"/>
      <c r="BX412" s="352"/>
      <c r="BY412" s="352"/>
      <c r="BZ412" s="352"/>
      <c r="CA412" s="352"/>
      <c r="CB412" s="352"/>
      <c r="CC412" s="352"/>
      <c r="CD412" s="352"/>
      <c r="CE412" s="352"/>
      <c r="CF412" s="352"/>
      <c r="CG412" s="352"/>
      <c r="CH412" s="352"/>
      <c r="CI412" s="352"/>
      <c r="CJ412" s="352"/>
      <c r="CK412" s="352"/>
      <c r="CL412" s="352"/>
      <c r="CM412" s="352"/>
      <c r="CN412" s="352"/>
      <c r="CO412" s="352"/>
      <c r="CP412" s="352"/>
      <c r="CQ412" s="352"/>
      <c r="CR412" s="352"/>
      <c r="CS412" s="352"/>
      <c r="CT412" s="352"/>
      <c r="CU412" s="352"/>
      <c r="CV412" s="352"/>
      <c r="CW412" s="352"/>
      <c r="CX412" s="352"/>
      <c r="CY412" s="352"/>
      <c r="CZ412" s="352"/>
      <c r="DA412" s="352"/>
      <c r="DB412" s="352"/>
      <c r="DC412" s="352"/>
      <c r="DD412" s="352"/>
      <c r="DE412" s="352"/>
      <c r="DF412" s="352"/>
      <c r="DG412" s="352"/>
      <c r="DH412" s="352"/>
      <c r="DI412" s="352"/>
      <c r="DJ412" s="352"/>
      <c r="DK412" s="352"/>
      <c r="DL412" s="352"/>
      <c r="DM412" s="352"/>
      <c r="DN412" s="352"/>
      <c r="DO412" s="352"/>
      <c r="DP412" s="352"/>
      <c r="DQ412" s="352"/>
      <c r="DR412" s="352"/>
      <c r="DS412" s="352"/>
      <c r="DT412" s="352"/>
      <c r="DU412" s="352"/>
      <c r="DV412" s="352"/>
      <c r="DW412" s="352"/>
      <c r="DX412" s="352"/>
      <c r="DY412" s="352"/>
      <c r="DZ412" s="352"/>
      <c r="EA412" s="352"/>
      <c r="EB412" s="352"/>
      <c r="EC412" s="352"/>
      <c r="ED412" s="352"/>
      <c r="EE412" s="352"/>
      <c r="EF412" s="352"/>
      <c r="EG412" s="352"/>
      <c r="EH412" s="352"/>
      <c r="EI412" s="352"/>
      <c r="EJ412" s="352"/>
      <c r="EK412" s="352"/>
      <c r="EL412" s="352"/>
      <c r="EM412" s="352"/>
      <c r="EN412" s="352"/>
    </row>
    <row r="413" spans="1:144" s="169" customFormat="1" ht="20.100000000000001" customHeight="1">
      <c r="A413" s="160" t="s">
        <v>149</v>
      </c>
      <c r="B413" s="160" t="s">
        <v>481</v>
      </c>
      <c r="C413" s="161">
        <v>0</v>
      </c>
      <c r="D413" s="162">
        <f>'Sectors % GDP'!E32</f>
        <v>11976.539999999999</v>
      </c>
      <c r="E413" s="162">
        <f t="shared" si="12"/>
        <v>0</v>
      </c>
      <c r="F413" s="165">
        <v>0</v>
      </c>
      <c r="G413" s="162">
        <v>0</v>
      </c>
      <c r="H413" s="164">
        <v>3.92</v>
      </c>
      <c r="I413" s="163">
        <v>5.65</v>
      </c>
      <c r="J413" s="164">
        <v>12.82</v>
      </c>
      <c r="K413" s="165">
        <v>4.3899999999999997</v>
      </c>
      <c r="L413" s="165">
        <f t="shared" si="13"/>
        <v>-3.9</v>
      </c>
      <c r="M413" s="166">
        <v>-3.9E-2</v>
      </c>
      <c r="N413" s="166">
        <v>5</v>
      </c>
      <c r="O413" s="167">
        <f>'Trade Data'!D26</f>
        <v>0.51245329015399177</v>
      </c>
      <c r="P413" s="170">
        <v>0</v>
      </c>
      <c r="Q413" s="352"/>
      <c r="R413" s="352"/>
      <c r="S413" s="352"/>
      <c r="T413" s="352"/>
      <c r="U413" s="352"/>
      <c r="V413" s="352"/>
      <c r="W413" s="352"/>
      <c r="X413" s="352"/>
      <c r="Y413" s="352"/>
      <c r="Z413" s="352"/>
      <c r="AA413" s="352"/>
      <c r="AB413" s="352"/>
      <c r="AC413" s="352"/>
      <c r="AD413" s="352"/>
      <c r="AE413" s="352"/>
      <c r="AF413" s="352"/>
      <c r="AG413" s="352"/>
      <c r="AH413" s="352"/>
      <c r="AI413" s="352"/>
      <c r="AJ413" s="352"/>
      <c r="AK413" s="352"/>
      <c r="AL413" s="352"/>
      <c r="AM413" s="352"/>
      <c r="AN413" s="352"/>
      <c r="AO413" s="352"/>
      <c r="AP413" s="352"/>
      <c r="AQ413" s="352"/>
      <c r="AR413" s="352"/>
      <c r="AS413" s="352"/>
      <c r="AT413" s="352"/>
      <c r="AU413" s="352"/>
      <c r="AV413" s="352"/>
      <c r="AW413" s="352"/>
      <c r="AX413" s="352"/>
      <c r="AY413" s="352"/>
      <c r="AZ413" s="352"/>
      <c r="BA413" s="352"/>
      <c r="BB413" s="352"/>
      <c r="BC413" s="352"/>
      <c r="BD413" s="352"/>
      <c r="BE413" s="352"/>
      <c r="BF413" s="352"/>
      <c r="BG413" s="352"/>
      <c r="BH413" s="352"/>
      <c r="BI413" s="352"/>
      <c r="BJ413" s="352"/>
      <c r="BK413" s="352"/>
      <c r="BL413" s="352"/>
      <c r="BM413" s="352"/>
      <c r="BN413" s="352"/>
      <c r="BO413" s="352"/>
      <c r="BP413" s="352"/>
      <c r="BQ413" s="352"/>
      <c r="BR413" s="352"/>
      <c r="BS413" s="352"/>
      <c r="BT413" s="352"/>
      <c r="BU413" s="352"/>
      <c r="BV413" s="352"/>
      <c r="BW413" s="352"/>
      <c r="BX413" s="352"/>
      <c r="BY413" s="352"/>
      <c r="BZ413" s="352"/>
      <c r="CA413" s="352"/>
      <c r="CB413" s="352"/>
      <c r="CC413" s="352"/>
      <c r="CD413" s="352"/>
      <c r="CE413" s="352"/>
      <c r="CF413" s="352"/>
      <c r="CG413" s="352"/>
      <c r="CH413" s="352"/>
      <c r="CI413" s="352"/>
      <c r="CJ413" s="352"/>
      <c r="CK413" s="352"/>
      <c r="CL413" s="352"/>
      <c r="CM413" s="352"/>
      <c r="CN413" s="352"/>
      <c r="CO413" s="352"/>
      <c r="CP413" s="352"/>
      <c r="CQ413" s="352"/>
      <c r="CR413" s="352"/>
      <c r="CS413" s="352"/>
      <c r="CT413" s="352"/>
      <c r="CU413" s="352"/>
      <c r="CV413" s="352"/>
      <c r="CW413" s="352"/>
      <c r="CX413" s="352"/>
      <c r="CY413" s="352"/>
      <c r="CZ413" s="352"/>
      <c r="DA413" s="352"/>
      <c r="DB413" s="352"/>
      <c r="DC413" s="352"/>
      <c r="DD413" s="352"/>
      <c r="DE413" s="352"/>
      <c r="DF413" s="352"/>
      <c r="DG413" s="352"/>
      <c r="DH413" s="352"/>
      <c r="DI413" s="352"/>
      <c r="DJ413" s="352"/>
      <c r="DK413" s="352"/>
      <c r="DL413" s="352"/>
      <c r="DM413" s="352"/>
      <c r="DN413" s="352"/>
      <c r="DO413" s="352"/>
      <c r="DP413" s="352"/>
      <c r="DQ413" s="352"/>
      <c r="DR413" s="352"/>
      <c r="DS413" s="352"/>
      <c r="DT413" s="352"/>
      <c r="DU413" s="352"/>
      <c r="DV413" s="352"/>
      <c r="DW413" s="352"/>
      <c r="DX413" s="352"/>
      <c r="DY413" s="352"/>
      <c r="DZ413" s="352"/>
      <c r="EA413" s="352"/>
      <c r="EB413" s="352"/>
      <c r="EC413" s="352"/>
      <c r="ED413" s="352"/>
      <c r="EE413" s="352"/>
      <c r="EF413" s="352"/>
      <c r="EG413" s="352"/>
      <c r="EH413" s="352"/>
      <c r="EI413" s="352"/>
      <c r="EJ413" s="352"/>
      <c r="EK413" s="352"/>
      <c r="EL413" s="352"/>
      <c r="EM413" s="352"/>
      <c r="EN413" s="352"/>
    </row>
    <row r="414" spans="1:144" s="188" customFormat="1" ht="20.100000000000001" customHeight="1">
      <c r="A414" s="179" t="s">
        <v>149</v>
      </c>
      <c r="B414" s="179" t="s">
        <v>480</v>
      </c>
      <c r="C414" s="180">
        <v>0</v>
      </c>
      <c r="D414" s="181">
        <f>'Sectors % GDP'!E33</f>
        <v>88762.3</v>
      </c>
      <c r="E414" s="181">
        <f t="shared" si="12"/>
        <v>0</v>
      </c>
      <c r="F414" s="184">
        <v>0</v>
      </c>
      <c r="G414" s="181">
        <v>0</v>
      </c>
      <c r="H414" s="183">
        <v>3.92</v>
      </c>
      <c r="I414" s="182">
        <v>5.65</v>
      </c>
      <c r="J414" s="183">
        <v>12.82</v>
      </c>
      <c r="K414" s="184">
        <v>4.3899999999999997</v>
      </c>
      <c r="L414" s="184">
        <f t="shared" si="13"/>
        <v>-3.9</v>
      </c>
      <c r="M414" s="185">
        <v>-3.9E-2</v>
      </c>
      <c r="N414" s="185">
        <v>5</v>
      </c>
      <c r="O414" s="186">
        <f>'Trade Data'!D26</f>
        <v>0.51245329015399177</v>
      </c>
      <c r="P414" s="189">
        <v>1</v>
      </c>
      <c r="Q414" s="352"/>
      <c r="R414" s="352"/>
      <c r="S414" s="352"/>
      <c r="T414" s="352"/>
      <c r="U414" s="352"/>
      <c r="V414" s="352"/>
      <c r="W414" s="352"/>
      <c r="X414" s="352"/>
      <c r="Y414" s="352"/>
      <c r="Z414" s="352"/>
      <c r="AA414" s="352"/>
      <c r="AB414" s="352"/>
      <c r="AC414" s="352"/>
      <c r="AD414" s="352"/>
      <c r="AE414" s="352"/>
      <c r="AF414" s="352"/>
      <c r="AG414" s="352"/>
      <c r="AH414" s="352"/>
      <c r="AI414" s="352"/>
      <c r="AJ414" s="352"/>
      <c r="AK414" s="352"/>
      <c r="AL414" s="352"/>
      <c r="AM414" s="352"/>
      <c r="AN414" s="352"/>
      <c r="AO414" s="352"/>
      <c r="AP414" s="352"/>
      <c r="AQ414" s="352"/>
      <c r="AR414" s="352"/>
      <c r="AS414" s="352"/>
      <c r="AT414" s="352"/>
      <c r="AU414" s="352"/>
      <c r="AV414" s="352"/>
      <c r="AW414" s="352"/>
      <c r="AX414" s="352"/>
      <c r="AY414" s="352"/>
      <c r="AZ414" s="352"/>
      <c r="BA414" s="352"/>
      <c r="BB414" s="352"/>
      <c r="BC414" s="352"/>
      <c r="BD414" s="352"/>
      <c r="BE414" s="352"/>
      <c r="BF414" s="352"/>
      <c r="BG414" s="352"/>
      <c r="BH414" s="352"/>
      <c r="BI414" s="352"/>
      <c r="BJ414" s="352"/>
      <c r="BK414" s="352"/>
      <c r="BL414" s="352"/>
      <c r="BM414" s="352"/>
      <c r="BN414" s="352"/>
      <c r="BO414" s="352"/>
      <c r="BP414" s="352"/>
      <c r="BQ414" s="352"/>
      <c r="BR414" s="352"/>
      <c r="BS414" s="352"/>
      <c r="BT414" s="352"/>
      <c r="BU414" s="352"/>
      <c r="BV414" s="352"/>
      <c r="BW414" s="352"/>
      <c r="BX414" s="352"/>
      <c r="BY414" s="352"/>
      <c r="BZ414" s="352"/>
      <c r="CA414" s="352"/>
      <c r="CB414" s="352"/>
      <c r="CC414" s="352"/>
      <c r="CD414" s="352"/>
      <c r="CE414" s="352"/>
      <c r="CF414" s="352"/>
      <c r="CG414" s="352"/>
      <c r="CH414" s="352"/>
      <c r="CI414" s="352"/>
      <c r="CJ414" s="352"/>
      <c r="CK414" s="352"/>
      <c r="CL414" s="352"/>
      <c r="CM414" s="352"/>
      <c r="CN414" s="352"/>
      <c r="CO414" s="352"/>
      <c r="CP414" s="352"/>
      <c r="CQ414" s="352"/>
      <c r="CR414" s="352"/>
      <c r="CS414" s="352"/>
      <c r="CT414" s="352"/>
      <c r="CU414" s="352"/>
      <c r="CV414" s="352"/>
      <c r="CW414" s="352"/>
      <c r="CX414" s="352"/>
      <c r="CY414" s="352"/>
      <c r="CZ414" s="352"/>
      <c r="DA414" s="352"/>
      <c r="DB414" s="352"/>
      <c r="DC414" s="352"/>
      <c r="DD414" s="352"/>
      <c r="DE414" s="352"/>
      <c r="DF414" s="352"/>
      <c r="DG414" s="352"/>
      <c r="DH414" s="352"/>
      <c r="DI414" s="352"/>
      <c r="DJ414" s="352"/>
      <c r="DK414" s="352"/>
      <c r="DL414" s="352"/>
      <c r="DM414" s="352"/>
      <c r="DN414" s="352"/>
      <c r="DO414" s="352"/>
      <c r="DP414" s="352"/>
      <c r="DQ414" s="352"/>
      <c r="DR414" s="352"/>
      <c r="DS414" s="352"/>
      <c r="DT414" s="352"/>
      <c r="DU414" s="352"/>
      <c r="DV414" s="352"/>
      <c r="DW414" s="352"/>
      <c r="DX414" s="352"/>
      <c r="DY414" s="352"/>
      <c r="DZ414" s="352"/>
      <c r="EA414" s="352"/>
      <c r="EB414" s="352"/>
      <c r="EC414" s="352"/>
      <c r="ED414" s="352"/>
      <c r="EE414" s="352"/>
      <c r="EF414" s="352"/>
      <c r="EG414" s="352"/>
      <c r="EH414" s="352"/>
      <c r="EI414" s="352"/>
      <c r="EJ414" s="352"/>
      <c r="EK414" s="352"/>
      <c r="EL414" s="352"/>
      <c r="EM414" s="352"/>
      <c r="EN414" s="352"/>
    </row>
    <row r="415" spans="1:144" ht="20.100000000000001" customHeight="1">
      <c r="A415" s="118" t="s">
        <v>149</v>
      </c>
      <c r="B415" s="118" t="s">
        <v>479</v>
      </c>
      <c r="C415" s="119">
        <v>0</v>
      </c>
      <c r="D415" s="120">
        <f>'Sectors % GDP'!E34</f>
        <v>111589.92499999999</v>
      </c>
      <c r="E415" s="120">
        <f t="shared" si="12"/>
        <v>0</v>
      </c>
      <c r="F415" s="123">
        <v>0</v>
      </c>
      <c r="G415" s="120">
        <v>0</v>
      </c>
      <c r="H415" s="122">
        <v>3.92</v>
      </c>
      <c r="I415" s="121">
        <v>5.65</v>
      </c>
      <c r="J415" s="122">
        <v>12.82</v>
      </c>
      <c r="K415" s="123">
        <v>4.3899999999999997</v>
      </c>
      <c r="L415" s="123">
        <f t="shared" si="13"/>
        <v>-3.9</v>
      </c>
      <c r="M415" s="124">
        <v>-3.9E-2</v>
      </c>
      <c r="N415" s="124">
        <v>5</v>
      </c>
      <c r="O415" s="125">
        <f>'Trade Data'!D26</f>
        <v>0.51245329015399177</v>
      </c>
      <c r="P415" s="127">
        <v>1</v>
      </c>
      <c r="Q415" s="352"/>
      <c r="R415" s="352"/>
      <c r="S415" s="352"/>
      <c r="T415" s="352"/>
      <c r="U415" s="352"/>
      <c r="V415" s="352"/>
      <c r="W415" s="352"/>
      <c r="X415" s="352"/>
      <c r="Y415" s="352"/>
      <c r="Z415" s="352"/>
      <c r="AA415" s="352"/>
      <c r="AB415" s="352"/>
      <c r="AC415" s="352"/>
      <c r="AD415" s="352"/>
      <c r="AE415" s="352"/>
      <c r="AF415" s="352"/>
      <c r="AG415" s="352"/>
      <c r="AH415" s="352"/>
      <c r="AI415" s="352"/>
      <c r="AJ415" s="352"/>
      <c r="AK415" s="352"/>
      <c r="AL415" s="352"/>
      <c r="AM415" s="352"/>
      <c r="AN415" s="352"/>
      <c r="AO415" s="352"/>
      <c r="AP415" s="352"/>
      <c r="AQ415" s="352"/>
      <c r="AR415" s="352"/>
      <c r="AS415" s="352"/>
      <c r="AT415" s="352"/>
      <c r="AU415" s="352"/>
      <c r="AV415" s="352"/>
      <c r="AW415" s="352"/>
      <c r="AX415" s="352"/>
      <c r="AY415" s="352"/>
      <c r="AZ415" s="352"/>
      <c r="BA415" s="352"/>
      <c r="BB415" s="352"/>
      <c r="BC415" s="352"/>
      <c r="BD415" s="352"/>
      <c r="BE415" s="352"/>
      <c r="BF415" s="352"/>
      <c r="BG415" s="352"/>
      <c r="BH415" s="352"/>
      <c r="BI415" s="352"/>
      <c r="BJ415" s="352"/>
      <c r="BK415" s="352"/>
      <c r="BL415" s="352"/>
      <c r="BM415" s="352"/>
      <c r="BN415" s="352"/>
      <c r="BO415" s="352"/>
      <c r="BP415" s="352"/>
      <c r="BQ415" s="352"/>
      <c r="BR415" s="352"/>
      <c r="BS415" s="352"/>
      <c r="BT415" s="352"/>
      <c r="BU415" s="352"/>
      <c r="BV415" s="352"/>
      <c r="BW415" s="352"/>
      <c r="BX415" s="352"/>
      <c r="BY415" s="352"/>
      <c r="BZ415" s="352"/>
      <c r="CA415" s="352"/>
      <c r="CB415" s="352"/>
      <c r="CC415" s="352"/>
      <c r="CD415" s="352"/>
      <c r="CE415" s="352"/>
      <c r="CF415" s="352"/>
      <c r="CG415" s="352"/>
      <c r="CH415" s="352"/>
      <c r="CI415" s="352"/>
      <c r="CJ415" s="352"/>
      <c r="CK415" s="352"/>
      <c r="CL415" s="352"/>
      <c r="CM415" s="352"/>
      <c r="CN415" s="352"/>
      <c r="CO415" s="352"/>
      <c r="CP415" s="352"/>
      <c r="CQ415" s="352"/>
      <c r="CR415" s="352"/>
      <c r="CS415" s="352"/>
      <c r="CT415" s="352"/>
      <c r="CU415" s="352"/>
      <c r="CV415" s="352"/>
      <c r="CW415" s="352"/>
      <c r="CX415" s="352"/>
      <c r="CY415" s="352"/>
      <c r="CZ415" s="352"/>
      <c r="DA415" s="352"/>
      <c r="DB415" s="352"/>
      <c r="DC415" s="352"/>
      <c r="DD415" s="352"/>
      <c r="DE415" s="352"/>
      <c r="DF415" s="352"/>
      <c r="DG415" s="352"/>
      <c r="DH415" s="352"/>
      <c r="DI415" s="352"/>
      <c r="DJ415" s="352"/>
      <c r="DK415" s="352"/>
      <c r="DL415" s="352"/>
      <c r="DM415" s="352"/>
      <c r="DN415" s="352"/>
      <c r="DO415" s="352"/>
      <c r="DP415" s="352"/>
      <c r="DQ415" s="352"/>
      <c r="DR415" s="352"/>
      <c r="DS415" s="352"/>
      <c r="DT415" s="352"/>
      <c r="DU415" s="352"/>
      <c r="DV415" s="352"/>
      <c r="DW415" s="352"/>
      <c r="DX415" s="352"/>
      <c r="DY415" s="352"/>
      <c r="DZ415" s="352"/>
      <c r="EA415" s="352"/>
      <c r="EB415" s="352"/>
      <c r="EC415" s="352"/>
      <c r="ED415" s="352"/>
      <c r="EE415" s="352"/>
      <c r="EF415" s="352"/>
      <c r="EG415" s="352"/>
      <c r="EH415" s="352"/>
      <c r="EI415" s="352"/>
      <c r="EJ415" s="352"/>
      <c r="EK415" s="352"/>
      <c r="EL415" s="352"/>
      <c r="EM415" s="352"/>
      <c r="EN415" s="352"/>
    </row>
    <row r="416" spans="1:144" s="169" customFormat="1" ht="20.100000000000001" customHeight="1">
      <c r="A416" s="160" t="s">
        <v>150</v>
      </c>
      <c r="B416" s="160" t="s">
        <v>478</v>
      </c>
      <c r="C416" s="161">
        <v>0</v>
      </c>
      <c r="D416" s="162">
        <f>'Sectors % GDP'!E32</f>
        <v>11976.539999999999</v>
      </c>
      <c r="E416" s="162">
        <f t="shared" si="12"/>
        <v>0</v>
      </c>
      <c r="F416" s="165">
        <v>0</v>
      </c>
      <c r="G416" s="162">
        <v>0</v>
      </c>
      <c r="H416" s="164">
        <v>5.32</v>
      </c>
      <c r="I416" s="163">
        <v>16.739999999999998</v>
      </c>
      <c r="J416" s="164">
        <v>8.27</v>
      </c>
      <c r="K416" s="165">
        <v>4.3899999999999997</v>
      </c>
      <c r="L416" s="165">
        <f t="shared" si="13"/>
        <v>-3.9</v>
      </c>
      <c r="M416" s="166">
        <v>-3.9E-2</v>
      </c>
      <c r="N416" s="166">
        <v>5</v>
      </c>
      <c r="O416" s="167">
        <f>'Trade Data'!D26</f>
        <v>0.51245329015399177</v>
      </c>
      <c r="P416" s="168">
        <v>0</v>
      </c>
      <c r="Q416" s="352"/>
      <c r="R416" s="352"/>
      <c r="S416" s="352"/>
      <c r="T416" s="352"/>
      <c r="U416" s="352"/>
      <c r="V416" s="352"/>
      <c r="W416" s="352"/>
      <c r="X416" s="352"/>
      <c r="Y416" s="352"/>
      <c r="Z416" s="352"/>
      <c r="AA416" s="352"/>
      <c r="AB416" s="352"/>
      <c r="AC416" s="352"/>
      <c r="AD416" s="352"/>
      <c r="AE416" s="352"/>
      <c r="AF416" s="352"/>
      <c r="AG416" s="352"/>
      <c r="AH416" s="352"/>
      <c r="AI416" s="352"/>
      <c r="AJ416" s="352"/>
      <c r="AK416" s="352"/>
      <c r="AL416" s="352"/>
      <c r="AM416" s="352"/>
      <c r="AN416" s="352"/>
      <c r="AO416" s="352"/>
      <c r="AP416" s="352"/>
      <c r="AQ416" s="352"/>
      <c r="AR416" s="352"/>
      <c r="AS416" s="352"/>
      <c r="AT416" s="352"/>
      <c r="AU416" s="352"/>
      <c r="AV416" s="352"/>
      <c r="AW416" s="352"/>
      <c r="AX416" s="352"/>
      <c r="AY416" s="352"/>
      <c r="AZ416" s="352"/>
      <c r="BA416" s="352"/>
      <c r="BB416" s="352"/>
      <c r="BC416" s="352"/>
      <c r="BD416" s="352"/>
      <c r="BE416" s="352"/>
      <c r="BF416" s="352"/>
      <c r="BG416" s="352"/>
      <c r="BH416" s="352"/>
      <c r="BI416" s="352"/>
      <c r="BJ416" s="352"/>
      <c r="BK416" s="352"/>
      <c r="BL416" s="352"/>
      <c r="BM416" s="352"/>
      <c r="BN416" s="352"/>
      <c r="BO416" s="352"/>
      <c r="BP416" s="352"/>
      <c r="BQ416" s="352"/>
      <c r="BR416" s="352"/>
      <c r="BS416" s="352"/>
      <c r="BT416" s="352"/>
      <c r="BU416" s="352"/>
      <c r="BV416" s="352"/>
      <c r="BW416" s="352"/>
      <c r="BX416" s="352"/>
      <c r="BY416" s="352"/>
      <c r="BZ416" s="352"/>
      <c r="CA416" s="352"/>
      <c r="CB416" s="352"/>
      <c r="CC416" s="352"/>
      <c r="CD416" s="352"/>
      <c r="CE416" s="352"/>
      <c r="CF416" s="352"/>
      <c r="CG416" s="352"/>
      <c r="CH416" s="352"/>
      <c r="CI416" s="352"/>
      <c r="CJ416" s="352"/>
      <c r="CK416" s="352"/>
      <c r="CL416" s="352"/>
      <c r="CM416" s="352"/>
      <c r="CN416" s="352"/>
      <c r="CO416" s="352"/>
      <c r="CP416" s="352"/>
      <c r="CQ416" s="352"/>
      <c r="CR416" s="352"/>
      <c r="CS416" s="352"/>
      <c r="CT416" s="352"/>
      <c r="CU416" s="352"/>
      <c r="CV416" s="352"/>
      <c r="CW416" s="352"/>
      <c r="CX416" s="352"/>
      <c r="CY416" s="352"/>
      <c r="CZ416" s="352"/>
      <c r="DA416" s="352"/>
      <c r="DB416" s="352"/>
      <c r="DC416" s="352"/>
      <c r="DD416" s="352"/>
      <c r="DE416" s="352"/>
      <c r="DF416" s="352"/>
      <c r="DG416" s="352"/>
      <c r="DH416" s="352"/>
      <c r="DI416" s="352"/>
      <c r="DJ416" s="352"/>
      <c r="DK416" s="352"/>
      <c r="DL416" s="352"/>
      <c r="DM416" s="352"/>
      <c r="DN416" s="352"/>
      <c r="DO416" s="352"/>
      <c r="DP416" s="352"/>
      <c r="DQ416" s="352"/>
      <c r="DR416" s="352"/>
      <c r="DS416" s="352"/>
      <c r="DT416" s="352"/>
      <c r="DU416" s="352"/>
      <c r="DV416" s="352"/>
      <c r="DW416" s="352"/>
      <c r="DX416" s="352"/>
      <c r="DY416" s="352"/>
      <c r="DZ416" s="352"/>
      <c r="EA416" s="352"/>
      <c r="EB416" s="352"/>
      <c r="EC416" s="352"/>
      <c r="ED416" s="352"/>
      <c r="EE416" s="352"/>
      <c r="EF416" s="352"/>
      <c r="EG416" s="352"/>
      <c r="EH416" s="352"/>
      <c r="EI416" s="352"/>
      <c r="EJ416" s="352"/>
      <c r="EK416" s="352"/>
      <c r="EL416" s="352"/>
      <c r="EM416" s="352"/>
      <c r="EN416" s="352"/>
    </row>
    <row r="417" spans="1:144" s="188" customFormat="1" ht="20.100000000000001" customHeight="1">
      <c r="A417" s="179" t="s">
        <v>150</v>
      </c>
      <c r="B417" s="179" t="s">
        <v>477</v>
      </c>
      <c r="C417" s="180">
        <f>'Thomson Reuters IMA  ($)'!I766</f>
        <v>500</v>
      </c>
      <c r="D417" s="181">
        <f>'Sectors % GDP'!E33</f>
        <v>88762.3</v>
      </c>
      <c r="E417" s="181">
        <f t="shared" si="12"/>
        <v>5.6330221276375218E-3</v>
      </c>
      <c r="F417" s="184">
        <v>1</v>
      </c>
      <c r="G417" s="181">
        <v>1</v>
      </c>
      <c r="H417" s="183">
        <v>5.32</v>
      </c>
      <c r="I417" s="182">
        <v>16.739999999999998</v>
      </c>
      <c r="J417" s="183">
        <v>8.27</v>
      </c>
      <c r="K417" s="184">
        <v>4.3899999999999997</v>
      </c>
      <c r="L417" s="184">
        <f t="shared" si="13"/>
        <v>-3.9</v>
      </c>
      <c r="M417" s="185">
        <v>-3.9E-2</v>
      </c>
      <c r="N417" s="185">
        <v>5</v>
      </c>
      <c r="O417" s="186">
        <f>'Trade Data'!D26</f>
        <v>0.51245329015399177</v>
      </c>
      <c r="P417" s="187">
        <v>1</v>
      </c>
      <c r="Q417" s="352"/>
      <c r="R417" s="352"/>
      <c r="S417" s="352"/>
      <c r="T417" s="352"/>
      <c r="U417" s="352"/>
      <c r="V417" s="352"/>
      <c r="W417" s="352"/>
      <c r="X417" s="352"/>
      <c r="Y417" s="352"/>
      <c r="Z417" s="352"/>
      <c r="AA417" s="352"/>
      <c r="AB417" s="352"/>
      <c r="AC417" s="352"/>
      <c r="AD417" s="352"/>
      <c r="AE417" s="352"/>
      <c r="AF417" s="352"/>
      <c r="AG417" s="352"/>
      <c r="AH417" s="352"/>
      <c r="AI417" s="352"/>
      <c r="AJ417" s="352"/>
      <c r="AK417" s="352"/>
      <c r="AL417" s="352"/>
      <c r="AM417" s="352"/>
      <c r="AN417" s="352"/>
      <c r="AO417" s="352"/>
      <c r="AP417" s="352"/>
      <c r="AQ417" s="352"/>
      <c r="AR417" s="352"/>
      <c r="AS417" s="352"/>
      <c r="AT417" s="352"/>
      <c r="AU417" s="352"/>
      <c r="AV417" s="352"/>
      <c r="AW417" s="352"/>
      <c r="AX417" s="352"/>
      <c r="AY417" s="352"/>
      <c r="AZ417" s="352"/>
      <c r="BA417" s="352"/>
      <c r="BB417" s="352"/>
      <c r="BC417" s="352"/>
      <c r="BD417" s="352"/>
      <c r="BE417" s="352"/>
      <c r="BF417" s="352"/>
      <c r="BG417" s="352"/>
      <c r="BH417" s="352"/>
      <c r="BI417" s="352"/>
      <c r="BJ417" s="352"/>
      <c r="BK417" s="352"/>
      <c r="BL417" s="352"/>
      <c r="BM417" s="352"/>
      <c r="BN417" s="352"/>
      <c r="BO417" s="352"/>
      <c r="BP417" s="352"/>
      <c r="BQ417" s="352"/>
      <c r="BR417" s="352"/>
      <c r="BS417" s="352"/>
      <c r="BT417" s="352"/>
      <c r="BU417" s="352"/>
      <c r="BV417" s="352"/>
      <c r="BW417" s="352"/>
      <c r="BX417" s="352"/>
      <c r="BY417" s="352"/>
      <c r="BZ417" s="352"/>
      <c r="CA417" s="352"/>
      <c r="CB417" s="352"/>
      <c r="CC417" s="352"/>
      <c r="CD417" s="352"/>
      <c r="CE417" s="352"/>
      <c r="CF417" s="352"/>
      <c r="CG417" s="352"/>
      <c r="CH417" s="352"/>
      <c r="CI417" s="352"/>
      <c r="CJ417" s="352"/>
      <c r="CK417" s="352"/>
      <c r="CL417" s="352"/>
      <c r="CM417" s="352"/>
      <c r="CN417" s="352"/>
      <c r="CO417" s="352"/>
      <c r="CP417" s="352"/>
      <c r="CQ417" s="352"/>
      <c r="CR417" s="352"/>
      <c r="CS417" s="352"/>
      <c r="CT417" s="352"/>
      <c r="CU417" s="352"/>
      <c r="CV417" s="352"/>
      <c r="CW417" s="352"/>
      <c r="CX417" s="352"/>
      <c r="CY417" s="352"/>
      <c r="CZ417" s="352"/>
      <c r="DA417" s="352"/>
      <c r="DB417" s="352"/>
      <c r="DC417" s="352"/>
      <c r="DD417" s="352"/>
      <c r="DE417" s="352"/>
      <c r="DF417" s="352"/>
      <c r="DG417" s="352"/>
      <c r="DH417" s="352"/>
      <c r="DI417" s="352"/>
      <c r="DJ417" s="352"/>
      <c r="DK417" s="352"/>
      <c r="DL417" s="352"/>
      <c r="DM417" s="352"/>
      <c r="DN417" s="352"/>
      <c r="DO417" s="352"/>
      <c r="DP417" s="352"/>
      <c r="DQ417" s="352"/>
      <c r="DR417" s="352"/>
      <c r="DS417" s="352"/>
      <c r="DT417" s="352"/>
      <c r="DU417" s="352"/>
      <c r="DV417" s="352"/>
      <c r="DW417" s="352"/>
      <c r="DX417" s="352"/>
      <c r="DY417" s="352"/>
      <c r="DZ417" s="352"/>
      <c r="EA417" s="352"/>
      <c r="EB417" s="352"/>
      <c r="EC417" s="352"/>
      <c r="ED417" s="352"/>
      <c r="EE417" s="352"/>
      <c r="EF417" s="352"/>
      <c r="EG417" s="352"/>
      <c r="EH417" s="352"/>
      <c r="EI417" s="352"/>
      <c r="EJ417" s="352"/>
      <c r="EK417" s="352"/>
      <c r="EL417" s="352"/>
      <c r="EM417" s="352"/>
      <c r="EN417" s="352"/>
    </row>
    <row r="418" spans="1:144" ht="20.100000000000001" customHeight="1">
      <c r="A418" s="118" t="s">
        <v>150</v>
      </c>
      <c r="B418" s="118" t="s">
        <v>476</v>
      </c>
      <c r="C418" s="119">
        <v>0</v>
      </c>
      <c r="D418" s="120">
        <f>'Sectors % GDP'!E34</f>
        <v>111589.92499999999</v>
      </c>
      <c r="E418" s="120">
        <f t="shared" si="12"/>
        <v>0</v>
      </c>
      <c r="F418" s="123">
        <v>1</v>
      </c>
      <c r="G418" s="120">
        <v>1</v>
      </c>
      <c r="H418" s="122">
        <v>5.32</v>
      </c>
      <c r="I418" s="121">
        <v>16.739999999999998</v>
      </c>
      <c r="J418" s="122">
        <v>8.27</v>
      </c>
      <c r="K418" s="123">
        <v>4.3899999999999997</v>
      </c>
      <c r="L418" s="123">
        <f t="shared" si="13"/>
        <v>-3.9</v>
      </c>
      <c r="M418" s="124">
        <v>-3.9E-2</v>
      </c>
      <c r="N418" s="124">
        <v>5</v>
      </c>
      <c r="O418" s="125">
        <f>'Trade Data'!D26</f>
        <v>0.51245329015399177</v>
      </c>
      <c r="P418" s="126">
        <v>1</v>
      </c>
      <c r="Q418" s="352"/>
      <c r="R418" s="352"/>
      <c r="S418" s="352"/>
      <c r="T418" s="352"/>
      <c r="U418" s="352"/>
      <c r="V418" s="352"/>
      <c r="W418" s="352"/>
      <c r="X418" s="352"/>
      <c r="Y418" s="352"/>
      <c r="Z418" s="352"/>
      <c r="AA418" s="352"/>
      <c r="AB418" s="352"/>
      <c r="AC418" s="352"/>
      <c r="AD418" s="352"/>
      <c r="AE418" s="352"/>
      <c r="AF418" s="352"/>
      <c r="AG418" s="352"/>
      <c r="AH418" s="352"/>
      <c r="AI418" s="352"/>
      <c r="AJ418" s="352"/>
      <c r="AK418" s="352"/>
      <c r="AL418" s="352"/>
      <c r="AM418" s="352"/>
      <c r="AN418" s="352"/>
      <c r="AO418" s="352"/>
      <c r="AP418" s="352"/>
      <c r="AQ418" s="352"/>
      <c r="AR418" s="352"/>
      <c r="AS418" s="352"/>
      <c r="AT418" s="352"/>
      <c r="AU418" s="352"/>
      <c r="AV418" s="352"/>
      <c r="AW418" s="352"/>
      <c r="AX418" s="352"/>
      <c r="AY418" s="352"/>
      <c r="AZ418" s="352"/>
      <c r="BA418" s="352"/>
      <c r="BB418" s="352"/>
      <c r="BC418" s="352"/>
      <c r="BD418" s="352"/>
      <c r="BE418" s="352"/>
      <c r="BF418" s="352"/>
      <c r="BG418" s="352"/>
      <c r="BH418" s="352"/>
      <c r="BI418" s="352"/>
      <c r="BJ418" s="352"/>
      <c r="BK418" s="352"/>
      <c r="BL418" s="352"/>
      <c r="BM418" s="352"/>
      <c r="BN418" s="352"/>
      <c r="BO418" s="352"/>
      <c r="BP418" s="352"/>
      <c r="BQ418" s="352"/>
      <c r="BR418" s="352"/>
      <c r="BS418" s="352"/>
      <c r="BT418" s="352"/>
      <c r="BU418" s="352"/>
      <c r="BV418" s="352"/>
      <c r="BW418" s="352"/>
      <c r="BX418" s="352"/>
      <c r="BY418" s="352"/>
      <c r="BZ418" s="352"/>
      <c r="CA418" s="352"/>
      <c r="CB418" s="352"/>
      <c r="CC418" s="352"/>
      <c r="CD418" s="352"/>
      <c r="CE418" s="352"/>
      <c r="CF418" s="352"/>
      <c r="CG418" s="352"/>
      <c r="CH418" s="352"/>
      <c r="CI418" s="352"/>
      <c r="CJ418" s="352"/>
      <c r="CK418" s="352"/>
      <c r="CL418" s="352"/>
      <c r="CM418" s="352"/>
      <c r="CN418" s="352"/>
      <c r="CO418" s="352"/>
      <c r="CP418" s="352"/>
      <c r="CQ418" s="352"/>
      <c r="CR418" s="352"/>
      <c r="CS418" s="352"/>
      <c r="CT418" s="352"/>
      <c r="CU418" s="352"/>
      <c r="CV418" s="352"/>
      <c r="CW418" s="352"/>
      <c r="CX418" s="352"/>
      <c r="CY418" s="352"/>
      <c r="CZ418" s="352"/>
      <c r="DA418" s="352"/>
      <c r="DB418" s="352"/>
      <c r="DC418" s="352"/>
      <c r="DD418" s="352"/>
      <c r="DE418" s="352"/>
      <c r="DF418" s="352"/>
      <c r="DG418" s="352"/>
      <c r="DH418" s="352"/>
      <c r="DI418" s="352"/>
      <c r="DJ418" s="352"/>
      <c r="DK418" s="352"/>
      <c r="DL418" s="352"/>
      <c r="DM418" s="352"/>
      <c r="DN418" s="352"/>
      <c r="DO418" s="352"/>
      <c r="DP418" s="352"/>
      <c r="DQ418" s="352"/>
      <c r="DR418" s="352"/>
      <c r="DS418" s="352"/>
      <c r="DT418" s="352"/>
      <c r="DU418" s="352"/>
      <c r="DV418" s="352"/>
      <c r="DW418" s="352"/>
      <c r="DX418" s="352"/>
      <c r="DY418" s="352"/>
      <c r="DZ418" s="352"/>
      <c r="EA418" s="352"/>
      <c r="EB418" s="352"/>
      <c r="EC418" s="352"/>
      <c r="ED418" s="352"/>
      <c r="EE418" s="352"/>
      <c r="EF418" s="352"/>
      <c r="EG418" s="352"/>
      <c r="EH418" s="352"/>
      <c r="EI418" s="352"/>
      <c r="EJ418" s="352"/>
      <c r="EK418" s="352"/>
      <c r="EL418" s="352"/>
      <c r="EM418" s="352"/>
      <c r="EN418" s="352"/>
    </row>
    <row r="419" spans="1:144" s="169" customFormat="1" ht="20.100000000000001" customHeight="1">
      <c r="A419" s="160" t="s">
        <v>136</v>
      </c>
      <c r="B419" s="160" t="s">
        <v>475</v>
      </c>
      <c r="C419" s="161">
        <v>0</v>
      </c>
      <c r="D419" s="162">
        <f>'Sectors % GDP'!E32</f>
        <v>11976.539999999999</v>
      </c>
      <c r="E419" s="162">
        <f t="shared" si="12"/>
        <v>0</v>
      </c>
      <c r="F419" s="165">
        <v>0</v>
      </c>
      <c r="G419" s="162">
        <v>0</v>
      </c>
      <c r="H419" s="164">
        <v>4.9800000000000004</v>
      </c>
      <c r="I419" s="165">
        <v>14.81</v>
      </c>
      <c r="J419" s="165">
        <v>9.61</v>
      </c>
      <c r="K419" s="165">
        <v>4.3899999999999997</v>
      </c>
      <c r="L419" s="165">
        <f t="shared" si="13"/>
        <v>-3.9</v>
      </c>
      <c r="M419" s="166">
        <v>-3.9E-2</v>
      </c>
      <c r="N419" s="166">
        <v>5</v>
      </c>
      <c r="O419" s="167">
        <f>'Trade Data'!D26</f>
        <v>0.51245329015399177</v>
      </c>
      <c r="P419" s="170">
        <v>0</v>
      </c>
      <c r="Q419" s="352"/>
      <c r="R419" s="352"/>
      <c r="S419" s="352"/>
      <c r="T419" s="352"/>
      <c r="U419" s="352"/>
      <c r="V419" s="352"/>
      <c r="W419" s="352"/>
      <c r="X419" s="352"/>
      <c r="Y419" s="352"/>
      <c r="Z419" s="352"/>
      <c r="AA419" s="352"/>
      <c r="AB419" s="352"/>
      <c r="AC419" s="352"/>
      <c r="AD419" s="352"/>
      <c r="AE419" s="352"/>
      <c r="AF419" s="352"/>
      <c r="AG419" s="352"/>
      <c r="AH419" s="352"/>
      <c r="AI419" s="352"/>
      <c r="AJ419" s="352"/>
      <c r="AK419" s="352"/>
      <c r="AL419" s="352"/>
      <c r="AM419" s="352"/>
      <c r="AN419" s="352"/>
      <c r="AO419" s="352"/>
      <c r="AP419" s="352"/>
      <c r="AQ419" s="352"/>
      <c r="AR419" s="352"/>
      <c r="AS419" s="352"/>
      <c r="AT419" s="352"/>
      <c r="AU419" s="352"/>
      <c r="AV419" s="352"/>
      <c r="AW419" s="352"/>
      <c r="AX419" s="352"/>
      <c r="AY419" s="352"/>
      <c r="AZ419" s="352"/>
      <c r="BA419" s="352"/>
      <c r="BB419" s="352"/>
      <c r="BC419" s="352"/>
      <c r="BD419" s="352"/>
      <c r="BE419" s="352"/>
      <c r="BF419" s="352"/>
      <c r="BG419" s="352"/>
      <c r="BH419" s="352"/>
      <c r="BI419" s="352"/>
      <c r="BJ419" s="352"/>
      <c r="BK419" s="352"/>
      <c r="BL419" s="352"/>
      <c r="BM419" s="352"/>
      <c r="BN419" s="352"/>
      <c r="BO419" s="352"/>
      <c r="BP419" s="352"/>
      <c r="BQ419" s="352"/>
      <c r="BR419" s="352"/>
      <c r="BS419" s="352"/>
      <c r="BT419" s="352"/>
      <c r="BU419" s="352"/>
      <c r="BV419" s="352"/>
      <c r="BW419" s="352"/>
      <c r="BX419" s="352"/>
      <c r="BY419" s="352"/>
      <c r="BZ419" s="352"/>
      <c r="CA419" s="352"/>
      <c r="CB419" s="352"/>
      <c r="CC419" s="352"/>
      <c r="CD419" s="352"/>
      <c r="CE419" s="352"/>
      <c r="CF419" s="352"/>
      <c r="CG419" s="352"/>
      <c r="CH419" s="352"/>
      <c r="CI419" s="352"/>
      <c r="CJ419" s="352"/>
      <c r="CK419" s="352"/>
      <c r="CL419" s="352"/>
      <c r="CM419" s="352"/>
      <c r="CN419" s="352"/>
      <c r="CO419" s="352"/>
      <c r="CP419" s="352"/>
      <c r="CQ419" s="352"/>
      <c r="CR419" s="352"/>
      <c r="CS419" s="352"/>
      <c r="CT419" s="352"/>
      <c r="CU419" s="352"/>
      <c r="CV419" s="352"/>
      <c r="CW419" s="352"/>
      <c r="CX419" s="352"/>
      <c r="CY419" s="352"/>
      <c r="CZ419" s="352"/>
      <c r="DA419" s="352"/>
      <c r="DB419" s="352"/>
      <c r="DC419" s="352"/>
      <c r="DD419" s="352"/>
      <c r="DE419" s="352"/>
      <c r="DF419" s="352"/>
      <c r="DG419" s="352"/>
      <c r="DH419" s="352"/>
      <c r="DI419" s="352"/>
      <c r="DJ419" s="352"/>
      <c r="DK419" s="352"/>
      <c r="DL419" s="352"/>
      <c r="DM419" s="352"/>
      <c r="DN419" s="352"/>
      <c r="DO419" s="352"/>
      <c r="DP419" s="352"/>
      <c r="DQ419" s="352"/>
      <c r="DR419" s="352"/>
      <c r="DS419" s="352"/>
      <c r="DT419" s="352"/>
      <c r="DU419" s="352"/>
      <c r="DV419" s="352"/>
      <c r="DW419" s="352"/>
      <c r="DX419" s="352"/>
      <c r="DY419" s="352"/>
      <c r="DZ419" s="352"/>
      <c r="EA419" s="352"/>
      <c r="EB419" s="352"/>
      <c r="EC419" s="352"/>
      <c r="ED419" s="352"/>
      <c r="EE419" s="352"/>
      <c r="EF419" s="352"/>
      <c r="EG419" s="352"/>
      <c r="EH419" s="352"/>
      <c r="EI419" s="352"/>
      <c r="EJ419" s="352"/>
      <c r="EK419" s="352"/>
      <c r="EL419" s="352"/>
      <c r="EM419" s="352"/>
      <c r="EN419" s="352"/>
    </row>
    <row r="420" spans="1:144" s="188" customFormat="1" ht="20.100000000000001" customHeight="1">
      <c r="A420" s="179" t="s">
        <v>136</v>
      </c>
      <c r="B420" s="179" t="s">
        <v>474</v>
      </c>
      <c r="C420" s="180">
        <v>0</v>
      </c>
      <c r="D420" s="181">
        <f>'Sectors % GDP'!E33</f>
        <v>88762.3</v>
      </c>
      <c r="E420" s="181">
        <f t="shared" si="12"/>
        <v>0</v>
      </c>
      <c r="F420" s="184">
        <v>0</v>
      </c>
      <c r="G420" s="181">
        <v>0</v>
      </c>
      <c r="H420" s="183">
        <v>4.9800000000000004</v>
      </c>
      <c r="I420" s="184">
        <v>14.81</v>
      </c>
      <c r="J420" s="184">
        <v>9.61</v>
      </c>
      <c r="K420" s="184">
        <v>4.3899999999999997</v>
      </c>
      <c r="L420" s="184">
        <f t="shared" si="13"/>
        <v>-3.9</v>
      </c>
      <c r="M420" s="185">
        <v>-3.9E-2</v>
      </c>
      <c r="N420" s="185">
        <v>5</v>
      </c>
      <c r="O420" s="186">
        <f>'Trade Data'!D26</f>
        <v>0.51245329015399177</v>
      </c>
      <c r="P420" s="189">
        <v>1</v>
      </c>
      <c r="Q420" s="352"/>
      <c r="R420" s="352"/>
      <c r="S420" s="352"/>
      <c r="T420" s="352"/>
      <c r="U420" s="352"/>
      <c r="V420" s="352"/>
      <c r="W420" s="352"/>
      <c r="X420" s="352"/>
      <c r="Y420" s="352"/>
      <c r="Z420" s="352"/>
      <c r="AA420" s="352"/>
      <c r="AB420" s="352"/>
      <c r="AC420" s="352"/>
      <c r="AD420" s="352"/>
      <c r="AE420" s="352"/>
      <c r="AF420" s="352"/>
      <c r="AG420" s="352"/>
      <c r="AH420" s="352"/>
      <c r="AI420" s="352"/>
      <c r="AJ420" s="352"/>
      <c r="AK420" s="352"/>
      <c r="AL420" s="352"/>
      <c r="AM420" s="352"/>
      <c r="AN420" s="352"/>
      <c r="AO420" s="352"/>
      <c r="AP420" s="352"/>
      <c r="AQ420" s="352"/>
      <c r="AR420" s="352"/>
      <c r="AS420" s="352"/>
      <c r="AT420" s="352"/>
      <c r="AU420" s="352"/>
      <c r="AV420" s="352"/>
      <c r="AW420" s="352"/>
      <c r="AX420" s="352"/>
      <c r="AY420" s="352"/>
      <c r="AZ420" s="352"/>
      <c r="BA420" s="352"/>
      <c r="BB420" s="352"/>
      <c r="BC420" s="352"/>
      <c r="BD420" s="352"/>
      <c r="BE420" s="352"/>
      <c r="BF420" s="352"/>
      <c r="BG420" s="352"/>
      <c r="BH420" s="352"/>
      <c r="BI420" s="352"/>
      <c r="BJ420" s="352"/>
      <c r="BK420" s="352"/>
      <c r="BL420" s="352"/>
      <c r="BM420" s="352"/>
      <c r="BN420" s="352"/>
      <c r="BO420" s="352"/>
      <c r="BP420" s="352"/>
      <c r="BQ420" s="352"/>
      <c r="BR420" s="352"/>
      <c r="BS420" s="352"/>
      <c r="BT420" s="352"/>
      <c r="BU420" s="352"/>
      <c r="BV420" s="352"/>
      <c r="BW420" s="352"/>
      <c r="BX420" s="352"/>
      <c r="BY420" s="352"/>
      <c r="BZ420" s="352"/>
      <c r="CA420" s="352"/>
      <c r="CB420" s="352"/>
      <c r="CC420" s="352"/>
      <c r="CD420" s="352"/>
      <c r="CE420" s="352"/>
      <c r="CF420" s="352"/>
      <c r="CG420" s="352"/>
      <c r="CH420" s="352"/>
      <c r="CI420" s="352"/>
      <c r="CJ420" s="352"/>
      <c r="CK420" s="352"/>
      <c r="CL420" s="352"/>
      <c r="CM420" s="352"/>
      <c r="CN420" s="352"/>
      <c r="CO420" s="352"/>
      <c r="CP420" s="352"/>
      <c r="CQ420" s="352"/>
      <c r="CR420" s="352"/>
      <c r="CS420" s="352"/>
      <c r="CT420" s="352"/>
      <c r="CU420" s="352"/>
      <c r="CV420" s="352"/>
      <c r="CW420" s="352"/>
      <c r="CX420" s="352"/>
      <c r="CY420" s="352"/>
      <c r="CZ420" s="352"/>
      <c r="DA420" s="352"/>
      <c r="DB420" s="352"/>
      <c r="DC420" s="352"/>
      <c r="DD420" s="352"/>
      <c r="DE420" s="352"/>
      <c r="DF420" s="352"/>
      <c r="DG420" s="352"/>
      <c r="DH420" s="352"/>
      <c r="DI420" s="352"/>
      <c r="DJ420" s="352"/>
      <c r="DK420" s="352"/>
      <c r="DL420" s="352"/>
      <c r="DM420" s="352"/>
      <c r="DN420" s="352"/>
      <c r="DO420" s="352"/>
      <c r="DP420" s="352"/>
      <c r="DQ420" s="352"/>
      <c r="DR420" s="352"/>
      <c r="DS420" s="352"/>
      <c r="DT420" s="352"/>
      <c r="DU420" s="352"/>
      <c r="DV420" s="352"/>
      <c r="DW420" s="352"/>
      <c r="DX420" s="352"/>
      <c r="DY420" s="352"/>
      <c r="DZ420" s="352"/>
      <c r="EA420" s="352"/>
      <c r="EB420" s="352"/>
      <c r="EC420" s="352"/>
      <c r="ED420" s="352"/>
      <c r="EE420" s="352"/>
      <c r="EF420" s="352"/>
      <c r="EG420" s="352"/>
      <c r="EH420" s="352"/>
      <c r="EI420" s="352"/>
      <c r="EJ420" s="352"/>
      <c r="EK420" s="352"/>
      <c r="EL420" s="352"/>
      <c r="EM420" s="352"/>
      <c r="EN420" s="352"/>
    </row>
    <row r="421" spans="1:144" ht="20.100000000000001" customHeight="1">
      <c r="A421" s="118" t="s">
        <v>136</v>
      </c>
      <c r="B421" s="118" t="s">
        <v>473</v>
      </c>
      <c r="C421" s="119">
        <v>0</v>
      </c>
      <c r="D421" s="120">
        <f>'Sectors % GDP'!E34</f>
        <v>111589.92499999999</v>
      </c>
      <c r="E421" s="120">
        <f t="shared" si="12"/>
        <v>0</v>
      </c>
      <c r="F421" s="123">
        <v>0</v>
      </c>
      <c r="G421" s="120">
        <v>0</v>
      </c>
      <c r="H421" s="122">
        <v>4.9800000000000004</v>
      </c>
      <c r="I421" s="123">
        <v>14.81</v>
      </c>
      <c r="J421" s="123">
        <v>9.61</v>
      </c>
      <c r="K421" s="123">
        <v>4.3899999999999997</v>
      </c>
      <c r="L421" s="123">
        <f t="shared" si="13"/>
        <v>-3.9</v>
      </c>
      <c r="M421" s="124">
        <v>-3.9E-2</v>
      </c>
      <c r="N421" s="124">
        <v>5</v>
      </c>
      <c r="O421" s="125">
        <f>'Trade Data'!D26</f>
        <v>0.51245329015399177</v>
      </c>
      <c r="P421" s="127">
        <v>1</v>
      </c>
      <c r="Q421" s="352"/>
      <c r="R421" s="352"/>
      <c r="S421" s="352"/>
      <c r="T421" s="352"/>
      <c r="U421" s="352"/>
      <c r="V421" s="352"/>
      <c r="W421" s="352"/>
      <c r="X421" s="352"/>
      <c r="Y421" s="352"/>
      <c r="Z421" s="352"/>
      <c r="AA421" s="352"/>
      <c r="AB421" s="352"/>
      <c r="AC421" s="352"/>
      <c r="AD421" s="352"/>
      <c r="AE421" s="352"/>
      <c r="AF421" s="352"/>
      <c r="AG421" s="352"/>
      <c r="AH421" s="352"/>
      <c r="AI421" s="352"/>
      <c r="AJ421" s="352"/>
      <c r="AK421" s="352"/>
      <c r="AL421" s="352"/>
      <c r="AM421" s="352"/>
      <c r="AN421" s="352"/>
      <c r="AO421" s="352"/>
      <c r="AP421" s="352"/>
      <c r="AQ421" s="352"/>
      <c r="AR421" s="352"/>
      <c r="AS421" s="352"/>
      <c r="AT421" s="352"/>
      <c r="AU421" s="352"/>
      <c r="AV421" s="352"/>
      <c r="AW421" s="352"/>
      <c r="AX421" s="352"/>
      <c r="AY421" s="352"/>
      <c r="AZ421" s="352"/>
      <c r="BA421" s="352"/>
      <c r="BB421" s="352"/>
      <c r="BC421" s="352"/>
      <c r="BD421" s="352"/>
      <c r="BE421" s="352"/>
      <c r="BF421" s="352"/>
      <c r="BG421" s="352"/>
      <c r="BH421" s="352"/>
      <c r="BI421" s="352"/>
      <c r="BJ421" s="352"/>
      <c r="BK421" s="352"/>
      <c r="BL421" s="352"/>
      <c r="BM421" s="352"/>
      <c r="BN421" s="352"/>
      <c r="BO421" s="352"/>
      <c r="BP421" s="352"/>
      <c r="BQ421" s="352"/>
      <c r="BR421" s="352"/>
      <c r="BS421" s="352"/>
      <c r="BT421" s="352"/>
      <c r="BU421" s="352"/>
      <c r="BV421" s="352"/>
      <c r="BW421" s="352"/>
      <c r="BX421" s="352"/>
      <c r="BY421" s="352"/>
      <c r="BZ421" s="352"/>
      <c r="CA421" s="352"/>
      <c r="CB421" s="352"/>
      <c r="CC421" s="352"/>
      <c r="CD421" s="352"/>
      <c r="CE421" s="352"/>
      <c r="CF421" s="352"/>
      <c r="CG421" s="352"/>
      <c r="CH421" s="352"/>
      <c r="CI421" s="352"/>
      <c r="CJ421" s="352"/>
      <c r="CK421" s="352"/>
      <c r="CL421" s="352"/>
      <c r="CM421" s="352"/>
      <c r="CN421" s="352"/>
      <c r="CO421" s="352"/>
      <c r="CP421" s="352"/>
      <c r="CQ421" s="352"/>
      <c r="CR421" s="352"/>
      <c r="CS421" s="352"/>
      <c r="CT421" s="352"/>
      <c r="CU421" s="352"/>
      <c r="CV421" s="352"/>
      <c r="CW421" s="352"/>
      <c r="CX421" s="352"/>
      <c r="CY421" s="352"/>
      <c r="CZ421" s="352"/>
      <c r="DA421" s="352"/>
      <c r="DB421" s="352"/>
      <c r="DC421" s="352"/>
      <c r="DD421" s="352"/>
      <c r="DE421" s="352"/>
      <c r="DF421" s="352"/>
      <c r="DG421" s="352"/>
      <c r="DH421" s="352"/>
      <c r="DI421" s="352"/>
      <c r="DJ421" s="352"/>
      <c r="DK421" s="352"/>
      <c r="DL421" s="352"/>
      <c r="DM421" s="352"/>
      <c r="DN421" s="352"/>
      <c r="DO421" s="352"/>
      <c r="DP421" s="352"/>
      <c r="DQ421" s="352"/>
      <c r="DR421" s="352"/>
      <c r="DS421" s="352"/>
      <c r="DT421" s="352"/>
      <c r="DU421" s="352"/>
      <c r="DV421" s="352"/>
      <c r="DW421" s="352"/>
      <c r="DX421" s="352"/>
      <c r="DY421" s="352"/>
      <c r="DZ421" s="352"/>
      <c r="EA421" s="352"/>
      <c r="EB421" s="352"/>
      <c r="EC421" s="352"/>
      <c r="ED421" s="352"/>
      <c r="EE421" s="352"/>
      <c r="EF421" s="352"/>
      <c r="EG421" s="352"/>
      <c r="EH421" s="352"/>
      <c r="EI421" s="352"/>
      <c r="EJ421" s="352"/>
      <c r="EK421" s="352"/>
      <c r="EL421" s="352"/>
      <c r="EM421" s="352"/>
      <c r="EN421" s="352"/>
    </row>
    <row r="422" spans="1:144" s="169" customFormat="1" ht="20.100000000000001" customHeight="1">
      <c r="A422" s="160" t="s">
        <v>137</v>
      </c>
      <c r="B422" s="160" t="s">
        <v>472</v>
      </c>
      <c r="C422" s="161">
        <v>0</v>
      </c>
      <c r="D422" s="162">
        <f>'Sectors % GDP'!G32</f>
        <v>10674.4</v>
      </c>
      <c r="E422" s="162">
        <f t="shared" si="12"/>
        <v>0</v>
      </c>
      <c r="F422" s="165">
        <v>0</v>
      </c>
      <c r="G422" s="162">
        <v>0</v>
      </c>
      <c r="H422" s="164">
        <v>3.41</v>
      </c>
      <c r="I422" s="164">
        <v>3.87</v>
      </c>
      <c r="J422" s="165">
        <v>11.02</v>
      </c>
      <c r="K422" s="164">
        <v>4.07</v>
      </c>
      <c r="L422" s="165">
        <f t="shared" si="13"/>
        <v>-3.9</v>
      </c>
      <c r="M422" s="166">
        <v>-3.9E-2</v>
      </c>
      <c r="N422" s="166">
        <v>5</v>
      </c>
      <c r="O422" s="167">
        <f>'Trade Data'!D26</f>
        <v>0.51245329015399177</v>
      </c>
      <c r="P422" s="168">
        <v>0</v>
      </c>
      <c r="Q422" s="352"/>
      <c r="R422" s="352"/>
      <c r="S422" s="352"/>
      <c r="T422" s="352"/>
      <c r="U422" s="352"/>
      <c r="V422" s="352"/>
      <c r="W422" s="352"/>
      <c r="X422" s="352"/>
      <c r="Y422" s="352"/>
      <c r="Z422" s="352"/>
      <c r="AA422" s="352"/>
      <c r="AB422" s="352"/>
      <c r="AC422" s="352"/>
      <c r="AD422" s="352"/>
      <c r="AE422" s="352"/>
      <c r="AF422" s="352"/>
      <c r="AG422" s="352"/>
      <c r="AH422" s="352"/>
      <c r="AI422" s="352"/>
      <c r="AJ422" s="352"/>
      <c r="AK422" s="352"/>
      <c r="AL422" s="352"/>
      <c r="AM422" s="352"/>
      <c r="AN422" s="352"/>
      <c r="AO422" s="352"/>
      <c r="AP422" s="352"/>
      <c r="AQ422" s="352"/>
      <c r="AR422" s="352"/>
      <c r="AS422" s="352"/>
      <c r="AT422" s="352"/>
      <c r="AU422" s="352"/>
      <c r="AV422" s="352"/>
      <c r="AW422" s="352"/>
      <c r="AX422" s="352"/>
      <c r="AY422" s="352"/>
      <c r="AZ422" s="352"/>
      <c r="BA422" s="352"/>
      <c r="BB422" s="352"/>
      <c r="BC422" s="352"/>
      <c r="BD422" s="352"/>
      <c r="BE422" s="352"/>
      <c r="BF422" s="352"/>
      <c r="BG422" s="352"/>
      <c r="BH422" s="352"/>
      <c r="BI422" s="352"/>
      <c r="BJ422" s="352"/>
      <c r="BK422" s="352"/>
      <c r="BL422" s="352"/>
      <c r="BM422" s="352"/>
      <c r="BN422" s="352"/>
      <c r="BO422" s="352"/>
      <c r="BP422" s="352"/>
      <c r="BQ422" s="352"/>
      <c r="BR422" s="352"/>
      <c r="BS422" s="352"/>
      <c r="BT422" s="352"/>
      <c r="BU422" s="352"/>
      <c r="BV422" s="352"/>
      <c r="BW422" s="352"/>
      <c r="BX422" s="352"/>
      <c r="BY422" s="352"/>
      <c r="BZ422" s="352"/>
      <c r="CA422" s="352"/>
      <c r="CB422" s="352"/>
      <c r="CC422" s="352"/>
      <c r="CD422" s="352"/>
      <c r="CE422" s="352"/>
      <c r="CF422" s="352"/>
      <c r="CG422" s="352"/>
      <c r="CH422" s="352"/>
      <c r="CI422" s="352"/>
      <c r="CJ422" s="352"/>
      <c r="CK422" s="352"/>
      <c r="CL422" s="352"/>
      <c r="CM422" s="352"/>
      <c r="CN422" s="352"/>
      <c r="CO422" s="352"/>
      <c r="CP422" s="352"/>
      <c r="CQ422" s="352"/>
      <c r="CR422" s="352"/>
      <c r="CS422" s="352"/>
      <c r="CT422" s="352"/>
      <c r="CU422" s="352"/>
      <c r="CV422" s="352"/>
      <c r="CW422" s="352"/>
      <c r="CX422" s="352"/>
      <c r="CY422" s="352"/>
      <c r="CZ422" s="352"/>
      <c r="DA422" s="352"/>
      <c r="DB422" s="352"/>
      <c r="DC422" s="352"/>
      <c r="DD422" s="352"/>
      <c r="DE422" s="352"/>
      <c r="DF422" s="352"/>
      <c r="DG422" s="352"/>
      <c r="DH422" s="352"/>
      <c r="DI422" s="352"/>
      <c r="DJ422" s="352"/>
      <c r="DK422" s="352"/>
      <c r="DL422" s="352"/>
      <c r="DM422" s="352"/>
      <c r="DN422" s="352"/>
      <c r="DO422" s="352"/>
      <c r="DP422" s="352"/>
      <c r="DQ422" s="352"/>
      <c r="DR422" s="352"/>
      <c r="DS422" s="352"/>
      <c r="DT422" s="352"/>
      <c r="DU422" s="352"/>
      <c r="DV422" s="352"/>
      <c r="DW422" s="352"/>
      <c r="DX422" s="352"/>
      <c r="DY422" s="352"/>
      <c r="DZ422" s="352"/>
      <c r="EA422" s="352"/>
      <c r="EB422" s="352"/>
      <c r="EC422" s="352"/>
      <c r="ED422" s="352"/>
      <c r="EE422" s="352"/>
      <c r="EF422" s="352"/>
      <c r="EG422" s="352"/>
      <c r="EH422" s="352"/>
      <c r="EI422" s="352"/>
      <c r="EJ422" s="352"/>
      <c r="EK422" s="352"/>
      <c r="EL422" s="352"/>
      <c r="EM422" s="352"/>
      <c r="EN422" s="352"/>
    </row>
    <row r="423" spans="1:144" s="188" customFormat="1" ht="20.100000000000001" customHeight="1">
      <c r="A423" s="179" t="s">
        <v>137</v>
      </c>
      <c r="B423" s="179" t="s">
        <v>471</v>
      </c>
      <c r="C423" s="180">
        <v>0</v>
      </c>
      <c r="D423" s="181">
        <f>'Sectors % GDP'!G33</f>
        <v>92673.2</v>
      </c>
      <c r="E423" s="181">
        <f t="shared" si="12"/>
        <v>0</v>
      </c>
      <c r="F423" s="184">
        <v>0</v>
      </c>
      <c r="G423" s="181">
        <v>0</v>
      </c>
      <c r="H423" s="183">
        <v>3.41</v>
      </c>
      <c r="I423" s="183">
        <v>3.87</v>
      </c>
      <c r="J423" s="184">
        <v>11.02</v>
      </c>
      <c r="K423" s="183">
        <v>4.07</v>
      </c>
      <c r="L423" s="184">
        <f t="shared" si="13"/>
        <v>-3.9</v>
      </c>
      <c r="M423" s="185">
        <v>-3.9E-2</v>
      </c>
      <c r="N423" s="185">
        <v>5</v>
      </c>
      <c r="O423" s="186">
        <f>'Trade Data'!D26</f>
        <v>0.51245329015399177</v>
      </c>
      <c r="P423" s="187">
        <v>1</v>
      </c>
      <c r="Q423" s="352"/>
      <c r="R423" s="352"/>
      <c r="S423" s="352"/>
      <c r="T423" s="352"/>
      <c r="U423" s="352"/>
      <c r="V423" s="352"/>
      <c r="W423" s="352"/>
      <c r="X423" s="352"/>
      <c r="Y423" s="352"/>
      <c r="Z423" s="352"/>
      <c r="AA423" s="352"/>
      <c r="AB423" s="352"/>
      <c r="AC423" s="352"/>
      <c r="AD423" s="352"/>
      <c r="AE423" s="352"/>
      <c r="AF423" s="352"/>
      <c r="AG423" s="352"/>
      <c r="AH423" s="352"/>
      <c r="AI423" s="352"/>
      <c r="AJ423" s="352"/>
      <c r="AK423" s="352"/>
      <c r="AL423" s="352"/>
      <c r="AM423" s="352"/>
      <c r="AN423" s="352"/>
      <c r="AO423" s="352"/>
      <c r="AP423" s="352"/>
      <c r="AQ423" s="352"/>
      <c r="AR423" s="352"/>
      <c r="AS423" s="352"/>
      <c r="AT423" s="352"/>
      <c r="AU423" s="352"/>
      <c r="AV423" s="352"/>
      <c r="AW423" s="352"/>
      <c r="AX423" s="352"/>
      <c r="AY423" s="352"/>
      <c r="AZ423" s="352"/>
      <c r="BA423" s="352"/>
      <c r="BB423" s="352"/>
      <c r="BC423" s="352"/>
      <c r="BD423" s="352"/>
      <c r="BE423" s="352"/>
      <c r="BF423" s="352"/>
      <c r="BG423" s="352"/>
      <c r="BH423" s="352"/>
      <c r="BI423" s="352"/>
      <c r="BJ423" s="352"/>
      <c r="BK423" s="352"/>
      <c r="BL423" s="352"/>
      <c r="BM423" s="352"/>
      <c r="BN423" s="352"/>
      <c r="BO423" s="352"/>
      <c r="BP423" s="352"/>
      <c r="BQ423" s="352"/>
      <c r="BR423" s="352"/>
      <c r="BS423" s="352"/>
      <c r="BT423" s="352"/>
      <c r="BU423" s="352"/>
      <c r="BV423" s="352"/>
      <c r="BW423" s="352"/>
      <c r="BX423" s="352"/>
      <c r="BY423" s="352"/>
      <c r="BZ423" s="352"/>
      <c r="CA423" s="352"/>
      <c r="CB423" s="352"/>
      <c r="CC423" s="352"/>
      <c r="CD423" s="352"/>
      <c r="CE423" s="352"/>
      <c r="CF423" s="352"/>
      <c r="CG423" s="352"/>
      <c r="CH423" s="352"/>
      <c r="CI423" s="352"/>
      <c r="CJ423" s="352"/>
      <c r="CK423" s="352"/>
      <c r="CL423" s="352"/>
      <c r="CM423" s="352"/>
      <c r="CN423" s="352"/>
      <c r="CO423" s="352"/>
      <c r="CP423" s="352"/>
      <c r="CQ423" s="352"/>
      <c r="CR423" s="352"/>
      <c r="CS423" s="352"/>
      <c r="CT423" s="352"/>
      <c r="CU423" s="352"/>
      <c r="CV423" s="352"/>
      <c r="CW423" s="352"/>
      <c r="CX423" s="352"/>
      <c r="CY423" s="352"/>
      <c r="CZ423" s="352"/>
      <c r="DA423" s="352"/>
      <c r="DB423" s="352"/>
      <c r="DC423" s="352"/>
      <c r="DD423" s="352"/>
      <c r="DE423" s="352"/>
      <c r="DF423" s="352"/>
      <c r="DG423" s="352"/>
      <c r="DH423" s="352"/>
      <c r="DI423" s="352"/>
      <c r="DJ423" s="352"/>
      <c r="DK423" s="352"/>
      <c r="DL423" s="352"/>
      <c r="DM423" s="352"/>
      <c r="DN423" s="352"/>
      <c r="DO423" s="352"/>
      <c r="DP423" s="352"/>
      <c r="DQ423" s="352"/>
      <c r="DR423" s="352"/>
      <c r="DS423" s="352"/>
      <c r="DT423" s="352"/>
      <c r="DU423" s="352"/>
      <c r="DV423" s="352"/>
      <c r="DW423" s="352"/>
      <c r="DX423" s="352"/>
      <c r="DY423" s="352"/>
      <c r="DZ423" s="352"/>
      <c r="EA423" s="352"/>
      <c r="EB423" s="352"/>
      <c r="EC423" s="352"/>
      <c r="ED423" s="352"/>
      <c r="EE423" s="352"/>
      <c r="EF423" s="352"/>
      <c r="EG423" s="352"/>
      <c r="EH423" s="352"/>
      <c r="EI423" s="352"/>
      <c r="EJ423" s="352"/>
      <c r="EK423" s="352"/>
      <c r="EL423" s="352"/>
      <c r="EM423" s="352"/>
      <c r="EN423" s="352"/>
    </row>
    <row r="424" spans="1:144" ht="20.100000000000001" customHeight="1">
      <c r="A424" s="118" t="s">
        <v>137</v>
      </c>
      <c r="B424" s="118" t="s">
        <v>470</v>
      </c>
      <c r="C424" s="119">
        <v>0</v>
      </c>
      <c r="D424" s="120">
        <f>'Sectors % GDP'!G34</f>
        <v>139252.4</v>
      </c>
      <c r="E424" s="120">
        <f t="shared" si="12"/>
        <v>0</v>
      </c>
      <c r="F424" s="123">
        <v>0</v>
      </c>
      <c r="G424" s="120">
        <v>0</v>
      </c>
      <c r="H424" s="122">
        <v>3.41</v>
      </c>
      <c r="I424" s="122">
        <v>3.87</v>
      </c>
      <c r="J424" s="123">
        <v>11.02</v>
      </c>
      <c r="K424" s="122">
        <v>4.07</v>
      </c>
      <c r="L424" s="123">
        <f t="shared" si="13"/>
        <v>-3.9</v>
      </c>
      <c r="M424" s="124">
        <v>-3.9E-2</v>
      </c>
      <c r="N424" s="124">
        <v>5</v>
      </c>
      <c r="O424" s="125">
        <f>'Trade Data'!D26</f>
        <v>0.51245329015399177</v>
      </c>
      <c r="P424" s="126">
        <v>1</v>
      </c>
      <c r="Q424" s="352"/>
      <c r="R424" s="352"/>
      <c r="S424" s="352"/>
      <c r="T424" s="352"/>
      <c r="U424" s="352"/>
      <c r="V424" s="352"/>
      <c r="W424" s="352"/>
      <c r="X424" s="352"/>
      <c r="Y424" s="352"/>
      <c r="Z424" s="352"/>
      <c r="AA424" s="352"/>
      <c r="AB424" s="352"/>
      <c r="AC424" s="352"/>
      <c r="AD424" s="352"/>
      <c r="AE424" s="352"/>
      <c r="AF424" s="352"/>
      <c r="AG424" s="352"/>
      <c r="AH424" s="352"/>
      <c r="AI424" s="352"/>
      <c r="AJ424" s="352"/>
      <c r="AK424" s="352"/>
      <c r="AL424" s="352"/>
      <c r="AM424" s="352"/>
      <c r="AN424" s="352"/>
      <c r="AO424" s="352"/>
      <c r="AP424" s="352"/>
      <c r="AQ424" s="352"/>
      <c r="AR424" s="352"/>
      <c r="AS424" s="352"/>
      <c r="AT424" s="352"/>
      <c r="AU424" s="352"/>
      <c r="AV424" s="352"/>
      <c r="AW424" s="352"/>
      <c r="AX424" s="352"/>
      <c r="AY424" s="352"/>
      <c r="AZ424" s="352"/>
      <c r="BA424" s="352"/>
      <c r="BB424" s="352"/>
      <c r="BC424" s="352"/>
      <c r="BD424" s="352"/>
      <c r="BE424" s="352"/>
      <c r="BF424" s="352"/>
      <c r="BG424" s="352"/>
      <c r="BH424" s="352"/>
      <c r="BI424" s="352"/>
      <c r="BJ424" s="352"/>
      <c r="BK424" s="352"/>
      <c r="BL424" s="352"/>
      <c r="BM424" s="352"/>
      <c r="BN424" s="352"/>
      <c r="BO424" s="352"/>
      <c r="BP424" s="352"/>
      <c r="BQ424" s="352"/>
      <c r="BR424" s="352"/>
      <c r="BS424" s="352"/>
      <c r="BT424" s="352"/>
      <c r="BU424" s="352"/>
      <c r="BV424" s="352"/>
      <c r="BW424" s="352"/>
      <c r="BX424" s="352"/>
      <c r="BY424" s="352"/>
      <c r="BZ424" s="352"/>
      <c r="CA424" s="352"/>
      <c r="CB424" s="352"/>
      <c r="CC424" s="352"/>
      <c r="CD424" s="352"/>
      <c r="CE424" s="352"/>
      <c r="CF424" s="352"/>
      <c r="CG424" s="352"/>
      <c r="CH424" s="352"/>
      <c r="CI424" s="352"/>
      <c r="CJ424" s="352"/>
      <c r="CK424" s="352"/>
      <c r="CL424" s="352"/>
      <c r="CM424" s="352"/>
      <c r="CN424" s="352"/>
      <c r="CO424" s="352"/>
      <c r="CP424" s="352"/>
      <c r="CQ424" s="352"/>
      <c r="CR424" s="352"/>
      <c r="CS424" s="352"/>
      <c r="CT424" s="352"/>
      <c r="CU424" s="352"/>
      <c r="CV424" s="352"/>
      <c r="CW424" s="352"/>
      <c r="CX424" s="352"/>
      <c r="CY424" s="352"/>
      <c r="CZ424" s="352"/>
      <c r="DA424" s="352"/>
      <c r="DB424" s="352"/>
      <c r="DC424" s="352"/>
      <c r="DD424" s="352"/>
      <c r="DE424" s="352"/>
      <c r="DF424" s="352"/>
      <c r="DG424" s="352"/>
      <c r="DH424" s="352"/>
      <c r="DI424" s="352"/>
      <c r="DJ424" s="352"/>
      <c r="DK424" s="352"/>
      <c r="DL424" s="352"/>
      <c r="DM424" s="352"/>
      <c r="DN424" s="352"/>
      <c r="DO424" s="352"/>
      <c r="DP424" s="352"/>
      <c r="DQ424" s="352"/>
      <c r="DR424" s="352"/>
      <c r="DS424" s="352"/>
      <c r="DT424" s="352"/>
      <c r="DU424" s="352"/>
      <c r="DV424" s="352"/>
      <c r="DW424" s="352"/>
      <c r="DX424" s="352"/>
      <c r="DY424" s="352"/>
      <c r="DZ424" s="352"/>
      <c r="EA424" s="352"/>
      <c r="EB424" s="352"/>
      <c r="EC424" s="352"/>
      <c r="ED424" s="352"/>
      <c r="EE424" s="352"/>
      <c r="EF424" s="352"/>
      <c r="EG424" s="352"/>
      <c r="EH424" s="352"/>
      <c r="EI424" s="352"/>
      <c r="EJ424" s="352"/>
      <c r="EK424" s="352"/>
      <c r="EL424" s="352"/>
      <c r="EM424" s="352"/>
      <c r="EN424" s="352"/>
    </row>
    <row r="425" spans="1:144" s="169" customFormat="1" ht="20.100000000000001" customHeight="1">
      <c r="A425" s="160" t="s">
        <v>138</v>
      </c>
      <c r="B425" s="160" t="s">
        <v>833</v>
      </c>
      <c r="C425" s="161">
        <v>0</v>
      </c>
      <c r="D425" s="162">
        <f>'Sectors % GDP'!G32</f>
        <v>10674.4</v>
      </c>
      <c r="E425" s="162">
        <f t="shared" si="12"/>
        <v>0</v>
      </c>
      <c r="F425" s="165">
        <v>0</v>
      </c>
      <c r="G425" s="162">
        <v>0</v>
      </c>
      <c r="H425" s="164">
        <v>4.42</v>
      </c>
      <c r="I425" s="164">
        <v>7.75</v>
      </c>
      <c r="J425" s="165">
        <v>10.06</v>
      </c>
      <c r="K425" s="164">
        <v>4.07</v>
      </c>
      <c r="L425" s="165">
        <f t="shared" si="13"/>
        <v>-6.2</v>
      </c>
      <c r="M425" s="166">
        <v>-6.2E-2</v>
      </c>
      <c r="N425" s="166">
        <v>5.75</v>
      </c>
      <c r="O425" s="167">
        <f>'Trade Data'!F26</f>
        <v>0.35886822989682643</v>
      </c>
      <c r="P425" s="170">
        <v>0</v>
      </c>
      <c r="Q425" s="352"/>
      <c r="R425" s="352"/>
      <c r="S425" s="352"/>
      <c r="T425" s="352"/>
      <c r="U425" s="352"/>
      <c r="V425" s="352"/>
      <c r="W425" s="352"/>
      <c r="X425" s="352"/>
      <c r="Y425" s="352"/>
      <c r="Z425" s="352"/>
      <c r="AA425" s="352"/>
      <c r="AB425" s="352"/>
      <c r="AC425" s="352"/>
      <c r="AD425" s="352"/>
      <c r="AE425" s="352"/>
      <c r="AF425" s="352"/>
      <c r="AG425" s="352"/>
      <c r="AH425" s="352"/>
      <c r="AI425" s="352"/>
      <c r="AJ425" s="352"/>
      <c r="AK425" s="352"/>
      <c r="AL425" s="352"/>
      <c r="AM425" s="352"/>
      <c r="AN425" s="352"/>
      <c r="AO425" s="352"/>
      <c r="AP425" s="352"/>
      <c r="AQ425" s="352"/>
      <c r="AR425" s="352"/>
      <c r="AS425" s="352"/>
      <c r="AT425" s="352"/>
      <c r="AU425" s="352"/>
      <c r="AV425" s="352"/>
      <c r="AW425" s="352"/>
      <c r="AX425" s="352"/>
      <c r="AY425" s="352"/>
      <c r="AZ425" s="352"/>
      <c r="BA425" s="352"/>
      <c r="BB425" s="352"/>
      <c r="BC425" s="352"/>
      <c r="BD425" s="352"/>
      <c r="BE425" s="352"/>
      <c r="BF425" s="352"/>
      <c r="BG425" s="352"/>
      <c r="BH425" s="352"/>
      <c r="BI425" s="352"/>
      <c r="BJ425" s="352"/>
      <c r="BK425" s="352"/>
      <c r="BL425" s="352"/>
      <c r="BM425" s="352"/>
      <c r="BN425" s="352"/>
      <c r="BO425" s="352"/>
      <c r="BP425" s="352"/>
      <c r="BQ425" s="352"/>
      <c r="BR425" s="352"/>
      <c r="BS425" s="352"/>
      <c r="BT425" s="352"/>
      <c r="BU425" s="352"/>
      <c r="BV425" s="352"/>
      <c r="BW425" s="352"/>
      <c r="BX425" s="352"/>
      <c r="BY425" s="352"/>
      <c r="BZ425" s="352"/>
      <c r="CA425" s="352"/>
      <c r="CB425" s="352"/>
      <c r="CC425" s="352"/>
      <c r="CD425" s="352"/>
      <c r="CE425" s="352"/>
      <c r="CF425" s="352"/>
      <c r="CG425" s="352"/>
      <c r="CH425" s="352"/>
      <c r="CI425" s="352"/>
      <c r="CJ425" s="352"/>
      <c r="CK425" s="352"/>
      <c r="CL425" s="352"/>
      <c r="CM425" s="352"/>
      <c r="CN425" s="352"/>
      <c r="CO425" s="352"/>
      <c r="CP425" s="352"/>
      <c r="CQ425" s="352"/>
      <c r="CR425" s="352"/>
      <c r="CS425" s="352"/>
      <c r="CT425" s="352"/>
      <c r="CU425" s="352"/>
      <c r="CV425" s="352"/>
      <c r="CW425" s="352"/>
      <c r="CX425" s="352"/>
      <c r="CY425" s="352"/>
      <c r="CZ425" s="352"/>
      <c r="DA425" s="352"/>
      <c r="DB425" s="352"/>
      <c r="DC425" s="352"/>
      <c r="DD425" s="352"/>
      <c r="DE425" s="352"/>
      <c r="DF425" s="352"/>
      <c r="DG425" s="352"/>
      <c r="DH425" s="352"/>
      <c r="DI425" s="352"/>
      <c r="DJ425" s="352"/>
      <c r="DK425" s="352"/>
      <c r="DL425" s="352"/>
      <c r="DM425" s="352"/>
      <c r="DN425" s="352"/>
      <c r="DO425" s="352"/>
      <c r="DP425" s="352"/>
      <c r="DQ425" s="352"/>
      <c r="DR425" s="352"/>
      <c r="DS425" s="352"/>
      <c r="DT425" s="352"/>
      <c r="DU425" s="352"/>
      <c r="DV425" s="352"/>
      <c r="DW425" s="352"/>
      <c r="DX425" s="352"/>
      <c r="DY425" s="352"/>
      <c r="DZ425" s="352"/>
      <c r="EA425" s="352"/>
      <c r="EB425" s="352"/>
      <c r="EC425" s="352"/>
      <c r="ED425" s="352"/>
      <c r="EE425" s="352"/>
      <c r="EF425" s="352"/>
      <c r="EG425" s="352"/>
      <c r="EH425" s="352"/>
      <c r="EI425" s="352"/>
      <c r="EJ425" s="352"/>
      <c r="EK425" s="352"/>
      <c r="EL425" s="352"/>
      <c r="EM425" s="352"/>
      <c r="EN425" s="352"/>
    </row>
    <row r="426" spans="1:144" s="188" customFormat="1" ht="20.100000000000001" customHeight="1">
      <c r="A426" s="179" t="s">
        <v>138</v>
      </c>
      <c r="B426" s="179" t="s">
        <v>469</v>
      </c>
      <c r="C426" s="180">
        <f>'Thomson Reuters IMA  ($)'!I767</f>
        <v>500</v>
      </c>
      <c r="D426" s="181">
        <f>'Sectors % GDP'!G33</f>
        <v>92673.2</v>
      </c>
      <c r="E426" s="181">
        <f t="shared" si="12"/>
        <v>5.395303064963765E-3</v>
      </c>
      <c r="F426" s="184">
        <v>1</v>
      </c>
      <c r="G426" s="181">
        <v>1</v>
      </c>
      <c r="H426" s="183">
        <v>4.42</v>
      </c>
      <c r="I426" s="183">
        <v>7.75</v>
      </c>
      <c r="J426" s="184">
        <v>10.06</v>
      </c>
      <c r="K426" s="183">
        <v>4.07</v>
      </c>
      <c r="L426" s="184">
        <f t="shared" si="13"/>
        <v>-6.2</v>
      </c>
      <c r="M426" s="185">
        <v>-6.2E-2</v>
      </c>
      <c r="N426" s="185">
        <v>5.75</v>
      </c>
      <c r="O426" s="186">
        <f>'Trade Data'!F26</f>
        <v>0.35886822989682643</v>
      </c>
      <c r="P426" s="189">
        <v>1</v>
      </c>
      <c r="Q426" s="352"/>
      <c r="R426" s="352"/>
      <c r="S426" s="352"/>
      <c r="T426" s="352"/>
      <c r="U426" s="352"/>
      <c r="V426" s="352"/>
      <c r="W426" s="352"/>
      <c r="X426" s="352"/>
      <c r="Y426" s="352"/>
      <c r="Z426" s="352"/>
      <c r="AA426" s="352"/>
      <c r="AB426" s="352"/>
      <c r="AC426" s="352"/>
      <c r="AD426" s="352"/>
      <c r="AE426" s="352"/>
      <c r="AF426" s="352"/>
      <c r="AG426" s="352"/>
      <c r="AH426" s="352"/>
      <c r="AI426" s="352"/>
      <c r="AJ426" s="352"/>
      <c r="AK426" s="352"/>
      <c r="AL426" s="352"/>
      <c r="AM426" s="352"/>
      <c r="AN426" s="352"/>
      <c r="AO426" s="352"/>
      <c r="AP426" s="352"/>
      <c r="AQ426" s="352"/>
      <c r="AR426" s="352"/>
      <c r="AS426" s="352"/>
      <c r="AT426" s="352"/>
      <c r="AU426" s="352"/>
      <c r="AV426" s="352"/>
      <c r="AW426" s="352"/>
      <c r="AX426" s="352"/>
      <c r="AY426" s="352"/>
      <c r="AZ426" s="352"/>
      <c r="BA426" s="352"/>
      <c r="BB426" s="352"/>
      <c r="BC426" s="352"/>
      <c r="BD426" s="352"/>
      <c r="BE426" s="352"/>
      <c r="BF426" s="352"/>
      <c r="BG426" s="352"/>
      <c r="BH426" s="352"/>
      <c r="BI426" s="352"/>
      <c r="BJ426" s="352"/>
      <c r="BK426" s="352"/>
      <c r="BL426" s="352"/>
      <c r="BM426" s="352"/>
      <c r="BN426" s="352"/>
      <c r="BO426" s="352"/>
      <c r="BP426" s="352"/>
      <c r="BQ426" s="352"/>
      <c r="BR426" s="352"/>
      <c r="BS426" s="352"/>
      <c r="BT426" s="352"/>
      <c r="BU426" s="352"/>
      <c r="BV426" s="352"/>
      <c r="BW426" s="352"/>
      <c r="BX426" s="352"/>
      <c r="BY426" s="352"/>
      <c r="BZ426" s="352"/>
      <c r="CA426" s="352"/>
      <c r="CB426" s="352"/>
      <c r="CC426" s="352"/>
      <c r="CD426" s="352"/>
      <c r="CE426" s="352"/>
      <c r="CF426" s="352"/>
      <c r="CG426" s="352"/>
      <c r="CH426" s="352"/>
      <c r="CI426" s="352"/>
      <c r="CJ426" s="352"/>
      <c r="CK426" s="352"/>
      <c r="CL426" s="352"/>
      <c r="CM426" s="352"/>
      <c r="CN426" s="352"/>
      <c r="CO426" s="352"/>
      <c r="CP426" s="352"/>
      <c r="CQ426" s="352"/>
      <c r="CR426" s="352"/>
      <c r="CS426" s="352"/>
      <c r="CT426" s="352"/>
      <c r="CU426" s="352"/>
      <c r="CV426" s="352"/>
      <c r="CW426" s="352"/>
      <c r="CX426" s="352"/>
      <c r="CY426" s="352"/>
      <c r="CZ426" s="352"/>
      <c r="DA426" s="352"/>
      <c r="DB426" s="352"/>
      <c r="DC426" s="352"/>
      <c r="DD426" s="352"/>
      <c r="DE426" s="352"/>
      <c r="DF426" s="352"/>
      <c r="DG426" s="352"/>
      <c r="DH426" s="352"/>
      <c r="DI426" s="352"/>
      <c r="DJ426" s="352"/>
      <c r="DK426" s="352"/>
      <c r="DL426" s="352"/>
      <c r="DM426" s="352"/>
      <c r="DN426" s="352"/>
      <c r="DO426" s="352"/>
      <c r="DP426" s="352"/>
      <c r="DQ426" s="352"/>
      <c r="DR426" s="352"/>
      <c r="DS426" s="352"/>
      <c r="DT426" s="352"/>
      <c r="DU426" s="352"/>
      <c r="DV426" s="352"/>
      <c r="DW426" s="352"/>
      <c r="DX426" s="352"/>
      <c r="DY426" s="352"/>
      <c r="DZ426" s="352"/>
      <c r="EA426" s="352"/>
      <c r="EB426" s="352"/>
      <c r="EC426" s="352"/>
      <c r="ED426" s="352"/>
      <c r="EE426" s="352"/>
      <c r="EF426" s="352"/>
      <c r="EG426" s="352"/>
      <c r="EH426" s="352"/>
      <c r="EI426" s="352"/>
      <c r="EJ426" s="352"/>
      <c r="EK426" s="352"/>
      <c r="EL426" s="352"/>
      <c r="EM426" s="352"/>
      <c r="EN426" s="352"/>
    </row>
    <row r="427" spans="1:144" ht="20.100000000000001" customHeight="1">
      <c r="A427" s="118" t="s">
        <v>138</v>
      </c>
      <c r="B427" s="118" t="s">
        <v>468</v>
      </c>
      <c r="C427" s="119">
        <v>0</v>
      </c>
      <c r="D427" s="120">
        <f>'Sectors % GDP'!G34</f>
        <v>139252.4</v>
      </c>
      <c r="E427" s="120">
        <f t="shared" si="12"/>
        <v>0</v>
      </c>
      <c r="F427" s="123">
        <v>0</v>
      </c>
      <c r="G427" s="120">
        <v>0</v>
      </c>
      <c r="H427" s="122">
        <v>4.42</v>
      </c>
      <c r="I427" s="122">
        <v>7.75</v>
      </c>
      <c r="J427" s="123">
        <v>10.06</v>
      </c>
      <c r="K427" s="122">
        <v>4.07</v>
      </c>
      <c r="L427" s="123">
        <f t="shared" si="13"/>
        <v>-6.2</v>
      </c>
      <c r="M427" s="124">
        <v>-6.2E-2</v>
      </c>
      <c r="N427" s="124">
        <v>5.75</v>
      </c>
      <c r="O427" s="125">
        <f>'Trade Data'!F26</f>
        <v>0.35886822989682643</v>
      </c>
      <c r="P427" s="127">
        <v>1</v>
      </c>
      <c r="Q427" s="352"/>
      <c r="R427" s="352"/>
      <c r="S427" s="352"/>
      <c r="T427" s="352"/>
      <c r="U427" s="352"/>
      <c r="V427" s="352"/>
      <c r="W427" s="352"/>
      <c r="X427" s="352"/>
      <c r="Y427" s="352"/>
      <c r="Z427" s="352"/>
      <c r="AA427" s="352"/>
      <c r="AB427" s="352"/>
      <c r="AC427" s="352"/>
      <c r="AD427" s="352"/>
      <c r="AE427" s="352"/>
      <c r="AF427" s="352"/>
      <c r="AG427" s="352"/>
      <c r="AH427" s="352"/>
      <c r="AI427" s="352"/>
      <c r="AJ427" s="352"/>
      <c r="AK427" s="352"/>
      <c r="AL427" s="352"/>
      <c r="AM427" s="352"/>
      <c r="AN427" s="352"/>
      <c r="AO427" s="352"/>
      <c r="AP427" s="352"/>
      <c r="AQ427" s="352"/>
      <c r="AR427" s="352"/>
      <c r="AS427" s="352"/>
      <c r="AT427" s="352"/>
      <c r="AU427" s="352"/>
      <c r="AV427" s="352"/>
      <c r="AW427" s="352"/>
      <c r="AX427" s="352"/>
      <c r="AY427" s="352"/>
      <c r="AZ427" s="352"/>
      <c r="BA427" s="352"/>
      <c r="BB427" s="352"/>
      <c r="BC427" s="352"/>
      <c r="BD427" s="352"/>
      <c r="BE427" s="352"/>
      <c r="BF427" s="352"/>
      <c r="BG427" s="352"/>
      <c r="BH427" s="352"/>
      <c r="BI427" s="352"/>
      <c r="BJ427" s="352"/>
      <c r="BK427" s="352"/>
      <c r="BL427" s="352"/>
      <c r="BM427" s="352"/>
      <c r="BN427" s="352"/>
      <c r="BO427" s="352"/>
      <c r="BP427" s="352"/>
      <c r="BQ427" s="352"/>
      <c r="BR427" s="352"/>
      <c r="BS427" s="352"/>
      <c r="BT427" s="352"/>
      <c r="BU427" s="352"/>
      <c r="BV427" s="352"/>
      <c r="BW427" s="352"/>
      <c r="BX427" s="352"/>
      <c r="BY427" s="352"/>
      <c r="BZ427" s="352"/>
      <c r="CA427" s="352"/>
      <c r="CB427" s="352"/>
      <c r="CC427" s="352"/>
      <c r="CD427" s="352"/>
      <c r="CE427" s="352"/>
      <c r="CF427" s="352"/>
      <c r="CG427" s="352"/>
      <c r="CH427" s="352"/>
      <c r="CI427" s="352"/>
      <c r="CJ427" s="352"/>
      <c r="CK427" s="352"/>
      <c r="CL427" s="352"/>
      <c r="CM427" s="352"/>
      <c r="CN427" s="352"/>
      <c r="CO427" s="352"/>
      <c r="CP427" s="352"/>
      <c r="CQ427" s="352"/>
      <c r="CR427" s="352"/>
      <c r="CS427" s="352"/>
      <c r="CT427" s="352"/>
      <c r="CU427" s="352"/>
      <c r="CV427" s="352"/>
      <c r="CW427" s="352"/>
      <c r="CX427" s="352"/>
      <c r="CY427" s="352"/>
      <c r="CZ427" s="352"/>
      <c r="DA427" s="352"/>
      <c r="DB427" s="352"/>
      <c r="DC427" s="352"/>
      <c r="DD427" s="352"/>
      <c r="DE427" s="352"/>
      <c r="DF427" s="352"/>
      <c r="DG427" s="352"/>
      <c r="DH427" s="352"/>
      <c r="DI427" s="352"/>
      <c r="DJ427" s="352"/>
      <c r="DK427" s="352"/>
      <c r="DL427" s="352"/>
      <c r="DM427" s="352"/>
      <c r="DN427" s="352"/>
      <c r="DO427" s="352"/>
      <c r="DP427" s="352"/>
      <c r="DQ427" s="352"/>
      <c r="DR427" s="352"/>
      <c r="DS427" s="352"/>
      <c r="DT427" s="352"/>
      <c r="DU427" s="352"/>
      <c r="DV427" s="352"/>
      <c r="DW427" s="352"/>
      <c r="DX427" s="352"/>
      <c r="DY427" s="352"/>
      <c r="DZ427" s="352"/>
      <c r="EA427" s="352"/>
      <c r="EB427" s="352"/>
      <c r="EC427" s="352"/>
      <c r="ED427" s="352"/>
      <c r="EE427" s="352"/>
      <c r="EF427" s="352"/>
      <c r="EG427" s="352"/>
      <c r="EH427" s="352"/>
      <c r="EI427" s="352"/>
      <c r="EJ427" s="352"/>
      <c r="EK427" s="352"/>
      <c r="EL427" s="352"/>
      <c r="EM427" s="352"/>
      <c r="EN427" s="352"/>
    </row>
    <row r="428" spans="1:144" s="169" customFormat="1" ht="20.100000000000001" customHeight="1">
      <c r="A428" s="160" t="s">
        <v>139</v>
      </c>
      <c r="B428" s="160" t="s">
        <v>467</v>
      </c>
      <c r="C428" s="161">
        <v>0</v>
      </c>
      <c r="D428" s="162">
        <f>'Sectors % GDP'!G32</f>
        <v>10674.4</v>
      </c>
      <c r="E428" s="162">
        <f t="shared" si="12"/>
        <v>0</v>
      </c>
      <c r="F428" s="165">
        <v>0</v>
      </c>
      <c r="G428" s="162">
        <v>0</v>
      </c>
      <c r="H428" s="164">
        <v>1.89</v>
      </c>
      <c r="I428" s="164">
        <v>4.84</v>
      </c>
      <c r="J428" s="165">
        <v>3.07</v>
      </c>
      <c r="K428" s="164">
        <v>4.07</v>
      </c>
      <c r="L428" s="165">
        <f t="shared" si="13"/>
        <v>-6.2</v>
      </c>
      <c r="M428" s="166">
        <v>-6.2E-2</v>
      </c>
      <c r="N428" s="166">
        <v>5.75</v>
      </c>
      <c r="O428" s="167">
        <f>'Trade Data'!F26</f>
        <v>0.35886822989682643</v>
      </c>
      <c r="P428" s="168">
        <v>0</v>
      </c>
      <c r="Q428" s="352"/>
      <c r="R428" s="352"/>
      <c r="S428" s="352"/>
      <c r="T428" s="352"/>
      <c r="U428" s="352"/>
      <c r="V428" s="352"/>
      <c r="W428" s="352"/>
      <c r="X428" s="352"/>
      <c r="Y428" s="352"/>
      <c r="Z428" s="352"/>
      <c r="AA428" s="352"/>
      <c r="AB428" s="352"/>
      <c r="AC428" s="352"/>
      <c r="AD428" s="352"/>
      <c r="AE428" s="352"/>
      <c r="AF428" s="352"/>
      <c r="AG428" s="352"/>
      <c r="AH428" s="352"/>
      <c r="AI428" s="352"/>
      <c r="AJ428" s="352"/>
      <c r="AK428" s="352"/>
      <c r="AL428" s="352"/>
      <c r="AM428" s="352"/>
      <c r="AN428" s="352"/>
      <c r="AO428" s="352"/>
      <c r="AP428" s="352"/>
      <c r="AQ428" s="352"/>
      <c r="AR428" s="352"/>
      <c r="AS428" s="352"/>
      <c r="AT428" s="352"/>
      <c r="AU428" s="352"/>
      <c r="AV428" s="352"/>
      <c r="AW428" s="352"/>
      <c r="AX428" s="352"/>
      <c r="AY428" s="352"/>
      <c r="AZ428" s="352"/>
      <c r="BA428" s="352"/>
      <c r="BB428" s="352"/>
      <c r="BC428" s="352"/>
      <c r="BD428" s="352"/>
      <c r="BE428" s="352"/>
      <c r="BF428" s="352"/>
      <c r="BG428" s="352"/>
      <c r="BH428" s="352"/>
      <c r="BI428" s="352"/>
      <c r="BJ428" s="352"/>
      <c r="BK428" s="352"/>
      <c r="BL428" s="352"/>
      <c r="BM428" s="352"/>
      <c r="BN428" s="352"/>
      <c r="BO428" s="352"/>
      <c r="BP428" s="352"/>
      <c r="BQ428" s="352"/>
      <c r="BR428" s="352"/>
      <c r="BS428" s="352"/>
      <c r="BT428" s="352"/>
      <c r="BU428" s="352"/>
      <c r="BV428" s="352"/>
      <c r="BW428" s="352"/>
      <c r="BX428" s="352"/>
      <c r="BY428" s="352"/>
      <c r="BZ428" s="352"/>
      <c r="CA428" s="352"/>
      <c r="CB428" s="352"/>
      <c r="CC428" s="352"/>
      <c r="CD428" s="352"/>
      <c r="CE428" s="352"/>
      <c r="CF428" s="352"/>
      <c r="CG428" s="352"/>
      <c r="CH428" s="352"/>
      <c r="CI428" s="352"/>
      <c r="CJ428" s="352"/>
      <c r="CK428" s="352"/>
      <c r="CL428" s="352"/>
      <c r="CM428" s="352"/>
      <c r="CN428" s="352"/>
      <c r="CO428" s="352"/>
      <c r="CP428" s="352"/>
      <c r="CQ428" s="352"/>
      <c r="CR428" s="352"/>
      <c r="CS428" s="352"/>
      <c r="CT428" s="352"/>
      <c r="CU428" s="352"/>
      <c r="CV428" s="352"/>
      <c r="CW428" s="352"/>
      <c r="CX428" s="352"/>
      <c r="CY428" s="352"/>
      <c r="CZ428" s="352"/>
      <c r="DA428" s="352"/>
      <c r="DB428" s="352"/>
      <c r="DC428" s="352"/>
      <c r="DD428" s="352"/>
      <c r="DE428" s="352"/>
      <c r="DF428" s="352"/>
      <c r="DG428" s="352"/>
      <c r="DH428" s="352"/>
      <c r="DI428" s="352"/>
      <c r="DJ428" s="352"/>
      <c r="DK428" s="352"/>
      <c r="DL428" s="352"/>
      <c r="DM428" s="352"/>
      <c r="DN428" s="352"/>
      <c r="DO428" s="352"/>
      <c r="DP428" s="352"/>
      <c r="DQ428" s="352"/>
      <c r="DR428" s="352"/>
      <c r="DS428" s="352"/>
      <c r="DT428" s="352"/>
      <c r="DU428" s="352"/>
      <c r="DV428" s="352"/>
      <c r="DW428" s="352"/>
      <c r="DX428" s="352"/>
      <c r="DY428" s="352"/>
      <c r="DZ428" s="352"/>
      <c r="EA428" s="352"/>
      <c r="EB428" s="352"/>
      <c r="EC428" s="352"/>
      <c r="ED428" s="352"/>
      <c r="EE428" s="352"/>
      <c r="EF428" s="352"/>
      <c r="EG428" s="352"/>
      <c r="EH428" s="352"/>
      <c r="EI428" s="352"/>
      <c r="EJ428" s="352"/>
      <c r="EK428" s="352"/>
      <c r="EL428" s="352"/>
      <c r="EM428" s="352"/>
      <c r="EN428" s="352"/>
    </row>
    <row r="429" spans="1:144" s="188" customFormat="1" ht="20.100000000000001" customHeight="1">
      <c r="A429" s="179" t="s">
        <v>139</v>
      </c>
      <c r="B429" s="179" t="s">
        <v>466</v>
      </c>
      <c r="C429" s="180">
        <v>0</v>
      </c>
      <c r="D429" s="181">
        <f>'Sectors % GDP'!G33</f>
        <v>92673.2</v>
      </c>
      <c r="E429" s="181">
        <f t="shared" si="12"/>
        <v>0</v>
      </c>
      <c r="F429" s="184">
        <v>0</v>
      </c>
      <c r="G429" s="181">
        <v>0</v>
      </c>
      <c r="H429" s="183">
        <v>1.89</v>
      </c>
      <c r="I429" s="183">
        <v>4.84</v>
      </c>
      <c r="J429" s="184">
        <v>3.07</v>
      </c>
      <c r="K429" s="183">
        <v>4.07</v>
      </c>
      <c r="L429" s="184">
        <f t="shared" si="13"/>
        <v>-6.2</v>
      </c>
      <c r="M429" s="185">
        <v>-6.2E-2</v>
      </c>
      <c r="N429" s="185">
        <v>5.75</v>
      </c>
      <c r="O429" s="186">
        <f>'Trade Data'!F26</f>
        <v>0.35886822989682643</v>
      </c>
      <c r="P429" s="187">
        <v>1</v>
      </c>
      <c r="Q429" s="352"/>
      <c r="R429" s="352"/>
      <c r="S429" s="352"/>
      <c r="T429" s="352"/>
      <c r="U429" s="352"/>
      <c r="V429" s="352"/>
      <c r="W429" s="352"/>
      <c r="X429" s="352"/>
      <c r="Y429" s="352"/>
      <c r="Z429" s="352"/>
      <c r="AA429" s="352"/>
      <c r="AB429" s="352"/>
      <c r="AC429" s="352"/>
      <c r="AD429" s="352"/>
      <c r="AE429" s="352"/>
      <c r="AF429" s="352"/>
      <c r="AG429" s="352"/>
      <c r="AH429" s="352"/>
      <c r="AI429" s="352"/>
      <c r="AJ429" s="352"/>
      <c r="AK429" s="352"/>
      <c r="AL429" s="352"/>
      <c r="AM429" s="352"/>
      <c r="AN429" s="352"/>
      <c r="AO429" s="352"/>
      <c r="AP429" s="352"/>
      <c r="AQ429" s="352"/>
      <c r="AR429" s="352"/>
      <c r="AS429" s="352"/>
      <c r="AT429" s="352"/>
      <c r="AU429" s="352"/>
      <c r="AV429" s="352"/>
      <c r="AW429" s="352"/>
      <c r="AX429" s="352"/>
      <c r="AY429" s="352"/>
      <c r="AZ429" s="352"/>
      <c r="BA429" s="352"/>
      <c r="BB429" s="352"/>
      <c r="BC429" s="352"/>
      <c r="BD429" s="352"/>
      <c r="BE429" s="352"/>
      <c r="BF429" s="352"/>
      <c r="BG429" s="352"/>
      <c r="BH429" s="352"/>
      <c r="BI429" s="352"/>
      <c r="BJ429" s="352"/>
      <c r="BK429" s="352"/>
      <c r="BL429" s="352"/>
      <c r="BM429" s="352"/>
      <c r="BN429" s="352"/>
      <c r="BO429" s="352"/>
      <c r="BP429" s="352"/>
      <c r="BQ429" s="352"/>
      <c r="BR429" s="352"/>
      <c r="BS429" s="352"/>
      <c r="BT429" s="352"/>
      <c r="BU429" s="352"/>
      <c r="BV429" s="352"/>
      <c r="BW429" s="352"/>
      <c r="BX429" s="352"/>
      <c r="BY429" s="352"/>
      <c r="BZ429" s="352"/>
      <c r="CA429" s="352"/>
      <c r="CB429" s="352"/>
      <c r="CC429" s="352"/>
      <c r="CD429" s="352"/>
      <c r="CE429" s="352"/>
      <c r="CF429" s="352"/>
      <c r="CG429" s="352"/>
      <c r="CH429" s="352"/>
      <c r="CI429" s="352"/>
      <c r="CJ429" s="352"/>
      <c r="CK429" s="352"/>
      <c r="CL429" s="352"/>
      <c r="CM429" s="352"/>
      <c r="CN429" s="352"/>
      <c r="CO429" s="352"/>
      <c r="CP429" s="352"/>
      <c r="CQ429" s="352"/>
      <c r="CR429" s="352"/>
      <c r="CS429" s="352"/>
      <c r="CT429" s="352"/>
      <c r="CU429" s="352"/>
      <c r="CV429" s="352"/>
      <c r="CW429" s="352"/>
      <c r="CX429" s="352"/>
      <c r="CY429" s="352"/>
      <c r="CZ429" s="352"/>
      <c r="DA429" s="352"/>
      <c r="DB429" s="352"/>
      <c r="DC429" s="352"/>
      <c r="DD429" s="352"/>
      <c r="DE429" s="352"/>
      <c r="DF429" s="352"/>
      <c r="DG429" s="352"/>
      <c r="DH429" s="352"/>
      <c r="DI429" s="352"/>
      <c r="DJ429" s="352"/>
      <c r="DK429" s="352"/>
      <c r="DL429" s="352"/>
      <c r="DM429" s="352"/>
      <c r="DN429" s="352"/>
      <c r="DO429" s="352"/>
      <c r="DP429" s="352"/>
      <c r="DQ429" s="352"/>
      <c r="DR429" s="352"/>
      <c r="DS429" s="352"/>
      <c r="DT429" s="352"/>
      <c r="DU429" s="352"/>
      <c r="DV429" s="352"/>
      <c r="DW429" s="352"/>
      <c r="DX429" s="352"/>
      <c r="DY429" s="352"/>
      <c r="DZ429" s="352"/>
      <c r="EA429" s="352"/>
      <c r="EB429" s="352"/>
      <c r="EC429" s="352"/>
      <c r="ED429" s="352"/>
      <c r="EE429" s="352"/>
      <c r="EF429" s="352"/>
      <c r="EG429" s="352"/>
      <c r="EH429" s="352"/>
      <c r="EI429" s="352"/>
      <c r="EJ429" s="352"/>
      <c r="EK429" s="352"/>
      <c r="EL429" s="352"/>
      <c r="EM429" s="352"/>
      <c r="EN429" s="352"/>
    </row>
    <row r="430" spans="1:144" ht="20.100000000000001" customHeight="1">
      <c r="A430" s="118" t="s">
        <v>139</v>
      </c>
      <c r="B430" s="118" t="s">
        <v>465</v>
      </c>
      <c r="C430" s="119">
        <v>0</v>
      </c>
      <c r="D430" s="120">
        <f>'Sectors % GDP'!G34</f>
        <v>139252.4</v>
      </c>
      <c r="E430" s="120">
        <f t="shared" si="12"/>
        <v>0</v>
      </c>
      <c r="F430" s="123">
        <v>0</v>
      </c>
      <c r="G430" s="120">
        <v>0</v>
      </c>
      <c r="H430" s="122">
        <v>1.89</v>
      </c>
      <c r="I430" s="122">
        <v>4.84</v>
      </c>
      <c r="J430" s="123">
        <v>3.07</v>
      </c>
      <c r="K430" s="122">
        <v>4.07</v>
      </c>
      <c r="L430" s="123">
        <f t="shared" si="13"/>
        <v>-6.2</v>
      </c>
      <c r="M430" s="124">
        <v>-6.2E-2</v>
      </c>
      <c r="N430" s="124">
        <v>5.75</v>
      </c>
      <c r="O430" s="125">
        <f>'Trade Data'!F26</f>
        <v>0.35886822989682643</v>
      </c>
      <c r="P430" s="126">
        <v>1</v>
      </c>
      <c r="Q430" s="352"/>
      <c r="R430" s="352"/>
      <c r="S430" s="352"/>
      <c r="T430" s="352"/>
      <c r="U430" s="352"/>
      <c r="V430" s="352"/>
      <c r="W430" s="352"/>
      <c r="X430" s="352"/>
      <c r="Y430" s="352"/>
      <c r="Z430" s="352"/>
      <c r="AA430" s="352"/>
      <c r="AB430" s="352"/>
      <c r="AC430" s="352"/>
      <c r="AD430" s="352"/>
      <c r="AE430" s="352"/>
      <c r="AF430" s="352"/>
      <c r="AG430" s="352"/>
      <c r="AH430" s="352"/>
      <c r="AI430" s="352"/>
      <c r="AJ430" s="352"/>
      <c r="AK430" s="352"/>
      <c r="AL430" s="352"/>
      <c r="AM430" s="352"/>
      <c r="AN430" s="352"/>
      <c r="AO430" s="352"/>
      <c r="AP430" s="352"/>
      <c r="AQ430" s="352"/>
      <c r="AR430" s="352"/>
      <c r="AS430" s="352"/>
      <c r="AT430" s="352"/>
      <c r="AU430" s="352"/>
      <c r="AV430" s="352"/>
      <c r="AW430" s="352"/>
      <c r="AX430" s="352"/>
      <c r="AY430" s="352"/>
      <c r="AZ430" s="352"/>
      <c r="BA430" s="352"/>
      <c r="BB430" s="352"/>
      <c r="BC430" s="352"/>
      <c r="BD430" s="352"/>
      <c r="BE430" s="352"/>
      <c r="BF430" s="352"/>
      <c r="BG430" s="352"/>
      <c r="BH430" s="352"/>
      <c r="BI430" s="352"/>
      <c r="BJ430" s="352"/>
      <c r="BK430" s="352"/>
      <c r="BL430" s="352"/>
      <c r="BM430" s="352"/>
      <c r="BN430" s="352"/>
      <c r="BO430" s="352"/>
      <c r="BP430" s="352"/>
      <c r="BQ430" s="352"/>
      <c r="BR430" s="352"/>
      <c r="BS430" s="352"/>
      <c r="BT430" s="352"/>
      <c r="BU430" s="352"/>
      <c r="BV430" s="352"/>
      <c r="BW430" s="352"/>
      <c r="BX430" s="352"/>
      <c r="BY430" s="352"/>
      <c r="BZ430" s="352"/>
      <c r="CA430" s="352"/>
      <c r="CB430" s="352"/>
      <c r="CC430" s="352"/>
      <c r="CD430" s="352"/>
      <c r="CE430" s="352"/>
      <c r="CF430" s="352"/>
      <c r="CG430" s="352"/>
      <c r="CH430" s="352"/>
      <c r="CI430" s="352"/>
      <c r="CJ430" s="352"/>
      <c r="CK430" s="352"/>
      <c r="CL430" s="352"/>
      <c r="CM430" s="352"/>
      <c r="CN430" s="352"/>
      <c r="CO430" s="352"/>
      <c r="CP430" s="352"/>
      <c r="CQ430" s="352"/>
      <c r="CR430" s="352"/>
      <c r="CS430" s="352"/>
      <c r="CT430" s="352"/>
      <c r="CU430" s="352"/>
      <c r="CV430" s="352"/>
      <c r="CW430" s="352"/>
      <c r="CX430" s="352"/>
      <c r="CY430" s="352"/>
      <c r="CZ430" s="352"/>
      <c r="DA430" s="352"/>
      <c r="DB430" s="352"/>
      <c r="DC430" s="352"/>
      <c r="DD430" s="352"/>
      <c r="DE430" s="352"/>
      <c r="DF430" s="352"/>
      <c r="DG430" s="352"/>
      <c r="DH430" s="352"/>
      <c r="DI430" s="352"/>
      <c r="DJ430" s="352"/>
      <c r="DK430" s="352"/>
      <c r="DL430" s="352"/>
      <c r="DM430" s="352"/>
      <c r="DN430" s="352"/>
      <c r="DO430" s="352"/>
      <c r="DP430" s="352"/>
      <c r="DQ430" s="352"/>
      <c r="DR430" s="352"/>
      <c r="DS430" s="352"/>
      <c r="DT430" s="352"/>
      <c r="DU430" s="352"/>
      <c r="DV430" s="352"/>
      <c r="DW430" s="352"/>
      <c r="DX430" s="352"/>
      <c r="DY430" s="352"/>
      <c r="DZ430" s="352"/>
      <c r="EA430" s="352"/>
      <c r="EB430" s="352"/>
      <c r="EC430" s="352"/>
      <c r="ED430" s="352"/>
      <c r="EE430" s="352"/>
      <c r="EF430" s="352"/>
      <c r="EG430" s="352"/>
      <c r="EH430" s="352"/>
      <c r="EI430" s="352"/>
      <c r="EJ430" s="352"/>
      <c r="EK430" s="352"/>
      <c r="EL430" s="352"/>
      <c r="EM430" s="352"/>
      <c r="EN430" s="352"/>
    </row>
    <row r="431" spans="1:144" s="169" customFormat="1" ht="20.100000000000001" customHeight="1">
      <c r="A431" s="160" t="s">
        <v>140</v>
      </c>
      <c r="B431" s="160" t="s">
        <v>464</v>
      </c>
      <c r="C431" s="161">
        <v>0</v>
      </c>
      <c r="D431" s="162">
        <f>'Sectors % GDP'!G32</f>
        <v>10674.4</v>
      </c>
      <c r="E431" s="162">
        <f t="shared" si="12"/>
        <v>0</v>
      </c>
      <c r="F431" s="165">
        <v>0</v>
      </c>
      <c r="G431" s="162">
        <v>0</v>
      </c>
      <c r="H431" s="164">
        <v>4.43</v>
      </c>
      <c r="I431" s="163">
        <v>8.64</v>
      </c>
      <c r="J431" s="164">
        <v>9.73</v>
      </c>
      <c r="K431" s="164">
        <v>4.07</v>
      </c>
      <c r="L431" s="165">
        <f t="shared" si="13"/>
        <v>-6.2</v>
      </c>
      <c r="M431" s="166">
        <v>-6.2E-2</v>
      </c>
      <c r="N431" s="166">
        <v>5.75</v>
      </c>
      <c r="O431" s="167">
        <f>'Trade Data'!F26</f>
        <v>0.35886822989682643</v>
      </c>
      <c r="P431" s="170">
        <v>0</v>
      </c>
      <c r="Q431" s="352"/>
      <c r="R431" s="352"/>
      <c r="S431" s="352"/>
      <c r="T431" s="352"/>
      <c r="U431" s="352"/>
      <c r="V431" s="352"/>
      <c r="W431" s="352"/>
      <c r="X431" s="352"/>
      <c r="Y431" s="352"/>
      <c r="Z431" s="352"/>
      <c r="AA431" s="352"/>
      <c r="AB431" s="352"/>
      <c r="AC431" s="352"/>
      <c r="AD431" s="352"/>
      <c r="AE431" s="352"/>
      <c r="AF431" s="352"/>
      <c r="AG431" s="352"/>
      <c r="AH431" s="352"/>
      <c r="AI431" s="352"/>
      <c r="AJ431" s="352"/>
      <c r="AK431" s="352"/>
      <c r="AL431" s="352"/>
      <c r="AM431" s="352"/>
      <c r="AN431" s="352"/>
      <c r="AO431" s="352"/>
      <c r="AP431" s="352"/>
      <c r="AQ431" s="352"/>
      <c r="AR431" s="352"/>
      <c r="AS431" s="352"/>
      <c r="AT431" s="352"/>
      <c r="AU431" s="352"/>
      <c r="AV431" s="352"/>
      <c r="AW431" s="352"/>
      <c r="AX431" s="352"/>
      <c r="AY431" s="352"/>
      <c r="AZ431" s="352"/>
      <c r="BA431" s="352"/>
      <c r="BB431" s="352"/>
      <c r="BC431" s="352"/>
      <c r="BD431" s="352"/>
      <c r="BE431" s="352"/>
      <c r="BF431" s="352"/>
      <c r="BG431" s="352"/>
      <c r="BH431" s="352"/>
      <c r="BI431" s="352"/>
      <c r="BJ431" s="352"/>
      <c r="BK431" s="352"/>
      <c r="BL431" s="352"/>
      <c r="BM431" s="352"/>
      <c r="BN431" s="352"/>
      <c r="BO431" s="352"/>
      <c r="BP431" s="352"/>
      <c r="BQ431" s="352"/>
      <c r="BR431" s="352"/>
      <c r="BS431" s="352"/>
      <c r="BT431" s="352"/>
      <c r="BU431" s="352"/>
      <c r="BV431" s="352"/>
      <c r="BW431" s="352"/>
      <c r="BX431" s="352"/>
      <c r="BY431" s="352"/>
      <c r="BZ431" s="352"/>
      <c r="CA431" s="352"/>
      <c r="CB431" s="352"/>
      <c r="CC431" s="352"/>
      <c r="CD431" s="352"/>
      <c r="CE431" s="352"/>
      <c r="CF431" s="352"/>
      <c r="CG431" s="352"/>
      <c r="CH431" s="352"/>
      <c r="CI431" s="352"/>
      <c r="CJ431" s="352"/>
      <c r="CK431" s="352"/>
      <c r="CL431" s="352"/>
      <c r="CM431" s="352"/>
      <c r="CN431" s="352"/>
      <c r="CO431" s="352"/>
      <c r="CP431" s="352"/>
      <c r="CQ431" s="352"/>
      <c r="CR431" s="352"/>
      <c r="CS431" s="352"/>
      <c r="CT431" s="352"/>
      <c r="CU431" s="352"/>
      <c r="CV431" s="352"/>
      <c r="CW431" s="352"/>
      <c r="CX431" s="352"/>
      <c r="CY431" s="352"/>
      <c r="CZ431" s="352"/>
      <c r="DA431" s="352"/>
      <c r="DB431" s="352"/>
      <c r="DC431" s="352"/>
      <c r="DD431" s="352"/>
      <c r="DE431" s="352"/>
      <c r="DF431" s="352"/>
      <c r="DG431" s="352"/>
      <c r="DH431" s="352"/>
      <c r="DI431" s="352"/>
      <c r="DJ431" s="352"/>
      <c r="DK431" s="352"/>
      <c r="DL431" s="352"/>
      <c r="DM431" s="352"/>
      <c r="DN431" s="352"/>
      <c r="DO431" s="352"/>
      <c r="DP431" s="352"/>
      <c r="DQ431" s="352"/>
      <c r="DR431" s="352"/>
      <c r="DS431" s="352"/>
      <c r="DT431" s="352"/>
      <c r="DU431" s="352"/>
      <c r="DV431" s="352"/>
      <c r="DW431" s="352"/>
      <c r="DX431" s="352"/>
      <c r="DY431" s="352"/>
      <c r="DZ431" s="352"/>
      <c r="EA431" s="352"/>
      <c r="EB431" s="352"/>
      <c r="EC431" s="352"/>
      <c r="ED431" s="352"/>
      <c r="EE431" s="352"/>
      <c r="EF431" s="352"/>
      <c r="EG431" s="352"/>
      <c r="EH431" s="352"/>
      <c r="EI431" s="352"/>
      <c r="EJ431" s="352"/>
      <c r="EK431" s="352"/>
      <c r="EL431" s="352"/>
      <c r="EM431" s="352"/>
      <c r="EN431" s="352"/>
    </row>
    <row r="432" spans="1:144" s="188" customFormat="1" ht="20.100000000000001" customHeight="1">
      <c r="A432" s="179" t="s">
        <v>140</v>
      </c>
      <c r="B432" s="179" t="s">
        <v>463</v>
      </c>
      <c r="C432" s="180">
        <v>0</v>
      </c>
      <c r="D432" s="181">
        <f>'Sectors % GDP'!G33</f>
        <v>92673.2</v>
      </c>
      <c r="E432" s="181">
        <f t="shared" si="12"/>
        <v>0</v>
      </c>
      <c r="F432" s="184">
        <v>0</v>
      </c>
      <c r="G432" s="181">
        <v>0</v>
      </c>
      <c r="H432" s="183">
        <v>4.43</v>
      </c>
      <c r="I432" s="182">
        <v>8.64</v>
      </c>
      <c r="J432" s="183">
        <v>9.73</v>
      </c>
      <c r="K432" s="183">
        <v>4.07</v>
      </c>
      <c r="L432" s="184">
        <f t="shared" si="13"/>
        <v>-6.2</v>
      </c>
      <c r="M432" s="185">
        <v>-6.2E-2</v>
      </c>
      <c r="N432" s="185">
        <v>5.75</v>
      </c>
      <c r="O432" s="186">
        <f>'Trade Data'!F26</f>
        <v>0.35886822989682643</v>
      </c>
      <c r="P432" s="189">
        <v>1</v>
      </c>
      <c r="Q432" s="352"/>
      <c r="R432" s="352"/>
      <c r="S432" s="352"/>
      <c r="T432" s="352"/>
      <c r="U432" s="352"/>
      <c r="V432" s="352"/>
      <c r="W432" s="352"/>
      <c r="X432" s="352"/>
      <c r="Y432" s="352"/>
      <c r="Z432" s="352"/>
      <c r="AA432" s="352"/>
      <c r="AB432" s="352"/>
      <c r="AC432" s="352"/>
      <c r="AD432" s="352"/>
      <c r="AE432" s="352"/>
      <c r="AF432" s="352"/>
      <c r="AG432" s="352"/>
      <c r="AH432" s="352"/>
      <c r="AI432" s="352"/>
      <c r="AJ432" s="352"/>
      <c r="AK432" s="352"/>
      <c r="AL432" s="352"/>
      <c r="AM432" s="352"/>
      <c r="AN432" s="352"/>
      <c r="AO432" s="352"/>
      <c r="AP432" s="352"/>
      <c r="AQ432" s="352"/>
      <c r="AR432" s="352"/>
      <c r="AS432" s="352"/>
      <c r="AT432" s="352"/>
      <c r="AU432" s="352"/>
      <c r="AV432" s="352"/>
      <c r="AW432" s="352"/>
      <c r="AX432" s="352"/>
      <c r="AY432" s="352"/>
      <c r="AZ432" s="352"/>
      <c r="BA432" s="352"/>
      <c r="BB432" s="352"/>
      <c r="BC432" s="352"/>
      <c r="BD432" s="352"/>
      <c r="BE432" s="352"/>
      <c r="BF432" s="352"/>
      <c r="BG432" s="352"/>
      <c r="BH432" s="352"/>
      <c r="BI432" s="352"/>
      <c r="BJ432" s="352"/>
      <c r="BK432" s="352"/>
      <c r="BL432" s="352"/>
      <c r="BM432" s="352"/>
      <c r="BN432" s="352"/>
      <c r="BO432" s="352"/>
      <c r="BP432" s="352"/>
      <c r="BQ432" s="352"/>
      <c r="BR432" s="352"/>
      <c r="BS432" s="352"/>
      <c r="BT432" s="352"/>
      <c r="BU432" s="352"/>
      <c r="BV432" s="352"/>
      <c r="BW432" s="352"/>
      <c r="BX432" s="352"/>
      <c r="BY432" s="352"/>
      <c r="BZ432" s="352"/>
      <c r="CA432" s="352"/>
      <c r="CB432" s="352"/>
      <c r="CC432" s="352"/>
      <c r="CD432" s="352"/>
      <c r="CE432" s="352"/>
      <c r="CF432" s="352"/>
      <c r="CG432" s="352"/>
      <c r="CH432" s="352"/>
      <c r="CI432" s="352"/>
      <c r="CJ432" s="352"/>
      <c r="CK432" s="352"/>
      <c r="CL432" s="352"/>
      <c r="CM432" s="352"/>
      <c r="CN432" s="352"/>
      <c r="CO432" s="352"/>
      <c r="CP432" s="352"/>
      <c r="CQ432" s="352"/>
      <c r="CR432" s="352"/>
      <c r="CS432" s="352"/>
      <c r="CT432" s="352"/>
      <c r="CU432" s="352"/>
      <c r="CV432" s="352"/>
      <c r="CW432" s="352"/>
      <c r="CX432" s="352"/>
      <c r="CY432" s="352"/>
      <c r="CZ432" s="352"/>
      <c r="DA432" s="352"/>
      <c r="DB432" s="352"/>
      <c r="DC432" s="352"/>
      <c r="DD432" s="352"/>
      <c r="DE432" s="352"/>
      <c r="DF432" s="352"/>
      <c r="DG432" s="352"/>
      <c r="DH432" s="352"/>
      <c r="DI432" s="352"/>
      <c r="DJ432" s="352"/>
      <c r="DK432" s="352"/>
      <c r="DL432" s="352"/>
      <c r="DM432" s="352"/>
      <c r="DN432" s="352"/>
      <c r="DO432" s="352"/>
      <c r="DP432" s="352"/>
      <c r="DQ432" s="352"/>
      <c r="DR432" s="352"/>
      <c r="DS432" s="352"/>
      <c r="DT432" s="352"/>
      <c r="DU432" s="352"/>
      <c r="DV432" s="352"/>
      <c r="DW432" s="352"/>
      <c r="DX432" s="352"/>
      <c r="DY432" s="352"/>
      <c r="DZ432" s="352"/>
      <c r="EA432" s="352"/>
      <c r="EB432" s="352"/>
      <c r="EC432" s="352"/>
      <c r="ED432" s="352"/>
      <c r="EE432" s="352"/>
      <c r="EF432" s="352"/>
      <c r="EG432" s="352"/>
      <c r="EH432" s="352"/>
      <c r="EI432" s="352"/>
      <c r="EJ432" s="352"/>
      <c r="EK432" s="352"/>
      <c r="EL432" s="352"/>
      <c r="EM432" s="352"/>
      <c r="EN432" s="352"/>
    </row>
    <row r="433" spans="1:144" ht="20.100000000000001" customHeight="1">
      <c r="A433" s="118" t="s">
        <v>140</v>
      </c>
      <c r="B433" s="118" t="s">
        <v>462</v>
      </c>
      <c r="C433" s="119">
        <v>0</v>
      </c>
      <c r="D433" s="120">
        <f>'Sectors % GDP'!G34</f>
        <v>139252.4</v>
      </c>
      <c r="E433" s="120">
        <f t="shared" si="12"/>
        <v>0</v>
      </c>
      <c r="F433" s="123">
        <v>0</v>
      </c>
      <c r="G433" s="120">
        <v>0</v>
      </c>
      <c r="H433" s="122">
        <v>4.43</v>
      </c>
      <c r="I433" s="121">
        <v>8.64</v>
      </c>
      <c r="J433" s="122">
        <v>9.73</v>
      </c>
      <c r="K433" s="122">
        <v>4.07</v>
      </c>
      <c r="L433" s="123">
        <f t="shared" si="13"/>
        <v>-6.2</v>
      </c>
      <c r="M433" s="124">
        <v>-6.2E-2</v>
      </c>
      <c r="N433" s="124">
        <v>5.75</v>
      </c>
      <c r="O433" s="125">
        <f>'Trade Data'!F26</f>
        <v>0.35886822989682643</v>
      </c>
      <c r="P433" s="127">
        <v>1</v>
      </c>
      <c r="Q433" s="352"/>
      <c r="R433" s="352"/>
      <c r="S433" s="352"/>
      <c r="T433" s="352"/>
      <c r="U433" s="352"/>
      <c r="V433" s="352"/>
      <c r="W433" s="352"/>
      <c r="X433" s="352"/>
      <c r="Y433" s="352"/>
      <c r="Z433" s="352"/>
      <c r="AA433" s="352"/>
      <c r="AB433" s="352"/>
      <c r="AC433" s="352"/>
      <c r="AD433" s="352"/>
      <c r="AE433" s="352"/>
      <c r="AF433" s="352"/>
      <c r="AG433" s="352"/>
      <c r="AH433" s="352"/>
      <c r="AI433" s="352"/>
      <c r="AJ433" s="352"/>
      <c r="AK433" s="352"/>
      <c r="AL433" s="352"/>
      <c r="AM433" s="352"/>
      <c r="AN433" s="352"/>
      <c r="AO433" s="352"/>
      <c r="AP433" s="352"/>
      <c r="AQ433" s="352"/>
      <c r="AR433" s="352"/>
      <c r="AS433" s="352"/>
      <c r="AT433" s="352"/>
      <c r="AU433" s="352"/>
      <c r="AV433" s="352"/>
      <c r="AW433" s="352"/>
      <c r="AX433" s="352"/>
      <c r="AY433" s="352"/>
      <c r="AZ433" s="352"/>
      <c r="BA433" s="352"/>
      <c r="BB433" s="352"/>
      <c r="BC433" s="352"/>
      <c r="BD433" s="352"/>
      <c r="BE433" s="352"/>
      <c r="BF433" s="352"/>
      <c r="BG433" s="352"/>
      <c r="BH433" s="352"/>
      <c r="BI433" s="352"/>
      <c r="BJ433" s="352"/>
      <c r="BK433" s="352"/>
      <c r="BL433" s="352"/>
      <c r="BM433" s="352"/>
      <c r="BN433" s="352"/>
      <c r="BO433" s="352"/>
      <c r="BP433" s="352"/>
      <c r="BQ433" s="352"/>
      <c r="BR433" s="352"/>
      <c r="BS433" s="352"/>
      <c r="BT433" s="352"/>
      <c r="BU433" s="352"/>
      <c r="BV433" s="352"/>
      <c r="BW433" s="352"/>
      <c r="BX433" s="352"/>
      <c r="BY433" s="352"/>
      <c r="BZ433" s="352"/>
      <c r="CA433" s="352"/>
      <c r="CB433" s="352"/>
      <c r="CC433" s="352"/>
      <c r="CD433" s="352"/>
      <c r="CE433" s="352"/>
      <c r="CF433" s="352"/>
      <c r="CG433" s="352"/>
      <c r="CH433" s="352"/>
      <c r="CI433" s="352"/>
      <c r="CJ433" s="352"/>
      <c r="CK433" s="352"/>
      <c r="CL433" s="352"/>
      <c r="CM433" s="352"/>
      <c r="CN433" s="352"/>
      <c r="CO433" s="352"/>
      <c r="CP433" s="352"/>
      <c r="CQ433" s="352"/>
      <c r="CR433" s="352"/>
      <c r="CS433" s="352"/>
      <c r="CT433" s="352"/>
      <c r="CU433" s="352"/>
      <c r="CV433" s="352"/>
      <c r="CW433" s="352"/>
      <c r="CX433" s="352"/>
      <c r="CY433" s="352"/>
      <c r="CZ433" s="352"/>
      <c r="DA433" s="352"/>
      <c r="DB433" s="352"/>
      <c r="DC433" s="352"/>
      <c r="DD433" s="352"/>
      <c r="DE433" s="352"/>
      <c r="DF433" s="352"/>
      <c r="DG433" s="352"/>
      <c r="DH433" s="352"/>
      <c r="DI433" s="352"/>
      <c r="DJ433" s="352"/>
      <c r="DK433" s="352"/>
      <c r="DL433" s="352"/>
      <c r="DM433" s="352"/>
      <c r="DN433" s="352"/>
      <c r="DO433" s="352"/>
      <c r="DP433" s="352"/>
      <c r="DQ433" s="352"/>
      <c r="DR433" s="352"/>
      <c r="DS433" s="352"/>
      <c r="DT433" s="352"/>
      <c r="DU433" s="352"/>
      <c r="DV433" s="352"/>
      <c r="DW433" s="352"/>
      <c r="DX433" s="352"/>
      <c r="DY433" s="352"/>
      <c r="DZ433" s="352"/>
      <c r="EA433" s="352"/>
      <c r="EB433" s="352"/>
      <c r="EC433" s="352"/>
      <c r="ED433" s="352"/>
      <c r="EE433" s="352"/>
      <c r="EF433" s="352"/>
      <c r="EG433" s="352"/>
      <c r="EH433" s="352"/>
      <c r="EI433" s="352"/>
      <c r="EJ433" s="352"/>
      <c r="EK433" s="352"/>
      <c r="EL433" s="352"/>
      <c r="EM433" s="352"/>
      <c r="EN433" s="352"/>
    </row>
    <row r="434" spans="1:144" s="169" customFormat="1" ht="20.100000000000001" customHeight="1">
      <c r="A434" s="160" t="s">
        <v>141</v>
      </c>
      <c r="B434" s="160" t="s">
        <v>461</v>
      </c>
      <c r="C434" s="161">
        <v>0</v>
      </c>
      <c r="D434" s="162">
        <f>'Sectors % GDP'!I32</f>
        <v>10403.359999999999</v>
      </c>
      <c r="E434" s="162">
        <f t="shared" si="12"/>
        <v>0</v>
      </c>
      <c r="F434" s="165">
        <v>0</v>
      </c>
      <c r="G434" s="162">
        <v>0</v>
      </c>
      <c r="H434" s="164">
        <v>3.94</v>
      </c>
      <c r="I434" s="163">
        <v>3.38</v>
      </c>
      <c r="J434" s="164">
        <v>15.69</v>
      </c>
      <c r="K434" s="165">
        <v>4.22</v>
      </c>
      <c r="L434" s="165">
        <f t="shared" si="13"/>
        <v>-6.2</v>
      </c>
      <c r="M434" s="166">
        <v>-6.2E-2</v>
      </c>
      <c r="N434" s="166">
        <v>5.75</v>
      </c>
      <c r="O434" s="167">
        <f>'Trade Data'!F26</f>
        <v>0.35886822989682643</v>
      </c>
      <c r="P434" s="168">
        <v>0</v>
      </c>
      <c r="Q434" s="352"/>
      <c r="R434" s="352"/>
      <c r="S434" s="352"/>
      <c r="T434" s="352"/>
      <c r="U434" s="352"/>
      <c r="V434" s="352"/>
      <c r="W434" s="352"/>
      <c r="X434" s="352"/>
      <c r="Y434" s="352"/>
      <c r="Z434" s="352"/>
      <c r="AA434" s="352"/>
      <c r="AB434" s="352"/>
      <c r="AC434" s="352"/>
      <c r="AD434" s="352"/>
      <c r="AE434" s="352"/>
      <c r="AF434" s="352"/>
      <c r="AG434" s="352"/>
      <c r="AH434" s="352"/>
      <c r="AI434" s="352"/>
      <c r="AJ434" s="352"/>
      <c r="AK434" s="352"/>
      <c r="AL434" s="352"/>
      <c r="AM434" s="352"/>
      <c r="AN434" s="352"/>
      <c r="AO434" s="352"/>
      <c r="AP434" s="352"/>
      <c r="AQ434" s="352"/>
      <c r="AR434" s="352"/>
      <c r="AS434" s="352"/>
      <c r="AT434" s="352"/>
      <c r="AU434" s="352"/>
      <c r="AV434" s="352"/>
      <c r="AW434" s="352"/>
      <c r="AX434" s="352"/>
      <c r="AY434" s="352"/>
      <c r="AZ434" s="352"/>
      <c r="BA434" s="352"/>
      <c r="BB434" s="352"/>
      <c r="BC434" s="352"/>
      <c r="BD434" s="352"/>
      <c r="BE434" s="352"/>
      <c r="BF434" s="352"/>
      <c r="BG434" s="352"/>
      <c r="BH434" s="352"/>
      <c r="BI434" s="352"/>
      <c r="BJ434" s="352"/>
      <c r="BK434" s="352"/>
      <c r="BL434" s="352"/>
      <c r="BM434" s="352"/>
      <c r="BN434" s="352"/>
      <c r="BO434" s="352"/>
      <c r="BP434" s="352"/>
      <c r="BQ434" s="352"/>
      <c r="BR434" s="352"/>
      <c r="BS434" s="352"/>
      <c r="BT434" s="352"/>
      <c r="BU434" s="352"/>
      <c r="BV434" s="352"/>
      <c r="BW434" s="352"/>
      <c r="BX434" s="352"/>
      <c r="BY434" s="352"/>
      <c r="BZ434" s="352"/>
      <c r="CA434" s="352"/>
      <c r="CB434" s="352"/>
      <c r="CC434" s="352"/>
      <c r="CD434" s="352"/>
      <c r="CE434" s="352"/>
      <c r="CF434" s="352"/>
      <c r="CG434" s="352"/>
      <c r="CH434" s="352"/>
      <c r="CI434" s="352"/>
      <c r="CJ434" s="352"/>
      <c r="CK434" s="352"/>
      <c r="CL434" s="352"/>
      <c r="CM434" s="352"/>
      <c r="CN434" s="352"/>
      <c r="CO434" s="352"/>
      <c r="CP434" s="352"/>
      <c r="CQ434" s="352"/>
      <c r="CR434" s="352"/>
      <c r="CS434" s="352"/>
      <c r="CT434" s="352"/>
      <c r="CU434" s="352"/>
      <c r="CV434" s="352"/>
      <c r="CW434" s="352"/>
      <c r="CX434" s="352"/>
      <c r="CY434" s="352"/>
      <c r="CZ434" s="352"/>
      <c r="DA434" s="352"/>
      <c r="DB434" s="352"/>
      <c r="DC434" s="352"/>
      <c r="DD434" s="352"/>
      <c r="DE434" s="352"/>
      <c r="DF434" s="352"/>
      <c r="DG434" s="352"/>
      <c r="DH434" s="352"/>
      <c r="DI434" s="352"/>
      <c r="DJ434" s="352"/>
      <c r="DK434" s="352"/>
      <c r="DL434" s="352"/>
      <c r="DM434" s="352"/>
      <c r="DN434" s="352"/>
      <c r="DO434" s="352"/>
      <c r="DP434" s="352"/>
      <c r="DQ434" s="352"/>
      <c r="DR434" s="352"/>
      <c r="DS434" s="352"/>
      <c r="DT434" s="352"/>
      <c r="DU434" s="352"/>
      <c r="DV434" s="352"/>
      <c r="DW434" s="352"/>
      <c r="DX434" s="352"/>
      <c r="DY434" s="352"/>
      <c r="DZ434" s="352"/>
      <c r="EA434" s="352"/>
      <c r="EB434" s="352"/>
      <c r="EC434" s="352"/>
      <c r="ED434" s="352"/>
      <c r="EE434" s="352"/>
      <c r="EF434" s="352"/>
      <c r="EG434" s="352"/>
      <c r="EH434" s="352"/>
      <c r="EI434" s="352"/>
      <c r="EJ434" s="352"/>
      <c r="EK434" s="352"/>
      <c r="EL434" s="352"/>
      <c r="EM434" s="352"/>
      <c r="EN434" s="352"/>
    </row>
    <row r="435" spans="1:144" s="188" customFormat="1" ht="20.100000000000001" customHeight="1">
      <c r="A435" s="179" t="s">
        <v>141</v>
      </c>
      <c r="B435" s="179" t="s">
        <v>460</v>
      </c>
      <c r="C435" s="180">
        <v>0</v>
      </c>
      <c r="D435" s="181">
        <f>'Sectors % GDP'!I33</f>
        <v>90320.08</v>
      </c>
      <c r="E435" s="181">
        <f t="shared" si="12"/>
        <v>0</v>
      </c>
      <c r="F435" s="184">
        <v>0</v>
      </c>
      <c r="G435" s="181">
        <v>0</v>
      </c>
      <c r="H435" s="183">
        <v>3.94</v>
      </c>
      <c r="I435" s="182">
        <v>3.38</v>
      </c>
      <c r="J435" s="183">
        <v>15.69</v>
      </c>
      <c r="K435" s="184">
        <v>4.22</v>
      </c>
      <c r="L435" s="184">
        <f t="shared" si="13"/>
        <v>-6.2</v>
      </c>
      <c r="M435" s="185">
        <v>-6.2E-2</v>
      </c>
      <c r="N435" s="185">
        <v>5.75</v>
      </c>
      <c r="O435" s="186">
        <f>'Trade Data'!F26</f>
        <v>0.35886822989682643</v>
      </c>
      <c r="P435" s="187">
        <v>1</v>
      </c>
      <c r="Q435" s="352"/>
      <c r="R435" s="352"/>
      <c r="S435" s="352"/>
      <c r="T435" s="352"/>
      <c r="U435" s="352"/>
      <c r="V435" s="352"/>
      <c r="W435" s="352"/>
      <c r="X435" s="352"/>
      <c r="Y435" s="352"/>
      <c r="Z435" s="352"/>
      <c r="AA435" s="352"/>
      <c r="AB435" s="352"/>
      <c r="AC435" s="352"/>
      <c r="AD435" s="352"/>
      <c r="AE435" s="352"/>
      <c r="AF435" s="352"/>
      <c r="AG435" s="352"/>
      <c r="AH435" s="352"/>
      <c r="AI435" s="352"/>
      <c r="AJ435" s="352"/>
      <c r="AK435" s="352"/>
      <c r="AL435" s="352"/>
      <c r="AM435" s="352"/>
      <c r="AN435" s="352"/>
      <c r="AO435" s="352"/>
      <c r="AP435" s="352"/>
      <c r="AQ435" s="352"/>
      <c r="AR435" s="352"/>
      <c r="AS435" s="352"/>
      <c r="AT435" s="352"/>
      <c r="AU435" s="352"/>
      <c r="AV435" s="352"/>
      <c r="AW435" s="352"/>
      <c r="AX435" s="352"/>
      <c r="AY435" s="352"/>
      <c r="AZ435" s="352"/>
      <c r="BA435" s="352"/>
      <c r="BB435" s="352"/>
      <c r="BC435" s="352"/>
      <c r="BD435" s="352"/>
      <c r="BE435" s="352"/>
      <c r="BF435" s="352"/>
      <c r="BG435" s="352"/>
      <c r="BH435" s="352"/>
      <c r="BI435" s="352"/>
      <c r="BJ435" s="352"/>
      <c r="BK435" s="352"/>
      <c r="BL435" s="352"/>
      <c r="BM435" s="352"/>
      <c r="BN435" s="352"/>
      <c r="BO435" s="352"/>
      <c r="BP435" s="352"/>
      <c r="BQ435" s="352"/>
      <c r="BR435" s="352"/>
      <c r="BS435" s="352"/>
      <c r="BT435" s="352"/>
      <c r="BU435" s="352"/>
      <c r="BV435" s="352"/>
      <c r="BW435" s="352"/>
      <c r="BX435" s="352"/>
      <c r="BY435" s="352"/>
      <c r="BZ435" s="352"/>
      <c r="CA435" s="352"/>
      <c r="CB435" s="352"/>
      <c r="CC435" s="352"/>
      <c r="CD435" s="352"/>
      <c r="CE435" s="352"/>
      <c r="CF435" s="352"/>
      <c r="CG435" s="352"/>
      <c r="CH435" s="352"/>
      <c r="CI435" s="352"/>
      <c r="CJ435" s="352"/>
      <c r="CK435" s="352"/>
      <c r="CL435" s="352"/>
      <c r="CM435" s="352"/>
      <c r="CN435" s="352"/>
      <c r="CO435" s="352"/>
      <c r="CP435" s="352"/>
      <c r="CQ435" s="352"/>
      <c r="CR435" s="352"/>
      <c r="CS435" s="352"/>
      <c r="CT435" s="352"/>
      <c r="CU435" s="352"/>
      <c r="CV435" s="352"/>
      <c r="CW435" s="352"/>
      <c r="CX435" s="352"/>
      <c r="CY435" s="352"/>
      <c r="CZ435" s="352"/>
      <c r="DA435" s="352"/>
      <c r="DB435" s="352"/>
      <c r="DC435" s="352"/>
      <c r="DD435" s="352"/>
      <c r="DE435" s="352"/>
      <c r="DF435" s="352"/>
      <c r="DG435" s="352"/>
      <c r="DH435" s="352"/>
      <c r="DI435" s="352"/>
      <c r="DJ435" s="352"/>
      <c r="DK435" s="352"/>
      <c r="DL435" s="352"/>
      <c r="DM435" s="352"/>
      <c r="DN435" s="352"/>
      <c r="DO435" s="352"/>
      <c r="DP435" s="352"/>
      <c r="DQ435" s="352"/>
      <c r="DR435" s="352"/>
      <c r="DS435" s="352"/>
      <c r="DT435" s="352"/>
      <c r="DU435" s="352"/>
      <c r="DV435" s="352"/>
      <c r="DW435" s="352"/>
      <c r="DX435" s="352"/>
      <c r="DY435" s="352"/>
      <c r="DZ435" s="352"/>
      <c r="EA435" s="352"/>
      <c r="EB435" s="352"/>
      <c r="EC435" s="352"/>
      <c r="ED435" s="352"/>
      <c r="EE435" s="352"/>
      <c r="EF435" s="352"/>
      <c r="EG435" s="352"/>
      <c r="EH435" s="352"/>
      <c r="EI435" s="352"/>
      <c r="EJ435" s="352"/>
      <c r="EK435" s="352"/>
      <c r="EL435" s="352"/>
      <c r="EM435" s="352"/>
      <c r="EN435" s="352"/>
    </row>
    <row r="436" spans="1:144" ht="20.100000000000001" customHeight="1">
      <c r="A436" s="118" t="s">
        <v>141</v>
      </c>
      <c r="B436" s="118" t="s">
        <v>459</v>
      </c>
      <c r="C436" s="119">
        <v>0</v>
      </c>
      <c r="D436" s="120">
        <f>'Sectors % GDP'!I34</f>
        <v>135716.56</v>
      </c>
      <c r="E436" s="120">
        <f t="shared" si="12"/>
        <v>0</v>
      </c>
      <c r="F436" s="123">
        <v>0</v>
      </c>
      <c r="G436" s="120">
        <v>0</v>
      </c>
      <c r="H436" s="122">
        <v>3.94</v>
      </c>
      <c r="I436" s="121">
        <v>3.38</v>
      </c>
      <c r="J436" s="122">
        <v>15.69</v>
      </c>
      <c r="K436" s="123">
        <v>4.22</v>
      </c>
      <c r="L436" s="123">
        <f t="shared" si="13"/>
        <v>-6.2</v>
      </c>
      <c r="M436" s="124">
        <v>-6.2E-2</v>
      </c>
      <c r="N436" s="124">
        <v>5.75</v>
      </c>
      <c r="O436" s="125">
        <f>'Trade Data'!F26</f>
        <v>0.35886822989682643</v>
      </c>
      <c r="P436" s="126">
        <v>1</v>
      </c>
      <c r="Q436" s="352"/>
      <c r="R436" s="352"/>
      <c r="S436" s="352"/>
      <c r="T436" s="352"/>
      <c r="U436" s="352"/>
      <c r="V436" s="352"/>
      <c r="W436" s="352"/>
      <c r="X436" s="352"/>
      <c r="Y436" s="352"/>
      <c r="Z436" s="352"/>
      <c r="AA436" s="352"/>
      <c r="AB436" s="352"/>
      <c r="AC436" s="352"/>
      <c r="AD436" s="352"/>
      <c r="AE436" s="352"/>
      <c r="AF436" s="352"/>
      <c r="AG436" s="352"/>
      <c r="AH436" s="352"/>
      <c r="AI436" s="352"/>
      <c r="AJ436" s="352"/>
      <c r="AK436" s="352"/>
      <c r="AL436" s="352"/>
      <c r="AM436" s="352"/>
      <c r="AN436" s="352"/>
      <c r="AO436" s="352"/>
      <c r="AP436" s="352"/>
      <c r="AQ436" s="352"/>
      <c r="AR436" s="352"/>
      <c r="AS436" s="352"/>
      <c r="AT436" s="352"/>
      <c r="AU436" s="352"/>
      <c r="AV436" s="352"/>
      <c r="AW436" s="352"/>
      <c r="AX436" s="352"/>
      <c r="AY436" s="352"/>
      <c r="AZ436" s="352"/>
      <c r="BA436" s="352"/>
      <c r="BB436" s="352"/>
      <c r="BC436" s="352"/>
      <c r="BD436" s="352"/>
      <c r="BE436" s="352"/>
      <c r="BF436" s="352"/>
      <c r="BG436" s="352"/>
      <c r="BH436" s="352"/>
      <c r="BI436" s="352"/>
      <c r="BJ436" s="352"/>
      <c r="BK436" s="352"/>
      <c r="BL436" s="352"/>
      <c r="BM436" s="352"/>
      <c r="BN436" s="352"/>
      <c r="BO436" s="352"/>
      <c r="BP436" s="352"/>
      <c r="BQ436" s="352"/>
      <c r="BR436" s="352"/>
      <c r="BS436" s="352"/>
      <c r="BT436" s="352"/>
      <c r="BU436" s="352"/>
      <c r="BV436" s="352"/>
      <c r="BW436" s="352"/>
      <c r="BX436" s="352"/>
      <c r="BY436" s="352"/>
      <c r="BZ436" s="352"/>
      <c r="CA436" s="352"/>
      <c r="CB436" s="352"/>
      <c r="CC436" s="352"/>
      <c r="CD436" s="352"/>
      <c r="CE436" s="352"/>
      <c r="CF436" s="352"/>
      <c r="CG436" s="352"/>
      <c r="CH436" s="352"/>
      <c r="CI436" s="352"/>
      <c r="CJ436" s="352"/>
      <c r="CK436" s="352"/>
      <c r="CL436" s="352"/>
      <c r="CM436" s="352"/>
      <c r="CN436" s="352"/>
      <c r="CO436" s="352"/>
      <c r="CP436" s="352"/>
      <c r="CQ436" s="352"/>
      <c r="CR436" s="352"/>
      <c r="CS436" s="352"/>
      <c r="CT436" s="352"/>
      <c r="CU436" s="352"/>
      <c r="CV436" s="352"/>
      <c r="CW436" s="352"/>
      <c r="CX436" s="352"/>
      <c r="CY436" s="352"/>
      <c r="CZ436" s="352"/>
      <c r="DA436" s="352"/>
      <c r="DB436" s="352"/>
      <c r="DC436" s="352"/>
      <c r="DD436" s="352"/>
      <c r="DE436" s="352"/>
      <c r="DF436" s="352"/>
      <c r="DG436" s="352"/>
      <c r="DH436" s="352"/>
      <c r="DI436" s="352"/>
      <c r="DJ436" s="352"/>
      <c r="DK436" s="352"/>
      <c r="DL436" s="352"/>
      <c r="DM436" s="352"/>
      <c r="DN436" s="352"/>
      <c r="DO436" s="352"/>
      <c r="DP436" s="352"/>
      <c r="DQ436" s="352"/>
      <c r="DR436" s="352"/>
      <c r="DS436" s="352"/>
      <c r="DT436" s="352"/>
      <c r="DU436" s="352"/>
      <c r="DV436" s="352"/>
      <c r="DW436" s="352"/>
      <c r="DX436" s="352"/>
      <c r="DY436" s="352"/>
      <c r="DZ436" s="352"/>
      <c r="EA436" s="352"/>
      <c r="EB436" s="352"/>
      <c r="EC436" s="352"/>
      <c r="ED436" s="352"/>
      <c r="EE436" s="352"/>
      <c r="EF436" s="352"/>
      <c r="EG436" s="352"/>
      <c r="EH436" s="352"/>
      <c r="EI436" s="352"/>
      <c r="EJ436" s="352"/>
      <c r="EK436" s="352"/>
      <c r="EL436" s="352"/>
      <c r="EM436" s="352"/>
      <c r="EN436" s="352"/>
    </row>
    <row r="437" spans="1:144" s="169" customFormat="1" ht="20.100000000000001" customHeight="1">
      <c r="A437" s="160" t="s">
        <v>142</v>
      </c>
      <c r="B437" s="160" t="s">
        <v>458</v>
      </c>
      <c r="C437" s="161">
        <v>0</v>
      </c>
      <c r="D437" s="162">
        <f>'Sectors % GDP'!I32</f>
        <v>10403.359999999999</v>
      </c>
      <c r="E437" s="162">
        <f t="shared" si="12"/>
        <v>0</v>
      </c>
      <c r="F437" s="165">
        <v>0</v>
      </c>
      <c r="G437" s="162">
        <v>0</v>
      </c>
      <c r="H437" s="164">
        <v>2.85</v>
      </c>
      <c r="I437" s="163">
        <v>7.62</v>
      </c>
      <c r="J437" s="164">
        <v>4.54</v>
      </c>
      <c r="K437" s="165">
        <v>4.22</v>
      </c>
      <c r="L437" s="165">
        <f t="shared" si="13"/>
        <v>-18</v>
      </c>
      <c r="M437" s="166">
        <v>-0.18</v>
      </c>
      <c r="N437" s="166">
        <v>6.25</v>
      </c>
      <c r="O437" s="167">
        <f>'Trade Data'!H26</f>
        <v>0.24223034387010769</v>
      </c>
      <c r="P437" s="170">
        <v>0</v>
      </c>
      <c r="Q437" s="352"/>
      <c r="R437" s="352"/>
      <c r="S437" s="352"/>
      <c r="T437" s="352"/>
      <c r="U437" s="352"/>
      <c r="V437" s="352"/>
      <c r="W437" s="352"/>
      <c r="X437" s="352"/>
      <c r="Y437" s="352"/>
      <c r="Z437" s="352"/>
      <c r="AA437" s="352"/>
      <c r="AB437" s="352"/>
      <c r="AC437" s="352"/>
      <c r="AD437" s="352"/>
      <c r="AE437" s="352"/>
      <c r="AF437" s="352"/>
      <c r="AG437" s="352"/>
      <c r="AH437" s="352"/>
      <c r="AI437" s="352"/>
      <c r="AJ437" s="352"/>
      <c r="AK437" s="352"/>
      <c r="AL437" s="352"/>
      <c r="AM437" s="352"/>
      <c r="AN437" s="352"/>
      <c r="AO437" s="352"/>
      <c r="AP437" s="352"/>
      <c r="AQ437" s="352"/>
      <c r="AR437" s="352"/>
      <c r="AS437" s="352"/>
      <c r="AT437" s="352"/>
      <c r="AU437" s="352"/>
      <c r="AV437" s="352"/>
      <c r="AW437" s="352"/>
      <c r="AX437" s="352"/>
      <c r="AY437" s="352"/>
      <c r="AZ437" s="352"/>
      <c r="BA437" s="352"/>
      <c r="BB437" s="352"/>
      <c r="BC437" s="352"/>
      <c r="BD437" s="352"/>
      <c r="BE437" s="352"/>
      <c r="BF437" s="352"/>
      <c r="BG437" s="352"/>
      <c r="BH437" s="352"/>
      <c r="BI437" s="352"/>
      <c r="BJ437" s="352"/>
      <c r="BK437" s="352"/>
      <c r="BL437" s="352"/>
      <c r="BM437" s="352"/>
      <c r="BN437" s="352"/>
      <c r="BO437" s="352"/>
      <c r="BP437" s="352"/>
      <c r="BQ437" s="352"/>
      <c r="BR437" s="352"/>
      <c r="BS437" s="352"/>
      <c r="BT437" s="352"/>
      <c r="BU437" s="352"/>
      <c r="BV437" s="352"/>
      <c r="BW437" s="352"/>
      <c r="BX437" s="352"/>
      <c r="BY437" s="352"/>
      <c r="BZ437" s="352"/>
      <c r="CA437" s="352"/>
      <c r="CB437" s="352"/>
      <c r="CC437" s="352"/>
      <c r="CD437" s="352"/>
      <c r="CE437" s="352"/>
      <c r="CF437" s="352"/>
      <c r="CG437" s="352"/>
      <c r="CH437" s="352"/>
      <c r="CI437" s="352"/>
      <c r="CJ437" s="352"/>
      <c r="CK437" s="352"/>
      <c r="CL437" s="352"/>
      <c r="CM437" s="352"/>
      <c r="CN437" s="352"/>
      <c r="CO437" s="352"/>
      <c r="CP437" s="352"/>
      <c r="CQ437" s="352"/>
      <c r="CR437" s="352"/>
      <c r="CS437" s="352"/>
      <c r="CT437" s="352"/>
      <c r="CU437" s="352"/>
      <c r="CV437" s="352"/>
      <c r="CW437" s="352"/>
      <c r="CX437" s="352"/>
      <c r="CY437" s="352"/>
      <c r="CZ437" s="352"/>
      <c r="DA437" s="352"/>
      <c r="DB437" s="352"/>
      <c r="DC437" s="352"/>
      <c r="DD437" s="352"/>
      <c r="DE437" s="352"/>
      <c r="DF437" s="352"/>
      <c r="DG437" s="352"/>
      <c r="DH437" s="352"/>
      <c r="DI437" s="352"/>
      <c r="DJ437" s="352"/>
      <c r="DK437" s="352"/>
      <c r="DL437" s="352"/>
      <c r="DM437" s="352"/>
      <c r="DN437" s="352"/>
      <c r="DO437" s="352"/>
      <c r="DP437" s="352"/>
      <c r="DQ437" s="352"/>
      <c r="DR437" s="352"/>
      <c r="DS437" s="352"/>
      <c r="DT437" s="352"/>
      <c r="DU437" s="352"/>
      <c r="DV437" s="352"/>
      <c r="DW437" s="352"/>
      <c r="DX437" s="352"/>
      <c r="DY437" s="352"/>
      <c r="DZ437" s="352"/>
      <c r="EA437" s="352"/>
      <c r="EB437" s="352"/>
      <c r="EC437" s="352"/>
      <c r="ED437" s="352"/>
      <c r="EE437" s="352"/>
      <c r="EF437" s="352"/>
      <c r="EG437" s="352"/>
      <c r="EH437" s="352"/>
      <c r="EI437" s="352"/>
      <c r="EJ437" s="352"/>
      <c r="EK437" s="352"/>
      <c r="EL437" s="352"/>
      <c r="EM437" s="352"/>
      <c r="EN437" s="352"/>
    </row>
    <row r="438" spans="1:144" s="188" customFormat="1" ht="20.100000000000001" customHeight="1">
      <c r="A438" s="179" t="s">
        <v>142</v>
      </c>
      <c r="B438" s="179" t="s">
        <v>457</v>
      </c>
      <c r="C438" s="180">
        <v>0</v>
      </c>
      <c r="D438" s="181">
        <f>'Sectors % GDP'!I33</f>
        <v>90320.08</v>
      </c>
      <c r="E438" s="181">
        <f t="shared" si="12"/>
        <v>0</v>
      </c>
      <c r="F438" s="184">
        <v>0</v>
      </c>
      <c r="G438" s="181">
        <v>0</v>
      </c>
      <c r="H438" s="183">
        <v>2.85</v>
      </c>
      <c r="I438" s="182">
        <v>7.62</v>
      </c>
      <c r="J438" s="183">
        <v>4.54</v>
      </c>
      <c r="K438" s="184">
        <v>4.22</v>
      </c>
      <c r="L438" s="184">
        <f t="shared" si="13"/>
        <v>-18</v>
      </c>
      <c r="M438" s="185">
        <v>-0.18</v>
      </c>
      <c r="N438" s="185">
        <v>6.25</v>
      </c>
      <c r="O438" s="186">
        <f>'Trade Data'!H26</f>
        <v>0.24223034387010769</v>
      </c>
      <c r="P438" s="189">
        <v>1</v>
      </c>
      <c r="Q438" s="352"/>
      <c r="R438" s="352"/>
      <c r="S438" s="352"/>
      <c r="T438" s="352"/>
      <c r="U438" s="352"/>
      <c r="V438" s="352"/>
      <c r="W438" s="352"/>
      <c r="X438" s="352"/>
      <c r="Y438" s="352"/>
      <c r="Z438" s="352"/>
      <c r="AA438" s="352"/>
      <c r="AB438" s="352"/>
      <c r="AC438" s="352"/>
      <c r="AD438" s="352"/>
      <c r="AE438" s="352"/>
      <c r="AF438" s="352"/>
      <c r="AG438" s="352"/>
      <c r="AH438" s="352"/>
      <c r="AI438" s="352"/>
      <c r="AJ438" s="352"/>
      <c r="AK438" s="352"/>
      <c r="AL438" s="352"/>
      <c r="AM438" s="352"/>
      <c r="AN438" s="352"/>
      <c r="AO438" s="352"/>
      <c r="AP438" s="352"/>
      <c r="AQ438" s="352"/>
      <c r="AR438" s="352"/>
      <c r="AS438" s="352"/>
      <c r="AT438" s="352"/>
      <c r="AU438" s="352"/>
      <c r="AV438" s="352"/>
      <c r="AW438" s="352"/>
      <c r="AX438" s="352"/>
      <c r="AY438" s="352"/>
      <c r="AZ438" s="352"/>
      <c r="BA438" s="352"/>
      <c r="BB438" s="352"/>
      <c r="BC438" s="352"/>
      <c r="BD438" s="352"/>
      <c r="BE438" s="352"/>
      <c r="BF438" s="352"/>
      <c r="BG438" s="352"/>
      <c r="BH438" s="352"/>
      <c r="BI438" s="352"/>
      <c r="BJ438" s="352"/>
      <c r="BK438" s="352"/>
      <c r="BL438" s="352"/>
      <c r="BM438" s="352"/>
      <c r="BN438" s="352"/>
      <c r="BO438" s="352"/>
      <c r="BP438" s="352"/>
      <c r="BQ438" s="352"/>
      <c r="BR438" s="352"/>
      <c r="BS438" s="352"/>
      <c r="BT438" s="352"/>
      <c r="BU438" s="352"/>
      <c r="BV438" s="352"/>
      <c r="BW438" s="352"/>
      <c r="BX438" s="352"/>
      <c r="BY438" s="352"/>
      <c r="BZ438" s="352"/>
      <c r="CA438" s="352"/>
      <c r="CB438" s="352"/>
      <c r="CC438" s="352"/>
      <c r="CD438" s="352"/>
      <c r="CE438" s="352"/>
      <c r="CF438" s="352"/>
      <c r="CG438" s="352"/>
      <c r="CH438" s="352"/>
      <c r="CI438" s="352"/>
      <c r="CJ438" s="352"/>
      <c r="CK438" s="352"/>
      <c r="CL438" s="352"/>
      <c r="CM438" s="352"/>
      <c r="CN438" s="352"/>
      <c r="CO438" s="352"/>
      <c r="CP438" s="352"/>
      <c r="CQ438" s="352"/>
      <c r="CR438" s="352"/>
      <c r="CS438" s="352"/>
      <c r="CT438" s="352"/>
      <c r="CU438" s="352"/>
      <c r="CV438" s="352"/>
      <c r="CW438" s="352"/>
      <c r="CX438" s="352"/>
      <c r="CY438" s="352"/>
      <c r="CZ438" s="352"/>
      <c r="DA438" s="352"/>
      <c r="DB438" s="352"/>
      <c r="DC438" s="352"/>
      <c r="DD438" s="352"/>
      <c r="DE438" s="352"/>
      <c r="DF438" s="352"/>
      <c r="DG438" s="352"/>
      <c r="DH438" s="352"/>
      <c r="DI438" s="352"/>
      <c r="DJ438" s="352"/>
      <c r="DK438" s="352"/>
      <c r="DL438" s="352"/>
      <c r="DM438" s="352"/>
      <c r="DN438" s="352"/>
      <c r="DO438" s="352"/>
      <c r="DP438" s="352"/>
      <c r="DQ438" s="352"/>
      <c r="DR438" s="352"/>
      <c r="DS438" s="352"/>
      <c r="DT438" s="352"/>
      <c r="DU438" s="352"/>
      <c r="DV438" s="352"/>
      <c r="DW438" s="352"/>
      <c r="DX438" s="352"/>
      <c r="DY438" s="352"/>
      <c r="DZ438" s="352"/>
      <c r="EA438" s="352"/>
      <c r="EB438" s="352"/>
      <c r="EC438" s="352"/>
      <c r="ED438" s="352"/>
      <c r="EE438" s="352"/>
      <c r="EF438" s="352"/>
      <c r="EG438" s="352"/>
      <c r="EH438" s="352"/>
      <c r="EI438" s="352"/>
      <c r="EJ438" s="352"/>
      <c r="EK438" s="352"/>
      <c r="EL438" s="352"/>
      <c r="EM438" s="352"/>
      <c r="EN438" s="352"/>
    </row>
    <row r="439" spans="1:144" ht="20.100000000000001" customHeight="1">
      <c r="A439" s="118" t="s">
        <v>142</v>
      </c>
      <c r="B439" s="118" t="s">
        <v>456</v>
      </c>
      <c r="C439" s="119">
        <v>0</v>
      </c>
      <c r="D439" s="120">
        <f>'Sectors % GDP'!I34</f>
        <v>135716.56</v>
      </c>
      <c r="E439" s="120">
        <f t="shared" si="12"/>
        <v>0</v>
      </c>
      <c r="F439" s="123">
        <v>0</v>
      </c>
      <c r="G439" s="120">
        <v>0</v>
      </c>
      <c r="H439" s="122">
        <v>2.85</v>
      </c>
      <c r="I439" s="121">
        <v>7.62</v>
      </c>
      <c r="J439" s="122">
        <v>4.54</v>
      </c>
      <c r="K439" s="123">
        <v>4.22</v>
      </c>
      <c r="L439" s="123">
        <f t="shared" si="13"/>
        <v>-18</v>
      </c>
      <c r="M439" s="124">
        <v>-0.18</v>
      </c>
      <c r="N439" s="124">
        <v>6.25</v>
      </c>
      <c r="O439" s="125">
        <f>'Trade Data'!H26</f>
        <v>0.24223034387010769</v>
      </c>
      <c r="P439" s="127">
        <v>1</v>
      </c>
      <c r="Q439" s="352"/>
      <c r="R439" s="352"/>
      <c r="S439" s="352"/>
      <c r="T439" s="352"/>
      <c r="U439" s="352"/>
      <c r="V439" s="352"/>
      <c r="W439" s="352"/>
      <c r="X439" s="352"/>
      <c r="Y439" s="352"/>
      <c r="Z439" s="352"/>
      <c r="AA439" s="352"/>
      <c r="AB439" s="352"/>
      <c r="AC439" s="352"/>
      <c r="AD439" s="352"/>
      <c r="AE439" s="352"/>
      <c r="AF439" s="352"/>
      <c r="AG439" s="352"/>
      <c r="AH439" s="352"/>
      <c r="AI439" s="352"/>
      <c r="AJ439" s="352"/>
      <c r="AK439" s="352"/>
      <c r="AL439" s="352"/>
      <c r="AM439" s="352"/>
      <c r="AN439" s="352"/>
      <c r="AO439" s="352"/>
      <c r="AP439" s="352"/>
      <c r="AQ439" s="352"/>
      <c r="AR439" s="352"/>
      <c r="AS439" s="352"/>
      <c r="AT439" s="352"/>
      <c r="AU439" s="352"/>
      <c r="AV439" s="352"/>
      <c r="AW439" s="352"/>
      <c r="AX439" s="352"/>
      <c r="AY439" s="352"/>
      <c r="AZ439" s="352"/>
      <c r="BA439" s="352"/>
      <c r="BB439" s="352"/>
      <c r="BC439" s="352"/>
      <c r="BD439" s="352"/>
      <c r="BE439" s="352"/>
      <c r="BF439" s="352"/>
      <c r="BG439" s="352"/>
      <c r="BH439" s="352"/>
      <c r="BI439" s="352"/>
      <c r="BJ439" s="352"/>
      <c r="BK439" s="352"/>
      <c r="BL439" s="352"/>
      <c r="BM439" s="352"/>
      <c r="BN439" s="352"/>
      <c r="BO439" s="352"/>
      <c r="BP439" s="352"/>
      <c r="BQ439" s="352"/>
      <c r="BR439" s="352"/>
      <c r="BS439" s="352"/>
      <c r="BT439" s="352"/>
      <c r="BU439" s="352"/>
      <c r="BV439" s="352"/>
      <c r="BW439" s="352"/>
      <c r="BX439" s="352"/>
      <c r="BY439" s="352"/>
      <c r="BZ439" s="352"/>
      <c r="CA439" s="352"/>
      <c r="CB439" s="352"/>
      <c r="CC439" s="352"/>
      <c r="CD439" s="352"/>
      <c r="CE439" s="352"/>
      <c r="CF439" s="352"/>
      <c r="CG439" s="352"/>
      <c r="CH439" s="352"/>
      <c r="CI439" s="352"/>
      <c r="CJ439" s="352"/>
      <c r="CK439" s="352"/>
      <c r="CL439" s="352"/>
      <c r="CM439" s="352"/>
      <c r="CN439" s="352"/>
      <c r="CO439" s="352"/>
      <c r="CP439" s="352"/>
      <c r="CQ439" s="352"/>
      <c r="CR439" s="352"/>
      <c r="CS439" s="352"/>
      <c r="CT439" s="352"/>
      <c r="CU439" s="352"/>
      <c r="CV439" s="352"/>
      <c r="CW439" s="352"/>
      <c r="CX439" s="352"/>
      <c r="CY439" s="352"/>
      <c r="CZ439" s="352"/>
      <c r="DA439" s="352"/>
      <c r="DB439" s="352"/>
      <c r="DC439" s="352"/>
      <c r="DD439" s="352"/>
      <c r="DE439" s="352"/>
      <c r="DF439" s="352"/>
      <c r="DG439" s="352"/>
      <c r="DH439" s="352"/>
      <c r="DI439" s="352"/>
      <c r="DJ439" s="352"/>
      <c r="DK439" s="352"/>
      <c r="DL439" s="352"/>
      <c r="DM439" s="352"/>
      <c r="DN439" s="352"/>
      <c r="DO439" s="352"/>
      <c r="DP439" s="352"/>
      <c r="DQ439" s="352"/>
      <c r="DR439" s="352"/>
      <c r="DS439" s="352"/>
      <c r="DT439" s="352"/>
      <c r="DU439" s="352"/>
      <c r="DV439" s="352"/>
      <c r="DW439" s="352"/>
      <c r="DX439" s="352"/>
      <c r="DY439" s="352"/>
      <c r="DZ439" s="352"/>
      <c r="EA439" s="352"/>
      <c r="EB439" s="352"/>
      <c r="EC439" s="352"/>
      <c r="ED439" s="352"/>
      <c r="EE439" s="352"/>
      <c r="EF439" s="352"/>
      <c r="EG439" s="352"/>
      <c r="EH439" s="352"/>
      <c r="EI439" s="352"/>
      <c r="EJ439" s="352"/>
      <c r="EK439" s="352"/>
      <c r="EL439" s="352"/>
      <c r="EM439" s="352"/>
      <c r="EN439" s="352"/>
    </row>
    <row r="440" spans="1:144" s="169" customFormat="1" ht="20.100000000000001" customHeight="1">
      <c r="A440" s="160" t="s">
        <v>143</v>
      </c>
      <c r="B440" s="160" t="s">
        <v>455</v>
      </c>
      <c r="C440" s="161">
        <v>0</v>
      </c>
      <c r="D440" s="162">
        <f>'Sectors % GDP'!I32</f>
        <v>10403.359999999999</v>
      </c>
      <c r="E440" s="162">
        <f t="shared" si="12"/>
        <v>0</v>
      </c>
      <c r="F440" s="165">
        <v>0</v>
      </c>
      <c r="G440" s="162">
        <v>0</v>
      </c>
      <c r="H440" s="164">
        <v>2.14</v>
      </c>
      <c r="I440" s="163">
        <v>2.7</v>
      </c>
      <c r="J440" s="164">
        <v>6.65</v>
      </c>
      <c r="K440" s="165">
        <v>4.22</v>
      </c>
      <c r="L440" s="165">
        <f t="shared" si="13"/>
        <v>-18</v>
      </c>
      <c r="M440" s="166">
        <v>-0.18</v>
      </c>
      <c r="N440" s="166">
        <v>6.25</v>
      </c>
      <c r="O440" s="167">
        <f>'Trade Data'!H26</f>
        <v>0.24223034387010769</v>
      </c>
      <c r="P440" s="168">
        <v>0</v>
      </c>
      <c r="Q440" s="352"/>
      <c r="R440" s="352"/>
      <c r="S440" s="352"/>
      <c r="T440" s="352"/>
      <c r="U440" s="352"/>
      <c r="V440" s="352"/>
      <c r="W440" s="352"/>
      <c r="X440" s="352"/>
      <c r="Y440" s="352"/>
      <c r="Z440" s="352"/>
      <c r="AA440" s="352"/>
      <c r="AB440" s="352"/>
      <c r="AC440" s="352"/>
      <c r="AD440" s="352"/>
      <c r="AE440" s="352"/>
      <c r="AF440" s="352"/>
      <c r="AG440" s="352"/>
      <c r="AH440" s="352"/>
      <c r="AI440" s="352"/>
      <c r="AJ440" s="352"/>
      <c r="AK440" s="352"/>
      <c r="AL440" s="352"/>
      <c r="AM440" s="352"/>
      <c r="AN440" s="352"/>
      <c r="AO440" s="352"/>
      <c r="AP440" s="352"/>
      <c r="AQ440" s="352"/>
      <c r="AR440" s="352"/>
      <c r="AS440" s="352"/>
      <c r="AT440" s="352"/>
      <c r="AU440" s="352"/>
      <c r="AV440" s="352"/>
      <c r="AW440" s="352"/>
      <c r="AX440" s="352"/>
      <c r="AY440" s="352"/>
      <c r="AZ440" s="352"/>
      <c r="BA440" s="352"/>
      <c r="BB440" s="352"/>
      <c r="BC440" s="352"/>
      <c r="BD440" s="352"/>
      <c r="BE440" s="352"/>
      <c r="BF440" s="352"/>
      <c r="BG440" s="352"/>
      <c r="BH440" s="352"/>
      <c r="BI440" s="352"/>
      <c r="BJ440" s="352"/>
      <c r="BK440" s="352"/>
      <c r="BL440" s="352"/>
      <c r="BM440" s="352"/>
      <c r="BN440" s="352"/>
      <c r="BO440" s="352"/>
      <c r="BP440" s="352"/>
      <c r="BQ440" s="352"/>
      <c r="BR440" s="352"/>
      <c r="BS440" s="352"/>
      <c r="BT440" s="352"/>
      <c r="BU440" s="352"/>
      <c r="BV440" s="352"/>
      <c r="BW440" s="352"/>
      <c r="BX440" s="352"/>
      <c r="BY440" s="352"/>
      <c r="BZ440" s="352"/>
      <c r="CA440" s="352"/>
      <c r="CB440" s="352"/>
      <c r="CC440" s="352"/>
      <c r="CD440" s="352"/>
      <c r="CE440" s="352"/>
      <c r="CF440" s="352"/>
      <c r="CG440" s="352"/>
      <c r="CH440" s="352"/>
      <c r="CI440" s="352"/>
      <c r="CJ440" s="352"/>
      <c r="CK440" s="352"/>
      <c r="CL440" s="352"/>
      <c r="CM440" s="352"/>
      <c r="CN440" s="352"/>
      <c r="CO440" s="352"/>
      <c r="CP440" s="352"/>
      <c r="CQ440" s="352"/>
      <c r="CR440" s="352"/>
      <c r="CS440" s="352"/>
      <c r="CT440" s="352"/>
      <c r="CU440" s="352"/>
      <c r="CV440" s="352"/>
      <c r="CW440" s="352"/>
      <c r="CX440" s="352"/>
      <c r="CY440" s="352"/>
      <c r="CZ440" s="352"/>
      <c r="DA440" s="352"/>
      <c r="DB440" s="352"/>
      <c r="DC440" s="352"/>
      <c r="DD440" s="352"/>
      <c r="DE440" s="352"/>
      <c r="DF440" s="352"/>
      <c r="DG440" s="352"/>
      <c r="DH440" s="352"/>
      <c r="DI440" s="352"/>
      <c r="DJ440" s="352"/>
      <c r="DK440" s="352"/>
      <c r="DL440" s="352"/>
      <c r="DM440" s="352"/>
      <c r="DN440" s="352"/>
      <c r="DO440" s="352"/>
      <c r="DP440" s="352"/>
      <c r="DQ440" s="352"/>
      <c r="DR440" s="352"/>
      <c r="DS440" s="352"/>
      <c r="DT440" s="352"/>
      <c r="DU440" s="352"/>
      <c r="DV440" s="352"/>
      <c r="DW440" s="352"/>
      <c r="DX440" s="352"/>
      <c r="DY440" s="352"/>
      <c r="DZ440" s="352"/>
      <c r="EA440" s="352"/>
      <c r="EB440" s="352"/>
      <c r="EC440" s="352"/>
      <c r="ED440" s="352"/>
      <c r="EE440" s="352"/>
      <c r="EF440" s="352"/>
      <c r="EG440" s="352"/>
      <c r="EH440" s="352"/>
      <c r="EI440" s="352"/>
      <c r="EJ440" s="352"/>
      <c r="EK440" s="352"/>
      <c r="EL440" s="352"/>
      <c r="EM440" s="352"/>
      <c r="EN440" s="352"/>
    </row>
    <row r="441" spans="1:144" s="188" customFormat="1" ht="20.100000000000001" customHeight="1">
      <c r="A441" s="179" t="s">
        <v>143</v>
      </c>
      <c r="B441" s="179" t="s">
        <v>454</v>
      </c>
      <c r="C441" s="180">
        <v>0</v>
      </c>
      <c r="D441" s="181">
        <f>'Sectors % GDP'!I33</f>
        <v>90320.08</v>
      </c>
      <c r="E441" s="181">
        <f t="shared" si="12"/>
        <v>0</v>
      </c>
      <c r="F441" s="184">
        <v>0</v>
      </c>
      <c r="G441" s="181">
        <v>0</v>
      </c>
      <c r="H441" s="183">
        <v>2.14</v>
      </c>
      <c r="I441" s="182">
        <v>2.7</v>
      </c>
      <c r="J441" s="183">
        <v>6.65</v>
      </c>
      <c r="K441" s="184">
        <v>4.22</v>
      </c>
      <c r="L441" s="184">
        <f t="shared" si="13"/>
        <v>-18</v>
      </c>
      <c r="M441" s="185">
        <v>-0.18</v>
      </c>
      <c r="N441" s="185">
        <v>6.25</v>
      </c>
      <c r="O441" s="186">
        <f>'Trade Data'!H26</f>
        <v>0.24223034387010769</v>
      </c>
      <c r="P441" s="187">
        <v>1</v>
      </c>
      <c r="Q441" s="352"/>
      <c r="R441" s="352"/>
      <c r="S441" s="352"/>
      <c r="T441" s="352"/>
      <c r="U441" s="352"/>
      <c r="V441" s="352"/>
      <c r="W441" s="352"/>
      <c r="X441" s="352"/>
      <c r="Y441" s="352"/>
      <c r="Z441" s="352"/>
      <c r="AA441" s="352"/>
      <c r="AB441" s="352"/>
      <c r="AC441" s="352"/>
      <c r="AD441" s="352"/>
      <c r="AE441" s="352"/>
      <c r="AF441" s="352"/>
      <c r="AG441" s="352"/>
      <c r="AH441" s="352"/>
      <c r="AI441" s="352"/>
      <c r="AJ441" s="352"/>
      <c r="AK441" s="352"/>
      <c r="AL441" s="352"/>
      <c r="AM441" s="352"/>
      <c r="AN441" s="352"/>
      <c r="AO441" s="352"/>
      <c r="AP441" s="352"/>
      <c r="AQ441" s="352"/>
      <c r="AR441" s="352"/>
      <c r="AS441" s="352"/>
      <c r="AT441" s="352"/>
      <c r="AU441" s="352"/>
      <c r="AV441" s="352"/>
      <c r="AW441" s="352"/>
      <c r="AX441" s="352"/>
      <c r="AY441" s="352"/>
      <c r="AZ441" s="352"/>
      <c r="BA441" s="352"/>
      <c r="BB441" s="352"/>
      <c r="BC441" s="352"/>
      <c r="BD441" s="352"/>
      <c r="BE441" s="352"/>
      <c r="BF441" s="352"/>
      <c r="BG441" s="352"/>
      <c r="BH441" s="352"/>
      <c r="BI441" s="352"/>
      <c r="BJ441" s="352"/>
      <c r="BK441" s="352"/>
      <c r="BL441" s="352"/>
      <c r="BM441" s="352"/>
      <c r="BN441" s="352"/>
      <c r="BO441" s="352"/>
      <c r="BP441" s="352"/>
      <c r="BQ441" s="352"/>
      <c r="BR441" s="352"/>
      <c r="BS441" s="352"/>
      <c r="BT441" s="352"/>
      <c r="BU441" s="352"/>
      <c r="BV441" s="352"/>
      <c r="BW441" s="352"/>
      <c r="BX441" s="352"/>
      <c r="BY441" s="352"/>
      <c r="BZ441" s="352"/>
      <c r="CA441" s="352"/>
      <c r="CB441" s="352"/>
      <c r="CC441" s="352"/>
      <c r="CD441" s="352"/>
      <c r="CE441" s="352"/>
      <c r="CF441" s="352"/>
      <c r="CG441" s="352"/>
      <c r="CH441" s="352"/>
      <c r="CI441" s="352"/>
      <c r="CJ441" s="352"/>
      <c r="CK441" s="352"/>
      <c r="CL441" s="352"/>
      <c r="CM441" s="352"/>
      <c r="CN441" s="352"/>
      <c r="CO441" s="352"/>
      <c r="CP441" s="352"/>
      <c r="CQ441" s="352"/>
      <c r="CR441" s="352"/>
      <c r="CS441" s="352"/>
      <c r="CT441" s="352"/>
      <c r="CU441" s="352"/>
      <c r="CV441" s="352"/>
      <c r="CW441" s="352"/>
      <c r="CX441" s="352"/>
      <c r="CY441" s="352"/>
      <c r="CZ441" s="352"/>
      <c r="DA441" s="352"/>
      <c r="DB441" s="352"/>
      <c r="DC441" s="352"/>
      <c r="DD441" s="352"/>
      <c r="DE441" s="352"/>
      <c r="DF441" s="352"/>
      <c r="DG441" s="352"/>
      <c r="DH441" s="352"/>
      <c r="DI441" s="352"/>
      <c r="DJ441" s="352"/>
      <c r="DK441" s="352"/>
      <c r="DL441" s="352"/>
      <c r="DM441" s="352"/>
      <c r="DN441" s="352"/>
      <c r="DO441" s="352"/>
      <c r="DP441" s="352"/>
      <c r="DQ441" s="352"/>
      <c r="DR441" s="352"/>
      <c r="DS441" s="352"/>
      <c r="DT441" s="352"/>
      <c r="DU441" s="352"/>
      <c r="DV441" s="352"/>
      <c r="DW441" s="352"/>
      <c r="DX441" s="352"/>
      <c r="DY441" s="352"/>
      <c r="DZ441" s="352"/>
      <c r="EA441" s="352"/>
      <c r="EB441" s="352"/>
      <c r="EC441" s="352"/>
      <c r="ED441" s="352"/>
      <c r="EE441" s="352"/>
      <c r="EF441" s="352"/>
      <c r="EG441" s="352"/>
      <c r="EH441" s="352"/>
      <c r="EI441" s="352"/>
      <c r="EJ441" s="352"/>
      <c r="EK441" s="352"/>
      <c r="EL441" s="352"/>
      <c r="EM441" s="352"/>
      <c r="EN441" s="352"/>
    </row>
    <row r="442" spans="1:144" ht="20.100000000000001" customHeight="1">
      <c r="A442" s="118" t="s">
        <v>143</v>
      </c>
      <c r="B442" s="118" t="s">
        <v>453</v>
      </c>
      <c r="C442" s="119">
        <v>0</v>
      </c>
      <c r="D442" s="120">
        <f>'Sectors % GDP'!I34</f>
        <v>135716.56</v>
      </c>
      <c r="E442" s="120">
        <f t="shared" si="12"/>
        <v>0</v>
      </c>
      <c r="F442" s="123">
        <v>0</v>
      </c>
      <c r="G442" s="120">
        <v>0</v>
      </c>
      <c r="H442" s="122">
        <v>2.14</v>
      </c>
      <c r="I442" s="121">
        <v>2.7</v>
      </c>
      <c r="J442" s="122">
        <v>6.65</v>
      </c>
      <c r="K442" s="123">
        <v>4.22</v>
      </c>
      <c r="L442" s="123">
        <f t="shared" si="13"/>
        <v>-18</v>
      </c>
      <c r="M442" s="124">
        <v>-0.18</v>
      </c>
      <c r="N442" s="124">
        <v>6.25</v>
      </c>
      <c r="O442" s="125">
        <f>'Trade Data'!H26</f>
        <v>0.24223034387010769</v>
      </c>
      <c r="P442" s="126">
        <v>1</v>
      </c>
      <c r="Q442" s="352"/>
      <c r="R442" s="352"/>
      <c r="S442" s="352"/>
      <c r="T442" s="352"/>
      <c r="U442" s="352"/>
      <c r="V442" s="352"/>
      <c r="W442" s="352"/>
      <c r="X442" s="352"/>
      <c r="Y442" s="352"/>
      <c r="Z442" s="352"/>
      <c r="AA442" s="352"/>
      <c r="AB442" s="352"/>
      <c r="AC442" s="352"/>
      <c r="AD442" s="352"/>
      <c r="AE442" s="352"/>
      <c r="AF442" s="352"/>
      <c r="AG442" s="352"/>
      <c r="AH442" s="352"/>
      <c r="AI442" s="352"/>
      <c r="AJ442" s="352"/>
      <c r="AK442" s="352"/>
      <c r="AL442" s="352"/>
      <c r="AM442" s="352"/>
      <c r="AN442" s="352"/>
      <c r="AO442" s="352"/>
      <c r="AP442" s="352"/>
      <c r="AQ442" s="352"/>
      <c r="AR442" s="352"/>
      <c r="AS442" s="352"/>
      <c r="AT442" s="352"/>
      <c r="AU442" s="352"/>
      <c r="AV442" s="352"/>
      <c r="AW442" s="352"/>
      <c r="AX442" s="352"/>
      <c r="AY442" s="352"/>
      <c r="AZ442" s="352"/>
      <c r="BA442" s="352"/>
      <c r="BB442" s="352"/>
      <c r="BC442" s="352"/>
      <c r="BD442" s="352"/>
      <c r="BE442" s="352"/>
      <c r="BF442" s="352"/>
      <c r="BG442" s="352"/>
      <c r="BH442" s="352"/>
      <c r="BI442" s="352"/>
      <c r="BJ442" s="352"/>
      <c r="BK442" s="352"/>
      <c r="BL442" s="352"/>
      <c r="BM442" s="352"/>
      <c r="BN442" s="352"/>
      <c r="BO442" s="352"/>
      <c r="BP442" s="352"/>
      <c r="BQ442" s="352"/>
      <c r="BR442" s="352"/>
      <c r="BS442" s="352"/>
      <c r="BT442" s="352"/>
      <c r="BU442" s="352"/>
      <c r="BV442" s="352"/>
      <c r="BW442" s="352"/>
      <c r="BX442" s="352"/>
      <c r="BY442" s="352"/>
      <c r="BZ442" s="352"/>
      <c r="CA442" s="352"/>
      <c r="CB442" s="352"/>
      <c r="CC442" s="352"/>
      <c r="CD442" s="352"/>
      <c r="CE442" s="352"/>
      <c r="CF442" s="352"/>
      <c r="CG442" s="352"/>
      <c r="CH442" s="352"/>
      <c r="CI442" s="352"/>
      <c r="CJ442" s="352"/>
      <c r="CK442" s="352"/>
      <c r="CL442" s="352"/>
      <c r="CM442" s="352"/>
      <c r="CN442" s="352"/>
      <c r="CO442" s="352"/>
      <c r="CP442" s="352"/>
      <c r="CQ442" s="352"/>
      <c r="CR442" s="352"/>
      <c r="CS442" s="352"/>
      <c r="CT442" s="352"/>
      <c r="CU442" s="352"/>
      <c r="CV442" s="352"/>
      <c r="CW442" s="352"/>
      <c r="CX442" s="352"/>
      <c r="CY442" s="352"/>
      <c r="CZ442" s="352"/>
      <c r="DA442" s="352"/>
      <c r="DB442" s="352"/>
      <c r="DC442" s="352"/>
      <c r="DD442" s="352"/>
      <c r="DE442" s="352"/>
      <c r="DF442" s="352"/>
      <c r="DG442" s="352"/>
      <c r="DH442" s="352"/>
      <c r="DI442" s="352"/>
      <c r="DJ442" s="352"/>
      <c r="DK442" s="352"/>
      <c r="DL442" s="352"/>
      <c r="DM442" s="352"/>
      <c r="DN442" s="352"/>
      <c r="DO442" s="352"/>
      <c r="DP442" s="352"/>
      <c r="DQ442" s="352"/>
      <c r="DR442" s="352"/>
      <c r="DS442" s="352"/>
      <c r="DT442" s="352"/>
      <c r="DU442" s="352"/>
      <c r="DV442" s="352"/>
      <c r="DW442" s="352"/>
      <c r="DX442" s="352"/>
      <c r="DY442" s="352"/>
      <c r="DZ442" s="352"/>
      <c r="EA442" s="352"/>
      <c r="EB442" s="352"/>
      <c r="EC442" s="352"/>
      <c r="ED442" s="352"/>
      <c r="EE442" s="352"/>
      <c r="EF442" s="352"/>
      <c r="EG442" s="352"/>
      <c r="EH442" s="352"/>
      <c r="EI442" s="352"/>
      <c r="EJ442" s="352"/>
      <c r="EK442" s="352"/>
      <c r="EL442" s="352"/>
      <c r="EM442" s="352"/>
      <c r="EN442" s="352"/>
    </row>
    <row r="443" spans="1:144" s="169" customFormat="1" ht="20.100000000000001" customHeight="1">
      <c r="A443" s="160" t="s">
        <v>144</v>
      </c>
      <c r="B443" s="160" t="s">
        <v>452</v>
      </c>
      <c r="C443" s="161">
        <v>0</v>
      </c>
      <c r="D443" s="162">
        <f>'Sectors % GDP'!I32</f>
        <v>10403.359999999999</v>
      </c>
      <c r="E443" s="162">
        <f t="shared" si="12"/>
        <v>0</v>
      </c>
      <c r="F443" s="165">
        <v>0</v>
      </c>
      <c r="G443" s="162">
        <v>0</v>
      </c>
      <c r="H443" s="164">
        <v>2.72</v>
      </c>
      <c r="I443" s="163">
        <v>5.66</v>
      </c>
      <c r="J443" s="164">
        <v>5.3</v>
      </c>
      <c r="K443" s="165">
        <v>4.22</v>
      </c>
      <c r="L443" s="165">
        <f t="shared" si="13"/>
        <v>-18</v>
      </c>
      <c r="M443" s="166">
        <v>-0.18</v>
      </c>
      <c r="N443" s="166">
        <v>6.25</v>
      </c>
      <c r="O443" s="167">
        <f>'Trade Data'!H26</f>
        <v>0.24223034387010769</v>
      </c>
      <c r="P443" s="170">
        <v>0</v>
      </c>
      <c r="Q443" s="352"/>
      <c r="R443" s="352"/>
      <c r="S443" s="352"/>
      <c r="T443" s="352"/>
      <c r="U443" s="352"/>
      <c r="V443" s="352"/>
      <c r="W443" s="352"/>
      <c r="X443" s="352"/>
      <c r="Y443" s="352"/>
      <c r="Z443" s="352"/>
      <c r="AA443" s="352"/>
      <c r="AB443" s="352"/>
      <c r="AC443" s="352"/>
      <c r="AD443" s="352"/>
      <c r="AE443" s="352"/>
      <c r="AF443" s="352"/>
      <c r="AG443" s="352"/>
      <c r="AH443" s="352"/>
      <c r="AI443" s="352"/>
      <c r="AJ443" s="352"/>
      <c r="AK443" s="352"/>
      <c r="AL443" s="352"/>
      <c r="AM443" s="352"/>
      <c r="AN443" s="352"/>
      <c r="AO443" s="352"/>
      <c r="AP443" s="352"/>
      <c r="AQ443" s="352"/>
      <c r="AR443" s="352"/>
      <c r="AS443" s="352"/>
      <c r="AT443" s="352"/>
      <c r="AU443" s="352"/>
      <c r="AV443" s="352"/>
      <c r="AW443" s="352"/>
      <c r="AX443" s="352"/>
      <c r="AY443" s="352"/>
      <c r="AZ443" s="352"/>
      <c r="BA443" s="352"/>
      <c r="BB443" s="352"/>
      <c r="BC443" s="352"/>
      <c r="BD443" s="352"/>
      <c r="BE443" s="352"/>
      <c r="BF443" s="352"/>
      <c r="BG443" s="352"/>
      <c r="BH443" s="352"/>
      <c r="BI443" s="352"/>
      <c r="BJ443" s="352"/>
      <c r="BK443" s="352"/>
      <c r="BL443" s="352"/>
      <c r="BM443" s="352"/>
      <c r="BN443" s="352"/>
      <c r="BO443" s="352"/>
      <c r="BP443" s="352"/>
      <c r="BQ443" s="352"/>
      <c r="BR443" s="352"/>
      <c r="BS443" s="352"/>
      <c r="BT443" s="352"/>
      <c r="BU443" s="352"/>
      <c r="BV443" s="352"/>
      <c r="BW443" s="352"/>
      <c r="BX443" s="352"/>
      <c r="BY443" s="352"/>
      <c r="BZ443" s="352"/>
      <c r="CA443" s="352"/>
      <c r="CB443" s="352"/>
      <c r="CC443" s="352"/>
      <c r="CD443" s="352"/>
      <c r="CE443" s="352"/>
      <c r="CF443" s="352"/>
      <c r="CG443" s="352"/>
      <c r="CH443" s="352"/>
      <c r="CI443" s="352"/>
      <c r="CJ443" s="352"/>
      <c r="CK443" s="352"/>
      <c r="CL443" s="352"/>
      <c r="CM443" s="352"/>
      <c r="CN443" s="352"/>
      <c r="CO443" s="352"/>
      <c r="CP443" s="352"/>
      <c r="CQ443" s="352"/>
      <c r="CR443" s="352"/>
      <c r="CS443" s="352"/>
      <c r="CT443" s="352"/>
      <c r="CU443" s="352"/>
      <c r="CV443" s="352"/>
      <c r="CW443" s="352"/>
      <c r="CX443" s="352"/>
      <c r="CY443" s="352"/>
      <c r="CZ443" s="352"/>
      <c r="DA443" s="352"/>
      <c r="DB443" s="352"/>
      <c r="DC443" s="352"/>
      <c r="DD443" s="352"/>
      <c r="DE443" s="352"/>
      <c r="DF443" s="352"/>
      <c r="DG443" s="352"/>
      <c r="DH443" s="352"/>
      <c r="DI443" s="352"/>
      <c r="DJ443" s="352"/>
      <c r="DK443" s="352"/>
      <c r="DL443" s="352"/>
      <c r="DM443" s="352"/>
      <c r="DN443" s="352"/>
      <c r="DO443" s="352"/>
      <c r="DP443" s="352"/>
      <c r="DQ443" s="352"/>
      <c r="DR443" s="352"/>
      <c r="DS443" s="352"/>
      <c r="DT443" s="352"/>
      <c r="DU443" s="352"/>
      <c r="DV443" s="352"/>
      <c r="DW443" s="352"/>
      <c r="DX443" s="352"/>
      <c r="DY443" s="352"/>
      <c r="DZ443" s="352"/>
      <c r="EA443" s="352"/>
      <c r="EB443" s="352"/>
      <c r="EC443" s="352"/>
      <c r="ED443" s="352"/>
      <c r="EE443" s="352"/>
      <c r="EF443" s="352"/>
      <c r="EG443" s="352"/>
      <c r="EH443" s="352"/>
      <c r="EI443" s="352"/>
      <c r="EJ443" s="352"/>
      <c r="EK443" s="352"/>
      <c r="EL443" s="352"/>
      <c r="EM443" s="352"/>
      <c r="EN443" s="352"/>
    </row>
    <row r="444" spans="1:144" s="188" customFormat="1" ht="20.100000000000001" customHeight="1">
      <c r="A444" s="179" t="s">
        <v>144</v>
      </c>
      <c r="B444" s="179" t="s">
        <v>451</v>
      </c>
      <c r="C444" s="180">
        <v>0</v>
      </c>
      <c r="D444" s="181">
        <f>'Sectors % GDP'!I33</f>
        <v>90320.08</v>
      </c>
      <c r="E444" s="181">
        <f t="shared" si="12"/>
        <v>0</v>
      </c>
      <c r="F444" s="184">
        <v>0</v>
      </c>
      <c r="G444" s="181">
        <v>0</v>
      </c>
      <c r="H444" s="183">
        <v>2.72</v>
      </c>
      <c r="I444" s="182">
        <v>5.66</v>
      </c>
      <c r="J444" s="183">
        <v>5.3</v>
      </c>
      <c r="K444" s="184">
        <v>4.22</v>
      </c>
      <c r="L444" s="184">
        <f t="shared" si="13"/>
        <v>-18</v>
      </c>
      <c r="M444" s="185">
        <v>-0.18</v>
      </c>
      <c r="N444" s="185">
        <v>6.25</v>
      </c>
      <c r="O444" s="186">
        <f>'Trade Data'!H26</f>
        <v>0.24223034387010769</v>
      </c>
      <c r="P444" s="189">
        <v>1</v>
      </c>
      <c r="Q444" s="352"/>
      <c r="R444" s="352"/>
      <c r="S444" s="352"/>
      <c r="T444" s="352"/>
      <c r="U444" s="352"/>
      <c r="V444" s="352"/>
      <c r="W444" s="352"/>
      <c r="X444" s="352"/>
      <c r="Y444" s="352"/>
      <c r="Z444" s="352"/>
      <c r="AA444" s="352"/>
      <c r="AB444" s="352"/>
      <c r="AC444" s="352"/>
      <c r="AD444" s="352"/>
      <c r="AE444" s="352"/>
      <c r="AF444" s="352"/>
      <c r="AG444" s="352"/>
      <c r="AH444" s="352"/>
      <c r="AI444" s="352"/>
      <c r="AJ444" s="352"/>
      <c r="AK444" s="352"/>
      <c r="AL444" s="352"/>
      <c r="AM444" s="352"/>
      <c r="AN444" s="352"/>
      <c r="AO444" s="352"/>
      <c r="AP444" s="352"/>
      <c r="AQ444" s="352"/>
      <c r="AR444" s="352"/>
      <c r="AS444" s="352"/>
      <c r="AT444" s="352"/>
      <c r="AU444" s="352"/>
      <c r="AV444" s="352"/>
      <c r="AW444" s="352"/>
      <c r="AX444" s="352"/>
      <c r="AY444" s="352"/>
      <c r="AZ444" s="352"/>
      <c r="BA444" s="352"/>
      <c r="BB444" s="352"/>
      <c r="BC444" s="352"/>
      <c r="BD444" s="352"/>
      <c r="BE444" s="352"/>
      <c r="BF444" s="352"/>
      <c r="BG444" s="352"/>
      <c r="BH444" s="352"/>
      <c r="BI444" s="352"/>
      <c r="BJ444" s="352"/>
      <c r="BK444" s="352"/>
      <c r="BL444" s="352"/>
      <c r="BM444" s="352"/>
      <c r="BN444" s="352"/>
      <c r="BO444" s="352"/>
      <c r="BP444" s="352"/>
      <c r="BQ444" s="352"/>
      <c r="BR444" s="352"/>
      <c r="BS444" s="352"/>
      <c r="BT444" s="352"/>
      <c r="BU444" s="352"/>
      <c r="BV444" s="352"/>
      <c r="BW444" s="352"/>
      <c r="BX444" s="352"/>
      <c r="BY444" s="352"/>
      <c r="BZ444" s="352"/>
      <c r="CA444" s="352"/>
      <c r="CB444" s="352"/>
      <c r="CC444" s="352"/>
      <c r="CD444" s="352"/>
      <c r="CE444" s="352"/>
      <c r="CF444" s="352"/>
      <c r="CG444" s="352"/>
      <c r="CH444" s="352"/>
      <c r="CI444" s="352"/>
      <c r="CJ444" s="352"/>
      <c r="CK444" s="352"/>
      <c r="CL444" s="352"/>
      <c r="CM444" s="352"/>
      <c r="CN444" s="352"/>
      <c r="CO444" s="352"/>
      <c r="CP444" s="352"/>
      <c r="CQ444" s="352"/>
      <c r="CR444" s="352"/>
      <c r="CS444" s="352"/>
      <c r="CT444" s="352"/>
      <c r="CU444" s="352"/>
      <c r="CV444" s="352"/>
      <c r="CW444" s="352"/>
      <c r="CX444" s="352"/>
      <c r="CY444" s="352"/>
      <c r="CZ444" s="352"/>
      <c r="DA444" s="352"/>
      <c r="DB444" s="352"/>
      <c r="DC444" s="352"/>
      <c r="DD444" s="352"/>
      <c r="DE444" s="352"/>
      <c r="DF444" s="352"/>
      <c r="DG444" s="352"/>
      <c r="DH444" s="352"/>
      <c r="DI444" s="352"/>
      <c r="DJ444" s="352"/>
      <c r="DK444" s="352"/>
      <c r="DL444" s="352"/>
      <c r="DM444" s="352"/>
      <c r="DN444" s="352"/>
      <c r="DO444" s="352"/>
      <c r="DP444" s="352"/>
      <c r="DQ444" s="352"/>
      <c r="DR444" s="352"/>
      <c r="DS444" s="352"/>
      <c r="DT444" s="352"/>
      <c r="DU444" s="352"/>
      <c r="DV444" s="352"/>
      <c r="DW444" s="352"/>
      <c r="DX444" s="352"/>
      <c r="DY444" s="352"/>
      <c r="DZ444" s="352"/>
      <c r="EA444" s="352"/>
      <c r="EB444" s="352"/>
      <c r="EC444" s="352"/>
      <c r="ED444" s="352"/>
      <c r="EE444" s="352"/>
      <c r="EF444" s="352"/>
      <c r="EG444" s="352"/>
      <c r="EH444" s="352"/>
      <c r="EI444" s="352"/>
      <c r="EJ444" s="352"/>
      <c r="EK444" s="352"/>
      <c r="EL444" s="352"/>
      <c r="EM444" s="352"/>
      <c r="EN444" s="352"/>
    </row>
    <row r="445" spans="1:144" ht="20.100000000000001" customHeight="1">
      <c r="A445" s="118" t="s">
        <v>144</v>
      </c>
      <c r="B445" s="118" t="s">
        <v>450</v>
      </c>
      <c r="C445" s="119">
        <v>0</v>
      </c>
      <c r="D445" s="120">
        <f>'Sectors % GDP'!I34</f>
        <v>135716.56</v>
      </c>
      <c r="E445" s="120">
        <f t="shared" si="12"/>
        <v>0</v>
      </c>
      <c r="F445" s="123">
        <v>0</v>
      </c>
      <c r="G445" s="120">
        <v>0</v>
      </c>
      <c r="H445" s="122">
        <v>2.72</v>
      </c>
      <c r="I445" s="121">
        <v>5.66</v>
      </c>
      <c r="J445" s="122">
        <v>5.3</v>
      </c>
      <c r="K445" s="123">
        <v>4.22</v>
      </c>
      <c r="L445" s="123">
        <f t="shared" si="13"/>
        <v>-18</v>
      </c>
      <c r="M445" s="124">
        <v>-0.18</v>
      </c>
      <c r="N445" s="124">
        <v>6.25</v>
      </c>
      <c r="O445" s="125">
        <f>'Trade Data'!H26</f>
        <v>0.24223034387010769</v>
      </c>
      <c r="P445" s="127">
        <v>1</v>
      </c>
      <c r="Q445" s="352"/>
      <c r="R445" s="352"/>
      <c r="S445" s="352"/>
      <c r="T445" s="352"/>
      <c r="U445" s="352"/>
      <c r="V445" s="352"/>
      <c r="W445" s="352"/>
      <c r="X445" s="352"/>
      <c r="Y445" s="352"/>
      <c r="Z445" s="352"/>
      <c r="AA445" s="352"/>
      <c r="AB445" s="352"/>
      <c r="AC445" s="352"/>
      <c r="AD445" s="352"/>
      <c r="AE445" s="352"/>
      <c r="AF445" s="352"/>
      <c r="AG445" s="352"/>
      <c r="AH445" s="352"/>
      <c r="AI445" s="352"/>
      <c r="AJ445" s="352"/>
      <c r="AK445" s="352"/>
      <c r="AL445" s="352"/>
      <c r="AM445" s="352"/>
      <c r="AN445" s="352"/>
      <c r="AO445" s="352"/>
      <c r="AP445" s="352"/>
      <c r="AQ445" s="352"/>
      <c r="AR445" s="352"/>
      <c r="AS445" s="352"/>
      <c r="AT445" s="352"/>
      <c r="AU445" s="352"/>
      <c r="AV445" s="352"/>
      <c r="AW445" s="352"/>
      <c r="AX445" s="352"/>
      <c r="AY445" s="352"/>
      <c r="AZ445" s="352"/>
      <c r="BA445" s="352"/>
      <c r="BB445" s="352"/>
      <c r="BC445" s="352"/>
      <c r="BD445" s="352"/>
      <c r="BE445" s="352"/>
      <c r="BF445" s="352"/>
      <c r="BG445" s="352"/>
      <c r="BH445" s="352"/>
      <c r="BI445" s="352"/>
      <c r="BJ445" s="352"/>
      <c r="BK445" s="352"/>
      <c r="BL445" s="352"/>
      <c r="BM445" s="352"/>
      <c r="BN445" s="352"/>
      <c r="BO445" s="352"/>
      <c r="BP445" s="352"/>
      <c r="BQ445" s="352"/>
      <c r="BR445" s="352"/>
      <c r="BS445" s="352"/>
      <c r="BT445" s="352"/>
      <c r="BU445" s="352"/>
      <c r="BV445" s="352"/>
      <c r="BW445" s="352"/>
      <c r="BX445" s="352"/>
      <c r="BY445" s="352"/>
      <c r="BZ445" s="352"/>
      <c r="CA445" s="352"/>
      <c r="CB445" s="352"/>
      <c r="CC445" s="352"/>
      <c r="CD445" s="352"/>
      <c r="CE445" s="352"/>
      <c r="CF445" s="352"/>
      <c r="CG445" s="352"/>
      <c r="CH445" s="352"/>
      <c r="CI445" s="352"/>
      <c r="CJ445" s="352"/>
      <c r="CK445" s="352"/>
      <c r="CL445" s="352"/>
      <c r="CM445" s="352"/>
      <c r="CN445" s="352"/>
      <c r="CO445" s="352"/>
      <c r="CP445" s="352"/>
      <c r="CQ445" s="352"/>
      <c r="CR445" s="352"/>
      <c r="CS445" s="352"/>
      <c r="CT445" s="352"/>
      <c r="CU445" s="352"/>
      <c r="CV445" s="352"/>
      <c r="CW445" s="352"/>
      <c r="CX445" s="352"/>
      <c r="CY445" s="352"/>
      <c r="CZ445" s="352"/>
      <c r="DA445" s="352"/>
      <c r="DB445" s="352"/>
      <c r="DC445" s="352"/>
      <c r="DD445" s="352"/>
      <c r="DE445" s="352"/>
      <c r="DF445" s="352"/>
      <c r="DG445" s="352"/>
      <c r="DH445" s="352"/>
      <c r="DI445" s="352"/>
      <c r="DJ445" s="352"/>
      <c r="DK445" s="352"/>
      <c r="DL445" s="352"/>
      <c r="DM445" s="352"/>
      <c r="DN445" s="352"/>
      <c r="DO445" s="352"/>
      <c r="DP445" s="352"/>
      <c r="DQ445" s="352"/>
      <c r="DR445" s="352"/>
      <c r="DS445" s="352"/>
      <c r="DT445" s="352"/>
      <c r="DU445" s="352"/>
      <c r="DV445" s="352"/>
      <c r="DW445" s="352"/>
      <c r="DX445" s="352"/>
      <c r="DY445" s="352"/>
      <c r="DZ445" s="352"/>
      <c r="EA445" s="352"/>
      <c r="EB445" s="352"/>
      <c r="EC445" s="352"/>
      <c r="ED445" s="352"/>
      <c r="EE445" s="352"/>
      <c r="EF445" s="352"/>
      <c r="EG445" s="352"/>
      <c r="EH445" s="352"/>
      <c r="EI445" s="352"/>
      <c r="EJ445" s="352"/>
      <c r="EK445" s="352"/>
      <c r="EL445" s="352"/>
      <c r="EM445" s="352"/>
      <c r="EN445" s="352"/>
    </row>
    <row r="446" spans="1:144" s="169" customFormat="1" ht="20.100000000000001" customHeight="1">
      <c r="A446" s="160" t="s">
        <v>145</v>
      </c>
      <c r="B446" s="160" t="s">
        <v>449</v>
      </c>
      <c r="C446" s="161">
        <v>0</v>
      </c>
      <c r="D446" s="162">
        <f>'Sectors % GDP'!K32</f>
        <v>9473.64</v>
      </c>
      <c r="E446" s="162">
        <f t="shared" si="12"/>
        <v>0</v>
      </c>
      <c r="F446" s="165">
        <v>0</v>
      </c>
      <c r="G446" s="162">
        <v>0</v>
      </c>
      <c r="H446" s="164">
        <v>2.56</v>
      </c>
      <c r="I446" s="163">
        <v>6.28</v>
      </c>
      <c r="J446" s="164">
        <v>3.74</v>
      </c>
      <c r="K446" s="165">
        <v>4.13</v>
      </c>
      <c r="L446" s="165">
        <f t="shared" si="13"/>
        <v>-18</v>
      </c>
      <c r="M446" s="166">
        <v>-0.18</v>
      </c>
      <c r="N446" s="166">
        <v>6.25</v>
      </c>
      <c r="O446" s="167">
        <f>'Trade Data'!H26</f>
        <v>0.24223034387010769</v>
      </c>
      <c r="P446" s="168">
        <v>0</v>
      </c>
      <c r="Q446" s="352"/>
      <c r="R446" s="352"/>
      <c r="S446" s="352"/>
      <c r="T446" s="352"/>
      <c r="U446" s="352"/>
      <c r="V446" s="352"/>
      <c r="W446" s="352"/>
      <c r="X446" s="352"/>
      <c r="Y446" s="352"/>
      <c r="Z446" s="352"/>
      <c r="AA446" s="352"/>
      <c r="AB446" s="352"/>
      <c r="AC446" s="352"/>
      <c r="AD446" s="352"/>
      <c r="AE446" s="352"/>
      <c r="AF446" s="352"/>
      <c r="AG446" s="352"/>
      <c r="AH446" s="352"/>
      <c r="AI446" s="352"/>
      <c r="AJ446" s="352"/>
      <c r="AK446" s="352"/>
      <c r="AL446" s="352"/>
      <c r="AM446" s="352"/>
      <c r="AN446" s="352"/>
      <c r="AO446" s="352"/>
      <c r="AP446" s="352"/>
      <c r="AQ446" s="352"/>
      <c r="AR446" s="352"/>
      <c r="AS446" s="352"/>
      <c r="AT446" s="352"/>
      <c r="AU446" s="352"/>
      <c r="AV446" s="352"/>
      <c r="AW446" s="352"/>
      <c r="AX446" s="352"/>
      <c r="AY446" s="352"/>
      <c r="AZ446" s="352"/>
      <c r="BA446" s="352"/>
      <c r="BB446" s="352"/>
      <c r="BC446" s="352"/>
      <c r="BD446" s="352"/>
      <c r="BE446" s="352"/>
      <c r="BF446" s="352"/>
      <c r="BG446" s="352"/>
      <c r="BH446" s="352"/>
      <c r="BI446" s="352"/>
      <c r="BJ446" s="352"/>
      <c r="BK446" s="352"/>
      <c r="BL446" s="352"/>
      <c r="BM446" s="352"/>
      <c r="BN446" s="352"/>
      <c r="BO446" s="352"/>
      <c r="BP446" s="352"/>
      <c r="BQ446" s="352"/>
      <c r="BR446" s="352"/>
      <c r="BS446" s="352"/>
      <c r="BT446" s="352"/>
      <c r="BU446" s="352"/>
      <c r="BV446" s="352"/>
      <c r="BW446" s="352"/>
      <c r="BX446" s="352"/>
      <c r="BY446" s="352"/>
      <c r="BZ446" s="352"/>
      <c r="CA446" s="352"/>
      <c r="CB446" s="352"/>
      <c r="CC446" s="352"/>
      <c r="CD446" s="352"/>
      <c r="CE446" s="352"/>
      <c r="CF446" s="352"/>
      <c r="CG446" s="352"/>
      <c r="CH446" s="352"/>
      <c r="CI446" s="352"/>
      <c r="CJ446" s="352"/>
      <c r="CK446" s="352"/>
      <c r="CL446" s="352"/>
      <c r="CM446" s="352"/>
      <c r="CN446" s="352"/>
      <c r="CO446" s="352"/>
      <c r="CP446" s="352"/>
      <c r="CQ446" s="352"/>
      <c r="CR446" s="352"/>
      <c r="CS446" s="352"/>
      <c r="CT446" s="352"/>
      <c r="CU446" s="352"/>
      <c r="CV446" s="352"/>
      <c r="CW446" s="352"/>
      <c r="CX446" s="352"/>
      <c r="CY446" s="352"/>
      <c r="CZ446" s="352"/>
      <c r="DA446" s="352"/>
      <c r="DB446" s="352"/>
      <c r="DC446" s="352"/>
      <c r="DD446" s="352"/>
      <c r="DE446" s="352"/>
      <c r="DF446" s="352"/>
      <c r="DG446" s="352"/>
      <c r="DH446" s="352"/>
      <c r="DI446" s="352"/>
      <c r="DJ446" s="352"/>
      <c r="DK446" s="352"/>
      <c r="DL446" s="352"/>
      <c r="DM446" s="352"/>
      <c r="DN446" s="352"/>
      <c r="DO446" s="352"/>
      <c r="DP446" s="352"/>
      <c r="DQ446" s="352"/>
      <c r="DR446" s="352"/>
      <c r="DS446" s="352"/>
      <c r="DT446" s="352"/>
      <c r="DU446" s="352"/>
      <c r="DV446" s="352"/>
      <c r="DW446" s="352"/>
      <c r="DX446" s="352"/>
      <c r="DY446" s="352"/>
      <c r="DZ446" s="352"/>
      <c r="EA446" s="352"/>
      <c r="EB446" s="352"/>
      <c r="EC446" s="352"/>
      <c r="ED446" s="352"/>
      <c r="EE446" s="352"/>
      <c r="EF446" s="352"/>
      <c r="EG446" s="352"/>
      <c r="EH446" s="352"/>
      <c r="EI446" s="352"/>
      <c r="EJ446" s="352"/>
      <c r="EK446" s="352"/>
      <c r="EL446" s="352"/>
      <c r="EM446" s="352"/>
      <c r="EN446" s="352"/>
    </row>
    <row r="447" spans="1:144" s="188" customFormat="1" ht="20.100000000000001" customHeight="1">
      <c r="A447" s="179" t="s">
        <v>145</v>
      </c>
      <c r="B447" s="179" t="s">
        <v>448</v>
      </c>
      <c r="C447" s="180">
        <v>0</v>
      </c>
      <c r="D447" s="181">
        <f>'Sectors % GDP'!K33</f>
        <v>82248.42</v>
      </c>
      <c r="E447" s="181">
        <f t="shared" si="12"/>
        <v>0</v>
      </c>
      <c r="F447" s="184">
        <v>1</v>
      </c>
      <c r="G447" s="181">
        <v>1</v>
      </c>
      <c r="H447" s="183">
        <v>2.56</v>
      </c>
      <c r="I447" s="182">
        <v>6.28</v>
      </c>
      <c r="J447" s="183">
        <v>3.74</v>
      </c>
      <c r="K447" s="184">
        <v>4.13</v>
      </c>
      <c r="L447" s="184">
        <f t="shared" si="13"/>
        <v>-18</v>
      </c>
      <c r="M447" s="185">
        <v>-0.18</v>
      </c>
      <c r="N447" s="185">
        <v>6.25</v>
      </c>
      <c r="O447" s="186">
        <f>'Trade Data'!H26</f>
        <v>0.24223034387010769</v>
      </c>
      <c r="P447" s="187">
        <v>1</v>
      </c>
      <c r="Q447" s="352"/>
      <c r="R447" s="352"/>
      <c r="S447" s="352"/>
      <c r="T447" s="352"/>
      <c r="U447" s="352"/>
      <c r="V447" s="352"/>
      <c r="W447" s="352"/>
      <c r="X447" s="352"/>
      <c r="Y447" s="352"/>
      <c r="Z447" s="352"/>
      <c r="AA447" s="352"/>
      <c r="AB447" s="352"/>
      <c r="AC447" s="352"/>
      <c r="AD447" s="352"/>
      <c r="AE447" s="352"/>
      <c r="AF447" s="352"/>
      <c r="AG447" s="352"/>
      <c r="AH447" s="352"/>
      <c r="AI447" s="352"/>
      <c r="AJ447" s="352"/>
      <c r="AK447" s="352"/>
      <c r="AL447" s="352"/>
      <c r="AM447" s="352"/>
      <c r="AN447" s="352"/>
      <c r="AO447" s="352"/>
      <c r="AP447" s="352"/>
      <c r="AQ447" s="352"/>
      <c r="AR447" s="352"/>
      <c r="AS447" s="352"/>
      <c r="AT447" s="352"/>
      <c r="AU447" s="352"/>
      <c r="AV447" s="352"/>
      <c r="AW447" s="352"/>
      <c r="AX447" s="352"/>
      <c r="AY447" s="352"/>
      <c r="AZ447" s="352"/>
      <c r="BA447" s="352"/>
      <c r="BB447" s="352"/>
      <c r="BC447" s="352"/>
      <c r="BD447" s="352"/>
      <c r="BE447" s="352"/>
      <c r="BF447" s="352"/>
      <c r="BG447" s="352"/>
      <c r="BH447" s="352"/>
      <c r="BI447" s="352"/>
      <c r="BJ447" s="352"/>
      <c r="BK447" s="352"/>
      <c r="BL447" s="352"/>
      <c r="BM447" s="352"/>
      <c r="BN447" s="352"/>
      <c r="BO447" s="352"/>
      <c r="BP447" s="352"/>
      <c r="BQ447" s="352"/>
      <c r="BR447" s="352"/>
      <c r="BS447" s="352"/>
      <c r="BT447" s="352"/>
      <c r="BU447" s="352"/>
      <c r="BV447" s="352"/>
      <c r="BW447" s="352"/>
      <c r="BX447" s="352"/>
      <c r="BY447" s="352"/>
      <c r="BZ447" s="352"/>
      <c r="CA447" s="352"/>
      <c r="CB447" s="352"/>
      <c r="CC447" s="352"/>
      <c r="CD447" s="352"/>
      <c r="CE447" s="352"/>
      <c r="CF447" s="352"/>
      <c r="CG447" s="352"/>
      <c r="CH447" s="352"/>
      <c r="CI447" s="352"/>
      <c r="CJ447" s="352"/>
      <c r="CK447" s="352"/>
      <c r="CL447" s="352"/>
      <c r="CM447" s="352"/>
      <c r="CN447" s="352"/>
      <c r="CO447" s="352"/>
      <c r="CP447" s="352"/>
      <c r="CQ447" s="352"/>
      <c r="CR447" s="352"/>
      <c r="CS447" s="352"/>
      <c r="CT447" s="352"/>
      <c r="CU447" s="352"/>
      <c r="CV447" s="352"/>
      <c r="CW447" s="352"/>
      <c r="CX447" s="352"/>
      <c r="CY447" s="352"/>
      <c r="CZ447" s="352"/>
      <c r="DA447" s="352"/>
      <c r="DB447" s="352"/>
      <c r="DC447" s="352"/>
      <c r="DD447" s="352"/>
      <c r="DE447" s="352"/>
      <c r="DF447" s="352"/>
      <c r="DG447" s="352"/>
      <c r="DH447" s="352"/>
      <c r="DI447" s="352"/>
      <c r="DJ447" s="352"/>
      <c r="DK447" s="352"/>
      <c r="DL447" s="352"/>
      <c r="DM447" s="352"/>
      <c r="DN447" s="352"/>
      <c r="DO447" s="352"/>
      <c r="DP447" s="352"/>
      <c r="DQ447" s="352"/>
      <c r="DR447" s="352"/>
      <c r="DS447" s="352"/>
      <c r="DT447" s="352"/>
      <c r="DU447" s="352"/>
      <c r="DV447" s="352"/>
      <c r="DW447" s="352"/>
      <c r="DX447" s="352"/>
      <c r="DY447" s="352"/>
      <c r="DZ447" s="352"/>
      <c r="EA447" s="352"/>
      <c r="EB447" s="352"/>
      <c r="EC447" s="352"/>
      <c r="ED447" s="352"/>
      <c r="EE447" s="352"/>
      <c r="EF447" s="352"/>
      <c r="EG447" s="352"/>
      <c r="EH447" s="352"/>
      <c r="EI447" s="352"/>
      <c r="EJ447" s="352"/>
      <c r="EK447" s="352"/>
      <c r="EL447" s="352"/>
      <c r="EM447" s="352"/>
      <c r="EN447" s="352"/>
    </row>
    <row r="448" spans="1:144" ht="20.100000000000001" customHeight="1">
      <c r="A448" s="118" t="s">
        <v>145</v>
      </c>
      <c r="B448" s="118" t="s">
        <v>447</v>
      </c>
      <c r="C448" s="119">
        <v>0</v>
      </c>
      <c r="D448" s="120">
        <f>'Sectors % GDP'!K34</f>
        <v>123587.93999999999</v>
      </c>
      <c r="E448" s="120">
        <f t="shared" si="12"/>
        <v>0</v>
      </c>
      <c r="F448" s="123">
        <v>0</v>
      </c>
      <c r="G448" s="120">
        <v>0</v>
      </c>
      <c r="H448" s="122">
        <v>2.56</v>
      </c>
      <c r="I448" s="121">
        <v>6.28</v>
      </c>
      <c r="J448" s="122">
        <v>3.74</v>
      </c>
      <c r="K448" s="123">
        <v>4.13</v>
      </c>
      <c r="L448" s="123">
        <f t="shared" si="13"/>
        <v>-18</v>
      </c>
      <c r="M448" s="124">
        <v>-0.18</v>
      </c>
      <c r="N448" s="124">
        <v>6.25</v>
      </c>
      <c r="O448" s="125">
        <f>'Trade Data'!H26</f>
        <v>0.24223034387010769</v>
      </c>
      <c r="P448" s="126">
        <v>1</v>
      </c>
      <c r="Q448" s="352"/>
      <c r="R448" s="352"/>
      <c r="S448" s="352"/>
      <c r="T448" s="352"/>
      <c r="U448" s="352"/>
      <c r="V448" s="352"/>
      <c r="W448" s="352"/>
      <c r="X448" s="352"/>
      <c r="Y448" s="352"/>
      <c r="Z448" s="352"/>
      <c r="AA448" s="352"/>
      <c r="AB448" s="352"/>
      <c r="AC448" s="352"/>
      <c r="AD448" s="352"/>
      <c r="AE448" s="352"/>
      <c r="AF448" s="352"/>
      <c r="AG448" s="352"/>
      <c r="AH448" s="352"/>
      <c r="AI448" s="352"/>
      <c r="AJ448" s="352"/>
      <c r="AK448" s="352"/>
      <c r="AL448" s="352"/>
      <c r="AM448" s="352"/>
      <c r="AN448" s="352"/>
      <c r="AO448" s="352"/>
      <c r="AP448" s="352"/>
      <c r="AQ448" s="352"/>
      <c r="AR448" s="352"/>
      <c r="AS448" s="352"/>
      <c r="AT448" s="352"/>
      <c r="AU448" s="352"/>
      <c r="AV448" s="352"/>
      <c r="AW448" s="352"/>
      <c r="AX448" s="352"/>
      <c r="AY448" s="352"/>
      <c r="AZ448" s="352"/>
      <c r="BA448" s="352"/>
      <c r="BB448" s="352"/>
      <c r="BC448" s="352"/>
      <c r="BD448" s="352"/>
      <c r="BE448" s="352"/>
      <c r="BF448" s="352"/>
      <c r="BG448" s="352"/>
      <c r="BH448" s="352"/>
      <c r="BI448" s="352"/>
      <c r="BJ448" s="352"/>
      <c r="BK448" s="352"/>
      <c r="BL448" s="352"/>
      <c r="BM448" s="352"/>
      <c r="BN448" s="352"/>
      <c r="BO448" s="352"/>
      <c r="BP448" s="352"/>
      <c r="BQ448" s="352"/>
      <c r="BR448" s="352"/>
      <c r="BS448" s="352"/>
      <c r="BT448" s="352"/>
      <c r="BU448" s="352"/>
      <c r="BV448" s="352"/>
      <c r="BW448" s="352"/>
      <c r="BX448" s="352"/>
      <c r="BY448" s="352"/>
      <c r="BZ448" s="352"/>
      <c r="CA448" s="352"/>
      <c r="CB448" s="352"/>
      <c r="CC448" s="352"/>
      <c r="CD448" s="352"/>
      <c r="CE448" s="352"/>
      <c r="CF448" s="352"/>
      <c r="CG448" s="352"/>
      <c r="CH448" s="352"/>
      <c r="CI448" s="352"/>
      <c r="CJ448" s="352"/>
      <c r="CK448" s="352"/>
      <c r="CL448" s="352"/>
      <c r="CM448" s="352"/>
      <c r="CN448" s="352"/>
      <c r="CO448" s="352"/>
      <c r="CP448" s="352"/>
      <c r="CQ448" s="352"/>
      <c r="CR448" s="352"/>
      <c r="CS448" s="352"/>
      <c r="CT448" s="352"/>
      <c r="CU448" s="352"/>
      <c r="CV448" s="352"/>
      <c r="CW448" s="352"/>
      <c r="CX448" s="352"/>
      <c r="CY448" s="352"/>
      <c r="CZ448" s="352"/>
      <c r="DA448" s="352"/>
      <c r="DB448" s="352"/>
      <c r="DC448" s="352"/>
      <c r="DD448" s="352"/>
      <c r="DE448" s="352"/>
      <c r="DF448" s="352"/>
      <c r="DG448" s="352"/>
      <c r="DH448" s="352"/>
      <c r="DI448" s="352"/>
      <c r="DJ448" s="352"/>
      <c r="DK448" s="352"/>
      <c r="DL448" s="352"/>
      <c r="DM448" s="352"/>
      <c r="DN448" s="352"/>
      <c r="DO448" s="352"/>
      <c r="DP448" s="352"/>
      <c r="DQ448" s="352"/>
      <c r="DR448" s="352"/>
      <c r="DS448" s="352"/>
      <c r="DT448" s="352"/>
      <c r="DU448" s="352"/>
      <c r="DV448" s="352"/>
      <c r="DW448" s="352"/>
      <c r="DX448" s="352"/>
      <c r="DY448" s="352"/>
      <c r="DZ448" s="352"/>
      <c r="EA448" s="352"/>
      <c r="EB448" s="352"/>
      <c r="EC448" s="352"/>
      <c r="ED448" s="352"/>
      <c r="EE448" s="352"/>
      <c r="EF448" s="352"/>
      <c r="EG448" s="352"/>
      <c r="EH448" s="352"/>
      <c r="EI448" s="352"/>
      <c r="EJ448" s="352"/>
      <c r="EK448" s="352"/>
      <c r="EL448" s="352"/>
      <c r="EM448" s="352"/>
      <c r="EN448" s="352"/>
    </row>
    <row r="449" spans="1:144" s="169" customFormat="1" ht="20.100000000000001" customHeight="1">
      <c r="A449" s="160" t="s">
        <v>146</v>
      </c>
      <c r="B449" s="160" t="s">
        <v>446</v>
      </c>
      <c r="C449" s="161">
        <v>0</v>
      </c>
      <c r="D449" s="162">
        <f>'Sectors % GDP'!K32</f>
        <v>9473.64</v>
      </c>
      <c r="E449" s="162">
        <f t="shared" si="12"/>
        <v>0</v>
      </c>
      <c r="F449" s="165">
        <v>0</v>
      </c>
      <c r="G449" s="162">
        <v>0</v>
      </c>
      <c r="H449" s="164">
        <v>2.2999999999999998</v>
      </c>
      <c r="I449" s="164">
        <v>3.24</v>
      </c>
      <c r="J449" s="164">
        <v>5.51</v>
      </c>
      <c r="K449" s="165">
        <v>4.13</v>
      </c>
      <c r="L449" s="165">
        <f t="shared" si="13"/>
        <v>-7.3999999999999995</v>
      </c>
      <c r="M449" s="166">
        <v>-7.3999999999999996E-2</v>
      </c>
      <c r="N449" s="166">
        <v>5.69</v>
      </c>
      <c r="O449" s="167">
        <f>'Trade Data'!J26</f>
        <v>0.21957087500770597</v>
      </c>
      <c r="P449" s="170">
        <v>0</v>
      </c>
      <c r="Q449" s="352"/>
      <c r="R449" s="352"/>
      <c r="S449" s="352"/>
      <c r="T449" s="352"/>
      <c r="U449" s="352"/>
      <c r="V449" s="352"/>
      <c r="W449" s="352"/>
      <c r="X449" s="352"/>
      <c r="Y449" s="352"/>
      <c r="Z449" s="352"/>
      <c r="AA449" s="352"/>
      <c r="AB449" s="352"/>
      <c r="AC449" s="352"/>
      <c r="AD449" s="352"/>
      <c r="AE449" s="352"/>
      <c r="AF449" s="352"/>
      <c r="AG449" s="352"/>
      <c r="AH449" s="352"/>
      <c r="AI449" s="352"/>
      <c r="AJ449" s="352"/>
      <c r="AK449" s="352"/>
      <c r="AL449" s="352"/>
      <c r="AM449" s="352"/>
      <c r="AN449" s="352"/>
      <c r="AO449" s="352"/>
      <c r="AP449" s="352"/>
      <c r="AQ449" s="352"/>
      <c r="AR449" s="352"/>
      <c r="AS449" s="352"/>
      <c r="AT449" s="352"/>
      <c r="AU449" s="352"/>
      <c r="AV449" s="352"/>
      <c r="AW449" s="352"/>
      <c r="AX449" s="352"/>
      <c r="AY449" s="352"/>
      <c r="AZ449" s="352"/>
      <c r="BA449" s="352"/>
      <c r="BB449" s="352"/>
      <c r="BC449" s="352"/>
      <c r="BD449" s="352"/>
      <c r="BE449" s="352"/>
      <c r="BF449" s="352"/>
      <c r="BG449" s="352"/>
      <c r="BH449" s="352"/>
      <c r="BI449" s="352"/>
      <c r="BJ449" s="352"/>
      <c r="BK449" s="352"/>
      <c r="BL449" s="352"/>
      <c r="BM449" s="352"/>
      <c r="BN449" s="352"/>
      <c r="BO449" s="352"/>
      <c r="BP449" s="352"/>
      <c r="BQ449" s="352"/>
      <c r="BR449" s="352"/>
      <c r="BS449" s="352"/>
      <c r="BT449" s="352"/>
      <c r="BU449" s="352"/>
      <c r="BV449" s="352"/>
      <c r="BW449" s="352"/>
      <c r="BX449" s="352"/>
      <c r="BY449" s="352"/>
      <c r="BZ449" s="352"/>
      <c r="CA449" s="352"/>
      <c r="CB449" s="352"/>
      <c r="CC449" s="352"/>
      <c r="CD449" s="352"/>
      <c r="CE449" s="352"/>
      <c r="CF449" s="352"/>
      <c r="CG449" s="352"/>
      <c r="CH449" s="352"/>
      <c r="CI449" s="352"/>
      <c r="CJ449" s="352"/>
      <c r="CK449" s="352"/>
      <c r="CL449" s="352"/>
      <c r="CM449" s="352"/>
      <c r="CN449" s="352"/>
      <c r="CO449" s="352"/>
      <c r="CP449" s="352"/>
      <c r="CQ449" s="352"/>
      <c r="CR449" s="352"/>
      <c r="CS449" s="352"/>
      <c r="CT449" s="352"/>
      <c r="CU449" s="352"/>
      <c r="CV449" s="352"/>
      <c r="CW449" s="352"/>
      <c r="CX449" s="352"/>
      <c r="CY449" s="352"/>
      <c r="CZ449" s="352"/>
      <c r="DA449" s="352"/>
      <c r="DB449" s="352"/>
      <c r="DC449" s="352"/>
      <c r="DD449" s="352"/>
      <c r="DE449" s="352"/>
      <c r="DF449" s="352"/>
      <c r="DG449" s="352"/>
      <c r="DH449" s="352"/>
      <c r="DI449" s="352"/>
      <c r="DJ449" s="352"/>
      <c r="DK449" s="352"/>
      <c r="DL449" s="352"/>
      <c r="DM449" s="352"/>
      <c r="DN449" s="352"/>
      <c r="DO449" s="352"/>
      <c r="DP449" s="352"/>
      <c r="DQ449" s="352"/>
      <c r="DR449" s="352"/>
      <c r="DS449" s="352"/>
      <c r="DT449" s="352"/>
      <c r="DU449" s="352"/>
      <c r="DV449" s="352"/>
      <c r="DW449" s="352"/>
      <c r="DX449" s="352"/>
      <c r="DY449" s="352"/>
      <c r="DZ449" s="352"/>
      <c r="EA449" s="352"/>
      <c r="EB449" s="352"/>
      <c r="EC449" s="352"/>
      <c r="ED449" s="352"/>
      <c r="EE449" s="352"/>
      <c r="EF449" s="352"/>
      <c r="EG449" s="352"/>
      <c r="EH449" s="352"/>
      <c r="EI449" s="352"/>
      <c r="EJ449" s="352"/>
      <c r="EK449" s="352"/>
      <c r="EL449" s="352"/>
      <c r="EM449" s="352"/>
      <c r="EN449" s="352"/>
    </row>
    <row r="450" spans="1:144" s="188" customFormat="1" ht="20.100000000000001" customHeight="1">
      <c r="A450" s="179" t="s">
        <v>146</v>
      </c>
      <c r="B450" s="179" t="s">
        <v>445</v>
      </c>
      <c r="C450" s="180">
        <v>0</v>
      </c>
      <c r="D450" s="181">
        <f>'Sectors % GDP'!K33</f>
        <v>82248.42</v>
      </c>
      <c r="E450" s="181">
        <f t="shared" ref="E450:E457" si="14">C450/D450</f>
        <v>0</v>
      </c>
      <c r="F450" s="184">
        <v>0</v>
      </c>
      <c r="G450" s="181">
        <v>0</v>
      </c>
      <c r="H450" s="183">
        <v>2.2999999999999998</v>
      </c>
      <c r="I450" s="183">
        <v>3.24</v>
      </c>
      <c r="J450" s="183">
        <v>5.51</v>
      </c>
      <c r="K450" s="184">
        <v>4.13</v>
      </c>
      <c r="L450" s="184">
        <f t="shared" si="13"/>
        <v>-7.3999999999999995</v>
      </c>
      <c r="M450" s="185">
        <v>-7.3999999999999996E-2</v>
      </c>
      <c r="N450" s="185">
        <v>5.69</v>
      </c>
      <c r="O450" s="186">
        <f>'Trade Data'!J26</f>
        <v>0.21957087500770597</v>
      </c>
      <c r="P450" s="189">
        <v>1</v>
      </c>
      <c r="Q450" s="352"/>
      <c r="R450" s="352"/>
      <c r="S450" s="352"/>
      <c r="T450" s="352"/>
      <c r="U450" s="352"/>
      <c r="V450" s="352"/>
      <c r="W450" s="352"/>
      <c r="X450" s="352"/>
      <c r="Y450" s="352"/>
      <c r="Z450" s="352"/>
      <c r="AA450" s="352"/>
      <c r="AB450" s="352"/>
      <c r="AC450" s="352"/>
      <c r="AD450" s="352"/>
      <c r="AE450" s="352"/>
      <c r="AF450" s="352"/>
      <c r="AG450" s="352"/>
      <c r="AH450" s="352"/>
      <c r="AI450" s="352"/>
      <c r="AJ450" s="352"/>
      <c r="AK450" s="352"/>
      <c r="AL450" s="352"/>
      <c r="AM450" s="352"/>
      <c r="AN450" s="352"/>
      <c r="AO450" s="352"/>
      <c r="AP450" s="352"/>
      <c r="AQ450" s="352"/>
      <c r="AR450" s="352"/>
      <c r="AS450" s="352"/>
      <c r="AT450" s="352"/>
      <c r="AU450" s="352"/>
      <c r="AV450" s="352"/>
      <c r="AW450" s="352"/>
      <c r="AX450" s="352"/>
      <c r="AY450" s="352"/>
      <c r="AZ450" s="352"/>
      <c r="BA450" s="352"/>
      <c r="BB450" s="352"/>
      <c r="BC450" s="352"/>
      <c r="BD450" s="352"/>
      <c r="BE450" s="352"/>
      <c r="BF450" s="352"/>
      <c r="BG450" s="352"/>
      <c r="BH450" s="352"/>
      <c r="BI450" s="352"/>
      <c r="BJ450" s="352"/>
      <c r="BK450" s="352"/>
      <c r="BL450" s="352"/>
      <c r="BM450" s="352"/>
      <c r="BN450" s="352"/>
      <c r="BO450" s="352"/>
      <c r="BP450" s="352"/>
      <c r="BQ450" s="352"/>
      <c r="BR450" s="352"/>
      <c r="BS450" s="352"/>
      <c r="BT450" s="352"/>
      <c r="BU450" s="352"/>
      <c r="BV450" s="352"/>
      <c r="BW450" s="352"/>
      <c r="BX450" s="352"/>
      <c r="BY450" s="352"/>
      <c r="BZ450" s="352"/>
      <c r="CA450" s="352"/>
      <c r="CB450" s="352"/>
      <c r="CC450" s="352"/>
      <c r="CD450" s="352"/>
      <c r="CE450" s="352"/>
      <c r="CF450" s="352"/>
      <c r="CG450" s="352"/>
      <c r="CH450" s="352"/>
      <c r="CI450" s="352"/>
      <c r="CJ450" s="352"/>
      <c r="CK450" s="352"/>
      <c r="CL450" s="352"/>
      <c r="CM450" s="352"/>
      <c r="CN450" s="352"/>
      <c r="CO450" s="352"/>
      <c r="CP450" s="352"/>
      <c r="CQ450" s="352"/>
      <c r="CR450" s="352"/>
      <c r="CS450" s="352"/>
      <c r="CT450" s="352"/>
      <c r="CU450" s="352"/>
      <c r="CV450" s="352"/>
      <c r="CW450" s="352"/>
      <c r="CX450" s="352"/>
      <c r="CY450" s="352"/>
      <c r="CZ450" s="352"/>
      <c r="DA450" s="352"/>
      <c r="DB450" s="352"/>
      <c r="DC450" s="352"/>
      <c r="DD450" s="352"/>
      <c r="DE450" s="352"/>
      <c r="DF450" s="352"/>
      <c r="DG450" s="352"/>
      <c r="DH450" s="352"/>
      <c r="DI450" s="352"/>
      <c r="DJ450" s="352"/>
      <c r="DK450" s="352"/>
      <c r="DL450" s="352"/>
      <c r="DM450" s="352"/>
      <c r="DN450" s="352"/>
      <c r="DO450" s="352"/>
      <c r="DP450" s="352"/>
      <c r="DQ450" s="352"/>
      <c r="DR450" s="352"/>
      <c r="DS450" s="352"/>
      <c r="DT450" s="352"/>
      <c r="DU450" s="352"/>
      <c r="DV450" s="352"/>
      <c r="DW450" s="352"/>
      <c r="DX450" s="352"/>
      <c r="DY450" s="352"/>
      <c r="DZ450" s="352"/>
      <c r="EA450" s="352"/>
      <c r="EB450" s="352"/>
      <c r="EC450" s="352"/>
      <c r="ED450" s="352"/>
      <c r="EE450" s="352"/>
      <c r="EF450" s="352"/>
      <c r="EG450" s="352"/>
      <c r="EH450" s="352"/>
      <c r="EI450" s="352"/>
      <c r="EJ450" s="352"/>
      <c r="EK450" s="352"/>
      <c r="EL450" s="352"/>
      <c r="EM450" s="352"/>
      <c r="EN450" s="352"/>
    </row>
    <row r="451" spans="1:144" ht="20.100000000000001" customHeight="1">
      <c r="A451" s="118" t="s">
        <v>146</v>
      </c>
      <c r="B451" s="118" t="s">
        <v>444</v>
      </c>
      <c r="C451" s="119">
        <v>0</v>
      </c>
      <c r="D451" s="120">
        <f>'Sectors % GDP'!K34</f>
        <v>123587.93999999999</v>
      </c>
      <c r="E451" s="120">
        <f t="shared" si="14"/>
        <v>0</v>
      </c>
      <c r="F451" s="123">
        <v>0</v>
      </c>
      <c r="G451" s="120">
        <v>0</v>
      </c>
      <c r="H451" s="122">
        <v>2.2999999999999998</v>
      </c>
      <c r="I451" s="122">
        <v>3.24</v>
      </c>
      <c r="J451" s="122">
        <v>5.51</v>
      </c>
      <c r="K451" s="123">
        <v>4.13</v>
      </c>
      <c r="L451" s="123">
        <f t="shared" ref="L451:L457" si="15">M451*100</f>
        <v>-7.3999999999999995</v>
      </c>
      <c r="M451" s="124">
        <v>-7.3999999999999996E-2</v>
      </c>
      <c r="N451" s="124">
        <v>5.69</v>
      </c>
      <c r="O451" s="125">
        <f>'Trade Data'!J26</f>
        <v>0.21957087500770597</v>
      </c>
      <c r="P451" s="127">
        <v>1</v>
      </c>
      <c r="Q451" s="352"/>
      <c r="R451" s="352"/>
      <c r="S451" s="352"/>
      <c r="T451" s="352"/>
      <c r="U451" s="352"/>
      <c r="V451" s="352"/>
      <c r="W451" s="352"/>
      <c r="X451" s="352"/>
      <c r="Y451" s="352"/>
      <c r="Z451" s="352"/>
      <c r="AA451" s="352"/>
      <c r="AB451" s="352"/>
      <c r="AC451" s="352"/>
      <c r="AD451" s="352"/>
      <c r="AE451" s="352"/>
      <c r="AF451" s="352"/>
      <c r="AG451" s="352"/>
      <c r="AH451" s="352"/>
      <c r="AI451" s="352"/>
      <c r="AJ451" s="352"/>
      <c r="AK451" s="352"/>
      <c r="AL451" s="352"/>
      <c r="AM451" s="352"/>
      <c r="AN451" s="352"/>
      <c r="AO451" s="352"/>
      <c r="AP451" s="352"/>
      <c r="AQ451" s="352"/>
      <c r="AR451" s="352"/>
      <c r="AS451" s="352"/>
      <c r="AT451" s="352"/>
      <c r="AU451" s="352"/>
      <c r="AV451" s="352"/>
      <c r="AW451" s="352"/>
      <c r="AX451" s="352"/>
      <c r="AY451" s="352"/>
      <c r="AZ451" s="352"/>
      <c r="BA451" s="352"/>
      <c r="BB451" s="352"/>
      <c r="BC451" s="352"/>
      <c r="BD451" s="352"/>
      <c r="BE451" s="352"/>
      <c r="BF451" s="352"/>
      <c r="BG451" s="352"/>
      <c r="BH451" s="352"/>
      <c r="BI451" s="352"/>
      <c r="BJ451" s="352"/>
      <c r="BK451" s="352"/>
      <c r="BL451" s="352"/>
      <c r="BM451" s="352"/>
      <c r="BN451" s="352"/>
      <c r="BO451" s="352"/>
      <c r="BP451" s="352"/>
      <c r="BQ451" s="352"/>
      <c r="BR451" s="352"/>
      <c r="BS451" s="352"/>
      <c r="BT451" s="352"/>
      <c r="BU451" s="352"/>
      <c r="BV451" s="352"/>
      <c r="BW451" s="352"/>
      <c r="BX451" s="352"/>
      <c r="BY451" s="352"/>
      <c r="BZ451" s="352"/>
      <c r="CA451" s="352"/>
      <c r="CB451" s="352"/>
      <c r="CC451" s="352"/>
      <c r="CD451" s="352"/>
      <c r="CE451" s="352"/>
      <c r="CF451" s="352"/>
      <c r="CG451" s="352"/>
      <c r="CH451" s="352"/>
      <c r="CI451" s="352"/>
      <c r="CJ451" s="352"/>
      <c r="CK451" s="352"/>
      <c r="CL451" s="352"/>
      <c r="CM451" s="352"/>
      <c r="CN451" s="352"/>
      <c r="CO451" s="352"/>
      <c r="CP451" s="352"/>
      <c r="CQ451" s="352"/>
      <c r="CR451" s="352"/>
      <c r="CS451" s="352"/>
      <c r="CT451" s="352"/>
      <c r="CU451" s="352"/>
      <c r="CV451" s="352"/>
      <c r="CW451" s="352"/>
      <c r="CX451" s="352"/>
      <c r="CY451" s="352"/>
      <c r="CZ451" s="352"/>
      <c r="DA451" s="352"/>
      <c r="DB451" s="352"/>
      <c r="DC451" s="352"/>
      <c r="DD451" s="352"/>
      <c r="DE451" s="352"/>
      <c r="DF451" s="352"/>
      <c r="DG451" s="352"/>
      <c r="DH451" s="352"/>
      <c r="DI451" s="352"/>
      <c r="DJ451" s="352"/>
      <c r="DK451" s="352"/>
      <c r="DL451" s="352"/>
      <c r="DM451" s="352"/>
      <c r="DN451" s="352"/>
      <c r="DO451" s="352"/>
      <c r="DP451" s="352"/>
      <c r="DQ451" s="352"/>
      <c r="DR451" s="352"/>
      <c r="DS451" s="352"/>
      <c r="DT451" s="352"/>
      <c r="DU451" s="352"/>
      <c r="DV451" s="352"/>
      <c r="DW451" s="352"/>
      <c r="DX451" s="352"/>
      <c r="DY451" s="352"/>
      <c r="DZ451" s="352"/>
      <c r="EA451" s="352"/>
      <c r="EB451" s="352"/>
      <c r="EC451" s="352"/>
      <c r="ED451" s="352"/>
      <c r="EE451" s="352"/>
      <c r="EF451" s="352"/>
      <c r="EG451" s="352"/>
      <c r="EH451" s="352"/>
      <c r="EI451" s="352"/>
      <c r="EJ451" s="352"/>
      <c r="EK451" s="352"/>
      <c r="EL451" s="352"/>
      <c r="EM451" s="352"/>
      <c r="EN451" s="352"/>
    </row>
    <row r="452" spans="1:144" s="169" customFormat="1" ht="20.100000000000001" customHeight="1">
      <c r="A452" s="160" t="s">
        <v>147</v>
      </c>
      <c r="B452" s="160" t="s">
        <v>443</v>
      </c>
      <c r="C452" s="161">
        <v>0</v>
      </c>
      <c r="D452" s="162">
        <f>'Sectors % GDP'!K32</f>
        <v>9473.64</v>
      </c>
      <c r="E452" s="162">
        <f t="shared" si="14"/>
        <v>0</v>
      </c>
      <c r="F452" s="165">
        <v>0</v>
      </c>
      <c r="G452" s="162">
        <v>0</v>
      </c>
      <c r="H452" s="164">
        <v>2.4300000000000002</v>
      </c>
      <c r="I452" s="164">
        <v>3.55</v>
      </c>
      <c r="J452" s="165">
        <v>5.99</v>
      </c>
      <c r="K452" s="165">
        <v>4.13</v>
      </c>
      <c r="L452" s="165">
        <f t="shared" si="15"/>
        <v>-7.3999999999999995</v>
      </c>
      <c r="M452" s="166">
        <v>-7.3999999999999996E-2</v>
      </c>
      <c r="N452" s="166">
        <v>5.69</v>
      </c>
      <c r="O452" s="167">
        <f>'Trade Data'!J26</f>
        <v>0.21957087500770597</v>
      </c>
      <c r="P452" s="168">
        <v>0</v>
      </c>
      <c r="Q452" s="352"/>
      <c r="R452" s="352"/>
      <c r="S452" s="352"/>
      <c r="T452" s="352"/>
      <c r="U452" s="352"/>
      <c r="V452" s="352"/>
      <c r="W452" s="352"/>
      <c r="X452" s="352"/>
      <c r="Y452" s="352"/>
      <c r="Z452" s="352"/>
      <c r="AA452" s="352"/>
      <c r="AB452" s="352"/>
      <c r="AC452" s="352"/>
      <c r="AD452" s="352"/>
      <c r="AE452" s="352"/>
      <c r="AF452" s="352"/>
      <c r="AG452" s="352"/>
      <c r="AH452" s="352"/>
      <c r="AI452" s="352"/>
      <c r="AJ452" s="352"/>
      <c r="AK452" s="352"/>
      <c r="AL452" s="352"/>
      <c r="AM452" s="352"/>
      <c r="AN452" s="352"/>
      <c r="AO452" s="352"/>
      <c r="AP452" s="352"/>
      <c r="AQ452" s="352"/>
      <c r="AR452" s="352"/>
      <c r="AS452" s="352"/>
      <c r="AT452" s="352"/>
      <c r="AU452" s="352"/>
      <c r="AV452" s="352"/>
      <c r="AW452" s="352"/>
      <c r="AX452" s="352"/>
      <c r="AY452" s="352"/>
      <c r="AZ452" s="352"/>
      <c r="BA452" s="352"/>
      <c r="BB452" s="352"/>
      <c r="BC452" s="352"/>
      <c r="BD452" s="352"/>
      <c r="BE452" s="352"/>
      <c r="BF452" s="352"/>
      <c r="BG452" s="352"/>
      <c r="BH452" s="352"/>
      <c r="BI452" s="352"/>
      <c r="BJ452" s="352"/>
      <c r="BK452" s="352"/>
      <c r="BL452" s="352"/>
      <c r="BM452" s="352"/>
      <c r="BN452" s="352"/>
      <c r="BO452" s="352"/>
      <c r="BP452" s="352"/>
      <c r="BQ452" s="352"/>
      <c r="BR452" s="352"/>
      <c r="BS452" s="352"/>
      <c r="BT452" s="352"/>
      <c r="BU452" s="352"/>
      <c r="BV452" s="352"/>
      <c r="BW452" s="352"/>
      <c r="BX452" s="352"/>
      <c r="BY452" s="352"/>
      <c r="BZ452" s="352"/>
      <c r="CA452" s="352"/>
      <c r="CB452" s="352"/>
      <c r="CC452" s="352"/>
      <c r="CD452" s="352"/>
      <c r="CE452" s="352"/>
      <c r="CF452" s="352"/>
      <c r="CG452" s="352"/>
      <c r="CH452" s="352"/>
      <c r="CI452" s="352"/>
      <c r="CJ452" s="352"/>
      <c r="CK452" s="352"/>
      <c r="CL452" s="352"/>
      <c r="CM452" s="352"/>
      <c r="CN452" s="352"/>
      <c r="CO452" s="352"/>
      <c r="CP452" s="352"/>
      <c r="CQ452" s="352"/>
      <c r="CR452" s="352"/>
      <c r="CS452" s="352"/>
      <c r="CT452" s="352"/>
      <c r="CU452" s="352"/>
      <c r="CV452" s="352"/>
      <c r="CW452" s="352"/>
      <c r="CX452" s="352"/>
      <c r="CY452" s="352"/>
      <c r="CZ452" s="352"/>
      <c r="DA452" s="352"/>
      <c r="DB452" s="352"/>
      <c r="DC452" s="352"/>
      <c r="DD452" s="352"/>
      <c r="DE452" s="352"/>
      <c r="DF452" s="352"/>
      <c r="DG452" s="352"/>
      <c r="DH452" s="352"/>
      <c r="DI452" s="352"/>
      <c r="DJ452" s="352"/>
      <c r="DK452" s="352"/>
      <c r="DL452" s="352"/>
      <c r="DM452" s="352"/>
      <c r="DN452" s="352"/>
      <c r="DO452" s="352"/>
      <c r="DP452" s="352"/>
      <c r="DQ452" s="352"/>
      <c r="DR452" s="352"/>
      <c r="DS452" s="352"/>
      <c r="DT452" s="352"/>
      <c r="DU452" s="352"/>
      <c r="DV452" s="352"/>
      <c r="DW452" s="352"/>
      <c r="DX452" s="352"/>
      <c r="DY452" s="352"/>
      <c r="DZ452" s="352"/>
      <c r="EA452" s="352"/>
      <c r="EB452" s="352"/>
      <c r="EC452" s="352"/>
      <c r="ED452" s="352"/>
      <c r="EE452" s="352"/>
      <c r="EF452" s="352"/>
      <c r="EG452" s="352"/>
      <c r="EH452" s="352"/>
      <c r="EI452" s="352"/>
      <c r="EJ452" s="352"/>
      <c r="EK452" s="352"/>
      <c r="EL452" s="352"/>
      <c r="EM452" s="352"/>
      <c r="EN452" s="352"/>
    </row>
    <row r="453" spans="1:144" s="188" customFormat="1" ht="20.100000000000001" customHeight="1">
      <c r="A453" s="179" t="s">
        <v>147</v>
      </c>
      <c r="B453" s="179" t="s">
        <v>442</v>
      </c>
      <c r="C453" s="180">
        <v>0</v>
      </c>
      <c r="D453" s="181">
        <f>'Sectors % GDP'!K33</f>
        <v>82248.42</v>
      </c>
      <c r="E453" s="181">
        <f t="shared" si="14"/>
        <v>0</v>
      </c>
      <c r="F453" s="184">
        <v>1</v>
      </c>
      <c r="G453" s="181">
        <v>1</v>
      </c>
      <c r="H453" s="183">
        <v>2.4300000000000002</v>
      </c>
      <c r="I453" s="183">
        <v>3.55</v>
      </c>
      <c r="J453" s="184">
        <v>5.99</v>
      </c>
      <c r="K453" s="184">
        <v>4.13</v>
      </c>
      <c r="L453" s="184">
        <f t="shared" si="15"/>
        <v>-7.3999999999999995</v>
      </c>
      <c r="M453" s="185">
        <v>-7.3999999999999996E-2</v>
      </c>
      <c r="N453" s="185">
        <v>5.69</v>
      </c>
      <c r="O453" s="186">
        <f>'Trade Data'!J26</f>
        <v>0.21957087500770597</v>
      </c>
      <c r="P453" s="187">
        <v>1</v>
      </c>
      <c r="Q453" s="352"/>
      <c r="R453" s="352"/>
      <c r="S453" s="352"/>
      <c r="T453" s="352"/>
      <c r="U453" s="352"/>
      <c r="V453" s="352"/>
      <c r="W453" s="352"/>
      <c r="X453" s="352"/>
      <c r="Y453" s="352"/>
      <c r="Z453" s="352"/>
      <c r="AA453" s="352"/>
      <c r="AB453" s="352"/>
      <c r="AC453" s="352"/>
      <c r="AD453" s="352"/>
      <c r="AE453" s="352"/>
      <c r="AF453" s="352"/>
      <c r="AG453" s="352"/>
      <c r="AH453" s="352"/>
      <c r="AI453" s="352"/>
      <c r="AJ453" s="352"/>
      <c r="AK453" s="352"/>
      <c r="AL453" s="352"/>
      <c r="AM453" s="352"/>
      <c r="AN453" s="352"/>
      <c r="AO453" s="352"/>
      <c r="AP453" s="352"/>
      <c r="AQ453" s="352"/>
      <c r="AR453" s="352"/>
      <c r="AS453" s="352"/>
      <c r="AT453" s="352"/>
      <c r="AU453" s="352"/>
      <c r="AV453" s="352"/>
      <c r="AW453" s="352"/>
      <c r="AX453" s="352"/>
      <c r="AY453" s="352"/>
      <c r="AZ453" s="352"/>
      <c r="BA453" s="352"/>
      <c r="BB453" s="352"/>
      <c r="BC453" s="352"/>
      <c r="BD453" s="352"/>
      <c r="BE453" s="352"/>
      <c r="BF453" s="352"/>
      <c r="BG453" s="352"/>
      <c r="BH453" s="352"/>
      <c r="BI453" s="352"/>
      <c r="BJ453" s="352"/>
      <c r="BK453" s="352"/>
      <c r="BL453" s="352"/>
      <c r="BM453" s="352"/>
      <c r="BN453" s="352"/>
      <c r="BO453" s="352"/>
      <c r="BP453" s="352"/>
      <c r="BQ453" s="352"/>
      <c r="BR453" s="352"/>
      <c r="BS453" s="352"/>
      <c r="BT453" s="352"/>
      <c r="BU453" s="352"/>
      <c r="BV453" s="352"/>
      <c r="BW453" s="352"/>
      <c r="BX453" s="352"/>
      <c r="BY453" s="352"/>
      <c r="BZ453" s="352"/>
      <c r="CA453" s="352"/>
      <c r="CB453" s="352"/>
      <c r="CC453" s="352"/>
      <c r="CD453" s="352"/>
      <c r="CE453" s="352"/>
      <c r="CF453" s="352"/>
      <c r="CG453" s="352"/>
      <c r="CH453" s="352"/>
      <c r="CI453" s="352"/>
      <c r="CJ453" s="352"/>
      <c r="CK453" s="352"/>
      <c r="CL453" s="352"/>
      <c r="CM453" s="352"/>
      <c r="CN453" s="352"/>
      <c r="CO453" s="352"/>
      <c r="CP453" s="352"/>
      <c r="CQ453" s="352"/>
      <c r="CR453" s="352"/>
      <c r="CS453" s="352"/>
      <c r="CT453" s="352"/>
      <c r="CU453" s="352"/>
      <c r="CV453" s="352"/>
      <c r="CW453" s="352"/>
      <c r="CX453" s="352"/>
      <c r="CY453" s="352"/>
      <c r="CZ453" s="352"/>
      <c r="DA453" s="352"/>
      <c r="DB453" s="352"/>
      <c r="DC453" s="352"/>
      <c r="DD453" s="352"/>
      <c r="DE453" s="352"/>
      <c r="DF453" s="352"/>
      <c r="DG453" s="352"/>
      <c r="DH453" s="352"/>
      <c r="DI453" s="352"/>
      <c r="DJ453" s="352"/>
      <c r="DK453" s="352"/>
      <c r="DL453" s="352"/>
      <c r="DM453" s="352"/>
      <c r="DN453" s="352"/>
      <c r="DO453" s="352"/>
      <c r="DP453" s="352"/>
      <c r="DQ453" s="352"/>
      <c r="DR453" s="352"/>
      <c r="DS453" s="352"/>
      <c r="DT453" s="352"/>
      <c r="DU453" s="352"/>
      <c r="DV453" s="352"/>
      <c r="DW453" s="352"/>
      <c r="DX453" s="352"/>
      <c r="DY453" s="352"/>
      <c r="DZ453" s="352"/>
      <c r="EA453" s="352"/>
      <c r="EB453" s="352"/>
      <c r="EC453" s="352"/>
      <c r="ED453" s="352"/>
      <c r="EE453" s="352"/>
      <c r="EF453" s="352"/>
      <c r="EG453" s="352"/>
      <c r="EH453" s="352"/>
      <c r="EI453" s="352"/>
      <c r="EJ453" s="352"/>
      <c r="EK453" s="352"/>
      <c r="EL453" s="352"/>
      <c r="EM453" s="352"/>
      <c r="EN453" s="352"/>
    </row>
    <row r="454" spans="1:144" ht="20.100000000000001" customHeight="1">
      <c r="A454" s="118" t="s">
        <v>147</v>
      </c>
      <c r="B454" s="118" t="s">
        <v>441</v>
      </c>
      <c r="C454" s="119">
        <v>0</v>
      </c>
      <c r="D454" s="120">
        <f>'Sectors % GDP'!K34</f>
        <v>123587.93999999999</v>
      </c>
      <c r="E454" s="120">
        <f t="shared" si="14"/>
        <v>0</v>
      </c>
      <c r="F454" s="123">
        <v>0</v>
      </c>
      <c r="G454" s="120">
        <v>0</v>
      </c>
      <c r="H454" s="122">
        <v>2.4300000000000002</v>
      </c>
      <c r="I454" s="122">
        <v>3.55</v>
      </c>
      <c r="J454" s="123">
        <v>5.99</v>
      </c>
      <c r="K454" s="123">
        <v>4.13</v>
      </c>
      <c r="L454" s="123">
        <f t="shared" si="15"/>
        <v>-7.3999999999999995</v>
      </c>
      <c r="M454" s="124">
        <v>-7.3999999999999996E-2</v>
      </c>
      <c r="N454" s="124">
        <v>5.69</v>
      </c>
      <c r="O454" s="125">
        <f>'Trade Data'!J26</f>
        <v>0.21957087500770597</v>
      </c>
      <c r="P454" s="126">
        <v>1</v>
      </c>
      <c r="Q454" s="352"/>
      <c r="R454" s="352"/>
      <c r="S454" s="352"/>
      <c r="T454" s="352"/>
      <c r="U454" s="352"/>
      <c r="V454" s="352"/>
      <c r="W454" s="352"/>
      <c r="X454" s="352"/>
      <c r="Y454" s="352"/>
      <c r="Z454" s="352"/>
      <c r="AA454" s="352"/>
      <c r="AB454" s="352"/>
      <c r="AC454" s="352"/>
      <c r="AD454" s="352"/>
      <c r="AE454" s="352"/>
      <c r="AF454" s="352"/>
      <c r="AG454" s="352"/>
      <c r="AH454" s="352"/>
      <c r="AI454" s="352"/>
      <c r="AJ454" s="352"/>
      <c r="AK454" s="352"/>
      <c r="AL454" s="352"/>
      <c r="AM454" s="352"/>
      <c r="AN454" s="352"/>
      <c r="AO454" s="352"/>
      <c r="AP454" s="352"/>
      <c r="AQ454" s="352"/>
      <c r="AR454" s="352"/>
      <c r="AS454" s="352"/>
      <c r="AT454" s="352"/>
      <c r="AU454" s="352"/>
      <c r="AV454" s="352"/>
      <c r="AW454" s="352"/>
      <c r="AX454" s="352"/>
      <c r="AY454" s="352"/>
      <c r="AZ454" s="352"/>
      <c r="BA454" s="352"/>
      <c r="BB454" s="352"/>
      <c r="BC454" s="352"/>
      <c r="BD454" s="352"/>
      <c r="BE454" s="352"/>
      <c r="BF454" s="352"/>
      <c r="BG454" s="352"/>
      <c r="BH454" s="352"/>
      <c r="BI454" s="352"/>
      <c r="BJ454" s="352"/>
      <c r="BK454" s="352"/>
      <c r="BL454" s="352"/>
      <c r="BM454" s="352"/>
      <c r="BN454" s="352"/>
      <c r="BO454" s="352"/>
      <c r="BP454" s="352"/>
      <c r="BQ454" s="352"/>
      <c r="BR454" s="352"/>
      <c r="BS454" s="352"/>
      <c r="BT454" s="352"/>
      <c r="BU454" s="352"/>
      <c r="BV454" s="352"/>
      <c r="BW454" s="352"/>
      <c r="BX454" s="352"/>
      <c r="BY454" s="352"/>
      <c r="BZ454" s="352"/>
      <c r="CA454" s="352"/>
      <c r="CB454" s="352"/>
      <c r="CC454" s="352"/>
      <c r="CD454" s="352"/>
      <c r="CE454" s="352"/>
      <c r="CF454" s="352"/>
      <c r="CG454" s="352"/>
      <c r="CH454" s="352"/>
      <c r="CI454" s="352"/>
      <c r="CJ454" s="352"/>
      <c r="CK454" s="352"/>
      <c r="CL454" s="352"/>
      <c r="CM454" s="352"/>
      <c r="CN454" s="352"/>
      <c r="CO454" s="352"/>
      <c r="CP454" s="352"/>
      <c r="CQ454" s="352"/>
      <c r="CR454" s="352"/>
      <c r="CS454" s="352"/>
      <c r="CT454" s="352"/>
      <c r="CU454" s="352"/>
      <c r="CV454" s="352"/>
      <c r="CW454" s="352"/>
      <c r="CX454" s="352"/>
      <c r="CY454" s="352"/>
      <c r="CZ454" s="352"/>
      <c r="DA454" s="352"/>
      <c r="DB454" s="352"/>
      <c r="DC454" s="352"/>
      <c r="DD454" s="352"/>
      <c r="DE454" s="352"/>
      <c r="DF454" s="352"/>
      <c r="DG454" s="352"/>
      <c r="DH454" s="352"/>
      <c r="DI454" s="352"/>
      <c r="DJ454" s="352"/>
      <c r="DK454" s="352"/>
      <c r="DL454" s="352"/>
      <c r="DM454" s="352"/>
      <c r="DN454" s="352"/>
      <c r="DO454" s="352"/>
      <c r="DP454" s="352"/>
      <c r="DQ454" s="352"/>
      <c r="DR454" s="352"/>
      <c r="DS454" s="352"/>
      <c r="DT454" s="352"/>
      <c r="DU454" s="352"/>
      <c r="DV454" s="352"/>
      <c r="DW454" s="352"/>
      <c r="DX454" s="352"/>
      <c r="DY454" s="352"/>
      <c r="DZ454" s="352"/>
      <c r="EA454" s="352"/>
      <c r="EB454" s="352"/>
      <c r="EC454" s="352"/>
      <c r="ED454" s="352"/>
      <c r="EE454" s="352"/>
      <c r="EF454" s="352"/>
      <c r="EG454" s="352"/>
      <c r="EH454" s="352"/>
      <c r="EI454" s="352"/>
      <c r="EJ454" s="352"/>
      <c r="EK454" s="352"/>
      <c r="EL454" s="352"/>
      <c r="EM454" s="352"/>
      <c r="EN454" s="352"/>
    </row>
    <row r="455" spans="1:144" s="169" customFormat="1" ht="20.100000000000001" customHeight="1">
      <c r="A455" s="178" t="s">
        <v>148</v>
      </c>
      <c r="B455" s="160" t="s">
        <v>870</v>
      </c>
      <c r="C455" s="161">
        <v>0</v>
      </c>
      <c r="D455" s="162">
        <f>'Sectors % GDP'!K32</f>
        <v>9473.64</v>
      </c>
      <c r="E455" s="162">
        <f t="shared" si="14"/>
        <v>0</v>
      </c>
      <c r="F455" s="165">
        <v>0</v>
      </c>
      <c r="G455" s="162">
        <v>0</v>
      </c>
      <c r="H455" s="164">
        <v>2.65</v>
      </c>
      <c r="I455" s="165">
        <v>3.75</v>
      </c>
      <c r="J455" s="165">
        <v>6.6</v>
      </c>
      <c r="K455" s="165">
        <v>4.13</v>
      </c>
      <c r="L455" s="165">
        <f t="shared" si="15"/>
        <v>-7.3999999999999995</v>
      </c>
      <c r="M455" s="166">
        <v>-7.3999999999999996E-2</v>
      </c>
      <c r="N455" s="166">
        <v>5.69</v>
      </c>
      <c r="O455" s="167">
        <f>'Trade Data'!J26</f>
        <v>0.21957087500770597</v>
      </c>
      <c r="P455" s="170">
        <v>0</v>
      </c>
      <c r="Q455" s="352"/>
      <c r="R455" s="352"/>
      <c r="S455" s="352"/>
      <c r="T455" s="352"/>
      <c r="U455" s="352"/>
      <c r="V455" s="352"/>
      <c r="W455" s="352"/>
      <c r="X455" s="352"/>
      <c r="Y455" s="352"/>
      <c r="Z455" s="352"/>
      <c r="AA455" s="352"/>
      <c r="AB455" s="352"/>
      <c r="AC455" s="352"/>
      <c r="AD455" s="352"/>
      <c r="AE455" s="352"/>
      <c r="AF455" s="352"/>
      <c r="AG455" s="352"/>
      <c r="AH455" s="352"/>
      <c r="AI455" s="352"/>
      <c r="AJ455" s="352"/>
      <c r="AK455" s="352"/>
      <c r="AL455" s="352"/>
      <c r="AM455" s="352"/>
      <c r="AN455" s="352"/>
      <c r="AO455" s="352"/>
      <c r="AP455" s="352"/>
      <c r="AQ455" s="352"/>
      <c r="AR455" s="352"/>
      <c r="AS455" s="352"/>
      <c r="AT455" s="352"/>
      <c r="AU455" s="352"/>
      <c r="AV455" s="352"/>
      <c r="AW455" s="352"/>
      <c r="AX455" s="352"/>
      <c r="AY455" s="352"/>
      <c r="AZ455" s="352"/>
      <c r="BA455" s="352"/>
      <c r="BB455" s="352"/>
      <c r="BC455" s="352"/>
      <c r="BD455" s="352"/>
      <c r="BE455" s="352"/>
      <c r="BF455" s="352"/>
      <c r="BG455" s="352"/>
      <c r="BH455" s="352"/>
      <c r="BI455" s="352"/>
      <c r="BJ455" s="352"/>
      <c r="BK455" s="352"/>
      <c r="BL455" s="352"/>
      <c r="BM455" s="352"/>
      <c r="BN455" s="352"/>
      <c r="BO455" s="352"/>
      <c r="BP455" s="352"/>
      <c r="BQ455" s="352"/>
      <c r="BR455" s="352"/>
      <c r="BS455" s="352"/>
      <c r="BT455" s="352"/>
      <c r="BU455" s="352"/>
      <c r="BV455" s="352"/>
      <c r="BW455" s="352"/>
      <c r="BX455" s="352"/>
      <c r="BY455" s="352"/>
      <c r="BZ455" s="352"/>
      <c r="CA455" s="352"/>
      <c r="CB455" s="352"/>
      <c r="CC455" s="352"/>
      <c r="CD455" s="352"/>
      <c r="CE455" s="352"/>
      <c r="CF455" s="352"/>
      <c r="CG455" s="352"/>
      <c r="CH455" s="352"/>
      <c r="CI455" s="352"/>
      <c r="CJ455" s="352"/>
      <c r="CK455" s="352"/>
      <c r="CL455" s="352"/>
      <c r="CM455" s="352"/>
      <c r="CN455" s="352"/>
      <c r="CO455" s="352"/>
      <c r="CP455" s="352"/>
      <c r="CQ455" s="352"/>
      <c r="CR455" s="352"/>
      <c r="CS455" s="352"/>
      <c r="CT455" s="352"/>
      <c r="CU455" s="352"/>
      <c r="CV455" s="352"/>
      <c r="CW455" s="352"/>
      <c r="CX455" s="352"/>
      <c r="CY455" s="352"/>
      <c r="CZ455" s="352"/>
      <c r="DA455" s="352"/>
      <c r="DB455" s="352"/>
      <c r="DC455" s="352"/>
      <c r="DD455" s="352"/>
      <c r="DE455" s="352"/>
      <c r="DF455" s="352"/>
      <c r="DG455" s="352"/>
      <c r="DH455" s="352"/>
      <c r="DI455" s="352"/>
      <c r="DJ455" s="352"/>
      <c r="DK455" s="352"/>
      <c r="DL455" s="352"/>
      <c r="DM455" s="352"/>
      <c r="DN455" s="352"/>
      <c r="DO455" s="352"/>
      <c r="DP455" s="352"/>
      <c r="DQ455" s="352"/>
      <c r="DR455" s="352"/>
      <c r="DS455" s="352"/>
      <c r="DT455" s="352"/>
      <c r="DU455" s="352"/>
      <c r="DV455" s="352"/>
      <c r="DW455" s="352"/>
      <c r="DX455" s="352"/>
      <c r="DY455" s="352"/>
      <c r="DZ455" s="352"/>
      <c r="EA455" s="352"/>
      <c r="EB455" s="352"/>
      <c r="EC455" s="352"/>
      <c r="ED455" s="352"/>
      <c r="EE455" s="352"/>
      <c r="EF455" s="352"/>
      <c r="EG455" s="352"/>
      <c r="EH455" s="352"/>
      <c r="EI455" s="352"/>
      <c r="EJ455" s="352"/>
      <c r="EK455" s="352"/>
      <c r="EL455" s="352"/>
      <c r="EM455" s="352"/>
      <c r="EN455" s="352"/>
    </row>
    <row r="456" spans="1:144" s="188" customFormat="1" ht="20.100000000000001" customHeight="1">
      <c r="A456" s="195" t="s">
        <v>148</v>
      </c>
      <c r="B456" s="179" t="s">
        <v>871</v>
      </c>
      <c r="C456" s="180">
        <v>0</v>
      </c>
      <c r="D456" s="181">
        <f>'Sectors % GDP'!K33</f>
        <v>82248.42</v>
      </c>
      <c r="E456" s="181">
        <f t="shared" si="14"/>
        <v>0</v>
      </c>
      <c r="F456" s="184">
        <v>0</v>
      </c>
      <c r="G456" s="181">
        <v>0</v>
      </c>
      <c r="H456" s="183">
        <v>2.65</v>
      </c>
      <c r="I456" s="184">
        <v>3.75</v>
      </c>
      <c r="J456" s="184">
        <v>6.6</v>
      </c>
      <c r="K456" s="184">
        <v>4.13</v>
      </c>
      <c r="L456" s="184">
        <f t="shared" si="15"/>
        <v>-7.3999999999999995</v>
      </c>
      <c r="M456" s="185">
        <v>-7.3999999999999996E-2</v>
      </c>
      <c r="N456" s="185">
        <v>5.69</v>
      </c>
      <c r="O456" s="186">
        <f>'Trade Data'!J26</f>
        <v>0.21957087500770597</v>
      </c>
      <c r="P456" s="189">
        <v>1</v>
      </c>
      <c r="Q456" s="352"/>
      <c r="R456" s="352"/>
      <c r="S456" s="352"/>
      <c r="T456" s="352"/>
      <c r="U456" s="352"/>
      <c r="V456" s="352"/>
      <c r="W456" s="352"/>
      <c r="X456" s="352"/>
      <c r="Y456" s="352"/>
      <c r="Z456" s="352"/>
      <c r="AA456" s="352"/>
      <c r="AB456" s="352"/>
      <c r="AC456" s="352"/>
      <c r="AD456" s="352"/>
      <c r="AE456" s="352"/>
      <c r="AF456" s="352"/>
      <c r="AG456" s="352"/>
      <c r="AH456" s="352"/>
      <c r="AI456" s="352"/>
      <c r="AJ456" s="352"/>
      <c r="AK456" s="352"/>
      <c r="AL456" s="352"/>
      <c r="AM456" s="352"/>
      <c r="AN456" s="352"/>
      <c r="AO456" s="352"/>
      <c r="AP456" s="352"/>
      <c r="AQ456" s="352"/>
      <c r="AR456" s="352"/>
      <c r="AS456" s="352"/>
      <c r="AT456" s="352"/>
      <c r="AU456" s="352"/>
      <c r="AV456" s="352"/>
      <c r="AW456" s="352"/>
      <c r="AX456" s="352"/>
      <c r="AY456" s="352"/>
      <c r="AZ456" s="352"/>
      <c r="BA456" s="352"/>
      <c r="BB456" s="352"/>
      <c r="BC456" s="352"/>
      <c r="BD456" s="352"/>
      <c r="BE456" s="352"/>
      <c r="BF456" s="352"/>
      <c r="BG456" s="352"/>
      <c r="BH456" s="352"/>
      <c r="BI456" s="352"/>
      <c r="BJ456" s="352"/>
      <c r="BK456" s="352"/>
      <c r="BL456" s="352"/>
      <c r="BM456" s="352"/>
      <c r="BN456" s="352"/>
      <c r="BO456" s="352"/>
      <c r="BP456" s="352"/>
      <c r="BQ456" s="352"/>
      <c r="BR456" s="352"/>
      <c r="BS456" s="352"/>
      <c r="BT456" s="352"/>
      <c r="BU456" s="352"/>
      <c r="BV456" s="352"/>
      <c r="BW456" s="352"/>
      <c r="BX456" s="352"/>
      <c r="BY456" s="352"/>
      <c r="BZ456" s="352"/>
      <c r="CA456" s="352"/>
      <c r="CB456" s="352"/>
      <c r="CC456" s="352"/>
      <c r="CD456" s="352"/>
      <c r="CE456" s="352"/>
      <c r="CF456" s="352"/>
      <c r="CG456" s="352"/>
      <c r="CH456" s="352"/>
      <c r="CI456" s="352"/>
      <c r="CJ456" s="352"/>
      <c r="CK456" s="352"/>
      <c r="CL456" s="352"/>
      <c r="CM456" s="352"/>
      <c r="CN456" s="352"/>
      <c r="CO456" s="352"/>
      <c r="CP456" s="352"/>
      <c r="CQ456" s="352"/>
      <c r="CR456" s="352"/>
      <c r="CS456" s="352"/>
      <c r="CT456" s="352"/>
      <c r="CU456" s="352"/>
      <c r="CV456" s="352"/>
      <c r="CW456" s="352"/>
      <c r="CX456" s="352"/>
      <c r="CY456" s="352"/>
      <c r="CZ456" s="352"/>
      <c r="DA456" s="352"/>
      <c r="DB456" s="352"/>
      <c r="DC456" s="352"/>
      <c r="DD456" s="352"/>
      <c r="DE456" s="352"/>
      <c r="DF456" s="352"/>
      <c r="DG456" s="352"/>
      <c r="DH456" s="352"/>
      <c r="DI456" s="352"/>
      <c r="DJ456" s="352"/>
      <c r="DK456" s="352"/>
      <c r="DL456" s="352"/>
      <c r="DM456" s="352"/>
      <c r="DN456" s="352"/>
      <c r="DO456" s="352"/>
      <c r="DP456" s="352"/>
      <c r="DQ456" s="352"/>
      <c r="DR456" s="352"/>
      <c r="DS456" s="352"/>
      <c r="DT456" s="352"/>
      <c r="DU456" s="352"/>
      <c r="DV456" s="352"/>
      <c r="DW456" s="352"/>
      <c r="DX456" s="352"/>
      <c r="DY456" s="352"/>
      <c r="DZ456" s="352"/>
      <c r="EA456" s="352"/>
      <c r="EB456" s="352"/>
      <c r="EC456" s="352"/>
      <c r="ED456" s="352"/>
      <c r="EE456" s="352"/>
      <c r="EF456" s="352"/>
      <c r="EG456" s="352"/>
      <c r="EH456" s="352"/>
      <c r="EI456" s="352"/>
      <c r="EJ456" s="352"/>
      <c r="EK456" s="352"/>
      <c r="EL456" s="352"/>
      <c r="EM456" s="352"/>
      <c r="EN456" s="352"/>
    </row>
    <row r="457" spans="1:144" ht="20.100000000000001" customHeight="1">
      <c r="A457" s="135" t="s">
        <v>148</v>
      </c>
      <c r="B457" s="118" t="s">
        <v>872</v>
      </c>
      <c r="C457" s="119">
        <v>0</v>
      </c>
      <c r="D457" s="120">
        <f>'Sectors % GDP'!K34</f>
        <v>123587.93999999999</v>
      </c>
      <c r="E457" s="136">
        <f t="shared" si="14"/>
        <v>0</v>
      </c>
      <c r="F457" s="123">
        <v>0</v>
      </c>
      <c r="G457" s="120">
        <v>0</v>
      </c>
      <c r="H457" s="122">
        <v>2.65</v>
      </c>
      <c r="I457" s="123">
        <v>3.75</v>
      </c>
      <c r="J457" s="123">
        <v>6.6</v>
      </c>
      <c r="K457" s="123">
        <v>4.13</v>
      </c>
      <c r="L457" s="123">
        <f t="shared" si="15"/>
        <v>-7.3999999999999995</v>
      </c>
      <c r="M457" s="124">
        <v>-7.3999999999999996E-2</v>
      </c>
      <c r="N457" s="124">
        <v>5.69</v>
      </c>
      <c r="O457" s="125">
        <f>'Trade Data'!J26</f>
        <v>0.21957087500770597</v>
      </c>
      <c r="P457" s="127">
        <v>1</v>
      </c>
      <c r="Q457" s="352"/>
      <c r="R457" s="352"/>
      <c r="S457" s="352"/>
      <c r="T457" s="352"/>
      <c r="U457" s="352"/>
      <c r="V457" s="352"/>
      <c r="W457" s="352"/>
      <c r="X457" s="352"/>
      <c r="Y457" s="352"/>
      <c r="Z457" s="352"/>
      <c r="AA457" s="352"/>
      <c r="AB457" s="352"/>
      <c r="AC457" s="352"/>
      <c r="AD457" s="352"/>
      <c r="AE457" s="352"/>
      <c r="AF457" s="352"/>
      <c r="AG457" s="352"/>
      <c r="AH457" s="352"/>
      <c r="AI457" s="352"/>
      <c r="AJ457" s="352"/>
      <c r="AK457" s="352"/>
      <c r="AL457" s="352"/>
      <c r="AM457" s="352"/>
      <c r="AN457" s="352"/>
      <c r="AO457" s="352"/>
      <c r="AP457" s="352"/>
      <c r="AQ457" s="352"/>
      <c r="AR457" s="352"/>
      <c r="AS457" s="352"/>
      <c r="AT457" s="352"/>
      <c r="AU457" s="352"/>
      <c r="AV457" s="352"/>
      <c r="AW457" s="352"/>
      <c r="AX457" s="352"/>
      <c r="AY457" s="352"/>
      <c r="AZ457" s="352"/>
      <c r="BA457" s="352"/>
      <c r="BB457" s="352"/>
      <c r="BC457" s="352"/>
      <c r="BD457" s="352"/>
      <c r="BE457" s="352"/>
      <c r="BF457" s="352"/>
      <c r="BG457" s="352"/>
      <c r="BH457" s="352"/>
      <c r="BI457" s="352"/>
      <c r="BJ457" s="352"/>
      <c r="BK457" s="352"/>
      <c r="BL457" s="352"/>
      <c r="BM457" s="352"/>
      <c r="BN457" s="352"/>
      <c r="BO457" s="352"/>
      <c r="BP457" s="352"/>
      <c r="BQ457" s="352"/>
      <c r="BR457" s="352"/>
      <c r="BS457" s="352"/>
      <c r="BT457" s="352"/>
      <c r="BU457" s="352"/>
      <c r="BV457" s="352"/>
      <c r="BW457" s="352"/>
      <c r="BX457" s="352"/>
      <c r="BY457" s="352"/>
      <c r="BZ457" s="352"/>
      <c r="CA457" s="352"/>
      <c r="CB457" s="352"/>
      <c r="CC457" s="352"/>
      <c r="CD457" s="352"/>
      <c r="CE457" s="352"/>
      <c r="CF457" s="352"/>
      <c r="CG457" s="352"/>
      <c r="CH457" s="352"/>
      <c r="CI457" s="352"/>
      <c r="CJ457" s="352"/>
      <c r="CK457" s="352"/>
      <c r="CL457" s="352"/>
      <c r="CM457" s="352"/>
      <c r="CN457" s="352"/>
      <c r="CO457" s="352"/>
      <c r="CP457" s="352"/>
      <c r="CQ457" s="352"/>
      <c r="CR457" s="352"/>
      <c r="CS457" s="352"/>
      <c r="CT457" s="352"/>
      <c r="CU457" s="352"/>
      <c r="CV457" s="352"/>
      <c r="CW457" s="352"/>
      <c r="CX457" s="352"/>
      <c r="CY457" s="352"/>
      <c r="CZ457" s="352"/>
      <c r="DA457" s="352"/>
      <c r="DB457" s="352"/>
      <c r="DC457" s="352"/>
      <c r="DD457" s="352"/>
      <c r="DE457" s="352"/>
      <c r="DF457" s="352"/>
      <c r="DG457" s="352"/>
      <c r="DH457" s="352"/>
      <c r="DI457" s="352"/>
      <c r="DJ457" s="352"/>
      <c r="DK457" s="352"/>
      <c r="DL457" s="352"/>
      <c r="DM457" s="352"/>
      <c r="DN457" s="352"/>
      <c r="DO457" s="352"/>
      <c r="DP457" s="352"/>
      <c r="DQ457" s="352"/>
      <c r="DR457" s="352"/>
      <c r="DS457" s="352"/>
      <c r="DT457" s="352"/>
      <c r="DU457" s="352"/>
      <c r="DV457" s="352"/>
      <c r="DW457" s="352"/>
      <c r="DX457" s="352"/>
      <c r="DY457" s="352"/>
      <c r="DZ457" s="352"/>
      <c r="EA457" s="352"/>
      <c r="EB457" s="352"/>
      <c r="EC457" s="352"/>
      <c r="ED457" s="352"/>
      <c r="EE457" s="352"/>
      <c r="EF457" s="352"/>
      <c r="EG457" s="352"/>
      <c r="EH457" s="352"/>
      <c r="EI457" s="352"/>
      <c r="EJ457" s="352"/>
      <c r="EK457" s="352"/>
      <c r="EL457" s="352"/>
      <c r="EM457" s="352"/>
      <c r="EN457" s="352"/>
    </row>
    <row r="458" spans="1:144" ht="20.100000000000001" customHeight="1">
      <c r="A458" s="135"/>
      <c r="B458" s="137" t="s">
        <v>836</v>
      </c>
      <c r="C458" s="119"/>
      <c r="D458" s="128"/>
      <c r="E458" s="138">
        <f>AVERAGE(E2:E457)</f>
        <v>1.7180697093545484E-3</v>
      </c>
      <c r="F458" s="121"/>
      <c r="G458" s="128"/>
      <c r="H458" s="128"/>
      <c r="I458" s="128"/>
      <c r="J458" s="128"/>
      <c r="K458" s="124"/>
      <c r="L458" s="124"/>
      <c r="M458" s="124"/>
      <c r="N458" s="124"/>
      <c r="O458" s="125"/>
      <c r="P458" s="126"/>
      <c r="Q458" s="352"/>
      <c r="R458" s="352"/>
      <c r="S458" s="352"/>
      <c r="T458" s="352"/>
      <c r="U458" s="352"/>
      <c r="V458" s="352"/>
      <c r="W458" s="352"/>
      <c r="X458" s="352"/>
      <c r="Y458" s="352"/>
      <c r="Z458" s="352"/>
      <c r="AA458" s="352"/>
      <c r="AB458" s="352"/>
      <c r="AC458" s="352"/>
      <c r="AD458" s="352"/>
      <c r="AE458" s="352"/>
      <c r="AF458" s="352"/>
      <c r="AG458" s="352"/>
      <c r="AH458" s="352"/>
      <c r="AI458" s="352"/>
      <c r="AJ458" s="352"/>
      <c r="AK458" s="352"/>
      <c r="AL458" s="352"/>
      <c r="AM458" s="352"/>
      <c r="AN458" s="352"/>
      <c r="AO458" s="352"/>
      <c r="AP458" s="352"/>
      <c r="AQ458" s="352"/>
      <c r="AR458" s="352"/>
      <c r="AS458" s="352"/>
      <c r="AT458" s="352"/>
      <c r="AU458" s="352"/>
      <c r="AV458" s="352"/>
      <c r="AW458" s="352"/>
      <c r="AX458" s="352"/>
      <c r="AY458" s="352"/>
      <c r="AZ458" s="352"/>
      <c r="BA458" s="352"/>
      <c r="BB458" s="352"/>
      <c r="BC458" s="352"/>
      <c r="BD458" s="352"/>
      <c r="BE458" s="352"/>
      <c r="BF458" s="352"/>
      <c r="BG458" s="352"/>
      <c r="BH458" s="352"/>
      <c r="BI458" s="352"/>
      <c r="BJ458" s="352"/>
      <c r="BK458" s="352"/>
      <c r="BL458" s="352"/>
      <c r="BM458" s="352"/>
      <c r="BN458" s="352"/>
      <c r="BO458" s="352"/>
      <c r="BP458" s="352"/>
      <c r="BQ458" s="352"/>
      <c r="BR458" s="352"/>
      <c r="BS458" s="352"/>
      <c r="BT458" s="352"/>
      <c r="BU458" s="352"/>
      <c r="BV458" s="352"/>
      <c r="BW458" s="352"/>
      <c r="BX458" s="352"/>
      <c r="BY458" s="352"/>
      <c r="BZ458" s="352"/>
      <c r="CA458" s="352"/>
      <c r="CB458" s="352"/>
      <c r="CC458" s="352"/>
      <c r="CD458" s="352"/>
      <c r="CE458" s="352"/>
      <c r="CF458" s="352"/>
      <c r="CG458" s="352"/>
      <c r="CH458" s="352"/>
      <c r="CI458" s="352"/>
      <c r="CJ458" s="352"/>
      <c r="CK458" s="352"/>
      <c r="CL458" s="352"/>
      <c r="CM458" s="352"/>
      <c r="CN458" s="352"/>
      <c r="CO458" s="352"/>
      <c r="CP458" s="352"/>
      <c r="CQ458" s="352"/>
      <c r="CR458" s="352"/>
      <c r="CS458" s="352"/>
      <c r="CT458" s="352"/>
      <c r="CU458" s="352"/>
      <c r="CV458" s="352"/>
      <c r="CW458" s="352"/>
      <c r="CX458" s="352"/>
      <c r="CY458" s="352"/>
      <c r="CZ458" s="352"/>
      <c r="DA458" s="352"/>
      <c r="DB458" s="352"/>
      <c r="DC458" s="352"/>
      <c r="DD458" s="352"/>
      <c r="DE458" s="352"/>
      <c r="DF458" s="352"/>
      <c r="DG458" s="352"/>
      <c r="DH458" s="352"/>
      <c r="DI458" s="352"/>
      <c r="DJ458" s="352"/>
      <c r="DK458" s="352"/>
      <c r="DL458" s="352"/>
      <c r="DM458" s="352"/>
      <c r="DN458" s="352"/>
      <c r="DO458" s="352"/>
      <c r="DP458" s="352"/>
      <c r="DQ458" s="352"/>
      <c r="DR458" s="352"/>
      <c r="DS458" s="352"/>
      <c r="DT458" s="352"/>
      <c r="DU458" s="352"/>
      <c r="DV458" s="352"/>
      <c r="DW458" s="352"/>
      <c r="DX458" s="352"/>
      <c r="DY458" s="352"/>
      <c r="DZ458" s="352"/>
      <c r="EA458" s="352"/>
      <c r="EB458" s="352"/>
      <c r="EC458" s="352"/>
      <c r="ED458" s="352"/>
      <c r="EE458" s="352"/>
      <c r="EF458" s="352"/>
      <c r="EG458" s="352"/>
      <c r="EH458" s="352"/>
      <c r="EI458" s="352"/>
      <c r="EJ458" s="352"/>
      <c r="EK458" s="352"/>
      <c r="EL458" s="352"/>
      <c r="EM458" s="352"/>
      <c r="EN458" s="352"/>
    </row>
    <row r="459" spans="1:144" ht="20.100000000000001" customHeight="1">
      <c r="A459" s="283"/>
      <c r="B459" s="354"/>
      <c r="C459" s="355"/>
      <c r="D459" s="356"/>
      <c r="E459" s="357"/>
      <c r="F459" s="104"/>
      <c r="G459" s="356"/>
      <c r="H459" s="356"/>
      <c r="I459" s="356"/>
      <c r="J459" s="356"/>
      <c r="K459" s="358"/>
      <c r="L459" s="358"/>
      <c r="M459" s="358"/>
      <c r="N459" s="358"/>
      <c r="O459" s="359"/>
      <c r="P459" s="360"/>
      <c r="Q459" s="352"/>
      <c r="R459" s="352"/>
      <c r="S459" s="352"/>
      <c r="T459" s="352"/>
      <c r="U459" s="352"/>
      <c r="V459" s="352"/>
      <c r="W459" s="352"/>
      <c r="X459" s="352"/>
      <c r="Y459" s="352"/>
      <c r="Z459" s="352"/>
      <c r="AA459" s="352"/>
      <c r="AB459" s="352"/>
      <c r="AC459" s="352"/>
      <c r="AD459" s="352"/>
      <c r="AE459" s="352"/>
      <c r="AF459" s="352"/>
      <c r="AG459" s="352"/>
      <c r="AH459" s="352"/>
      <c r="AI459" s="352"/>
      <c r="AJ459" s="352"/>
      <c r="AK459" s="352"/>
      <c r="AL459" s="352"/>
      <c r="AM459" s="352"/>
      <c r="AN459" s="352"/>
      <c r="AO459" s="352"/>
      <c r="AP459" s="352"/>
      <c r="AQ459" s="352"/>
      <c r="AR459" s="352"/>
      <c r="AS459" s="352"/>
      <c r="AT459" s="352"/>
      <c r="AU459" s="352"/>
      <c r="AV459" s="352"/>
      <c r="AW459" s="352"/>
      <c r="AX459" s="352"/>
      <c r="AY459" s="352"/>
      <c r="AZ459" s="352"/>
      <c r="BA459" s="352"/>
      <c r="BB459" s="352"/>
      <c r="BC459" s="352"/>
      <c r="BD459" s="352"/>
      <c r="BE459" s="352"/>
      <c r="BF459" s="352"/>
      <c r="BG459" s="352"/>
      <c r="BH459" s="352"/>
      <c r="BI459" s="352"/>
      <c r="BJ459" s="352"/>
      <c r="BK459" s="352"/>
      <c r="BL459" s="352"/>
      <c r="BM459" s="352"/>
      <c r="BN459" s="352"/>
      <c r="BO459" s="352"/>
      <c r="BP459" s="352"/>
      <c r="BQ459" s="352"/>
      <c r="BR459" s="352"/>
      <c r="BS459" s="352"/>
      <c r="BT459" s="352"/>
      <c r="BU459" s="352"/>
      <c r="BV459" s="352"/>
      <c r="BW459" s="352"/>
      <c r="BX459" s="352"/>
      <c r="BY459" s="352"/>
      <c r="BZ459" s="352"/>
      <c r="CA459" s="352"/>
      <c r="CB459" s="352"/>
      <c r="CC459" s="352"/>
      <c r="CD459" s="352"/>
      <c r="CE459" s="352"/>
      <c r="CF459" s="352"/>
      <c r="CG459" s="352"/>
      <c r="CH459" s="352"/>
      <c r="CI459" s="352"/>
      <c r="CJ459" s="352"/>
      <c r="CK459" s="352"/>
      <c r="CL459" s="352"/>
      <c r="CM459" s="352"/>
      <c r="CN459" s="352"/>
      <c r="CO459" s="352"/>
      <c r="CP459" s="352"/>
      <c r="CQ459" s="352"/>
      <c r="CR459" s="352"/>
      <c r="CS459" s="352"/>
      <c r="CT459" s="352"/>
      <c r="CU459" s="352"/>
      <c r="CV459" s="352"/>
      <c r="CW459" s="352"/>
      <c r="CX459" s="352"/>
      <c r="CY459" s="352"/>
      <c r="CZ459" s="352"/>
      <c r="DA459" s="352"/>
      <c r="DB459" s="352"/>
      <c r="DC459" s="352"/>
      <c r="DD459" s="352"/>
      <c r="DE459" s="352"/>
      <c r="DF459" s="352"/>
      <c r="DG459" s="352"/>
      <c r="DH459" s="352"/>
      <c r="DI459" s="352"/>
      <c r="DJ459" s="352"/>
      <c r="DK459" s="352"/>
      <c r="DL459" s="352"/>
      <c r="DM459" s="352"/>
      <c r="DN459" s="352"/>
      <c r="DO459" s="352"/>
      <c r="DP459" s="352"/>
      <c r="DQ459" s="352"/>
      <c r="DR459" s="352"/>
      <c r="DS459" s="352"/>
      <c r="DT459" s="352"/>
      <c r="DU459" s="352"/>
      <c r="DV459" s="352"/>
      <c r="DW459" s="352"/>
      <c r="DX459" s="352"/>
      <c r="DY459" s="352"/>
      <c r="DZ459" s="352"/>
      <c r="EA459" s="352"/>
      <c r="EB459" s="352"/>
      <c r="EC459" s="352"/>
      <c r="ED459" s="352"/>
      <c r="EE459" s="352"/>
      <c r="EF459" s="352"/>
      <c r="EG459" s="352"/>
      <c r="EH459" s="352"/>
      <c r="EI459" s="352"/>
      <c r="EJ459" s="352"/>
      <c r="EK459" s="352"/>
      <c r="EL459" s="352"/>
      <c r="EM459" s="352"/>
      <c r="EN459" s="352"/>
    </row>
    <row r="460" spans="1:144" ht="20.100000000000001" customHeight="1">
      <c r="B460" s="353" t="s">
        <v>4482</v>
      </c>
      <c r="J460" s="101"/>
      <c r="P460" s="82"/>
      <c r="Q460" s="352"/>
      <c r="R460" s="352"/>
      <c r="S460" s="352"/>
      <c r="T460" s="352"/>
      <c r="U460" s="352"/>
      <c r="V460" s="352"/>
      <c r="W460" s="352"/>
      <c r="X460" s="352"/>
      <c r="Y460" s="352"/>
      <c r="Z460" s="352"/>
      <c r="AA460" s="352"/>
      <c r="AB460" s="352"/>
      <c r="AC460" s="352"/>
      <c r="AD460" s="352"/>
      <c r="AE460" s="352"/>
      <c r="AF460" s="352"/>
      <c r="AG460" s="352"/>
      <c r="AH460" s="352"/>
      <c r="AI460" s="352"/>
      <c r="AJ460" s="352"/>
      <c r="AK460" s="352"/>
      <c r="AL460" s="352"/>
      <c r="AM460" s="352"/>
      <c r="AN460" s="352"/>
      <c r="AO460" s="352"/>
      <c r="AP460" s="352"/>
      <c r="AQ460" s="352"/>
      <c r="AR460" s="352"/>
      <c r="AS460" s="352"/>
      <c r="AT460" s="352"/>
      <c r="AU460" s="352"/>
      <c r="AV460" s="352"/>
      <c r="AW460" s="352"/>
      <c r="AX460" s="352"/>
      <c r="AY460" s="352"/>
      <c r="AZ460" s="352"/>
      <c r="BA460" s="352"/>
      <c r="BB460" s="352"/>
      <c r="BC460" s="352"/>
      <c r="BD460" s="352"/>
      <c r="BE460" s="352"/>
      <c r="BF460" s="352"/>
      <c r="BG460" s="352"/>
      <c r="BH460" s="352"/>
      <c r="BI460" s="352"/>
      <c r="BJ460" s="352"/>
      <c r="BK460" s="352"/>
      <c r="BL460" s="352"/>
      <c r="BM460" s="352"/>
      <c r="BN460" s="352"/>
      <c r="BO460" s="352"/>
      <c r="BP460" s="352"/>
      <c r="BQ460" s="352"/>
      <c r="BR460" s="352"/>
      <c r="BS460" s="352"/>
      <c r="BT460" s="352"/>
      <c r="BU460" s="352"/>
      <c r="BV460" s="352"/>
      <c r="BW460" s="352"/>
      <c r="BX460" s="352"/>
      <c r="BY460" s="352"/>
      <c r="BZ460" s="352"/>
      <c r="CA460" s="352"/>
      <c r="CB460" s="352"/>
      <c r="CC460" s="352"/>
      <c r="CD460" s="352"/>
      <c r="CE460" s="352"/>
      <c r="CF460" s="352"/>
      <c r="CG460" s="352"/>
      <c r="CH460" s="352"/>
      <c r="CI460" s="352"/>
      <c r="CJ460" s="352"/>
      <c r="CK460" s="352"/>
      <c r="CL460" s="352"/>
      <c r="CM460" s="352"/>
      <c r="CN460" s="352"/>
      <c r="CO460" s="352"/>
      <c r="CP460" s="352"/>
      <c r="CQ460" s="352"/>
      <c r="CR460" s="352"/>
      <c r="CS460" s="352"/>
      <c r="CT460" s="352"/>
      <c r="CU460" s="352"/>
      <c r="CV460" s="352"/>
      <c r="CW460" s="352"/>
      <c r="CX460" s="352"/>
      <c r="CY460" s="352"/>
      <c r="CZ460" s="352"/>
      <c r="DA460" s="352"/>
      <c r="DB460" s="352"/>
      <c r="DC460" s="352"/>
      <c r="DD460" s="352"/>
      <c r="DE460" s="352"/>
      <c r="DF460" s="352"/>
      <c r="DG460" s="352"/>
      <c r="DH460" s="352"/>
      <c r="DI460" s="352"/>
      <c r="DJ460" s="352"/>
      <c r="DK460" s="352"/>
      <c r="DL460" s="352"/>
      <c r="DM460" s="352"/>
      <c r="DN460" s="352"/>
      <c r="DO460" s="352"/>
      <c r="DP460" s="352"/>
      <c r="DQ460" s="352"/>
      <c r="DR460" s="352"/>
      <c r="DS460" s="352"/>
      <c r="DT460" s="352"/>
      <c r="DU460" s="352"/>
      <c r="DV460" s="352"/>
      <c r="DW460" s="352"/>
      <c r="DX460" s="352"/>
      <c r="DY460" s="352"/>
      <c r="DZ460" s="352"/>
      <c r="EA460" s="352"/>
      <c r="EB460" s="352"/>
      <c r="EC460" s="352"/>
      <c r="ED460" s="352"/>
      <c r="EE460" s="352"/>
      <c r="EF460" s="352"/>
      <c r="EG460" s="352"/>
      <c r="EH460" s="352"/>
      <c r="EI460" s="352"/>
      <c r="EJ460" s="352"/>
      <c r="EK460" s="352"/>
      <c r="EL460" s="352"/>
      <c r="EM460" s="352"/>
      <c r="EN460" s="352"/>
    </row>
    <row r="461" spans="1:144" ht="20.100000000000001" customHeight="1">
      <c r="J461" s="101"/>
      <c r="P461" s="82"/>
      <c r="Q461" s="352"/>
      <c r="R461" s="352"/>
      <c r="S461" s="352"/>
      <c r="T461" s="352"/>
      <c r="U461" s="352"/>
      <c r="V461" s="352"/>
      <c r="W461" s="352"/>
      <c r="X461" s="352"/>
      <c r="Y461" s="352"/>
      <c r="Z461" s="352"/>
      <c r="AA461" s="352"/>
      <c r="AB461" s="352"/>
      <c r="AC461" s="352"/>
      <c r="AD461" s="352"/>
      <c r="AE461" s="352"/>
      <c r="AF461" s="352"/>
      <c r="AG461" s="352"/>
      <c r="AH461" s="352"/>
      <c r="AI461" s="352"/>
      <c r="AJ461" s="352"/>
      <c r="AK461" s="352"/>
      <c r="AL461" s="352"/>
      <c r="AM461" s="352"/>
      <c r="AN461" s="352"/>
      <c r="AO461" s="352"/>
      <c r="AP461" s="352"/>
      <c r="AQ461" s="352"/>
      <c r="AR461" s="352"/>
      <c r="AS461" s="352"/>
      <c r="AT461" s="352"/>
      <c r="AU461" s="352"/>
      <c r="AV461" s="352"/>
      <c r="AW461" s="352"/>
      <c r="AX461" s="352"/>
      <c r="AY461" s="352"/>
      <c r="AZ461" s="352"/>
      <c r="BA461" s="352"/>
      <c r="BB461" s="352"/>
      <c r="BC461" s="352"/>
      <c r="BD461" s="352"/>
      <c r="BE461" s="352"/>
      <c r="BF461" s="352"/>
      <c r="BG461" s="352"/>
      <c r="BH461" s="352"/>
      <c r="BI461" s="352"/>
      <c r="BJ461" s="352"/>
      <c r="BK461" s="352"/>
      <c r="BL461" s="352"/>
      <c r="BM461" s="352"/>
      <c r="BN461" s="352"/>
      <c r="BO461" s="352"/>
      <c r="BP461" s="352"/>
      <c r="BQ461" s="352"/>
      <c r="BR461" s="352"/>
      <c r="BS461" s="352"/>
      <c r="BT461" s="352"/>
      <c r="BU461" s="352"/>
      <c r="BV461" s="352"/>
      <c r="BW461" s="352"/>
      <c r="BX461" s="352"/>
      <c r="BY461" s="352"/>
      <c r="BZ461" s="352"/>
      <c r="CA461" s="352"/>
      <c r="CB461" s="352"/>
      <c r="CC461" s="352"/>
      <c r="CD461" s="352"/>
      <c r="CE461" s="352"/>
      <c r="CF461" s="352"/>
      <c r="CG461" s="352"/>
      <c r="CH461" s="352"/>
      <c r="CI461" s="352"/>
      <c r="CJ461" s="352"/>
      <c r="CK461" s="352"/>
      <c r="CL461" s="352"/>
      <c r="CM461" s="352"/>
      <c r="CN461" s="352"/>
      <c r="CO461" s="352"/>
      <c r="CP461" s="352"/>
      <c r="CQ461" s="352"/>
      <c r="CR461" s="352"/>
      <c r="CS461" s="352"/>
      <c r="CT461" s="352"/>
      <c r="CU461" s="352"/>
      <c r="CV461" s="352"/>
      <c r="CW461" s="352"/>
      <c r="CX461" s="352"/>
      <c r="CY461" s="352"/>
      <c r="CZ461" s="352"/>
      <c r="DA461" s="352"/>
      <c r="DB461" s="352"/>
      <c r="DC461" s="352"/>
      <c r="DD461" s="352"/>
      <c r="DE461" s="352"/>
      <c r="DF461" s="352"/>
      <c r="DG461" s="352"/>
      <c r="DH461" s="352"/>
      <c r="DI461" s="352"/>
      <c r="DJ461" s="352"/>
      <c r="DK461" s="352"/>
      <c r="DL461" s="352"/>
      <c r="DM461" s="352"/>
      <c r="DN461" s="352"/>
      <c r="DO461" s="352"/>
      <c r="DP461" s="352"/>
      <c r="DQ461" s="352"/>
      <c r="DR461" s="352"/>
      <c r="DS461" s="352"/>
      <c r="DT461" s="352"/>
      <c r="DU461" s="352"/>
      <c r="DV461" s="352"/>
      <c r="DW461" s="352"/>
      <c r="DX461" s="352"/>
      <c r="DY461" s="352"/>
      <c r="DZ461" s="352"/>
      <c r="EA461" s="352"/>
      <c r="EB461" s="352"/>
      <c r="EC461" s="352"/>
      <c r="ED461" s="352"/>
      <c r="EE461" s="352"/>
      <c r="EF461" s="352"/>
      <c r="EG461" s="352"/>
      <c r="EH461" s="352"/>
      <c r="EI461" s="352"/>
      <c r="EJ461" s="352"/>
      <c r="EK461" s="352"/>
      <c r="EL461" s="352"/>
      <c r="EM461" s="352"/>
      <c r="EN461" s="352"/>
    </row>
    <row r="462" spans="1:144" ht="20.100000000000001" customHeight="1">
      <c r="J462" s="101"/>
      <c r="P462" s="83"/>
      <c r="Q462" s="352"/>
      <c r="R462" s="352"/>
      <c r="S462" s="352"/>
      <c r="T462" s="352"/>
      <c r="U462" s="352"/>
      <c r="V462" s="352"/>
      <c r="W462" s="352"/>
      <c r="X462" s="352"/>
      <c r="Y462" s="352"/>
      <c r="Z462" s="352"/>
      <c r="AA462" s="352"/>
      <c r="AB462" s="352"/>
      <c r="AC462" s="352"/>
      <c r="AD462" s="352"/>
      <c r="AE462" s="352"/>
      <c r="AF462" s="352"/>
      <c r="AG462" s="352"/>
      <c r="AH462" s="352"/>
      <c r="AI462" s="352"/>
      <c r="AJ462" s="352"/>
      <c r="AK462" s="352"/>
      <c r="AL462" s="352"/>
      <c r="AM462" s="352"/>
      <c r="AN462" s="352"/>
      <c r="AO462" s="352"/>
      <c r="AP462" s="352"/>
      <c r="AQ462" s="352"/>
      <c r="AR462" s="352"/>
      <c r="AS462" s="352"/>
      <c r="AT462" s="352"/>
      <c r="AU462" s="352"/>
      <c r="AV462" s="352"/>
      <c r="AW462" s="352"/>
      <c r="AX462" s="352"/>
      <c r="AY462" s="352"/>
      <c r="AZ462" s="352"/>
      <c r="BA462" s="352"/>
      <c r="BB462" s="352"/>
      <c r="BC462" s="352"/>
      <c r="BD462" s="352"/>
      <c r="BE462" s="352"/>
      <c r="BF462" s="352"/>
      <c r="BG462" s="352"/>
      <c r="BH462" s="352"/>
      <c r="BI462" s="352"/>
      <c r="BJ462" s="352"/>
      <c r="BK462" s="352"/>
      <c r="BL462" s="352"/>
      <c r="BM462" s="352"/>
      <c r="BN462" s="352"/>
      <c r="BO462" s="352"/>
      <c r="BP462" s="352"/>
      <c r="BQ462" s="352"/>
      <c r="BR462" s="352"/>
      <c r="BS462" s="352"/>
      <c r="BT462" s="352"/>
      <c r="BU462" s="352"/>
      <c r="BV462" s="352"/>
      <c r="BW462" s="352"/>
      <c r="BX462" s="352"/>
      <c r="BY462" s="352"/>
      <c r="BZ462" s="352"/>
      <c r="CA462" s="352"/>
      <c r="CB462" s="352"/>
      <c r="CC462" s="352"/>
      <c r="CD462" s="352"/>
      <c r="CE462" s="352"/>
      <c r="CF462" s="352"/>
      <c r="CG462" s="352"/>
      <c r="CH462" s="352"/>
      <c r="CI462" s="352"/>
      <c r="CJ462" s="352"/>
      <c r="CK462" s="352"/>
      <c r="CL462" s="352"/>
      <c r="CM462" s="352"/>
      <c r="CN462" s="352"/>
      <c r="CO462" s="352"/>
      <c r="CP462" s="352"/>
      <c r="CQ462" s="352"/>
      <c r="CR462" s="352"/>
      <c r="CS462" s="352"/>
      <c r="CT462" s="352"/>
      <c r="CU462" s="352"/>
      <c r="CV462" s="352"/>
      <c r="CW462" s="352"/>
      <c r="CX462" s="352"/>
      <c r="CY462" s="352"/>
      <c r="CZ462" s="352"/>
      <c r="DA462" s="352"/>
      <c r="DB462" s="352"/>
      <c r="DC462" s="352"/>
      <c r="DD462" s="352"/>
      <c r="DE462" s="352"/>
      <c r="DF462" s="352"/>
      <c r="DG462" s="352"/>
      <c r="DH462" s="352"/>
      <c r="DI462" s="352"/>
      <c r="DJ462" s="352"/>
      <c r="DK462" s="352"/>
      <c r="DL462" s="352"/>
      <c r="DM462" s="352"/>
      <c r="DN462" s="352"/>
      <c r="DO462" s="352"/>
      <c r="DP462" s="352"/>
      <c r="DQ462" s="352"/>
      <c r="DR462" s="352"/>
      <c r="DS462" s="352"/>
      <c r="DT462" s="352"/>
      <c r="DU462" s="352"/>
      <c r="DV462" s="352"/>
      <c r="DW462" s="352"/>
      <c r="DX462" s="352"/>
      <c r="DY462" s="352"/>
      <c r="DZ462" s="352"/>
      <c r="EA462" s="352"/>
      <c r="EB462" s="352"/>
      <c r="EC462" s="352"/>
      <c r="ED462" s="352"/>
      <c r="EE462" s="352"/>
      <c r="EF462" s="352"/>
      <c r="EG462" s="352"/>
      <c r="EH462" s="352"/>
      <c r="EI462" s="352"/>
      <c r="EJ462" s="352"/>
      <c r="EK462" s="352"/>
      <c r="EL462" s="352"/>
      <c r="EM462" s="352"/>
      <c r="EN462" s="352"/>
    </row>
    <row r="463" spans="1:144" ht="20.100000000000001" customHeight="1">
      <c r="J463" s="101"/>
      <c r="P463" s="83"/>
      <c r="Q463" s="352"/>
      <c r="R463" s="352"/>
      <c r="S463" s="352"/>
      <c r="T463" s="352"/>
      <c r="U463" s="352"/>
      <c r="V463" s="352"/>
      <c r="W463" s="352"/>
      <c r="X463" s="352"/>
      <c r="Y463" s="352"/>
      <c r="Z463" s="352"/>
      <c r="AA463" s="352"/>
      <c r="AB463" s="352"/>
      <c r="AC463" s="352"/>
      <c r="AD463" s="352"/>
      <c r="AE463" s="352"/>
      <c r="AF463" s="352"/>
      <c r="AG463" s="352"/>
      <c r="AH463" s="352"/>
      <c r="AI463" s="352"/>
      <c r="AJ463" s="352"/>
      <c r="AK463" s="352"/>
      <c r="AL463" s="352"/>
      <c r="AM463" s="352"/>
      <c r="AN463" s="352"/>
      <c r="AO463" s="352"/>
      <c r="AP463" s="352"/>
      <c r="AQ463" s="352"/>
      <c r="AR463" s="352"/>
      <c r="AS463" s="352"/>
      <c r="AT463" s="352"/>
      <c r="AU463" s="352"/>
      <c r="AV463" s="352"/>
      <c r="AW463" s="352"/>
      <c r="AX463" s="352"/>
      <c r="AY463" s="352"/>
      <c r="AZ463" s="352"/>
      <c r="BA463" s="352"/>
      <c r="BB463" s="352"/>
      <c r="BC463" s="352"/>
      <c r="BD463" s="352"/>
      <c r="BE463" s="352"/>
      <c r="BF463" s="352"/>
      <c r="BG463" s="352"/>
      <c r="BH463" s="352"/>
      <c r="BI463" s="352"/>
      <c r="BJ463" s="352"/>
      <c r="BK463" s="352"/>
      <c r="BL463" s="352"/>
      <c r="BM463" s="352"/>
      <c r="BN463" s="352"/>
      <c r="BO463" s="352"/>
      <c r="BP463" s="352"/>
      <c r="BQ463" s="352"/>
      <c r="BR463" s="352"/>
      <c r="BS463" s="352"/>
      <c r="BT463" s="352"/>
      <c r="BU463" s="352"/>
      <c r="BV463" s="352"/>
      <c r="BW463" s="352"/>
      <c r="BX463" s="352"/>
      <c r="BY463" s="352"/>
      <c r="BZ463" s="352"/>
      <c r="CA463" s="352"/>
      <c r="CB463" s="352"/>
      <c r="CC463" s="352"/>
      <c r="CD463" s="352"/>
      <c r="CE463" s="352"/>
      <c r="CF463" s="352"/>
      <c r="CG463" s="352"/>
      <c r="CH463" s="352"/>
      <c r="CI463" s="352"/>
      <c r="CJ463" s="352"/>
      <c r="CK463" s="352"/>
      <c r="CL463" s="352"/>
      <c r="CM463" s="352"/>
      <c r="CN463" s="352"/>
      <c r="CO463" s="352"/>
      <c r="CP463" s="352"/>
      <c r="CQ463" s="352"/>
      <c r="CR463" s="352"/>
      <c r="CS463" s="352"/>
      <c r="CT463" s="352"/>
      <c r="CU463" s="352"/>
      <c r="CV463" s="352"/>
      <c r="CW463" s="352"/>
      <c r="CX463" s="352"/>
      <c r="CY463" s="352"/>
      <c r="CZ463" s="352"/>
      <c r="DA463" s="352"/>
      <c r="DB463" s="352"/>
      <c r="DC463" s="352"/>
      <c r="DD463" s="352"/>
      <c r="DE463" s="352"/>
      <c r="DF463" s="352"/>
      <c r="DG463" s="352"/>
      <c r="DH463" s="352"/>
      <c r="DI463" s="352"/>
      <c r="DJ463" s="352"/>
      <c r="DK463" s="352"/>
      <c r="DL463" s="352"/>
      <c r="DM463" s="352"/>
      <c r="DN463" s="352"/>
      <c r="DO463" s="352"/>
      <c r="DP463" s="352"/>
      <c r="DQ463" s="352"/>
      <c r="DR463" s="352"/>
      <c r="DS463" s="352"/>
      <c r="DT463" s="352"/>
      <c r="DU463" s="352"/>
      <c r="DV463" s="352"/>
      <c r="DW463" s="352"/>
      <c r="DX463" s="352"/>
      <c r="DY463" s="352"/>
      <c r="DZ463" s="352"/>
      <c r="EA463" s="352"/>
      <c r="EB463" s="352"/>
      <c r="EC463" s="352"/>
      <c r="ED463" s="352"/>
      <c r="EE463" s="352"/>
      <c r="EF463" s="352"/>
      <c r="EG463" s="352"/>
      <c r="EH463" s="352"/>
      <c r="EI463" s="352"/>
      <c r="EJ463" s="352"/>
      <c r="EK463" s="352"/>
      <c r="EL463" s="352"/>
      <c r="EM463" s="352"/>
      <c r="EN463" s="352"/>
    </row>
    <row r="464" spans="1:144" ht="20.100000000000001" customHeight="1">
      <c r="J464" s="101"/>
      <c r="P464" s="83"/>
      <c r="Q464" s="352"/>
      <c r="R464" s="352"/>
      <c r="S464" s="352"/>
      <c r="T464" s="352"/>
      <c r="U464" s="352"/>
      <c r="V464" s="352"/>
      <c r="W464" s="352"/>
      <c r="X464" s="352"/>
      <c r="Y464" s="352"/>
      <c r="Z464" s="352"/>
      <c r="AA464" s="352"/>
      <c r="AB464" s="352"/>
      <c r="AC464" s="352"/>
      <c r="AD464" s="352"/>
      <c r="AE464" s="352"/>
      <c r="AF464" s="352"/>
      <c r="AG464" s="352"/>
      <c r="AH464" s="352"/>
      <c r="AI464" s="352"/>
      <c r="AJ464" s="352"/>
      <c r="AK464" s="352"/>
      <c r="AL464" s="352"/>
      <c r="AM464" s="352"/>
      <c r="AN464" s="352"/>
      <c r="AO464" s="352"/>
      <c r="AP464" s="352"/>
      <c r="AQ464" s="352"/>
      <c r="AR464" s="352"/>
      <c r="AS464" s="352"/>
      <c r="AT464" s="352"/>
      <c r="AU464" s="352"/>
      <c r="AV464" s="352"/>
      <c r="AW464" s="352"/>
      <c r="AX464" s="352"/>
      <c r="AY464" s="352"/>
      <c r="AZ464" s="352"/>
      <c r="BA464" s="352"/>
      <c r="BB464" s="352"/>
      <c r="BC464" s="352"/>
      <c r="BD464" s="352"/>
      <c r="BE464" s="352"/>
      <c r="BF464" s="352"/>
      <c r="BG464" s="352"/>
      <c r="BH464" s="352"/>
      <c r="BI464" s="352"/>
      <c r="BJ464" s="352"/>
      <c r="BK464" s="352"/>
      <c r="BL464" s="352"/>
      <c r="BM464" s="352"/>
      <c r="BN464" s="352"/>
      <c r="BO464" s="352"/>
      <c r="BP464" s="352"/>
      <c r="BQ464" s="352"/>
      <c r="BR464" s="352"/>
      <c r="BS464" s="352"/>
      <c r="BT464" s="352"/>
      <c r="BU464" s="352"/>
      <c r="BV464" s="352"/>
      <c r="BW464" s="352"/>
      <c r="BX464" s="352"/>
      <c r="BY464" s="352"/>
      <c r="BZ464" s="352"/>
      <c r="CA464" s="352"/>
      <c r="CB464" s="352"/>
      <c r="CC464" s="352"/>
      <c r="CD464" s="352"/>
      <c r="CE464" s="352"/>
      <c r="CF464" s="352"/>
      <c r="CG464" s="352"/>
      <c r="CH464" s="352"/>
      <c r="CI464" s="352"/>
      <c r="CJ464" s="352"/>
      <c r="CK464" s="352"/>
      <c r="CL464" s="352"/>
      <c r="CM464" s="352"/>
      <c r="CN464" s="352"/>
      <c r="CO464" s="352"/>
      <c r="CP464" s="352"/>
      <c r="CQ464" s="352"/>
      <c r="CR464" s="352"/>
      <c r="CS464" s="352"/>
      <c r="CT464" s="352"/>
      <c r="CU464" s="352"/>
      <c r="CV464" s="352"/>
      <c r="CW464" s="352"/>
      <c r="CX464" s="352"/>
      <c r="CY464" s="352"/>
      <c r="CZ464" s="352"/>
      <c r="DA464" s="352"/>
      <c r="DB464" s="352"/>
      <c r="DC464" s="352"/>
      <c r="DD464" s="352"/>
      <c r="DE464" s="352"/>
      <c r="DF464" s="352"/>
      <c r="DG464" s="352"/>
      <c r="DH464" s="352"/>
      <c r="DI464" s="352"/>
      <c r="DJ464" s="352"/>
      <c r="DK464" s="352"/>
      <c r="DL464" s="352"/>
      <c r="DM464" s="352"/>
      <c r="DN464" s="352"/>
      <c r="DO464" s="352"/>
      <c r="DP464" s="352"/>
      <c r="DQ464" s="352"/>
      <c r="DR464" s="352"/>
      <c r="DS464" s="352"/>
      <c r="DT464" s="352"/>
      <c r="DU464" s="352"/>
      <c r="DV464" s="352"/>
      <c r="DW464" s="352"/>
      <c r="DX464" s="352"/>
      <c r="DY464" s="352"/>
      <c r="DZ464" s="352"/>
      <c r="EA464" s="352"/>
      <c r="EB464" s="352"/>
      <c r="EC464" s="352"/>
      <c r="ED464" s="352"/>
      <c r="EE464" s="352"/>
      <c r="EF464" s="352"/>
      <c r="EG464" s="352"/>
      <c r="EH464" s="352"/>
      <c r="EI464" s="352"/>
      <c r="EJ464" s="352"/>
      <c r="EK464" s="352"/>
      <c r="EL464" s="352"/>
      <c r="EM464" s="352"/>
      <c r="EN464" s="352"/>
    </row>
    <row r="465" spans="10:144" ht="20.100000000000001" customHeight="1">
      <c r="J465" s="101"/>
      <c r="P465" s="82"/>
      <c r="Q465" s="352"/>
      <c r="R465" s="352"/>
      <c r="S465" s="352"/>
      <c r="T465" s="352"/>
      <c r="U465" s="352"/>
      <c r="V465" s="352"/>
      <c r="W465" s="352"/>
      <c r="X465" s="352"/>
      <c r="Y465" s="352"/>
      <c r="Z465" s="352"/>
      <c r="AA465" s="352"/>
      <c r="AB465" s="352"/>
      <c r="AC465" s="352"/>
      <c r="AD465" s="352"/>
      <c r="AE465" s="352"/>
      <c r="AF465" s="352"/>
      <c r="AG465" s="352"/>
      <c r="AH465" s="352"/>
      <c r="AI465" s="352"/>
      <c r="AJ465" s="352"/>
      <c r="AK465" s="352"/>
      <c r="AL465" s="352"/>
      <c r="AM465" s="352"/>
      <c r="AN465" s="352"/>
      <c r="AO465" s="352"/>
      <c r="AP465" s="352"/>
      <c r="AQ465" s="352"/>
      <c r="AR465" s="352"/>
      <c r="AS465" s="352"/>
      <c r="AT465" s="352"/>
      <c r="AU465" s="352"/>
      <c r="AV465" s="352"/>
      <c r="AW465" s="352"/>
      <c r="AX465" s="352"/>
      <c r="AY465" s="352"/>
      <c r="AZ465" s="352"/>
      <c r="BA465" s="352"/>
      <c r="BB465" s="352"/>
      <c r="BC465" s="352"/>
      <c r="BD465" s="352"/>
      <c r="BE465" s="352"/>
      <c r="BF465" s="352"/>
      <c r="BG465" s="352"/>
      <c r="BH465" s="352"/>
      <c r="BI465" s="352"/>
      <c r="BJ465" s="352"/>
      <c r="BK465" s="352"/>
      <c r="BL465" s="352"/>
      <c r="BM465" s="352"/>
      <c r="BN465" s="352"/>
      <c r="BO465" s="352"/>
      <c r="BP465" s="352"/>
      <c r="BQ465" s="352"/>
      <c r="BR465" s="352"/>
      <c r="BS465" s="352"/>
      <c r="BT465" s="352"/>
      <c r="BU465" s="352"/>
      <c r="BV465" s="352"/>
      <c r="BW465" s="352"/>
      <c r="BX465" s="352"/>
      <c r="BY465" s="352"/>
      <c r="BZ465" s="352"/>
      <c r="CA465" s="352"/>
      <c r="CB465" s="352"/>
      <c r="CC465" s="352"/>
      <c r="CD465" s="352"/>
      <c r="CE465" s="352"/>
      <c r="CF465" s="352"/>
      <c r="CG465" s="352"/>
      <c r="CH465" s="352"/>
      <c r="CI465" s="352"/>
      <c r="CJ465" s="352"/>
      <c r="CK465" s="352"/>
      <c r="CL465" s="352"/>
      <c r="CM465" s="352"/>
      <c r="CN465" s="352"/>
      <c r="CO465" s="352"/>
      <c r="CP465" s="352"/>
      <c r="CQ465" s="352"/>
      <c r="CR465" s="352"/>
      <c r="CS465" s="352"/>
      <c r="CT465" s="352"/>
      <c r="CU465" s="352"/>
      <c r="CV465" s="352"/>
      <c r="CW465" s="352"/>
      <c r="CX465" s="352"/>
      <c r="CY465" s="352"/>
      <c r="CZ465" s="352"/>
      <c r="DA465" s="352"/>
      <c r="DB465" s="352"/>
      <c r="DC465" s="352"/>
      <c r="DD465" s="352"/>
      <c r="DE465" s="352"/>
      <c r="DF465" s="352"/>
      <c r="DG465" s="352"/>
      <c r="DH465" s="352"/>
      <c r="DI465" s="352"/>
      <c r="DJ465" s="352"/>
      <c r="DK465" s="352"/>
      <c r="DL465" s="352"/>
      <c r="DM465" s="352"/>
      <c r="DN465" s="352"/>
      <c r="DO465" s="352"/>
      <c r="DP465" s="352"/>
      <c r="DQ465" s="352"/>
      <c r="DR465" s="352"/>
      <c r="DS465" s="352"/>
      <c r="DT465" s="352"/>
      <c r="DU465" s="352"/>
      <c r="DV465" s="352"/>
      <c r="DW465" s="352"/>
      <c r="DX465" s="352"/>
      <c r="DY465" s="352"/>
      <c r="DZ465" s="352"/>
      <c r="EA465" s="352"/>
      <c r="EB465" s="352"/>
      <c r="EC465" s="352"/>
      <c r="ED465" s="352"/>
      <c r="EE465" s="352"/>
      <c r="EF465" s="352"/>
      <c r="EG465" s="352"/>
      <c r="EH465" s="352"/>
      <c r="EI465" s="352"/>
      <c r="EJ465" s="352"/>
      <c r="EK465" s="352"/>
      <c r="EL465" s="352"/>
      <c r="EM465" s="352"/>
      <c r="EN465" s="352"/>
    </row>
    <row r="466" spans="10:144" ht="20.100000000000001" customHeight="1">
      <c r="J466" s="101"/>
      <c r="P466" s="82"/>
      <c r="Q466" s="352"/>
      <c r="R466" s="352"/>
      <c r="S466" s="352"/>
      <c r="T466" s="352"/>
      <c r="U466" s="352"/>
      <c r="V466" s="352"/>
      <c r="W466" s="352"/>
      <c r="X466" s="352"/>
      <c r="Y466" s="352"/>
      <c r="Z466" s="352"/>
      <c r="AA466" s="352"/>
      <c r="AB466" s="352"/>
      <c r="AC466" s="352"/>
      <c r="AD466" s="352"/>
      <c r="AE466" s="352"/>
      <c r="AF466" s="352"/>
      <c r="AG466" s="352"/>
      <c r="AH466" s="352"/>
      <c r="AI466" s="352"/>
      <c r="AJ466" s="352"/>
      <c r="AK466" s="352"/>
      <c r="AL466" s="352"/>
      <c r="AM466" s="352"/>
      <c r="AN466" s="352"/>
      <c r="AO466" s="352"/>
      <c r="AP466" s="352"/>
      <c r="AQ466" s="352"/>
      <c r="AR466" s="352"/>
      <c r="AS466" s="352"/>
      <c r="AT466" s="352"/>
      <c r="AU466" s="352"/>
      <c r="AV466" s="352"/>
      <c r="AW466" s="352"/>
      <c r="AX466" s="352"/>
      <c r="AY466" s="352"/>
      <c r="AZ466" s="352"/>
      <c r="BA466" s="352"/>
      <c r="BB466" s="352"/>
      <c r="BC466" s="352"/>
      <c r="BD466" s="352"/>
      <c r="BE466" s="352"/>
      <c r="BF466" s="352"/>
      <c r="BG466" s="352"/>
      <c r="BH466" s="352"/>
      <c r="BI466" s="352"/>
      <c r="BJ466" s="352"/>
      <c r="BK466" s="352"/>
      <c r="BL466" s="352"/>
      <c r="BM466" s="352"/>
      <c r="BN466" s="352"/>
      <c r="BO466" s="352"/>
      <c r="BP466" s="352"/>
      <c r="BQ466" s="352"/>
      <c r="BR466" s="352"/>
      <c r="BS466" s="352"/>
      <c r="BT466" s="352"/>
      <c r="BU466" s="352"/>
      <c r="BV466" s="352"/>
      <c r="BW466" s="352"/>
      <c r="BX466" s="352"/>
      <c r="BY466" s="352"/>
      <c r="BZ466" s="352"/>
      <c r="CA466" s="352"/>
      <c r="CB466" s="352"/>
      <c r="CC466" s="352"/>
      <c r="CD466" s="352"/>
      <c r="CE466" s="352"/>
      <c r="CF466" s="352"/>
      <c r="CG466" s="352"/>
      <c r="CH466" s="352"/>
      <c r="CI466" s="352"/>
      <c r="CJ466" s="352"/>
      <c r="CK466" s="352"/>
      <c r="CL466" s="352"/>
      <c r="CM466" s="352"/>
      <c r="CN466" s="352"/>
      <c r="CO466" s="352"/>
      <c r="CP466" s="352"/>
      <c r="CQ466" s="352"/>
      <c r="CR466" s="352"/>
      <c r="CS466" s="352"/>
      <c r="CT466" s="352"/>
      <c r="CU466" s="352"/>
      <c r="CV466" s="352"/>
      <c r="CW466" s="352"/>
      <c r="CX466" s="352"/>
      <c r="CY466" s="352"/>
      <c r="CZ466" s="352"/>
      <c r="DA466" s="352"/>
      <c r="DB466" s="352"/>
      <c r="DC466" s="352"/>
      <c r="DD466" s="352"/>
      <c r="DE466" s="352"/>
      <c r="DF466" s="352"/>
      <c r="DG466" s="352"/>
      <c r="DH466" s="352"/>
      <c r="DI466" s="352"/>
      <c r="DJ466" s="352"/>
      <c r="DK466" s="352"/>
      <c r="DL466" s="352"/>
      <c r="DM466" s="352"/>
      <c r="DN466" s="352"/>
      <c r="DO466" s="352"/>
      <c r="DP466" s="352"/>
      <c r="DQ466" s="352"/>
      <c r="DR466" s="352"/>
      <c r="DS466" s="352"/>
      <c r="DT466" s="352"/>
      <c r="DU466" s="352"/>
      <c r="DV466" s="352"/>
      <c r="DW466" s="352"/>
      <c r="DX466" s="352"/>
      <c r="DY466" s="352"/>
      <c r="DZ466" s="352"/>
      <c r="EA466" s="352"/>
      <c r="EB466" s="352"/>
      <c r="EC466" s="352"/>
      <c r="ED466" s="352"/>
      <c r="EE466" s="352"/>
      <c r="EF466" s="352"/>
      <c r="EG466" s="352"/>
      <c r="EH466" s="352"/>
      <c r="EI466" s="352"/>
      <c r="EJ466" s="352"/>
      <c r="EK466" s="352"/>
      <c r="EL466" s="352"/>
      <c r="EM466" s="352"/>
      <c r="EN466" s="352"/>
    </row>
    <row r="467" spans="10:144" ht="20.100000000000001" customHeight="1">
      <c r="J467" s="101"/>
      <c r="P467" s="82"/>
      <c r="Q467" s="352"/>
      <c r="R467" s="352"/>
      <c r="S467" s="352"/>
      <c r="T467" s="352"/>
      <c r="U467" s="352"/>
      <c r="V467" s="352"/>
      <c r="W467" s="352"/>
      <c r="X467" s="352"/>
      <c r="Y467" s="352"/>
      <c r="Z467" s="352"/>
      <c r="AA467" s="352"/>
      <c r="AB467" s="352"/>
      <c r="AC467" s="352"/>
      <c r="AD467" s="352"/>
      <c r="AE467" s="352"/>
      <c r="AF467" s="352"/>
      <c r="AG467" s="352"/>
      <c r="AH467" s="352"/>
      <c r="AI467" s="352"/>
      <c r="AJ467" s="352"/>
      <c r="AK467" s="352"/>
      <c r="AL467" s="352"/>
      <c r="AM467" s="352"/>
      <c r="AN467" s="352"/>
      <c r="AO467" s="352"/>
      <c r="AP467" s="352"/>
      <c r="AQ467" s="352"/>
      <c r="AR467" s="352"/>
      <c r="AS467" s="352"/>
      <c r="AT467" s="352"/>
      <c r="AU467" s="352"/>
      <c r="AV467" s="352"/>
      <c r="AW467" s="352"/>
      <c r="AX467" s="352"/>
      <c r="AY467" s="352"/>
      <c r="AZ467" s="352"/>
      <c r="BA467" s="352"/>
      <c r="BB467" s="352"/>
      <c r="BC467" s="352"/>
      <c r="BD467" s="352"/>
      <c r="BE467" s="352"/>
      <c r="BF467" s="352"/>
      <c r="BG467" s="352"/>
      <c r="BH467" s="352"/>
      <c r="BI467" s="352"/>
      <c r="BJ467" s="352"/>
      <c r="BK467" s="352"/>
      <c r="BL467" s="352"/>
      <c r="BM467" s="352"/>
      <c r="BN467" s="352"/>
      <c r="BO467" s="352"/>
      <c r="BP467" s="352"/>
      <c r="BQ467" s="352"/>
      <c r="BR467" s="352"/>
      <c r="BS467" s="352"/>
      <c r="BT467" s="352"/>
      <c r="BU467" s="352"/>
      <c r="BV467" s="352"/>
      <c r="BW467" s="352"/>
      <c r="BX467" s="352"/>
      <c r="BY467" s="352"/>
      <c r="BZ467" s="352"/>
      <c r="CA467" s="352"/>
      <c r="CB467" s="352"/>
      <c r="CC467" s="352"/>
      <c r="CD467" s="352"/>
      <c r="CE467" s="352"/>
      <c r="CF467" s="352"/>
      <c r="CG467" s="352"/>
      <c r="CH467" s="352"/>
      <c r="CI467" s="352"/>
      <c r="CJ467" s="352"/>
      <c r="CK467" s="352"/>
      <c r="CL467" s="352"/>
      <c r="CM467" s="352"/>
      <c r="CN467" s="352"/>
      <c r="CO467" s="352"/>
      <c r="CP467" s="352"/>
      <c r="CQ467" s="352"/>
      <c r="CR467" s="352"/>
      <c r="CS467" s="352"/>
      <c r="CT467" s="352"/>
      <c r="CU467" s="352"/>
      <c r="CV467" s="352"/>
      <c r="CW467" s="352"/>
      <c r="CX467" s="352"/>
      <c r="CY467" s="352"/>
      <c r="CZ467" s="352"/>
      <c r="DA467" s="352"/>
      <c r="DB467" s="352"/>
      <c r="DC467" s="352"/>
      <c r="DD467" s="352"/>
      <c r="DE467" s="352"/>
      <c r="DF467" s="352"/>
      <c r="DG467" s="352"/>
      <c r="DH467" s="352"/>
      <c r="DI467" s="352"/>
      <c r="DJ467" s="352"/>
      <c r="DK467" s="352"/>
      <c r="DL467" s="352"/>
      <c r="DM467" s="352"/>
      <c r="DN467" s="352"/>
      <c r="DO467" s="352"/>
      <c r="DP467" s="352"/>
      <c r="DQ467" s="352"/>
      <c r="DR467" s="352"/>
      <c r="DS467" s="352"/>
      <c r="DT467" s="352"/>
      <c r="DU467" s="352"/>
      <c r="DV467" s="352"/>
      <c r="DW467" s="352"/>
      <c r="DX467" s="352"/>
      <c r="DY467" s="352"/>
      <c r="DZ467" s="352"/>
      <c r="EA467" s="352"/>
      <c r="EB467" s="352"/>
      <c r="EC467" s="352"/>
      <c r="ED467" s="352"/>
      <c r="EE467" s="352"/>
      <c r="EF467" s="352"/>
      <c r="EG467" s="352"/>
      <c r="EH467" s="352"/>
      <c r="EI467" s="352"/>
      <c r="EJ467" s="352"/>
      <c r="EK467" s="352"/>
      <c r="EL467" s="352"/>
      <c r="EM467" s="352"/>
      <c r="EN467" s="352"/>
    </row>
    <row r="468" spans="10:144" ht="20.100000000000001" customHeight="1">
      <c r="J468" s="101"/>
      <c r="P468" s="83"/>
      <c r="Q468" s="352"/>
      <c r="R468" s="352"/>
      <c r="S468" s="352"/>
      <c r="T468" s="352"/>
      <c r="U468" s="352"/>
      <c r="V468" s="352"/>
      <c r="W468" s="352"/>
      <c r="X468" s="352"/>
      <c r="Y468" s="352"/>
      <c r="Z468" s="352"/>
      <c r="AA468" s="352"/>
      <c r="AB468" s="352"/>
      <c r="AC468" s="352"/>
      <c r="AD468" s="352"/>
      <c r="AE468" s="352"/>
      <c r="AF468" s="352"/>
      <c r="AG468" s="352"/>
      <c r="AH468" s="352"/>
      <c r="AI468" s="352"/>
      <c r="AJ468" s="352"/>
      <c r="AK468" s="352"/>
      <c r="AL468" s="352"/>
      <c r="AM468" s="352"/>
      <c r="AN468" s="352"/>
      <c r="AO468" s="352"/>
      <c r="AP468" s="352"/>
      <c r="AQ468" s="352"/>
      <c r="AR468" s="352"/>
      <c r="AS468" s="352"/>
      <c r="AT468" s="352"/>
      <c r="AU468" s="352"/>
      <c r="AV468" s="352"/>
      <c r="AW468" s="352"/>
      <c r="AX468" s="352"/>
      <c r="AY468" s="352"/>
      <c r="AZ468" s="352"/>
      <c r="BA468" s="352"/>
      <c r="BB468" s="352"/>
      <c r="BC468" s="352"/>
      <c r="BD468" s="352"/>
      <c r="BE468" s="352"/>
      <c r="BF468" s="352"/>
      <c r="BG468" s="352"/>
      <c r="BH468" s="352"/>
      <c r="BI468" s="352"/>
      <c r="BJ468" s="352"/>
      <c r="BK468" s="352"/>
      <c r="BL468" s="352"/>
      <c r="BM468" s="352"/>
      <c r="BN468" s="352"/>
      <c r="BO468" s="352"/>
      <c r="BP468" s="352"/>
      <c r="BQ468" s="352"/>
      <c r="BR468" s="352"/>
      <c r="BS468" s="352"/>
      <c r="BT468" s="352"/>
      <c r="BU468" s="352"/>
      <c r="BV468" s="352"/>
      <c r="BW468" s="352"/>
      <c r="BX468" s="352"/>
      <c r="BY468" s="352"/>
      <c r="BZ468" s="352"/>
      <c r="CA468" s="352"/>
      <c r="CB468" s="352"/>
      <c r="CC468" s="352"/>
      <c r="CD468" s="352"/>
      <c r="CE468" s="352"/>
      <c r="CF468" s="352"/>
      <c r="CG468" s="352"/>
      <c r="CH468" s="352"/>
      <c r="CI468" s="352"/>
      <c r="CJ468" s="352"/>
      <c r="CK468" s="352"/>
      <c r="CL468" s="352"/>
      <c r="CM468" s="352"/>
      <c r="CN468" s="352"/>
      <c r="CO468" s="352"/>
      <c r="CP468" s="352"/>
      <c r="CQ468" s="352"/>
      <c r="CR468" s="352"/>
      <c r="CS468" s="352"/>
      <c r="CT468" s="352"/>
      <c r="CU468" s="352"/>
      <c r="CV468" s="352"/>
      <c r="CW468" s="352"/>
      <c r="CX468" s="352"/>
      <c r="CY468" s="352"/>
      <c r="CZ468" s="352"/>
      <c r="DA468" s="352"/>
      <c r="DB468" s="352"/>
      <c r="DC468" s="352"/>
      <c r="DD468" s="352"/>
      <c r="DE468" s="352"/>
      <c r="DF468" s="352"/>
      <c r="DG468" s="352"/>
      <c r="DH468" s="352"/>
      <c r="DI468" s="352"/>
      <c r="DJ468" s="352"/>
      <c r="DK468" s="352"/>
      <c r="DL468" s="352"/>
      <c r="DM468" s="352"/>
      <c r="DN468" s="352"/>
      <c r="DO468" s="352"/>
      <c r="DP468" s="352"/>
      <c r="DQ468" s="352"/>
      <c r="DR468" s="352"/>
      <c r="DS468" s="352"/>
      <c r="DT468" s="352"/>
      <c r="DU468" s="352"/>
      <c r="DV468" s="352"/>
      <c r="DW468" s="352"/>
      <c r="DX468" s="352"/>
      <c r="DY468" s="352"/>
      <c r="DZ468" s="352"/>
      <c r="EA468" s="352"/>
      <c r="EB468" s="352"/>
      <c r="EC468" s="352"/>
      <c r="ED468" s="352"/>
      <c r="EE468" s="352"/>
      <c r="EF468" s="352"/>
      <c r="EG468" s="352"/>
      <c r="EH468" s="352"/>
      <c r="EI468" s="352"/>
      <c r="EJ468" s="352"/>
      <c r="EK468" s="352"/>
      <c r="EL468" s="352"/>
      <c r="EM468" s="352"/>
      <c r="EN468" s="352"/>
    </row>
    <row r="469" spans="10:144" ht="20.100000000000001" customHeight="1">
      <c r="J469" s="101"/>
      <c r="P469" s="83"/>
      <c r="Q469" s="352"/>
      <c r="R469" s="352"/>
      <c r="S469" s="352"/>
      <c r="T469" s="352"/>
      <c r="U469" s="352"/>
      <c r="V469" s="352"/>
      <c r="W469" s="352"/>
      <c r="X469" s="352"/>
      <c r="Y469" s="352"/>
      <c r="Z469" s="352"/>
      <c r="AA469" s="352"/>
      <c r="AB469" s="352"/>
      <c r="AC469" s="352"/>
      <c r="AD469" s="352"/>
      <c r="AE469" s="352"/>
      <c r="AF469" s="352"/>
      <c r="AG469" s="352"/>
      <c r="AH469" s="352"/>
      <c r="AI469" s="352"/>
      <c r="AJ469" s="352"/>
      <c r="AK469" s="352"/>
      <c r="AL469" s="352"/>
      <c r="AM469" s="352"/>
      <c r="AN469" s="352"/>
      <c r="AO469" s="352"/>
      <c r="AP469" s="352"/>
      <c r="AQ469" s="352"/>
      <c r="AR469" s="352"/>
      <c r="AS469" s="352"/>
      <c r="AT469" s="352"/>
      <c r="AU469" s="352"/>
      <c r="AV469" s="352"/>
      <c r="AW469" s="352"/>
      <c r="AX469" s="352"/>
      <c r="AY469" s="352"/>
      <c r="AZ469" s="352"/>
      <c r="BA469" s="352"/>
      <c r="BB469" s="352"/>
      <c r="BC469" s="352"/>
      <c r="BD469" s="352"/>
      <c r="BE469" s="352"/>
      <c r="BF469" s="352"/>
      <c r="BG469" s="352"/>
      <c r="BH469" s="352"/>
      <c r="BI469" s="352"/>
      <c r="BJ469" s="352"/>
      <c r="BK469" s="352"/>
      <c r="BL469" s="352"/>
      <c r="BM469" s="352"/>
      <c r="BN469" s="352"/>
      <c r="BO469" s="352"/>
      <c r="BP469" s="352"/>
      <c r="BQ469" s="352"/>
      <c r="BR469" s="352"/>
      <c r="BS469" s="352"/>
      <c r="BT469" s="352"/>
      <c r="BU469" s="352"/>
      <c r="BV469" s="352"/>
      <c r="BW469" s="352"/>
      <c r="BX469" s="352"/>
      <c r="BY469" s="352"/>
      <c r="BZ469" s="352"/>
      <c r="CA469" s="352"/>
      <c r="CB469" s="352"/>
      <c r="CC469" s="352"/>
      <c r="CD469" s="352"/>
      <c r="CE469" s="352"/>
      <c r="CF469" s="352"/>
      <c r="CG469" s="352"/>
      <c r="CH469" s="352"/>
      <c r="CI469" s="352"/>
      <c r="CJ469" s="352"/>
      <c r="CK469" s="352"/>
      <c r="CL469" s="352"/>
      <c r="CM469" s="352"/>
      <c r="CN469" s="352"/>
      <c r="CO469" s="352"/>
      <c r="CP469" s="352"/>
      <c r="CQ469" s="352"/>
      <c r="CR469" s="352"/>
      <c r="CS469" s="352"/>
      <c r="CT469" s="352"/>
      <c r="CU469" s="352"/>
      <c r="CV469" s="352"/>
      <c r="CW469" s="352"/>
      <c r="CX469" s="352"/>
      <c r="CY469" s="352"/>
      <c r="CZ469" s="352"/>
      <c r="DA469" s="352"/>
      <c r="DB469" s="352"/>
      <c r="DC469" s="352"/>
      <c r="DD469" s="352"/>
      <c r="DE469" s="352"/>
      <c r="DF469" s="352"/>
      <c r="DG469" s="352"/>
      <c r="DH469" s="352"/>
      <c r="DI469" s="352"/>
      <c r="DJ469" s="352"/>
      <c r="DK469" s="352"/>
      <c r="DL469" s="352"/>
      <c r="DM469" s="352"/>
      <c r="DN469" s="352"/>
      <c r="DO469" s="352"/>
      <c r="DP469" s="352"/>
      <c r="DQ469" s="352"/>
      <c r="DR469" s="352"/>
      <c r="DS469" s="352"/>
      <c r="DT469" s="352"/>
      <c r="DU469" s="352"/>
      <c r="DV469" s="352"/>
      <c r="DW469" s="352"/>
      <c r="DX469" s="352"/>
      <c r="DY469" s="352"/>
      <c r="DZ469" s="352"/>
      <c r="EA469" s="352"/>
      <c r="EB469" s="352"/>
      <c r="EC469" s="352"/>
      <c r="ED469" s="352"/>
      <c r="EE469" s="352"/>
      <c r="EF469" s="352"/>
      <c r="EG469" s="352"/>
      <c r="EH469" s="352"/>
      <c r="EI469" s="352"/>
      <c r="EJ469" s="352"/>
      <c r="EK469" s="352"/>
      <c r="EL469" s="352"/>
      <c r="EM469" s="352"/>
      <c r="EN469" s="352"/>
    </row>
    <row r="470" spans="10:144" ht="20.100000000000001" customHeight="1">
      <c r="J470" s="101"/>
      <c r="P470" s="83"/>
      <c r="Q470" s="352"/>
      <c r="R470" s="352"/>
      <c r="S470" s="352"/>
      <c r="T470" s="352"/>
      <c r="U470" s="352"/>
      <c r="V470" s="352"/>
      <c r="W470" s="352"/>
      <c r="X470" s="352"/>
      <c r="Y470" s="352"/>
      <c r="Z470" s="352"/>
      <c r="AA470" s="352"/>
      <c r="AB470" s="352"/>
      <c r="AC470" s="352"/>
      <c r="AD470" s="352"/>
      <c r="AE470" s="352"/>
      <c r="AF470" s="352"/>
      <c r="AG470" s="352"/>
      <c r="AH470" s="352"/>
      <c r="AI470" s="352"/>
      <c r="AJ470" s="352"/>
      <c r="AK470" s="352"/>
      <c r="AL470" s="352"/>
      <c r="AM470" s="352"/>
      <c r="AN470" s="352"/>
      <c r="AO470" s="352"/>
      <c r="AP470" s="352"/>
      <c r="AQ470" s="352"/>
      <c r="AR470" s="352"/>
      <c r="AS470" s="352"/>
      <c r="AT470" s="352"/>
      <c r="AU470" s="352"/>
      <c r="AV470" s="352"/>
      <c r="AW470" s="352"/>
      <c r="AX470" s="352"/>
      <c r="AY470" s="352"/>
      <c r="AZ470" s="352"/>
      <c r="BA470" s="352"/>
      <c r="BB470" s="352"/>
      <c r="BC470" s="352"/>
      <c r="BD470" s="352"/>
      <c r="BE470" s="352"/>
      <c r="BF470" s="352"/>
      <c r="BG470" s="352"/>
      <c r="BH470" s="352"/>
      <c r="BI470" s="352"/>
      <c r="BJ470" s="352"/>
      <c r="BK470" s="352"/>
      <c r="BL470" s="352"/>
      <c r="BM470" s="352"/>
      <c r="BN470" s="352"/>
      <c r="BO470" s="352"/>
      <c r="BP470" s="352"/>
      <c r="BQ470" s="352"/>
      <c r="BR470" s="352"/>
      <c r="BS470" s="352"/>
      <c r="BT470" s="352"/>
      <c r="BU470" s="352"/>
      <c r="BV470" s="352"/>
      <c r="BW470" s="352"/>
      <c r="BX470" s="352"/>
      <c r="BY470" s="352"/>
      <c r="BZ470" s="352"/>
      <c r="CA470" s="352"/>
      <c r="CB470" s="352"/>
      <c r="CC470" s="352"/>
      <c r="CD470" s="352"/>
      <c r="CE470" s="352"/>
      <c r="CF470" s="352"/>
      <c r="CG470" s="352"/>
      <c r="CH470" s="352"/>
      <c r="CI470" s="352"/>
      <c r="CJ470" s="352"/>
      <c r="CK470" s="352"/>
      <c r="CL470" s="352"/>
      <c r="CM470" s="352"/>
      <c r="CN470" s="352"/>
      <c r="CO470" s="352"/>
      <c r="CP470" s="352"/>
      <c r="CQ470" s="352"/>
      <c r="CR470" s="352"/>
      <c r="CS470" s="352"/>
      <c r="CT470" s="352"/>
      <c r="CU470" s="352"/>
      <c r="CV470" s="352"/>
      <c r="CW470" s="352"/>
      <c r="CX470" s="352"/>
      <c r="CY470" s="352"/>
      <c r="CZ470" s="352"/>
      <c r="DA470" s="352"/>
      <c r="DB470" s="352"/>
      <c r="DC470" s="352"/>
      <c r="DD470" s="352"/>
      <c r="DE470" s="352"/>
      <c r="DF470" s="352"/>
      <c r="DG470" s="352"/>
      <c r="DH470" s="352"/>
      <c r="DI470" s="352"/>
      <c r="DJ470" s="352"/>
      <c r="DK470" s="352"/>
      <c r="DL470" s="352"/>
      <c r="DM470" s="352"/>
      <c r="DN470" s="352"/>
      <c r="DO470" s="352"/>
      <c r="DP470" s="352"/>
      <c r="DQ470" s="352"/>
      <c r="DR470" s="352"/>
      <c r="DS470" s="352"/>
      <c r="DT470" s="352"/>
      <c r="DU470" s="352"/>
      <c r="DV470" s="352"/>
      <c r="DW470" s="352"/>
      <c r="DX470" s="352"/>
      <c r="DY470" s="352"/>
      <c r="DZ470" s="352"/>
      <c r="EA470" s="352"/>
      <c r="EB470" s="352"/>
      <c r="EC470" s="352"/>
      <c r="ED470" s="352"/>
      <c r="EE470" s="352"/>
      <c r="EF470" s="352"/>
      <c r="EG470" s="352"/>
      <c r="EH470" s="352"/>
      <c r="EI470" s="352"/>
      <c r="EJ470" s="352"/>
      <c r="EK470" s="352"/>
      <c r="EL470" s="352"/>
      <c r="EM470" s="352"/>
      <c r="EN470" s="352"/>
    </row>
    <row r="471" spans="10:144" ht="20.100000000000001" customHeight="1">
      <c r="J471" s="101"/>
      <c r="P471" s="82"/>
      <c r="Q471" s="352"/>
      <c r="R471" s="352"/>
      <c r="S471" s="352"/>
      <c r="T471" s="352"/>
      <c r="U471" s="352"/>
      <c r="V471" s="352"/>
      <c r="W471" s="352"/>
      <c r="X471" s="352"/>
      <c r="Y471" s="352"/>
      <c r="Z471" s="352"/>
      <c r="AA471" s="352"/>
      <c r="AB471" s="352"/>
      <c r="AC471" s="352"/>
      <c r="AD471" s="352"/>
      <c r="AE471" s="352"/>
      <c r="AF471" s="352"/>
      <c r="AG471" s="352"/>
      <c r="AH471" s="352"/>
      <c r="AI471" s="352"/>
      <c r="AJ471" s="352"/>
      <c r="AK471" s="352"/>
      <c r="AL471" s="352"/>
      <c r="AM471" s="352"/>
      <c r="AN471" s="352"/>
      <c r="AO471" s="352"/>
      <c r="AP471" s="352"/>
      <c r="AQ471" s="352"/>
      <c r="AR471" s="352"/>
      <c r="AS471" s="352"/>
      <c r="AT471" s="352"/>
      <c r="AU471" s="352"/>
      <c r="AV471" s="352"/>
      <c r="AW471" s="352"/>
      <c r="AX471" s="352"/>
      <c r="AY471" s="352"/>
      <c r="AZ471" s="352"/>
      <c r="BA471" s="352"/>
      <c r="BB471" s="352"/>
      <c r="BC471" s="352"/>
      <c r="BD471" s="352"/>
      <c r="BE471" s="352"/>
      <c r="BF471" s="352"/>
      <c r="BG471" s="352"/>
      <c r="BH471" s="352"/>
      <c r="BI471" s="352"/>
      <c r="BJ471" s="352"/>
      <c r="BK471" s="352"/>
      <c r="BL471" s="352"/>
      <c r="BM471" s="352"/>
      <c r="BN471" s="352"/>
      <c r="BO471" s="352"/>
      <c r="BP471" s="352"/>
      <c r="BQ471" s="352"/>
      <c r="BR471" s="352"/>
      <c r="BS471" s="352"/>
      <c r="BT471" s="352"/>
      <c r="BU471" s="352"/>
      <c r="BV471" s="352"/>
      <c r="BW471" s="352"/>
      <c r="BX471" s="352"/>
      <c r="BY471" s="352"/>
      <c r="BZ471" s="352"/>
      <c r="CA471" s="352"/>
      <c r="CB471" s="352"/>
      <c r="CC471" s="352"/>
      <c r="CD471" s="352"/>
      <c r="CE471" s="352"/>
      <c r="CF471" s="352"/>
      <c r="CG471" s="352"/>
      <c r="CH471" s="352"/>
      <c r="CI471" s="352"/>
      <c r="CJ471" s="352"/>
      <c r="CK471" s="352"/>
      <c r="CL471" s="352"/>
      <c r="CM471" s="352"/>
      <c r="CN471" s="352"/>
      <c r="CO471" s="352"/>
      <c r="CP471" s="352"/>
      <c r="CQ471" s="352"/>
      <c r="CR471" s="352"/>
      <c r="CS471" s="352"/>
      <c r="CT471" s="352"/>
      <c r="CU471" s="352"/>
      <c r="CV471" s="352"/>
      <c r="CW471" s="352"/>
      <c r="CX471" s="352"/>
      <c r="CY471" s="352"/>
      <c r="CZ471" s="352"/>
      <c r="DA471" s="352"/>
      <c r="DB471" s="352"/>
      <c r="DC471" s="352"/>
      <c r="DD471" s="352"/>
      <c r="DE471" s="352"/>
      <c r="DF471" s="352"/>
      <c r="DG471" s="352"/>
      <c r="DH471" s="352"/>
      <c r="DI471" s="352"/>
      <c r="DJ471" s="352"/>
      <c r="DK471" s="352"/>
      <c r="DL471" s="352"/>
      <c r="DM471" s="352"/>
      <c r="DN471" s="352"/>
      <c r="DO471" s="352"/>
      <c r="DP471" s="352"/>
      <c r="DQ471" s="352"/>
      <c r="DR471" s="352"/>
      <c r="DS471" s="352"/>
      <c r="DT471" s="352"/>
      <c r="DU471" s="352"/>
      <c r="DV471" s="352"/>
      <c r="DW471" s="352"/>
      <c r="DX471" s="352"/>
      <c r="DY471" s="352"/>
      <c r="DZ471" s="352"/>
      <c r="EA471" s="352"/>
      <c r="EB471" s="352"/>
      <c r="EC471" s="352"/>
      <c r="ED471" s="352"/>
      <c r="EE471" s="352"/>
      <c r="EF471" s="352"/>
      <c r="EG471" s="352"/>
      <c r="EH471" s="352"/>
      <c r="EI471" s="352"/>
      <c r="EJ471" s="352"/>
      <c r="EK471" s="352"/>
      <c r="EL471" s="352"/>
      <c r="EM471" s="352"/>
      <c r="EN471" s="352"/>
    </row>
    <row r="472" spans="10:144" ht="20.100000000000001" customHeight="1">
      <c r="J472" s="101"/>
      <c r="P472" s="82"/>
      <c r="Q472" s="352"/>
      <c r="R472" s="352"/>
      <c r="S472" s="352"/>
      <c r="T472" s="352"/>
      <c r="U472" s="352"/>
      <c r="V472" s="352"/>
      <c r="W472" s="352"/>
      <c r="X472" s="352"/>
      <c r="Y472" s="352"/>
      <c r="Z472" s="352"/>
      <c r="AA472" s="352"/>
      <c r="AB472" s="352"/>
      <c r="AC472" s="352"/>
      <c r="AD472" s="352"/>
      <c r="AE472" s="352"/>
      <c r="AF472" s="352"/>
      <c r="AG472" s="352"/>
      <c r="AH472" s="352"/>
      <c r="AI472" s="352"/>
      <c r="AJ472" s="352"/>
      <c r="AK472" s="352"/>
      <c r="AL472" s="352"/>
      <c r="AM472" s="352"/>
      <c r="AN472" s="352"/>
      <c r="AO472" s="352"/>
      <c r="AP472" s="352"/>
      <c r="AQ472" s="352"/>
      <c r="AR472" s="352"/>
      <c r="AS472" s="352"/>
      <c r="AT472" s="352"/>
      <c r="AU472" s="352"/>
      <c r="AV472" s="352"/>
      <c r="AW472" s="352"/>
      <c r="AX472" s="352"/>
      <c r="AY472" s="352"/>
      <c r="AZ472" s="352"/>
      <c r="BA472" s="352"/>
      <c r="BB472" s="352"/>
      <c r="BC472" s="352"/>
      <c r="BD472" s="352"/>
      <c r="BE472" s="352"/>
      <c r="BF472" s="352"/>
      <c r="BG472" s="352"/>
      <c r="BH472" s="352"/>
      <c r="BI472" s="352"/>
      <c r="BJ472" s="352"/>
      <c r="BK472" s="352"/>
      <c r="BL472" s="352"/>
      <c r="BM472" s="352"/>
      <c r="BN472" s="352"/>
      <c r="BO472" s="352"/>
      <c r="BP472" s="352"/>
      <c r="BQ472" s="352"/>
      <c r="BR472" s="352"/>
      <c r="BS472" s="352"/>
      <c r="BT472" s="352"/>
      <c r="BU472" s="352"/>
      <c r="BV472" s="352"/>
      <c r="BW472" s="352"/>
      <c r="BX472" s="352"/>
      <c r="BY472" s="352"/>
      <c r="BZ472" s="352"/>
      <c r="CA472" s="352"/>
      <c r="CB472" s="352"/>
      <c r="CC472" s="352"/>
      <c r="CD472" s="352"/>
      <c r="CE472" s="352"/>
      <c r="CF472" s="352"/>
      <c r="CG472" s="352"/>
      <c r="CH472" s="352"/>
      <c r="CI472" s="352"/>
      <c r="CJ472" s="352"/>
      <c r="CK472" s="352"/>
      <c r="CL472" s="352"/>
      <c r="CM472" s="352"/>
      <c r="CN472" s="352"/>
      <c r="CO472" s="352"/>
      <c r="CP472" s="352"/>
      <c r="CQ472" s="352"/>
      <c r="CR472" s="352"/>
      <c r="CS472" s="352"/>
      <c r="CT472" s="352"/>
      <c r="CU472" s="352"/>
      <c r="CV472" s="352"/>
      <c r="CW472" s="352"/>
      <c r="CX472" s="352"/>
      <c r="CY472" s="352"/>
      <c r="CZ472" s="352"/>
      <c r="DA472" s="352"/>
      <c r="DB472" s="352"/>
      <c r="DC472" s="352"/>
      <c r="DD472" s="352"/>
      <c r="DE472" s="352"/>
      <c r="DF472" s="352"/>
      <c r="DG472" s="352"/>
      <c r="DH472" s="352"/>
      <c r="DI472" s="352"/>
      <c r="DJ472" s="352"/>
      <c r="DK472" s="352"/>
      <c r="DL472" s="352"/>
      <c r="DM472" s="352"/>
      <c r="DN472" s="352"/>
      <c r="DO472" s="352"/>
      <c r="DP472" s="352"/>
      <c r="DQ472" s="352"/>
      <c r="DR472" s="352"/>
      <c r="DS472" s="352"/>
      <c r="DT472" s="352"/>
      <c r="DU472" s="352"/>
      <c r="DV472" s="352"/>
      <c r="DW472" s="352"/>
      <c r="DX472" s="352"/>
      <c r="DY472" s="352"/>
      <c r="DZ472" s="352"/>
      <c r="EA472" s="352"/>
      <c r="EB472" s="352"/>
      <c r="EC472" s="352"/>
      <c r="ED472" s="352"/>
      <c r="EE472" s="352"/>
      <c r="EF472" s="352"/>
      <c r="EG472" s="352"/>
      <c r="EH472" s="352"/>
      <c r="EI472" s="352"/>
      <c r="EJ472" s="352"/>
      <c r="EK472" s="352"/>
      <c r="EL472" s="352"/>
      <c r="EM472" s="352"/>
      <c r="EN472" s="352"/>
    </row>
    <row r="473" spans="10:144" ht="20.100000000000001" customHeight="1">
      <c r="J473" s="101"/>
      <c r="P473" s="82"/>
      <c r="Q473" s="352"/>
      <c r="R473" s="352"/>
      <c r="S473" s="352"/>
      <c r="T473" s="352"/>
      <c r="U473" s="352"/>
      <c r="V473" s="352"/>
      <c r="W473" s="352"/>
      <c r="X473" s="352"/>
      <c r="Y473" s="352"/>
      <c r="Z473" s="352"/>
      <c r="AA473" s="352"/>
      <c r="AB473" s="352"/>
      <c r="AC473" s="352"/>
      <c r="AD473" s="352"/>
      <c r="AE473" s="352"/>
      <c r="AF473" s="352"/>
      <c r="AG473" s="352"/>
      <c r="AH473" s="352"/>
      <c r="AI473" s="352"/>
      <c r="AJ473" s="352"/>
      <c r="AK473" s="352"/>
      <c r="AL473" s="352"/>
      <c r="AM473" s="352"/>
      <c r="AN473" s="352"/>
      <c r="AO473" s="352"/>
      <c r="AP473" s="352"/>
      <c r="AQ473" s="352"/>
      <c r="AR473" s="352"/>
      <c r="AS473" s="352"/>
      <c r="AT473" s="352"/>
      <c r="AU473" s="352"/>
      <c r="AV473" s="352"/>
      <c r="AW473" s="352"/>
      <c r="AX473" s="352"/>
      <c r="AY473" s="352"/>
      <c r="AZ473" s="352"/>
      <c r="BA473" s="352"/>
      <c r="BB473" s="352"/>
      <c r="BC473" s="352"/>
      <c r="BD473" s="352"/>
      <c r="BE473" s="352"/>
      <c r="BF473" s="352"/>
      <c r="BG473" s="352"/>
      <c r="BH473" s="352"/>
      <c r="BI473" s="352"/>
      <c r="BJ473" s="352"/>
      <c r="BK473" s="352"/>
      <c r="BL473" s="352"/>
      <c r="BM473" s="352"/>
      <c r="BN473" s="352"/>
      <c r="BO473" s="352"/>
      <c r="BP473" s="352"/>
      <c r="BQ473" s="352"/>
      <c r="BR473" s="352"/>
      <c r="BS473" s="352"/>
      <c r="BT473" s="352"/>
      <c r="BU473" s="352"/>
      <c r="BV473" s="352"/>
      <c r="BW473" s="352"/>
      <c r="BX473" s="352"/>
      <c r="BY473" s="352"/>
      <c r="BZ473" s="352"/>
      <c r="CA473" s="352"/>
      <c r="CB473" s="352"/>
      <c r="CC473" s="352"/>
      <c r="CD473" s="352"/>
      <c r="CE473" s="352"/>
      <c r="CF473" s="352"/>
      <c r="CG473" s="352"/>
      <c r="CH473" s="352"/>
      <c r="CI473" s="352"/>
      <c r="CJ473" s="352"/>
      <c r="CK473" s="352"/>
      <c r="CL473" s="352"/>
      <c r="CM473" s="352"/>
      <c r="CN473" s="352"/>
      <c r="CO473" s="352"/>
      <c r="CP473" s="352"/>
      <c r="CQ473" s="352"/>
      <c r="CR473" s="352"/>
      <c r="CS473" s="352"/>
      <c r="CT473" s="352"/>
      <c r="CU473" s="352"/>
      <c r="CV473" s="352"/>
      <c r="CW473" s="352"/>
      <c r="CX473" s="352"/>
      <c r="CY473" s="352"/>
      <c r="CZ473" s="352"/>
      <c r="DA473" s="352"/>
      <c r="DB473" s="352"/>
      <c r="DC473" s="352"/>
      <c r="DD473" s="352"/>
      <c r="DE473" s="352"/>
      <c r="DF473" s="352"/>
      <c r="DG473" s="352"/>
      <c r="DH473" s="352"/>
      <c r="DI473" s="352"/>
      <c r="DJ473" s="352"/>
      <c r="DK473" s="352"/>
      <c r="DL473" s="352"/>
      <c r="DM473" s="352"/>
      <c r="DN473" s="352"/>
      <c r="DO473" s="352"/>
      <c r="DP473" s="352"/>
      <c r="DQ473" s="352"/>
      <c r="DR473" s="352"/>
      <c r="DS473" s="352"/>
      <c r="DT473" s="352"/>
      <c r="DU473" s="352"/>
      <c r="DV473" s="352"/>
      <c r="DW473" s="352"/>
      <c r="DX473" s="352"/>
      <c r="DY473" s="352"/>
      <c r="DZ473" s="352"/>
      <c r="EA473" s="352"/>
      <c r="EB473" s="352"/>
      <c r="EC473" s="352"/>
      <c r="ED473" s="352"/>
      <c r="EE473" s="352"/>
      <c r="EF473" s="352"/>
      <c r="EG473" s="352"/>
      <c r="EH473" s="352"/>
      <c r="EI473" s="352"/>
      <c r="EJ473" s="352"/>
      <c r="EK473" s="352"/>
      <c r="EL473" s="352"/>
      <c r="EM473" s="352"/>
      <c r="EN473" s="352"/>
    </row>
    <row r="474" spans="10:144" ht="20.100000000000001" customHeight="1">
      <c r="J474" s="101"/>
      <c r="P474" s="83"/>
      <c r="Q474" s="352"/>
      <c r="R474" s="352"/>
      <c r="S474" s="352"/>
      <c r="T474" s="352"/>
      <c r="U474" s="352"/>
      <c r="V474" s="352"/>
      <c r="W474" s="352"/>
      <c r="X474" s="352"/>
      <c r="Y474" s="352"/>
      <c r="Z474" s="352"/>
      <c r="AA474" s="352"/>
      <c r="AB474" s="352"/>
      <c r="AC474" s="352"/>
      <c r="AD474" s="352"/>
      <c r="AE474" s="352"/>
      <c r="AF474" s="352"/>
      <c r="AG474" s="352"/>
      <c r="AH474" s="352"/>
      <c r="AI474" s="352"/>
      <c r="AJ474" s="352"/>
      <c r="AK474" s="352"/>
      <c r="AL474" s="352"/>
      <c r="AM474" s="352"/>
      <c r="AN474" s="352"/>
      <c r="AO474" s="352"/>
      <c r="AP474" s="352"/>
      <c r="AQ474" s="352"/>
      <c r="AR474" s="352"/>
      <c r="AS474" s="352"/>
      <c r="AT474" s="352"/>
      <c r="AU474" s="352"/>
      <c r="AV474" s="352"/>
      <c r="AW474" s="352"/>
      <c r="AX474" s="352"/>
      <c r="AY474" s="352"/>
      <c r="AZ474" s="352"/>
      <c r="BA474" s="352"/>
      <c r="BB474" s="352"/>
      <c r="BC474" s="352"/>
      <c r="BD474" s="352"/>
      <c r="BE474" s="352"/>
      <c r="BF474" s="352"/>
      <c r="BG474" s="352"/>
      <c r="BH474" s="352"/>
      <c r="BI474" s="352"/>
      <c r="BJ474" s="352"/>
      <c r="BK474" s="352"/>
      <c r="BL474" s="352"/>
      <c r="BM474" s="352"/>
      <c r="BN474" s="352"/>
      <c r="BO474" s="352"/>
      <c r="BP474" s="352"/>
      <c r="BQ474" s="352"/>
      <c r="BR474" s="352"/>
      <c r="BS474" s="352"/>
      <c r="BT474" s="352"/>
      <c r="BU474" s="352"/>
      <c r="BV474" s="352"/>
      <c r="BW474" s="352"/>
      <c r="BX474" s="352"/>
      <c r="BY474" s="352"/>
      <c r="BZ474" s="352"/>
      <c r="CA474" s="352"/>
      <c r="CB474" s="352"/>
      <c r="CC474" s="352"/>
      <c r="CD474" s="352"/>
      <c r="CE474" s="352"/>
      <c r="CF474" s="352"/>
      <c r="CG474" s="352"/>
      <c r="CH474" s="352"/>
      <c r="CI474" s="352"/>
      <c r="CJ474" s="352"/>
      <c r="CK474" s="352"/>
      <c r="CL474" s="352"/>
      <c r="CM474" s="352"/>
      <c r="CN474" s="352"/>
      <c r="CO474" s="352"/>
      <c r="CP474" s="352"/>
      <c r="CQ474" s="352"/>
      <c r="CR474" s="352"/>
      <c r="CS474" s="352"/>
      <c r="CT474" s="352"/>
      <c r="CU474" s="352"/>
      <c r="CV474" s="352"/>
      <c r="CW474" s="352"/>
      <c r="CX474" s="352"/>
      <c r="CY474" s="352"/>
      <c r="CZ474" s="352"/>
      <c r="DA474" s="352"/>
      <c r="DB474" s="352"/>
      <c r="DC474" s="352"/>
      <c r="DD474" s="352"/>
      <c r="DE474" s="352"/>
      <c r="DF474" s="352"/>
      <c r="DG474" s="352"/>
      <c r="DH474" s="352"/>
      <c r="DI474" s="352"/>
      <c r="DJ474" s="352"/>
      <c r="DK474" s="352"/>
      <c r="DL474" s="352"/>
      <c r="DM474" s="352"/>
      <c r="DN474" s="352"/>
      <c r="DO474" s="352"/>
      <c r="DP474" s="352"/>
      <c r="DQ474" s="352"/>
      <c r="DR474" s="352"/>
      <c r="DS474" s="352"/>
      <c r="DT474" s="352"/>
      <c r="DU474" s="352"/>
      <c r="DV474" s="352"/>
      <c r="DW474" s="352"/>
      <c r="DX474" s="352"/>
      <c r="DY474" s="352"/>
      <c r="DZ474" s="352"/>
      <c r="EA474" s="352"/>
      <c r="EB474" s="352"/>
      <c r="EC474" s="352"/>
      <c r="ED474" s="352"/>
      <c r="EE474" s="352"/>
      <c r="EF474" s="352"/>
      <c r="EG474" s="352"/>
      <c r="EH474" s="352"/>
      <c r="EI474" s="352"/>
      <c r="EJ474" s="352"/>
      <c r="EK474" s="352"/>
      <c r="EL474" s="352"/>
      <c r="EM474" s="352"/>
      <c r="EN474" s="352"/>
    </row>
    <row r="475" spans="10:144" ht="20.100000000000001" customHeight="1">
      <c r="J475" s="101"/>
      <c r="P475" s="83"/>
      <c r="Q475" s="352"/>
      <c r="R475" s="352"/>
      <c r="S475" s="352"/>
      <c r="T475" s="352"/>
      <c r="U475" s="352"/>
      <c r="V475" s="352"/>
      <c r="W475" s="352"/>
      <c r="X475" s="352"/>
      <c r="Y475" s="352"/>
      <c r="Z475" s="352"/>
      <c r="AA475" s="352"/>
      <c r="AB475" s="352"/>
      <c r="AC475" s="352"/>
      <c r="AD475" s="352"/>
      <c r="AE475" s="352"/>
      <c r="AF475" s="352"/>
      <c r="AG475" s="352"/>
      <c r="AH475" s="352"/>
      <c r="AI475" s="352"/>
      <c r="AJ475" s="352"/>
      <c r="AK475" s="352"/>
      <c r="AL475" s="352"/>
      <c r="AM475" s="352"/>
      <c r="AN475" s="352"/>
      <c r="AO475" s="352"/>
      <c r="AP475" s="352"/>
      <c r="AQ475" s="352"/>
      <c r="AR475" s="352"/>
      <c r="AS475" s="352"/>
      <c r="AT475" s="352"/>
      <c r="AU475" s="352"/>
      <c r="AV475" s="352"/>
      <c r="AW475" s="352"/>
      <c r="AX475" s="352"/>
      <c r="AY475" s="352"/>
      <c r="AZ475" s="352"/>
      <c r="BA475" s="352"/>
      <c r="BB475" s="352"/>
      <c r="BC475" s="352"/>
      <c r="BD475" s="352"/>
      <c r="BE475" s="352"/>
      <c r="BF475" s="352"/>
      <c r="BG475" s="352"/>
      <c r="BH475" s="352"/>
      <c r="BI475" s="352"/>
      <c r="BJ475" s="352"/>
      <c r="BK475" s="352"/>
      <c r="BL475" s="352"/>
      <c r="BM475" s="352"/>
      <c r="BN475" s="352"/>
      <c r="BO475" s="352"/>
      <c r="BP475" s="352"/>
      <c r="BQ475" s="352"/>
      <c r="BR475" s="352"/>
      <c r="BS475" s="352"/>
      <c r="BT475" s="352"/>
      <c r="BU475" s="352"/>
      <c r="BV475" s="352"/>
      <c r="BW475" s="352"/>
      <c r="BX475" s="352"/>
      <c r="BY475" s="352"/>
      <c r="BZ475" s="352"/>
      <c r="CA475" s="352"/>
      <c r="CB475" s="352"/>
      <c r="CC475" s="352"/>
      <c r="CD475" s="352"/>
      <c r="CE475" s="352"/>
      <c r="CF475" s="352"/>
      <c r="CG475" s="352"/>
      <c r="CH475" s="352"/>
      <c r="CI475" s="352"/>
      <c r="CJ475" s="352"/>
      <c r="CK475" s="352"/>
      <c r="CL475" s="352"/>
      <c r="CM475" s="352"/>
      <c r="CN475" s="352"/>
      <c r="CO475" s="352"/>
      <c r="CP475" s="352"/>
      <c r="CQ475" s="352"/>
      <c r="CR475" s="352"/>
      <c r="CS475" s="352"/>
      <c r="CT475" s="352"/>
      <c r="CU475" s="352"/>
      <c r="CV475" s="352"/>
      <c r="CW475" s="352"/>
      <c r="CX475" s="352"/>
      <c r="CY475" s="352"/>
      <c r="CZ475" s="352"/>
      <c r="DA475" s="352"/>
      <c r="DB475" s="352"/>
      <c r="DC475" s="352"/>
      <c r="DD475" s="352"/>
      <c r="DE475" s="352"/>
      <c r="DF475" s="352"/>
      <c r="DG475" s="352"/>
      <c r="DH475" s="352"/>
      <c r="DI475" s="352"/>
      <c r="DJ475" s="352"/>
      <c r="DK475" s="352"/>
      <c r="DL475" s="352"/>
      <c r="DM475" s="352"/>
      <c r="DN475" s="352"/>
      <c r="DO475" s="352"/>
      <c r="DP475" s="352"/>
      <c r="DQ475" s="352"/>
      <c r="DR475" s="352"/>
      <c r="DS475" s="352"/>
      <c r="DT475" s="352"/>
      <c r="DU475" s="352"/>
      <c r="DV475" s="352"/>
      <c r="DW475" s="352"/>
      <c r="DX475" s="352"/>
      <c r="DY475" s="352"/>
      <c r="DZ475" s="352"/>
      <c r="EA475" s="352"/>
      <c r="EB475" s="352"/>
      <c r="EC475" s="352"/>
      <c r="ED475" s="352"/>
      <c r="EE475" s="352"/>
      <c r="EF475" s="352"/>
      <c r="EG475" s="352"/>
      <c r="EH475" s="352"/>
      <c r="EI475" s="352"/>
      <c r="EJ475" s="352"/>
      <c r="EK475" s="352"/>
      <c r="EL475" s="352"/>
      <c r="EM475" s="352"/>
      <c r="EN475" s="352"/>
    </row>
    <row r="476" spans="10:144" ht="20.100000000000001" customHeight="1">
      <c r="J476" s="101"/>
      <c r="P476" s="83"/>
      <c r="Q476" s="352"/>
      <c r="R476" s="352"/>
      <c r="S476" s="352"/>
      <c r="T476" s="352"/>
      <c r="U476" s="352"/>
      <c r="V476" s="352"/>
      <c r="W476" s="352"/>
      <c r="X476" s="352"/>
      <c r="Y476" s="352"/>
      <c r="Z476" s="352"/>
      <c r="AA476" s="352"/>
      <c r="AB476" s="352"/>
      <c r="AC476" s="352"/>
      <c r="AD476" s="352"/>
      <c r="AE476" s="352"/>
      <c r="AF476" s="352"/>
      <c r="AG476" s="352"/>
      <c r="AH476" s="352"/>
      <c r="AI476" s="352"/>
      <c r="AJ476" s="352"/>
      <c r="AK476" s="352"/>
      <c r="AL476" s="352"/>
      <c r="AM476" s="352"/>
      <c r="AN476" s="352"/>
      <c r="AO476" s="352"/>
      <c r="AP476" s="352"/>
      <c r="AQ476" s="352"/>
      <c r="AR476" s="352"/>
      <c r="AS476" s="352"/>
      <c r="AT476" s="352"/>
      <c r="AU476" s="352"/>
      <c r="AV476" s="352"/>
      <c r="AW476" s="352"/>
      <c r="AX476" s="352"/>
      <c r="AY476" s="352"/>
      <c r="AZ476" s="352"/>
      <c r="BA476" s="352"/>
      <c r="BB476" s="352"/>
      <c r="BC476" s="352"/>
      <c r="BD476" s="352"/>
      <c r="BE476" s="352"/>
      <c r="BF476" s="352"/>
      <c r="BG476" s="352"/>
      <c r="BH476" s="352"/>
      <c r="BI476" s="352"/>
      <c r="BJ476" s="352"/>
      <c r="BK476" s="352"/>
      <c r="BL476" s="352"/>
      <c r="BM476" s="352"/>
      <c r="BN476" s="352"/>
      <c r="BO476" s="352"/>
      <c r="BP476" s="352"/>
      <c r="BQ476" s="352"/>
      <c r="BR476" s="352"/>
      <c r="BS476" s="352"/>
      <c r="BT476" s="352"/>
      <c r="BU476" s="352"/>
      <c r="BV476" s="352"/>
      <c r="BW476" s="352"/>
      <c r="BX476" s="352"/>
      <c r="BY476" s="352"/>
      <c r="BZ476" s="352"/>
      <c r="CA476" s="352"/>
      <c r="CB476" s="352"/>
      <c r="CC476" s="352"/>
      <c r="CD476" s="352"/>
      <c r="CE476" s="352"/>
      <c r="CF476" s="352"/>
      <c r="CG476" s="352"/>
      <c r="CH476" s="352"/>
      <c r="CI476" s="352"/>
      <c r="CJ476" s="352"/>
      <c r="CK476" s="352"/>
      <c r="CL476" s="352"/>
      <c r="CM476" s="352"/>
      <c r="CN476" s="352"/>
      <c r="CO476" s="352"/>
      <c r="CP476" s="352"/>
      <c r="CQ476" s="352"/>
      <c r="CR476" s="352"/>
      <c r="CS476" s="352"/>
      <c r="CT476" s="352"/>
      <c r="CU476" s="352"/>
      <c r="CV476" s="352"/>
      <c r="CW476" s="352"/>
      <c r="CX476" s="352"/>
      <c r="CY476" s="352"/>
      <c r="CZ476" s="352"/>
      <c r="DA476" s="352"/>
      <c r="DB476" s="352"/>
      <c r="DC476" s="352"/>
      <c r="DD476" s="352"/>
      <c r="DE476" s="352"/>
      <c r="DF476" s="352"/>
      <c r="DG476" s="352"/>
      <c r="DH476" s="352"/>
      <c r="DI476" s="352"/>
      <c r="DJ476" s="352"/>
      <c r="DK476" s="352"/>
      <c r="DL476" s="352"/>
      <c r="DM476" s="352"/>
      <c r="DN476" s="352"/>
      <c r="DO476" s="352"/>
      <c r="DP476" s="352"/>
      <c r="DQ476" s="352"/>
      <c r="DR476" s="352"/>
      <c r="DS476" s="352"/>
      <c r="DT476" s="352"/>
      <c r="DU476" s="352"/>
      <c r="DV476" s="352"/>
      <c r="DW476" s="352"/>
      <c r="DX476" s="352"/>
      <c r="DY476" s="352"/>
      <c r="DZ476" s="352"/>
      <c r="EA476" s="352"/>
      <c r="EB476" s="352"/>
      <c r="EC476" s="352"/>
      <c r="ED476" s="352"/>
      <c r="EE476" s="352"/>
      <c r="EF476" s="352"/>
      <c r="EG476" s="352"/>
      <c r="EH476" s="352"/>
      <c r="EI476" s="352"/>
      <c r="EJ476" s="352"/>
      <c r="EK476" s="352"/>
      <c r="EL476" s="352"/>
      <c r="EM476" s="352"/>
      <c r="EN476" s="352"/>
    </row>
    <row r="477" spans="10:144" ht="20.100000000000001" customHeight="1">
      <c r="J477" s="101"/>
      <c r="P477" s="82"/>
      <c r="Q477" s="352"/>
      <c r="R477" s="352"/>
      <c r="S477" s="352"/>
      <c r="T477" s="352"/>
      <c r="U477" s="352"/>
      <c r="V477" s="352"/>
      <c r="W477" s="352"/>
      <c r="X477" s="352"/>
      <c r="Y477" s="352"/>
      <c r="Z477" s="352"/>
      <c r="AA477" s="352"/>
      <c r="AB477" s="352"/>
      <c r="AC477" s="352"/>
      <c r="AD477" s="352"/>
      <c r="AE477" s="352"/>
      <c r="AF477" s="352"/>
      <c r="AG477" s="352"/>
      <c r="AH477" s="352"/>
      <c r="AI477" s="352"/>
      <c r="AJ477" s="352"/>
      <c r="AK477" s="352"/>
      <c r="AL477" s="352"/>
      <c r="AM477" s="352"/>
      <c r="AN477" s="352"/>
      <c r="AO477" s="352"/>
      <c r="AP477" s="352"/>
      <c r="AQ477" s="352"/>
      <c r="AR477" s="352"/>
      <c r="AS477" s="352"/>
      <c r="AT477" s="352"/>
      <c r="AU477" s="352"/>
      <c r="AV477" s="352"/>
      <c r="AW477" s="352"/>
      <c r="AX477" s="352"/>
      <c r="AY477" s="352"/>
      <c r="AZ477" s="352"/>
      <c r="BA477" s="352"/>
      <c r="BB477" s="352"/>
      <c r="BC477" s="352"/>
      <c r="BD477" s="352"/>
      <c r="BE477" s="352"/>
      <c r="BF477" s="352"/>
      <c r="BG477" s="352"/>
      <c r="BH477" s="352"/>
      <c r="BI477" s="352"/>
      <c r="BJ477" s="352"/>
      <c r="BK477" s="352"/>
      <c r="BL477" s="352"/>
      <c r="BM477" s="352"/>
      <c r="BN477" s="352"/>
      <c r="BO477" s="352"/>
      <c r="BP477" s="352"/>
      <c r="BQ477" s="352"/>
      <c r="BR477" s="352"/>
      <c r="BS477" s="352"/>
      <c r="BT477" s="352"/>
      <c r="BU477" s="352"/>
      <c r="BV477" s="352"/>
      <c r="BW477" s="352"/>
      <c r="BX477" s="352"/>
      <c r="BY477" s="352"/>
      <c r="BZ477" s="352"/>
      <c r="CA477" s="352"/>
      <c r="CB477" s="352"/>
      <c r="CC477" s="352"/>
      <c r="CD477" s="352"/>
      <c r="CE477" s="352"/>
      <c r="CF477" s="352"/>
      <c r="CG477" s="352"/>
      <c r="CH477" s="352"/>
      <c r="CI477" s="352"/>
      <c r="CJ477" s="352"/>
      <c r="CK477" s="352"/>
      <c r="CL477" s="352"/>
      <c r="CM477" s="352"/>
      <c r="CN477" s="352"/>
      <c r="CO477" s="352"/>
      <c r="CP477" s="352"/>
      <c r="CQ477" s="352"/>
      <c r="CR477" s="352"/>
      <c r="CS477" s="352"/>
      <c r="CT477" s="352"/>
      <c r="CU477" s="352"/>
      <c r="CV477" s="352"/>
      <c r="CW477" s="352"/>
      <c r="CX477" s="352"/>
      <c r="CY477" s="352"/>
      <c r="CZ477" s="352"/>
      <c r="DA477" s="352"/>
      <c r="DB477" s="352"/>
      <c r="DC477" s="352"/>
      <c r="DD477" s="352"/>
      <c r="DE477" s="352"/>
      <c r="DF477" s="352"/>
      <c r="DG477" s="352"/>
      <c r="DH477" s="352"/>
      <c r="DI477" s="352"/>
      <c r="DJ477" s="352"/>
      <c r="DK477" s="352"/>
      <c r="DL477" s="352"/>
      <c r="DM477" s="352"/>
      <c r="DN477" s="352"/>
      <c r="DO477" s="352"/>
      <c r="DP477" s="352"/>
      <c r="DQ477" s="352"/>
      <c r="DR477" s="352"/>
      <c r="DS477" s="352"/>
      <c r="DT477" s="352"/>
      <c r="DU477" s="352"/>
      <c r="DV477" s="352"/>
      <c r="DW477" s="352"/>
      <c r="DX477" s="352"/>
      <c r="DY477" s="352"/>
      <c r="DZ477" s="352"/>
      <c r="EA477" s="352"/>
      <c r="EB477" s="352"/>
      <c r="EC477" s="352"/>
      <c r="ED477" s="352"/>
      <c r="EE477" s="352"/>
      <c r="EF477" s="352"/>
      <c r="EG477" s="352"/>
      <c r="EH477" s="352"/>
      <c r="EI477" s="352"/>
      <c r="EJ477" s="352"/>
      <c r="EK477" s="352"/>
      <c r="EL477" s="352"/>
      <c r="EM477" s="352"/>
      <c r="EN477" s="352"/>
    </row>
    <row r="478" spans="10:144" ht="20.100000000000001" customHeight="1">
      <c r="J478" s="101"/>
      <c r="P478" s="82"/>
      <c r="Q478" s="352"/>
      <c r="R478" s="352"/>
      <c r="S478" s="352"/>
      <c r="T478" s="352"/>
      <c r="U478" s="352"/>
      <c r="V478" s="352"/>
      <c r="W478" s="352"/>
      <c r="X478" s="352"/>
      <c r="Y478" s="352"/>
      <c r="Z478" s="352"/>
      <c r="AA478" s="352"/>
      <c r="AB478" s="352"/>
      <c r="AC478" s="352"/>
      <c r="AD478" s="352"/>
      <c r="AE478" s="352"/>
      <c r="AF478" s="352"/>
      <c r="AG478" s="352"/>
      <c r="AH478" s="352"/>
      <c r="AI478" s="352"/>
      <c r="AJ478" s="352"/>
      <c r="AK478" s="352"/>
      <c r="AL478" s="352"/>
      <c r="AM478" s="352"/>
      <c r="AN478" s="352"/>
      <c r="AO478" s="352"/>
      <c r="AP478" s="352"/>
      <c r="AQ478" s="352"/>
      <c r="AR478" s="352"/>
      <c r="AS478" s="352"/>
      <c r="AT478" s="352"/>
      <c r="AU478" s="352"/>
      <c r="AV478" s="352"/>
      <c r="AW478" s="352"/>
      <c r="AX478" s="352"/>
      <c r="AY478" s="352"/>
      <c r="AZ478" s="352"/>
      <c r="BA478" s="352"/>
      <c r="BB478" s="352"/>
      <c r="BC478" s="352"/>
      <c r="BD478" s="352"/>
      <c r="BE478" s="352"/>
      <c r="BF478" s="352"/>
      <c r="BG478" s="352"/>
      <c r="BH478" s="352"/>
      <c r="BI478" s="352"/>
      <c r="BJ478" s="352"/>
      <c r="BK478" s="352"/>
      <c r="BL478" s="352"/>
      <c r="BM478" s="352"/>
      <c r="BN478" s="352"/>
      <c r="BO478" s="352"/>
      <c r="BP478" s="352"/>
      <c r="BQ478" s="352"/>
      <c r="BR478" s="352"/>
      <c r="BS478" s="352"/>
      <c r="BT478" s="352"/>
      <c r="BU478" s="352"/>
      <c r="BV478" s="352"/>
      <c r="BW478" s="352"/>
      <c r="BX478" s="352"/>
      <c r="BY478" s="352"/>
      <c r="BZ478" s="352"/>
      <c r="CA478" s="352"/>
      <c r="CB478" s="352"/>
      <c r="CC478" s="352"/>
      <c r="CD478" s="352"/>
      <c r="CE478" s="352"/>
      <c r="CF478" s="352"/>
      <c r="CG478" s="352"/>
      <c r="CH478" s="352"/>
      <c r="CI478" s="352"/>
      <c r="CJ478" s="352"/>
      <c r="CK478" s="352"/>
      <c r="CL478" s="352"/>
      <c r="CM478" s="352"/>
      <c r="CN478" s="352"/>
      <c r="CO478" s="352"/>
      <c r="CP478" s="352"/>
      <c r="CQ478" s="352"/>
      <c r="CR478" s="352"/>
      <c r="CS478" s="352"/>
      <c r="CT478" s="352"/>
      <c r="CU478" s="352"/>
      <c r="CV478" s="352"/>
      <c r="CW478" s="352"/>
      <c r="CX478" s="352"/>
      <c r="CY478" s="352"/>
      <c r="CZ478" s="352"/>
      <c r="DA478" s="352"/>
      <c r="DB478" s="352"/>
      <c r="DC478" s="352"/>
      <c r="DD478" s="352"/>
      <c r="DE478" s="352"/>
      <c r="DF478" s="352"/>
      <c r="DG478" s="352"/>
      <c r="DH478" s="352"/>
      <c r="DI478" s="352"/>
      <c r="DJ478" s="352"/>
      <c r="DK478" s="352"/>
      <c r="DL478" s="352"/>
      <c r="DM478" s="352"/>
      <c r="DN478" s="352"/>
      <c r="DO478" s="352"/>
      <c r="DP478" s="352"/>
      <c r="DQ478" s="352"/>
      <c r="DR478" s="352"/>
      <c r="DS478" s="352"/>
      <c r="DT478" s="352"/>
      <c r="DU478" s="352"/>
      <c r="DV478" s="352"/>
      <c r="DW478" s="352"/>
      <c r="DX478" s="352"/>
      <c r="DY478" s="352"/>
      <c r="DZ478" s="352"/>
      <c r="EA478" s="352"/>
      <c r="EB478" s="352"/>
      <c r="EC478" s="352"/>
      <c r="ED478" s="352"/>
      <c r="EE478" s="352"/>
      <c r="EF478" s="352"/>
      <c r="EG478" s="352"/>
      <c r="EH478" s="352"/>
      <c r="EI478" s="352"/>
      <c r="EJ478" s="352"/>
      <c r="EK478" s="352"/>
      <c r="EL478" s="352"/>
      <c r="EM478" s="352"/>
      <c r="EN478" s="352"/>
    </row>
    <row r="479" spans="10:144" ht="20.100000000000001" customHeight="1">
      <c r="J479" s="101"/>
      <c r="P479" s="82"/>
      <c r="Q479" s="352"/>
      <c r="R479" s="352"/>
      <c r="S479" s="352"/>
      <c r="T479" s="352"/>
      <c r="U479" s="352"/>
      <c r="V479" s="352"/>
      <c r="W479" s="352"/>
      <c r="X479" s="352"/>
      <c r="Y479" s="352"/>
      <c r="Z479" s="352"/>
      <c r="AA479" s="352"/>
      <c r="AB479" s="352"/>
      <c r="AC479" s="352"/>
      <c r="AD479" s="352"/>
      <c r="AE479" s="352"/>
      <c r="AF479" s="352"/>
      <c r="AG479" s="352"/>
      <c r="AH479" s="352"/>
      <c r="AI479" s="352"/>
      <c r="AJ479" s="352"/>
      <c r="AK479" s="352"/>
      <c r="AL479" s="352"/>
      <c r="AM479" s="352"/>
      <c r="AN479" s="352"/>
      <c r="AO479" s="352"/>
      <c r="AP479" s="352"/>
      <c r="AQ479" s="352"/>
      <c r="AR479" s="352"/>
      <c r="AS479" s="352"/>
      <c r="AT479" s="352"/>
      <c r="AU479" s="352"/>
      <c r="AV479" s="352"/>
      <c r="AW479" s="352"/>
      <c r="AX479" s="352"/>
      <c r="AY479" s="352"/>
      <c r="AZ479" s="352"/>
      <c r="BA479" s="352"/>
      <c r="BB479" s="352"/>
      <c r="BC479" s="352"/>
      <c r="BD479" s="352"/>
      <c r="BE479" s="352"/>
      <c r="BF479" s="352"/>
      <c r="BG479" s="352"/>
      <c r="BH479" s="352"/>
      <c r="BI479" s="352"/>
      <c r="BJ479" s="352"/>
      <c r="BK479" s="352"/>
      <c r="BL479" s="352"/>
      <c r="BM479" s="352"/>
      <c r="BN479" s="352"/>
      <c r="BO479" s="352"/>
      <c r="BP479" s="352"/>
      <c r="BQ479" s="352"/>
      <c r="BR479" s="352"/>
      <c r="BS479" s="352"/>
      <c r="BT479" s="352"/>
      <c r="BU479" s="352"/>
      <c r="BV479" s="352"/>
      <c r="BW479" s="352"/>
      <c r="BX479" s="352"/>
      <c r="BY479" s="352"/>
      <c r="BZ479" s="352"/>
      <c r="CA479" s="352"/>
      <c r="CB479" s="352"/>
      <c r="CC479" s="352"/>
      <c r="CD479" s="352"/>
      <c r="CE479" s="352"/>
      <c r="CF479" s="352"/>
      <c r="CG479" s="352"/>
      <c r="CH479" s="352"/>
      <c r="CI479" s="352"/>
      <c r="CJ479" s="352"/>
      <c r="CK479" s="352"/>
      <c r="CL479" s="352"/>
      <c r="CM479" s="352"/>
      <c r="CN479" s="352"/>
      <c r="CO479" s="352"/>
      <c r="CP479" s="352"/>
      <c r="CQ479" s="352"/>
      <c r="CR479" s="352"/>
      <c r="CS479" s="352"/>
      <c r="CT479" s="352"/>
      <c r="CU479" s="352"/>
      <c r="CV479" s="352"/>
      <c r="CW479" s="352"/>
      <c r="CX479" s="352"/>
      <c r="CY479" s="352"/>
      <c r="CZ479" s="352"/>
      <c r="DA479" s="352"/>
      <c r="DB479" s="352"/>
      <c r="DC479" s="352"/>
      <c r="DD479" s="352"/>
      <c r="DE479" s="352"/>
      <c r="DF479" s="352"/>
      <c r="DG479" s="352"/>
      <c r="DH479" s="352"/>
      <c r="DI479" s="352"/>
      <c r="DJ479" s="352"/>
      <c r="DK479" s="352"/>
      <c r="DL479" s="352"/>
      <c r="DM479" s="352"/>
      <c r="DN479" s="352"/>
      <c r="DO479" s="352"/>
      <c r="DP479" s="352"/>
      <c r="DQ479" s="352"/>
      <c r="DR479" s="352"/>
      <c r="DS479" s="352"/>
      <c r="DT479" s="352"/>
      <c r="DU479" s="352"/>
      <c r="DV479" s="352"/>
      <c r="DW479" s="352"/>
      <c r="DX479" s="352"/>
      <c r="DY479" s="352"/>
      <c r="DZ479" s="352"/>
      <c r="EA479" s="352"/>
      <c r="EB479" s="352"/>
      <c r="EC479" s="352"/>
      <c r="ED479" s="352"/>
      <c r="EE479" s="352"/>
      <c r="EF479" s="352"/>
      <c r="EG479" s="352"/>
      <c r="EH479" s="352"/>
      <c r="EI479" s="352"/>
      <c r="EJ479" s="352"/>
      <c r="EK479" s="352"/>
      <c r="EL479" s="352"/>
      <c r="EM479" s="352"/>
      <c r="EN479" s="352"/>
    </row>
    <row r="480" spans="10:144" ht="20.100000000000001" customHeight="1">
      <c r="J480" s="101"/>
      <c r="P480" s="83"/>
      <c r="Q480" s="352"/>
      <c r="R480" s="352"/>
      <c r="S480" s="352"/>
      <c r="T480" s="352"/>
      <c r="U480" s="352"/>
      <c r="V480" s="352"/>
      <c r="W480" s="352"/>
      <c r="X480" s="352"/>
      <c r="Y480" s="352"/>
      <c r="Z480" s="352"/>
      <c r="AA480" s="352"/>
      <c r="AB480" s="352"/>
      <c r="AC480" s="352"/>
      <c r="AD480" s="352"/>
      <c r="AE480" s="352"/>
      <c r="AF480" s="352"/>
      <c r="AG480" s="352"/>
      <c r="AH480" s="352"/>
      <c r="AI480" s="352"/>
      <c r="AJ480" s="352"/>
      <c r="AK480" s="352"/>
      <c r="AL480" s="352"/>
      <c r="AM480" s="352"/>
      <c r="AN480" s="352"/>
      <c r="AO480" s="352"/>
      <c r="AP480" s="352"/>
      <c r="AQ480" s="352"/>
      <c r="AR480" s="352"/>
      <c r="AS480" s="352"/>
      <c r="AT480" s="352"/>
      <c r="AU480" s="352"/>
      <c r="AV480" s="352"/>
      <c r="AW480" s="352"/>
      <c r="AX480" s="352"/>
      <c r="AY480" s="352"/>
      <c r="AZ480" s="352"/>
      <c r="BA480" s="352"/>
      <c r="BB480" s="352"/>
      <c r="BC480" s="352"/>
      <c r="BD480" s="352"/>
      <c r="BE480" s="352"/>
      <c r="BF480" s="352"/>
      <c r="BG480" s="352"/>
      <c r="BH480" s="352"/>
      <c r="BI480" s="352"/>
      <c r="BJ480" s="352"/>
      <c r="BK480" s="352"/>
      <c r="BL480" s="352"/>
      <c r="BM480" s="352"/>
      <c r="BN480" s="352"/>
      <c r="BO480" s="352"/>
      <c r="BP480" s="352"/>
      <c r="BQ480" s="352"/>
      <c r="BR480" s="352"/>
      <c r="BS480" s="352"/>
      <c r="BT480" s="352"/>
      <c r="BU480" s="352"/>
      <c r="BV480" s="352"/>
      <c r="BW480" s="352"/>
      <c r="BX480" s="352"/>
      <c r="BY480" s="352"/>
      <c r="BZ480" s="352"/>
      <c r="CA480" s="352"/>
      <c r="CB480" s="352"/>
      <c r="CC480" s="352"/>
      <c r="CD480" s="352"/>
      <c r="CE480" s="352"/>
      <c r="CF480" s="352"/>
      <c r="CG480" s="352"/>
      <c r="CH480" s="352"/>
      <c r="CI480" s="352"/>
      <c r="CJ480" s="352"/>
      <c r="CK480" s="352"/>
      <c r="CL480" s="352"/>
      <c r="CM480" s="352"/>
      <c r="CN480" s="352"/>
      <c r="CO480" s="352"/>
      <c r="CP480" s="352"/>
      <c r="CQ480" s="352"/>
      <c r="CR480" s="352"/>
      <c r="CS480" s="352"/>
      <c r="CT480" s="352"/>
      <c r="CU480" s="352"/>
      <c r="CV480" s="352"/>
      <c r="CW480" s="352"/>
      <c r="CX480" s="352"/>
      <c r="CY480" s="352"/>
      <c r="CZ480" s="352"/>
      <c r="DA480" s="352"/>
      <c r="DB480" s="352"/>
      <c r="DC480" s="352"/>
      <c r="DD480" s="352"/>
      <c r="DE480" s="352"/>
      <c r="DF480" s="352"/>
      <c r="DG480" s="352"/>
      <c r="DH480" s="352"/>
      <c r="DI480" s="352"/>
      <c r="DJ480" s="352"/>
      <c r="DK480" s="352"/>
      <c r="DL480" s="352"/>
      <c r="DM480" s="352"/>
      <c r="DN480" s="352"/>
      <c r="DO480" s="352"/>
      <c r="DP480" s="352"/>
      <c r="DQ480" s="352"/>
      <c r="DR480" s="352"/>
      <c r="DS480" s="352"/>
      <c r="DT480" s="352"/>
      <c r="DU480" s="352"/>
      <c r="DV480" s="352"/>
      <c r="DW480" s="352"/>
      <c r="DX480" s="352"/>
      <c r="DY480" s="352"/>
      <c r="DZ480" s="352"/>
      <c r="EA480" s="352"/>
      <c r="EB480" s="352"/>
      <c r="EC480" s="352"/>
      <c r="ED480" s="352"/>
      <c r="EE480" s="352"/>
      <c r="EF480" s="352"/>
      <c r="EG480" s="352"/>
      <c r="EH480" s="352"/>
      <c r="EI480" s="352"/>
      <c r="EJ480" s="352"/>
      <c r="EK480" s="352"/>
      <c r="EL480" s="352"/>
      <c r="EM480" s="352"/>
      <c r="EN480" s="352"/>
    </row>
    <row r="481" spans="10:144" ht="20.100000000000001" customHeight="1">
      <c r="J481" s="101"/>
      <c r="P481" s="83"/>
      <c r="Q481" s="352"/>
      <c r="R481" s="352"/>
      <c r="S481" s="352"/>
      <c r="T481" s="352"/>
      <c r="U481" s="352"/>
      <c r="V481" s="352"/>
      <c r="W481" s="352"/>
      <c r="X481" s="352"/>
      <c r="Y481" s="352"/>
      <c r="Z481" s="352"/>
      <c r="AA481" s="352"/>
      <c r="AB481" s="352"/>
      <c r="AC481" s="352"/>
      <c r="AD481" s="352"/>
      <c r="AE481" s="352"/>
      <c r="AF481" s="352"/>
      <c r="AG481" s="352"/>
      <c r="AH481" s="352"/>
      <c r="AI481" s="352"/>
      <c r="AJ481" s="352"/>
      <c r="AK481" s="352"/>
      <c r="AL481" s="352"/>
      <c r="AM481" s="352"/>
      <c r="AN481" s="352"/>
      <c r="AO481" s="352"/>
      <c r="AP481" s="352"/>
      <c r="AQ481" s="352"/>
      <c r="AR481" s="352"/>
      <c r="AS481" s="352"/>
      <c r="AT481" s="352"/>
      <c r="AU481" s="352"/>
      <c r="AV481" s="352"/>
      <c r="AW481" s="352"/>
      <c r="AX481" s="352"/>
      <c r="AY481" s="352"/>
      <c r="AZ481" s="352"/>
      <c r="BA481" s="352"/>
      <c r="BB481" s="352"/>
      <c r="BC481" s="352"/>
      <c r="BD481" s="352"/>
      <c r="BE481" s="352"/>
      <c r="BF481" s="352"/>
      <c r="BG481" s="352"/>
      <c r="BH481" s="352"/>
      <c r="BI481" s="352"/>
      <c r="BJ481" s="352"/>
      <c r="BK481" s="352"/>
      <c r="BL481" s="352"/>
      <c r="BM481" s="352"/>
      <c r="BN481" s="352"/>
      <c r="BO481" s="352"/>
      <c r="BP481" s="352"/>
      <c r="BQ481" s="352"/>
      <c r="BR481" s="352"/>
      <c r="BS481" s="352"/>
      <c r="BT481" s="352"/>
      <c r="BU481" s="352"/>
      <c r="BV481" s="352"/>
      <c r="BW481" s="352"/>
      <c r="BX481" s="352"/>
      <c r="BY481" s="352"/>
      <c r="BZ481" s="352"/>
      <c r="CA481" s="352"/>
      <c r="CB481" s="352"/>
      <c r="CC481" s="352"/>
      <c r="CD481" s="352"/>
      <c r="CE481" s="352"/>
      <c r="CF481" s="352"/>
      <c r="CG481" s="352"/>
      <c r="CH481" s="352"/>
      <c r="CI481" s="352"/>
      <c r="CJ481" s="352"/>
      <c r="CK481" s="352"/>
      <c r="CL481" s="352"/>
      <c r="CM481" s="352"/>
      <c r="CN481" s="352"/>
      <c r="CO481" s="352"/>
      <c r="CP481" s="352"/>
      <c r="CQ481" s="352"/>
      <c r="CR481" s="352"/>
      <c r="CS481" s="352"/>
      <c r="CT481" s="352"/>
      <c r="CU481" s="352"/>
      <c r="CV481" s="352"/>
      <c r="CW481" s="352"/>
      <c r="CX481" s="352"/>
      <c r="CY481" s="352"/>
      <c r="CZ481" s="352"/>
      <c r="DA481" s="352"/>
      <c r="DB481" s="352"/>
      <c r="DC481" s="352"/>
      <c r="DD481" s="352"/>
      <c r="DE481" s="352"/>
      <c r="DF481" s="352"/>
      <c r="DG481" s="352"/>
      <c r="DH481" s="352"/>
      <c r="DI481" s="352"/>
      <c r="DJ481" s="352"/>
      <c r="DK481" s="352"/>
      <c r="DL481" s="352"/>
      <c r="DM481" s="352"/>
      <c r="DN481" s="352"/>
      <c r="DO481" s="352"/>
      <c r="DP481" s="352"/>
      <c r="DQ481" s="352"/>
      <c r="DR481" s="352"/>
      <c r="DS481" s="352"/>
      <c r="DT481" s="352"/>
      <c r="DU481" s="352"/>
      <c r="DV481" s="352"/>
      <c r="DW481" s="352"/>
      <c r="DX481" s="352"/>
      <c r="DY481" s="352"/>
      <c r="DZ481" s="352"/>
      <c r="EA481" s="352"/>
      <c r="EB481" s="352"/>
      <c r="EC481" s="352"/>
      <c r="ED481" s="352"/>
      <c r="EE481" s="352"/>
      <c r="EF481" s="352"/>
      <c r="EG481" s="352"/>
      <c r="EH481" s="352"/>
      <c r="EI481" s="352"/>
      <c r="EJ481" s="352"/>
      <c r="EK481" s="352"/>
      <c r="EL481" s="352"/>
      <c r="EM481" s="352"/>
      <c r="EN481" s="352"/>
    </row>
    <row r="482" spans="10:144" ht="20.100000000000001" customHeight="1">
      <c r="J482" s="101"/>
      <c r="P482" s="83"/>
    </row>
    <row r="483" spans="10:144" ht="20.100000000000001" customHeight="1">
      <c r="J483" s="101"/>
      <c r="P483" s="82"/>
    </row>
    <row r="484" spans="10:144" ht="20.100000000000001" customHeight="1">
      <c r="J484" s="101"/>
      <c r="P484" s="82"/>
    </row>
    <row r="485" spans="10:144" ht="20.100000000000001" customHeight="1">
      <c r="J485" s="101"/>
      <c r="P485" s="82"/>
    </row>
    <row r="486" spans="10:144" ht="20.100000000000001" customHeight="1">
      <c r="J486" s="101"/>
      <c r="P486" s="83"/>
    </row>
    <row r="487" spans="10:144" ht="20.100000000000001" customHeight="1">
      <c r="J487" s="101"/>
      <c r="P487" s="83"/>
    </row>
    <row r="488" spans="10:144" ht="20.100000000000001" customHeight="1">
      <c r="J488" s="101"/>
      <c r="P488" s="83"/>
    </row>
    <row r="489" spans="10:144" ht="20.100000000000001" customHeight="1">
      <c r="J489" s="101"/>
      <c r="P489" s="82"/>
    </row>
    <row r="490" spans="10:144" ht="20.100000000000001" customHeight="1">
      <c r="J490" s="101"/>
      <c r="P490" s="82"/>
    </row>
    <row r="491" spans="10:144" ht="20.100000000000001" customHeight="1">
      <c r="J491" s="101"/>
      <c r="P491" s="82"/>
    </row>
    <row r="492" spans="10:144" ht="20.100000000000001" customHeight="1">
      <c r="J492" s="101"/>
      <c r="P492" s="83"/>
    </row>
    <row r="493" spans="10:144" ht="20.100000000000001" customHeight="1">
      <c r="J493" s="101"/>
      <c r="P493" s="83"/>
    </row>
    <row r="494" spans="10:144" ht="20.100000000000001" customHeight="1">
      <c r="J494" s="101"/>
      <c r="P494" s="83"/>
    </row>
    <row r="495" spans="10:144" ht="20.100000000000001" customHeight="1">
      <c r="J495" s="101"/>
      <c r="P495" s="82"/>
    </row>
    <row r="496" spans="10:144" ht="20.100000000000001" customHeight="1">
      <c r="J496" s="101"/>
      <c r="P496" s="82"/>
    </row>
    <row r="497" spans="10:16" ht="20.100000000000001" customHeight="1">
      <c r="J497" s="101"/>
      <c r="P497" s="82"/>
    </row>
    <row r="498" spans="10:16" ht="20.100000000000001" customHeight="1">
      <c r="J498" s="101"/>
      <c r="P498" s="83"/>
    </row>
    <row r="499" spans="10:16" ht="20.100000000000001" customHeight="1">
      <c r="J499" s="101"/>
      <c r="P499" s="83"/>
    </row>
    <row r="500" spans="10:16" ht="20.100000000000001" customHeight="1">
      <c r="J500" s="101"/>
      <c r="P500" s="83"/>
    </row>
    <row r="501" spans="10:16" ht="20.100000000000001" customHeight="1">
      <c r="J501" s="101"/>
      <c r="P501" s="82"/>
    </row>
    <row r="502" spans="10:16" ht="20.100000000000001" customHeight="1">
      <c r="J502" s="101"/>
      <c r="P502" s="82"/>
    </row>
    <row r="503" spans="10:16" ht="20.100000000000001" customHeight="1">
      <c r="J503" s="101"/>
      <c r="P503" s="82"/>
    </row>
    <row r="504" spans="10:16" ht="20.100000000000001" customHeight="1">
      <c r="J504" s="101"/>
      <c r="P504" s="83"/>
    </row>
    <row r="505" spans="10:16" ht="20.100000000000001" customHeight="1">
      <c r="J505" s="101"/>
      <c r="P505" s="83"/>
    </row>
    <row r="506" spans="10:16" ht="20.100000000000001" customHeight="1">
      <c r="J506" s="101"/>
      <c r="P506" s="83"/>
    </row>
    <row r="507" spans="10:16" ht="20.100000000000001" customHeight="1">
      <c r="J507" s="101"/>
    </row>
    <row r="508" spans="10:16" ht="20.100000000000001" customHeight="1">
      <c r="J508" s="101"/>
    </row>
    <row r="509" spans="10:16" ht="20.100000000000001" customHeight="1">
      <c r="J509" s="101"/>
    </row>
    <row r="510" spans="10:16" ht="20.100000000000001" customHeight="1">
      <c r="J510" s="101"/>
    </row>
    <row r="511" spans="10:16" ht="20.100000000000001" customHeight="1">
      <c r="J511" s="101"/>
    </row>
    <row r="512" spans="10:16" ht="20.100000000000001" customHeight="1">
      <c r="J512" s="101"/>
    </row>
    <row r="513" spans="10:10" ht="20.100000000000001" customHeight="1">
      <c r="J513" s="101"/>
    </row>
    <row r="514" spans="10:10" ht="20.100000000000001" customHeight="1">
      <c r="J514" s="101"/>
    </row>
    <row r="515" spans="10:10" ht="20.100000000000001" customHeight="1">
      <c r="J515" s="101"/>
    </row>
    <row r="516" spans="10:10" ht="20.100000000000001" customHeight="1">
      <c r="J516" s="101"/>
    </row>
    <row r="517" spans="10:10" ht="20.100000000000001" customHeight="1">
      <c r="J517" s="101"/>
    </row>
    <row r="518" spans="10:10" ht="20.100000000000001" customHeight="1">
      <c r="J518" s="101"/>
    </row>
    <row r="519" spans="10:10" ht="20.100000000000001" customHeight="1">
      <c r="J519" s="101"/>
    </row>
    <row r="520" spans="10:10" ht="20.100000000000001" customHeight="1">
      <c r="J520" s="101"/>
    </row>
    <row r="521" spans="10:10" ht="20.100000000000001" customHeight="1">
      <c r="J521" s="101"/>
    </row>
    <row r="522" spans="10:10" ht="20.100000000000001" customHeight="1">
      <c r="J522" s="101"/>
    </row>
    <row r="523" spans="10:10" ht="20.100000000000001" customHeight="1">
      <c r="J523" s="101"/>
    </row>
    <row r="524" spans="10:10" ht="20.100000000000001" customHeight="1">
      <c r="J524" s="101"/>
    </row>
    <row r="525" spans="10:10" ht="20.100000000000001" customHeight="1">
      <c r="J525" s="101"/>
    </row>
    <row r="526" spans="10:10" ht="20.100000000000001" customHeight="1">
      <c r="J526" s="101"/>
    </row>
    <row r="527" spans="10:10" ht="20.100000000000001" customHeight="1">
      <c r="J527" s="101"/>
    </row>
    <row r="528" spans="10:10" ht="20.100000000000001" customHeight="1">
      <c r="J528" s="101"/>
    </row>
    <row r="529" spans="10:10" ht="20.100000000000001" customHeight="1">
      <c r="J529" s="101"/>
    </row>
    <row r="530" spans="10:10" ht="20.100000000000001" customHeight="1">
      <c r="J530" s="101"/>
    </row>
    <row r="531" spans="10:10" ht="20.100000000000001" customHeight="1">
      <c r="J531" s="101"/>
    </row>
    <row r="532" spans="10:10" ht="20.100000000000001" customHeight="1">
      <c r="J532" s="101"/>
    </row>
    <row r="533" spans="10:10" ht="20.100000000000001" customHeight="1">
      <c r="J533" s="101"/>
    </row>
    <row r="534" spans="10:10" ht="20.100000000000001" customHeight="1">
      <c r="J534" s="101"/>
    </row>
    <row r="535" spans="10:10" ht="20.100000000000001" customHeight="1">
      <c r="J535" s="101"/>
    </row>
    <row r="536" spans="10:10" ht="20.100000000000001" customHeight="1">
      <c r="J536" s="101"/>
    </row>
    <row r="537" spans="10:10" ht="20.100000000000001" customHeight="1">
      <c r="J537" s="101"/>
    </row>
    <row r="538" spans="10:10" ht="20.100000000000001" customHeight="1">
      <c r="J538" s="101"/>
    </row>
    <row r="539" spans="10:10" ht="20.100000000000001" customHeight="1">
      <c r="J539" s="101"/>
    </row>
    <row r="540" spans="10:10" ht="20.100000000000001" customHeight="1">
      <c r="J540" s="101"/>
    </row>
    <row r="541" spans="10:10" ht="20.100000000000001" customHeight="1">
      <c r="J541" s="101"/>
    </row>
    <row r="542" spans="10:10" ht="20.100000000000001" customHeight="1">
      <c r="J542" s="101"/>
    </row>
    <row r="543" spans="10:10" ht="20.100000000000001" customHeight="1">
      <c r="J543" s="101"/>
    </row>
    <row r="544" spans="10:10" ht="20.100000000000001" customHeight="1">
      <c r="J544" s="101"/>
    </row>
    <row r="545" spans="10:10" ht="20.100000000000001" customHeight="1">
      <c r="J545" s="101"/>
    </row>
    <row r="546" spans="10:10" ht="20.100000000000001" customHeight="1">
      <c r="J546" s="101"/>
    </row>
    <row r="547" spans="10:10" ht="20.100000000000001" customHeight="1">
      <c r="J547" s="101"/>
    </row>
    <row r="548" spans="10:10" ht="20.100000000000001" customHeight="1">
      <c r="J548" s="101"/>
    </row>
    <row r="549" spans="10:10" ht="20.100000000000001" customHeight="1">
      <c r="J549" s="101"/>
    </row>
    <row r="550" spans="10:10" ht="20.100000000000001" customHeight="1">
      <c r="J550" s="101"/>
    </row>
    <row r="551" spans="10:10" ht="20.100000000000001" customHeight="1">
      <c r="J551" s="101"/>
    </row>
    <row r="552" spans="10:10" ht="20.100000000000001" customHeight="1">
      <c r="J552" s="101"/>
    </row>
    <row r="553" spans="10:10" ht="20.100000000000001" customHeight="1">
      <c r="J553" s="101"/>
    </row>
    <row r="554" spans="10:10" ht="20.100000000000001" customHeight="1">
      <c r="J554" s="101"/>
    </row>
    <row r="555" spans="10:10" ht="20.100000000000001" customHeight="1">
      <c r="J555" s="101"/>
    </row>
    <row r="556" spans="10:10" ht="20.100000000000001" customHeight="1">
      <c r="J556" s="101"/>
    </row>
    <row r="557" spans="10:10" ht="20.100000000000001" customHeight="1">
      <c r="J557" s="101"/>
    </row>
    <row r="558" spans="10:10" ht="20.100000000000001" customHeight="1">
      <c r="J558" s="101"/>
    </row>
    <row r="559" spans="10:10" ht="20.100000000000001" customHeight="1">
      <c r="J559" s="101"/>
    </row>
    <row r="560" spans="10:10" ht="20.100000000000001" customHeight="1">
      <c r="J560" s="101"/>
    </row>
    <row r="561" spans="10:10" ht="20.100000000000001" customHeight="1">
      <c r="J561" s="101"/>
    </row>
    <row r="562" spans="10:10" ht="20.100000000000001" customHeight="1">
      <c r="J562" s="101"/>
    </row>
    <row r="563" spans="10:10" ht="20.100000000000001" customHeight="1">
      <c r="J563" s="101"/>
    </row>
    <row r="564" spans="10:10" ht="20.100000000000001" customHeight="1">
      <c r="J564" s="101"/>
    </row>
    <row r="565" spans="10:10" ht="20.100000000000001" customHeight="1">
      <c r="J565" s="101"/>
    </row>
    <row r="566" spans="10:10" ht="20.100000000000001" customHeight="1">
      <c r="J566" s="101"/>
    </row>
    <row r="567" spans="10:10" ht="20.100000000000001" customHeight="1">
      <c r="J567" s="101"/>
    </row>
    <row r="568" spans="10:10" ht="20.100000000000001" customHeight="1">
      <c r="J568" s="101"/>
    </row>
    <row r="569" spans="10:10" ht="20.100000000000001" customHeight="1">
      <c r="J569" s="101"/>
    </row>
    <row r="570" spans="10:10" ht="20.100000000000001" customHeight="1">
      <c r="J570" s="101"/>
    </row>
    <row r="571" spans="10:10" ht="20.100000000000001" customHeight="1">
      <c r="J571" s="101"/>
    </row>
    <row r="572" spans="10:10" ht="20.100000000000001" customHeight="1">
      <c r="J572" s="101"/>
    </row>
    <row r="573" spans="10:10" ht="20.100000000000001" customHeight="1">
      <c r="J573" s="101"/>
    </row>
    <row r="574" spans="10:10" ht="20.100000000000001" customHeight="1">
      <c r="J574" s="101"/>
    </row>
    <row r="575" spans="10:10" ht="20.100000000000001" customHeight="1">
      <c r="J575" s="101"/>
    </row>
    <row r="576" spans="10:10" ht="20.100000000000001" customHeight="1">
      <c r="J576" s="101"/>
    </row>
    <row r="577" spans="10:10" ht="20.100000000000001" customHeight="1">
      <c r="J577" s="101"/>
    </row>
    <row r="578" spans="10:10" ht="20.100000000000001" customHeight="1">
      <c r="J578" s="101"/>
    </row>
    <row r="579" spans="10:10" ht="20.100000000000001" customHeight="1">
      <c r="J579" s="101"/>
    </row>
    <row r="580" spans="10:10" ht="20.100000000000001" customHeight="1">
      <c r="J580" s="101"/>
    </row>
    <row r="581" spans="10:10" ht="20.100000000000001" customHeight="1">
      <c r="J581" s="101"/>
    </row>
    <row r="582" spans="10:10" ht="20.100000000000001" customHeight="1">
      <c r="J582" s="101"/>
    </row>
    <row r="583" spans="10:10" ht="20.100000000000001" customHeight="1">
      <c r="J583" s="101"/>
    </row>
    <row r="584" spans="10:10" ht="20.100000000000001" customHeight="1">
      <c r="J584" s="101"/>
    </row>
    <row r="585" spans="10:10" ht="20.100000000000001" customHeight="1">
      <c r="J585" s="101"/>
    </row>
    <row r="586" spans="10:10" ht="20.100000000000001" customHeight="1">
      <c r="J586" s="101"/>
    </row>
    <row r="587" spans="10:10" ht="20.100000000000001" customHeight="1">
      <c r="J587" s="101"/>
    </row>
    <row r="588" spans="10:10" ht="20.100000000000001" customHeight="1">
      <c r="J588" s="101"/>
    </row>
    <row r="589" spans="10:10" ht="20.100000000000001" customHeight="1">
      <c r="J589" s="101"/>
    </row>
    <row r="590" spans="10:10" ht="20.100000000000001" customHeight="1">
      <c r="J590" s="101"/>
    </row>
    <row r="591" spans="10:10" ht="20.100000000000001" customHeight="1">
      <c r="J591" s="101"/>
    </row>
    <row r="592" spans="10:10" ht="20.100000000000001" customHeight="1">
      <c r="J592" s="101"/>
    </row>
    <row r="593" spans="10:10" ht="20.100000000000001" customHeight="1">
      <c r="J593" s="101"/>
    </row>
    <row r="594" spans="10:10" ht="20.100000000000001" customHeight="1">
      <c r="J594" s="101"/>
    </row>
    <row r="595" spans="10:10" ht="20.100000000000001" customHeight="1">
      <c r="J595" s="101"/>
    </row>
    <row r="596" spans="10:10" ht="20.100000000000001" customHeight="1">
      <c r="J596" s="101"/>
    </row>
    <row r="597" spans="10:10" ht="20.100000000000001" customHeight="1">
      <c r="J597" s="101"/>
    </row>
    <row r="598" spans="10:10" ht="20.100000000000001" customHeight="1">
      <c r="J598" s="101"/>
    </row>
    <row r="599" spans="10:10" ht="20.100000000000001" customHeight="1">
      <c r="J599" s="101"/>
    </row>
    <row r="600" spans="10:10" ht="20.100000000000001" customHeight="1">
      <c r="J600" s="101"/>
    </row>
    <row r="601" spans="10:10" ht="20.100000000000001" customHeight="1">
      <c r="J601" s="101"/>
    </row>
    <row r="602" spans="10:10" ht="20.100000000000001" customHeight="1">
      <c r="J602" s="101"/>
    </row>
    <row r="603" spans="10:10" ht="20.100000000000001" customHeight="1">
      <c r="J603" s="101"/>
    </row>
    <row r="604" spans="10:10" ht="20.100000000000001" customHeight="1">
      <c r="J604" s="101"/>
    </row>
    <row r="605" spans="10:10" ht="20.100000000000001" customHeight="1">
      <c r="J605" s="101"/>
    </row>
    <row r="606" spans="10:10" ht="20.100000000000001" customHeight="1">
      <c r="J606" s="101"/>
    </row>
    <row r="607" spans="10:10" ht="20.100000000000001" customHeight="1">
      <c r="J607" s="101"/>
    </row>
    <row r="608" spans="10:10" ht="20.100000000000001" customHeight="1">
      <c r="J608" s="101"/>
    </row>
    <row r="609" spans="10:10" ht="20.100000000000001" customHeight="1">
      <c r="J609" s="101"/>
    </row>
    <row r="610" spans="10:10" ht="20.100000000000001" customHeight="1">
      <c r="J610" s="101"/>
    </row>
    <row r="611" spans="10:10" ht="20.100000000000001" customHeight="1">
      <c r="J611" s="101"/>
    </row>
    <row r="612" spans="10:10" ht="20.100000000000001" customHeight="1">
      <c r="J612" s="101"/>
    </row>
    <row r="613" spans="10:10" ht="20.100000000000001" customHeight="1">
      <c r="J613" s="101"/>
    </row>
    <row r="614" spans="10:10" ht="20.100000000000001" customHeight="1">
      <c r="J614" s="101"/>
    </row>
    <row r="615" spans="10:10" ht="20.100000000000001" customHeight="1">
      <c r="J615" s="101"/>
    </row>
    <row r="616" spans="10:10" ht="20.100000000000001" customHeight="1">
      <c r="J616" s="101"/>
    </row>
    <row r="617" spans="10:10" ht="20.100000000000001" customHeight="1">
      <c r="J617" s="101"/>
    </row>
    <row r="618" spans="10:10" ht="20.100000000000001" customHeight="1">
      <c r="J618" s="101"/>
    </row>
    <row r="619" spans="10:10" ht="20.100000000000001" customHeight="1">
      <c r="J619" s="101"/>
    </row>
    <row r="620" spans="10:10" ht="20.100000000000001" customHeight="1">
      <c r="J620" s="101"/>
    </row>
    <row r="621" spans="10:10" ht="20.100000000000001" customHeight="1">
      <c r="J621" s="101"/>
    </row>
    <row r="622" spans="10:10" ht="20.100000000000001" customHeight="1">
      <c r="J622" s="101"/>
    </row>
    <row r="623" spans="10:10" ht="20.100000000000001" customHeight="1">
      <c r="J623" s="101"/>
    </row>
    <row r="624" spans="10:10" ht="20.100000000000001" customHeight="1">
      <c r="J624" s="101"/>
    </row>
    <row r="625" spans="10:10" ht="20.100000000000001" customHeight="1">
      <c r="J625" s="101"/>
    </row>
    <row r="626" spans="10:10" ht="20.100000000000001" customHeight="1">
      <c r="J626" s="101"/>
    </row>
    <row r="627" spans="10:10" ht="20.100000000000001" customHeight="1">
      <c r="J627" s="101"/>
    </row>
    <row r="628" spans="10:10" ht="20.100000000000001" customHeight="1">
      <c r="J628" s="101"/>
    </row>
    <row r="629" spans="10:10" ht="20.100000000000001" customHeight="1">
      <c r="J629" s="101"/>
    </row>
    <row r="630" spans="10:10" ht="20.100000000000001" customHeight="1">
      <c r="J630" s="101"/>
    </row>
    <row r="631" spans="10:10" ht="20.100000000000001" customHeight="1">
      <c r="J631" s="101"/>
    </row>
    <row r="632" spans="10:10" ht="20.100000000000001" customHeight="1">
      <c r="J632" s="101"/>
    </row>
    <row r="633" spans="10:10" ht="20.100000000000001" customHeight="1">
      <c r="J633" s="101"/>
    </row>
    <row r="634" spans="10:10" ht="20.100000000000001" customHeight="1">
      <c r="J634" s="101"/>
    </row>
    <row r="635" spans="10:10" ht="20.100000000000001" customHeight="1">
      <c r="J635" s="101"/>
    </row>
    <row r="636" spans="10:10" ht="20.100000000000001" customHeight="1">
      <c r="J636" s="101"/>
    </row>
    <row r="637" spans="10:10" ht="20.100000000000001" customHeight="1">
      <c r="J637" s="101"/>
    </row>
    <row r="638" spans="10:10" ht="20.100000000000001" customHeight="1">
      <c r="J638" s="101"/>
    </row>
    <row r="639" spans="10:10" ht="20.100000000000001" customHeight="1">
      <c r="J639" s="101"/>
    </row>
    <row r="640" spans="10:10" ht="20.100000000000001" customHeight="1">
      <c r="J640" s="101"/>
    </row>
    <row r="641" spans="10:10" ht="20.100000000000001" customHeight="1">
      <c r="J641" s="101"/>
    </row>
    <row r="642" spans="10:10" ht="20.100000000000001" customHeight="1">
      <c r="J642" s="101"/>
    </row>
    <row r="643" spans="10:10" ht="20.100000000000001" customHeight="1">
      <c r="J643" s="101"/>
    </row>
    <row r="644" spans="10:10" ht="20.100000000000001" customHeight="1">
      <c r="J644" s="101"/>
    </row>
    <row r="645" spans="10:10" ht="20.100000000000001" customHeight="1">
      <c r="J645" s="101"/>
    </row>
    <row r="646" spans="10:10" ht="20.100000000000001" customHeight="1">
      <c r="J646" s="101"/>
    </row>
    <row r="647" spans="10:10" ht="20.100000000000001" customHeight="1">
      <c r="J647" s="101"/>
    </row>
    <row r="648" spans="10:10" ht="20.100000000000001" customHeight="1">
      <c r="J648" s="101"/>
    </row>
    <row r="649" spans="10:10" ht="20.100000000000001" customHeight="1">
      <c r="J649" s="101"/>
    </row>
    <row r="650" spans="10:10" ht="20.100000000000001" customHeight="1">
      <c r="J650" s="101"/>
    </row>
    <row r="651" spans="10:10" ht="20.100000000000001" customHeight="1">
      <c r="J651" s="101"/>
    </row>
    <row r="652" spans="10:10" ht="20.100000000000001" customHeight="1">
      <c r="J652" s="101"/>
    </row>
    <row r="653" spans="10:10" ht="20.100000000000001" customHeight="1">
      <c r="J653" s="101"/>
    </row>
    <row r="654" spans="10:10" ht="20.100000000000001" customHeight="1">
      <c r="J654" s="101"/>
    </row>
    <row r="655" spans="10:10" ht="20.100000000000001" customHeight="1">
      <c r="J655" s="101"/>
    </row>
    <row r="656" spans="10:10" ht="20.100000000000001" customHeight="1">
      <c r="J656" s="101"/>
    </row>
    <row r="657" spans="10:10" ht="20.100000000000001" customHeight="1">
      <c r="J657" s="101"/>
    </row>
    <row r="658" spans="10:10" ht="20.100000000000001" customHeight="1">
      <c r="J658" s="101"/>
    </row>
    <row r="659" spans="10:10" ht="20.100000000000001" customHeight="1">
      <c r="J659" s="101"/>
    </row>
    <row r="660" spans="10:10" ht="20.100000000000001" customHeight="1">
      <c r="J660" s="101"/>
    </row>
    <row r="661" spans="10:10" ht="20.100000000000001" customHeight="1">
      <c r="J661" s="101"/>
    </row>
    <row r="662" spans="10:10" ht="20.100000000000001" customHeight="1">
      <c r="J662" s="101"/>
    </row>
    <row r="663" spans="10:10" ht="20.100000000000001" customHeight="1">
      <c r="J663" s="101"/>
    </row>
    <row r="664" spans="10:10" ht="20.100000000000001" customHeight="1">
      <c r="J664" s="101"/>
    </row>
    <row r="665" spans="10:10" ht="20.100000000000001" customHeight="1">
      <c r="J665" s="101"/>
    </row>
    <row r="666" spans="10:10" ht="20.100000000000001" customHeight="1">
      <c r="J666" s="101"/>
    </row>
    <row r="667" spans="10:10" ht="20.100000000000001" customHeight="1">
      <c r="J667" s="101"/>
    </row>
    <row r="668" spans="10:10" ht="20.100000000000001" customHeight="1">
      <c r="J668" s="101"/>
    </row>
    <row r="669" spans="10:10" ht="20.100000000000001" customHeight="1">
      <c r="J669" s="101"/>
    </row>
    <row r="670" spans="10:10" ht="20.100000000000001" customHeight="1">
      <c r="J670" s="101"/>
    </row>
    <row r="671" spans="10:10" ht="20.100000000000001" customHeight="1">
      <c r="J671" s="101"/>
    </row>
    <row r="672" spans="10:10" ht="20.100000000000001" customHeight="1">
      <c r="J672" s="101"/>
    </row>
    <row r="673" spans="10:10" ht="20.100000000000001" customHeight="1">
      <c r="J673" s="101"/>
    </row>
    <row r="674" spans="10:10" ht="20.100000000000001" customHeight="1">
      <c r="J674" s="101"/>
    </row>
    <row r="675" spans="10:10" ht="20.100000000000001" customHeight="1">
      <c r="J675" s="101"/>
    </row>
    <row r="676" spans="10:10" ht="20.100000000000001" customHeight="1">
      <c r="J676" s="101"/>
    </row>
    <row r="677" spans="10:10" ht="20.100000000000001" customHeight="1">
      <c r="J677" s="101"/>
    </row>
    <row r="678" spans="10:10" ht="20.100000000000001" customHeight="1">
      <c r="J678" s="101"/>
    </row>
    <row r="679" spans="10:10" ht="20.100000000000001" customHeight="1">
      <c r="J679" s="101"/>
    </row>
    <row r="680" spans="10:10" ht="20.100000000000001" customHeight="1">
      <c r="J680" s="101"/>
    </row>
    <row r="681" spans="10:10" ht="20.100000000000001" customHeight="1">
      <c r="J681" s="101"/>
    </row>
    <row r="682" spans="10:10" ht="20.100000000000001" customHeight="1">
      <c r="J682" s="101"/>
    </row>
    <row r="683" spans="10:10" ht="20.100000000000001" customHeight="1">
      <c r="J683" s="101"/>
    </row>
    <row r="684" spans="10:10" ht="20.100000000000001" customHeight="1">
      <c r="J684" s="101"/>
    </row>
    <row r="685" spans="10:10" ht="20.100000000000001" customHeight="1">
      <c r="J685" s="101"/>
    </row>
    <row r="686" spans="10:10" ht="20.100000000000001" customHeight="1">
      <c r="J686" s="101"/>
    </row>
    <row r="687" spans="10:10" ht="20.100000000000001" customHeight="1">
      <c r="J687" s="101"/>
    </row>
    <row r="688" spans="10:10" ht="20.100000000000001" customHeight="1">
      <c r="J688" s="101"/>
    </row>
    <row r="689" spans="10:10" ht="20.100000000000001" customHeight="1">
      <c r="J689" s="101"/>
    </row>
    <row r="690" spans="10:10" ht="20.100000000000001" customHeight="1">
      <c r="J690" s="101"/>
    </row>
  </sheetData>
  <phoneticPr fontId="31" type="noConversion"/>
  <pageMargins left="0.5" right="0.5" top="0.75" bottom="0.75" header="0.27777800000000002" footer="0.27777800000000002"/>
  <pageSetup scale="10" orientation="landscape"/>
  <headerFooter>
    <oddFooter>&amp;C&amp;"Helvetica Neue,Regular"&amp;12&amp;K000000&amp;P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enableFormatConditionsCalculation="0">
    <tabColor rgb="FFFF0000"/>
    <pageSetUpPr fitToPage="1"/>
  </sheetPr>
  <dimension ref="A1:R505"/>
  <sheetViews>
    <sheetView showGridLines="0" topLeftCell="A421" zoomScale="91" workbookViewId="0">
      <pane xSplit="1" topLeftCell="B1" activePane="topRight" state="frozen"/>
      <selection pane="topRight" activeCell="I58" sqref="I58"/>
    </sheetView>
  </sheetViews>
  <sheetFormatPr baseColWidth="10" defaultColWidth="13.625" defaultRowHeight="20.100000000000001" customHeight="1"/>
  <cols>
    <col min="1" max="1" width="18.125" style="33" customWidth="1"/>
    <col min="2" max="2" width="28.5" style="32" customWidth="1"/>
    <col min="3" max="3" width="21.125" style="28" customWidth="1"/>
    <col min="4" max="4" width="15.375" style="32" customWidth="1"/>
    <col min="5" max="5" width="18.125" style="32" customWidth="1"/>
    <col min="6" max="6" width="16.375" style="32" hidden="1" customWidth="1"/>
    <col min="7" max="7" width="17.375" customWidth="1"/>
    <col min="8" max="8" width="10.375" style="32" customWidth="1"/>
    <col min="9" max="9" width="12.875" style="32" customWidth="1"/>
    <col min="10" max="10" width="11.125" style="32" customWidth="1"/>
    <col min="11" max="11" width="10.375" style="31" customWidth="1"/>
    <col min="12" max="12" width="9" style="33" customWidth="1"/>
    <col min="13" max="13" width="18" style="73" customWidth="1"/>
    <col min="14" max="14" width="13.625" style="33" hidden="1" customWidth="1"/>
    <col min="15" max="15" width="16" style="68" customWidth="1"/>
    <col min="16" max="16" width="8.375" style="73" customWidth="1"/>
    <col min="17" max="17" width="8.5" style="74" customWidth="1"/>
    <col min="18" max="18" width="17.125" style="64" customWidth="1"/>
    <col min="19" max="260" width="13.625" style="33" customWidth="1"/>
    <col min="261" max="16384" width="13.625" style="33"/>
  </cols>
  <sheetData>
    <row r="1" spans="1:18" ht="22.5" customHeight="1">
      <c r="A1" s="39" t="s">
        <v>848</v>
      </c>
      <c r="B1" s="39" t="s">
        <v>878</v>
      </c>
      <c r="C1" s="66" t="s">
        <v>1693</v>
      </c>
      <c r="D1" s="39" t="s">
        <v>834</v>
      </c>
      <c r="E1" s="39" t="s">
        <v>1679</v>
      </c>
      <c r="F1" s="39" t="s">
        <v>1699</v>
      </c>
      <c r="G1" s="40" t="s">
        <v>1698</v>
      </c>
      <c r="H1" s="39" t="s">
        <v>151</v>
      </c>
      <c r="I1" s="41" t="s">
        <v>820</v>
      </c>
      <c r="J1" s="41" t="s">
        <v>1706</v>
      </c>
      <c r="K1" s="41" t="s">
        <v>873</v>
      </c>
      <c r="L1" s="42" t="s">
        <v>1707</v>
      </c>
      <c r="M1" s="43" t="s">
        <v>1680</v>
      </c>
      <c r="N1" s="43" t="s">
        <v>874</v>
      </c>
      <c r="O1" s="79" t="s">
        <v>1681</v>
      </c>
      <c r="P1" s="67" t="s">
        <v>1692</v>
      </c>
      <c r="Q1" s="78" t="s">
        <v>1694</v>
      </c>
      <c r="R1" s="70" t="s">
        <v>1700</v>
      </c>
    </row>
    <row r="2" spans="1:18" ht="20.25" customHeight="1">
      <c r="A2" s="44" t="s">
        <v>876</v>
      </c>
      <c r="B2" s="44" t="s">
        <v>208</v>
      </c>
      <c r="C2" s="45">
        <f>'Thomson Reuters IMA  ($)'!I3</f>
        <v>1.6</v>
      </c>
      <c r="D2" s="47">
        <f>'Sectors % GDP'!C4</f>
        <v>44086.987000000001</v>
      </c>
      <c r="E2" s="47">
        <f t="shared" ref="E2:E65" si="0">C2/D2</f>
        <v>3.6291888125627635E-5</v>
      </c>
      <c r="F2" s="47">
        <v>1</v>
      </c>
      <c r="G2" s="46">
        <v>1</v>
      </c>
      <c r="H2" s="47">
        <v>3</v>
      </c>
      <c r="I2" s="48">
        <v>30.03</v>
      </c>
      <c r="J2" s="48">
        <v>51.53</v>
      </c>
      <c r="K2" s="49">
        <v>53.3</v>
      </c>
      <c r="L2" s="49">
        <v>8.26</v>
      </c>
      <c r="M2" s="72">
        <f>N2*100</f>
        <v>2.4</v>
      </c>
      <c r="N2" s="36">
        <v>2.4E-2</v>
      </c>
      <c r="O2" s="68">
        <v>-14.307500000000005</v>
      </c>
      <c r="P2" s="73">
        <v>5.8</v>
      </c>
      <c r="Q2" s="74">
        <f>'Trade Data'!B5</f>
        <v>0.64345331184822074</v>
      </c>
      <c r="R2" s="37">
        <v>0</v>
      </c>
    </row>
    <row r="3" spans="1:18" ht="20.100000000000001" customHeight="1">
      <c r="A3" s="44" t="s">
        <v>876</v>
      </c>
      <c r="B3" s="44" t="s">
        <v>209</v>
      </c>
      <c r="C3" s="45">
        <f>'Thomson Reuters IMA  ($)'!I2+'Thomson Reuters IMA  ($)'!I5+'Thomson Reuters IMA  ($)'!I6</f>
        <v>196.02600000000001</v>
      </c>
      <c r="D3" s="47">
        <f>'Sectors % GDP'!C5</f>
        <v>174819.27299999999</v>
      </c>
      <c r="E3" s="47">
        <f t="shared" si="0"/>
        <v>1.1213065735606854E-3</v>
      </c>
      <c r="F3" s="47">
        <v>1</v>
      </c>
      <c r="G3" s="46">
        <v>1</v>
      </c>
      <c r="H3" s="47">
        <v>4</v>
      </c>
      <c r="I3" s="48">
        <v>30.03</v>
      </c>
      <c r="J3" s="48">
        <v>51.53</v>
      </c>
      <c r="K3" s="49">
        <v>53.3</v>
      </c>
      <c r="L3" s="49">
        <v>8.26</v>
      </c>
      <c r="M3" s="72">
        <f t="shared" ref="M3:M66" si="1">N3*100</f>
        <v>2.4</v>
      </c>
      <c r="N3" s="36">
        <v>2.4E-2</v>
      </c>
      <c r="O3" s="68">
        <v>-14.307500000000005</v>
      </c>
      <c r="P3" s="73">
        <v>5.8</v>
      </c>
      <c r="Q3" s="74">
        <f>'Trade Data'!B5</f>
        <v>0.64345331184822074</v>
      </c>
      <c r="R3" s="37">
        <v>1</v>
      </c>
    </row>
    <row r="4" spans="1:18" ht="20.100000000000001" customHeight="1">
      <c r="A4" s="44" t="s">
        <v>876</v>
      </c>
      <c r="B4" s="44" t="s">
        <v>210</v>
      </c>
      <c r="C4" s="45">
        <f>'Thomson Reuters IMA  ($)'!I4</f>
        <v>4.1040000000000001</v>
      </c>
      <c r="D4" s="47">
        <f>'Sectors % GDP'!C6</f>
        <v>392624.88699999999</v>
      </c>
      <c r="E4" s="47">
        <f t="shared" si="0"/>
        <v>1.0452725071398747E-5</v>
      </c>
      <c r="F4" s="47">
        <v>1</v>
      </c>
      <c r="G4" s="46">
        <v>1</v>
      </c>
      <c r="H4" s="47">
        <v>1</v>
      </c>
      <c r="I4" s="48">
        <v>30.03</v>
      </c>
      <c r="J4" s="48">
        <v>51.53</v>
      </c>
      <c r="K4" s="49">
        <v>53.3</v>
      </c>
      <c r="L4" s="49">
        <v>8.26</v>
      </c>
      <c r="M4" s="72">
        <f t="shared" si="1"/>
        <v>2.4</v>
      </c>
      <c r="N4" s="36">
        <v>2.4E-2</v>
      </c>
      <c r="O4" s="68">
        <v>-14.307500000000005</v>
      </c>
      <c r="P4" s="73">
        <v>5.8</v>
      </c>
      <c r="Q4" s="74">
        <f>'Trade Data'!B5</f>
        <v>0.64345331184822074</v>
      </c>
      <c r="R4" s="37">
        <v>1</v>
      </c>
    </row>
    <row r="5" spans="1:18" ht="20.100000000000001" customHeight="1">
      <c r="A5" s="44" t="s">
        <v>19</v>
      </c>
      <c r="B5" s="44" t="s">
        <v>211</v>
      </c>
      <c r="C5" s="45">
        <v>0</v>
      </c>
      <c r="D5" s="47">
        <f>'Sectors % GDP'!C4</f>
        <v>44086.987000000001</v>
      </c>
      <c r="E5" s="47">
        <f t="shared" si="0"/>
        <v>0</v>
      </c>
      <c r="F5" s="47">
        <v>0</v>
      </c>
      <c r="G5" s="46">
        <v>0</v>
      </c>
      <c r="H5" s="47">
        <v>0</v>
      </c>
      <c r="I5" s="48">
        <v>16.59</v>
      </c>
      <c r="J5" s="48">
        <v>18.739999999999998</v>
      </c>
      <c r="K5" s="48">
        <v>46.66</v>
      </c>
      <c r="L5" s="49">
        <v>8.26</v>
      </c>
      <c r="M5" s="72">
        <f t="shared" si="1"/>
        <v>2.4</v>
      </c>
      <c r="N5" s="36">
        <v>2.4E-2</v>
      </c>
      <c r="O5" s="68">
        <v>-16.971250000000001</v>
      </c>
      <c r="P5" s="73">
        <v>5.8</v>
      </c>
      <c r="Q5" s="74">
        <f>'Trade Data'!B5</f>
        <v>0.64345331184822074</v>
      </c>
      <c r="R5" s="35">
        <v>0</v>
      </c>
    </row>
    <row r="6" spans="1:18" ht="20.100000000000001" customHeight="1">
      <c r="A6" s="44" t="s">
        <v>19</v>
      </c>
      <c r="B6" s="44" t="s">
        <v>212</v>
      </c>
      <c r="C6" s="45">
        <f>'Thomson Reuters IMA  ($)'!I7</f>
        <v>1.954</v>
      </c>
      <c r="D6" s="47">
        <f>'Sectors % GDP'!C5</f>
        <v>174819.27299999999</v>
      </c>
      <c r="E6" s="47">
        <f t="shared" si="0"/>
        <v>1.1177257326770831E-5</v>
      </c>
      <c r="F6" s="47">
        <v>1</v>
      </c>
      <c r="G6" s="46">
        <v>1</v>
      </c>
      <c r="H6" s="47">
        <v>4</v>
      </c>
      <c r="I6" s="48">
        <v>16.59</v>
      </c>
      <c r="J6" s="48">
        <v>18.739999999999998</v>
      </c>
      <c r="K6" s="48">
        <v>46.66</v>
      </c>
      <c r="L6" s="49">
        <v>8.26</v>
      </c>
      <c r="M6" s="72">
        <f t="shared" si="1"/>
        <v>2.4</v>
      </c>
      <c r="N6" s="36">
        <v>2.4E-2</v>
      </c>
      <c r="O6" s="68">
        <v>-16.971250000000001</v>
      </c>
      <c r="P6" s="73">
        <v>5.8</v>
      </c>
      <c r="Q6" s="74">
        <f>'Trade Data'!B5</f>
        <v>0.64345331184822074</v>
      </c>
      <c r="R6" s="35">
        <v>1</v>
      </c>
    </row>
    <row r="7" spans="1:18" ht="20.100000000000001" customHeight="1">
      <c r="A7" s="44" t="s">
        <v>19</v>
      </c>
      <c r="B7" s="44" t="s">
        <v>213</v>
      </c>
      <c r="C7" s="45">
        <v>0</v>
      </c>
      <c r="D7" s="47">
        <f>'Sectors % GDP'!C6</f>
        <v>392624.88699999999</v>
      </c>
      <c r="E7" s="47">
        <f t="shared" si="0"/>
        <v>0</v>
      </c>
      <c r="F7" s="47">
        <v>0</v>
      </c>
      <c r="G7" s="46">
        <v>1</v>
      </c>
      <c r="H7" s="47">
        <v>6</v>
      </c>
      <c r="I7" s="48">
        <v>16.59</v>
      </c>
      <c r="J7" s="48">
        <v>18.739999999999998</v>
      </c>
      <c r="K7" s="48">
        <v>46.66</v>
      </c>
      <c r="L7" s="49">
        <v>8.26</v>
      </c>
      <c r="M7" s="72">
        <f t="shared" si="1"/>
        <v>2.4</v>
      </c>
      <c r="N7" s="36">
        <v>2.4E-2</v>
      </c>
      <c r="O7" s="68">
        <v>-16.971250000000001</v>
      </c>
      <c r="P7" s="73">
        <v>5.8</v>
      </c>
      <c r="Q7" s="74">
        <f>'Trade Data'!B5</f>
        <v>0.64345331184822074</v>
      </c>
      <c r="R7" s="35">
        <v>1</v>
      </c>
    </row>
    <row r="8" spans="1:18" ht="20.100000000000001" customHeight="1">
      <c r="A8" s="44" t="s">
        <v>20</v>
      </c>
      <c r="B8" s="44" t="s">
        <v>214</v>
      </c>
      <c r="C8" s="45">
        <v>0</v>
      </c>
      <c r="D8" s="47">
        <f>'Sectors % GDP'!C4</f>
        <v>44086.987000000001</v>
      </c>
      <c r="E8" s="47">
        <f t="shared" si="0"/>
        <v>0</v>
      </c>
      <c r="F8" s="47">
        <v>0</v>
      </c>
      <c r="G8" s="46">
        <v>0</v>
      </c>
      <c r="H8" s="47">
        <v>0</v>
      </c>
      <c r="I8" s="48">
        <v>26.49</v>
      </c>
      <c r="J8" s="48">
        <v>49.55</v>
      </c>
      <c r="K8" s="48">
        <v>42.16</v>
      </c>
      <c r="L8" s="49">
        <v>8.26</v>
      </c>
      <c r="M8" s="72">
        <f t="shared" si="1"/>
        <v>2.4</v>
      </c>
      <c r="N8" s="36">
        <v>2.4E-2</v>
      </c>
      <c r="O8" s="68">
        <v>-14.666250000000002</v>
      </c>
      <c r="P8" s="73">
        <v>5.8</v>
      </c>
      <c r="Q8" s="74">
        <f>'Trade Data'!B5</f>
        <v>0.64345331184822074</v>
      </c>
      <c r="R8" s="37">
        <v>0</v>
      </c>
    </row>
    <row r="9" spans="1:18" ht="20.100000000000001" customHeight="1">
      <c r="A9" s="44" t="s">
        <v>20</v>
      </c>
      <c r="B9" s="44" t="s">
        <v>215</v>
      </c>
      <c r="C9" s="45">
        <f>'Thomson Reuters IMA  ($)'!I8+'Thomson Reuters IMA  ($)'!I9+'Thomson Reuters IMA  ($)'!I10</f>
        <v>123.35799999999999</v>
      </c>
      <c r="D9" s="47">
        <f>'Sectors % GDP'!C5</f>
        <v>174819.27299999999</v>
      </c>
      <c r="E9" s="47">
        <f t="shared" si="0"/>
        <v>7.0563158102139004E-4</v>
      </c>
      <c r="F9" s="47">
        <v>1</v>
      </c>
      <c r="G9" s="46">
        <v>1</v>
      </c>
      <c r="H9" s="47">
        <v>4</v>
      </c>
      <c r="I9" s="48">
        <v>26.49</v>
      </c>
      <c r="J9" s="48">
        <v>49.55</v>
      </c>
      <c r="K9" s="48">
        <v>42.16</v>
      </c>
      <c r="L9" s="49">
        <v>8.26</v>
      </c>
      <c r="M9" s="72">
        <f t="shared" si="1"/>
        <v>2.4</v>
      </c>
      <c r="N9" s="36">
        <v>2.4E-2</v>
      </c>
      <c r="O9" s="68">
        <v>-14.666250000000002</v>
      </c>
      <c r="P9" s="73">
        <v>5.8</v>
      </c>
      <c r="Q9" s="74">
        <f>'Trade Data'!B5</f>
        <v>0.64345331184822074</v>
      </c>
      <c r="R9" s="37">
        <v>1</v>
      </c>
    </row>
    <row r="10" spans="1:18" ht="20.100000000000001" customHeight="1">
      <c r="A10" s="44" t="s">
        <v>20</v>
      </c>
      <c r="B10" s="44" t="s">
        <v>216</v>
      </c>
      <c r="C10" s="45">
        <f>'Thomson Reuters IMA  ($)'!I11</f>
        <v>550.6</v>
      </c>
      <c r="D10" s="47">
        <f>'Sectors % GDP'!C6</f>
        <v>392624.88699999999</v>
      </c>
      <c r="E10" s="47">
        <f t="shared" si="0"/>
        <v>1.4023563412066643E-3</v>
      </c>
      <c r="F10" s="47">
        <v>1</v>
      </c>
      <c r="G10" s="46">
        <v>1</v>
      </c>
      <c r="H10" s="47">
        <v>2</v>
      </c>
      <c r="I10" s="48">
        <v>26.49</v>
      </c>
      <c r="J10" s="48">
        <v>49.55</v>
      </c>
      <c r="K10" s="48">
        <v>42.16</v>
      </c>
      <c r="L10" s="49">
        <v>8.26</v>
      </c>
      <c r="M10" s="72">
        <f t="shared" si="1"/>
        <v>2.4</v>
      </c>
      <c r="N10" s="36">
        <v>2.4E-2</v>
      </c>
      <c r="O10" s="68">
        <v>-14.666250000000002</v>
      </c>
      <c r="P10" s="73">
        <v>5.8</v>
      </c>
      <c r="Q10" s="74">
        <f>'Trade Data'!B5</f>
        <v>0.64345331184822074</v>
      </c>
      <c r="R10" s="37">
        <v>1</v>
      </c>
    </row>
    <row r="11" spans="1:18" ht="20.100000000000001" customHeight="1">
      <c r="A11" s="44" t="s">
        <v>21</v>
      </c>
      <c r="B11" s="44" t="s">
        <v>217</v>
      </c>
      <c r="C11" s="45">
        <v>0</v>
      </c>
      <c r="D11" s="47">
        <f>'Sectors % GDP'!E4</f>
        <v>45088.800000000003</v>
      </c>
      <c r="E11" s="47">
        <f t="shared" si="0"/>
        <v>0</v>
      </c>
      <c r="F11" s="47">
        <v>0</v>
      </c>
      <c r="G11" s="46">
        <v>1</v>
      </c>
      <c r="H11" s="47">
        <v>1</v>
      </c>
      <c r="I11" s="48">
        <v>19.149999999999999</v>
      </c>
      <c r="J11" s="48">
        <v>37.130000000000003</v>
      </c>
      <c r="K11" s="48">
        <v>33.32</v>
      </c>
      <c r="L11" s="49">
        <v>8.26</v>
      </c>
      <c r="M11" s="72">
        <f t="shared" si="1"/>
        <v>2.4</v>
      </c>
      <c r="N11" s="36">
        <v>2.4E-2</v>
      </c>
      <c r="O11" s="68">
        <v>-17.217500000000001</v>
      </c>
      <c r="P11" s="73">
        <v>5.8</v>
      </c>
      <c r="Q11" s="74">
        <f>'Trade Data'!B5</f>
        <v>0.64345331184822074</v>
      </c>
      <c r="R11" s="35">
        <v>0</v>
      </c>
    </row>
    <row r="12" spans="1:18" ht="20.100000000000001" customHeight="1">
      <c r="A12" s="44" t="s">
        <v>21</v>
      </c>
      <c r="B12" s="44" t="s">
        <v>218</v>
      </c>
      <c r="C12" s="45">
        <f>'Thomson Reuters IMA  ($)'!I12</f>
        <v>0.45</v>
      </c>
      <c r="D12" s="47">
        <f>'Sectors % GDP'!E5</f>
        <v>163052.37299999999</v>
      </c>
      <c r="E12" s="47">
        <f t="shared" si="0"/>
        <v>2.7598494380698161E-6</v>
      </c>
      <c r="F12" s="47">
        <v>1</v>
      </c>
      <c r="G12" s="46">
        <v>1</v>
      </c>
      <c r="H12" s="47">
        <v>5</v>
      </c>
      <c r="I12" s="48">
        <v>19.149999999999999</v>
      </c>
      <c r="J12" s="48">
        <v>37.130000000000003</v>
      </c>
      <c r="K12" s="48">
        <v>33.32</v>
      </c>
      <c r="L12" s="49">
        <v>8.26</v>
      </c>
      <c r="M12" s="72">
        <f t="shared" si="1"/>
        <v>2.4</v>
      </c>
      <c r="N12" s="36">
        <v>2.4E-2</v>
      </c>
      <c r="O12" s="68">
        <v>-17.217500000000001</v>
      </c>
      <c r="P12" s="73">
        <v>5.8</v>
      </c>
      <c r="Q12" s="74">
        <f>'Trade Data'!B5</f>
        <v>0.64345331184822074</v>
      </c>
      <c r="R12" s="35">
        <v>1</v>
      </c>
    </row>
    <row r="13" spans="1:18" ht="20.100000000000001" customHeight="1">
      <c r="A13" s="44" t="s">
        <v>21</v>
      </c>
      <c r="B13" s="44" t="s">
        <v>219</v>
      </c>
      <c r="C13" s="45">
        <v>0</v>
      </c>
      <c r="D13" s="47">
        <f>'Sectors % GDP'!E6</f>
        <v>355525.18800000002</v>
      </c>
      <c r="E13" s="47">
        <f t="shared" si="0"/>
        <v>0</v>
      </c>
      <c r="F13" s="47">
        <v>0</v>
      </c>
      <c r="G13" s="46">
        <v>1</v>
      </c>
      <c r="H13" s="47">
        <v>4</v>
      </c>
      <c r="I13" s="48">
        <v>19.149999999999999</v>
      </c>
      <c r="J13" s="48">
        <v>37.130000000000003</v>
      </c>
      <c r="K13" s="48">
        <v>33.32</v>
      </c>
      <c r="L13" s="49">
        <v>8.26</v>
      </c>
      <c r="M13" s="72">
        <f t="shared" si="1"/>
        <v>2.4</v>
      </c>
      <c r="N13" s="36">
        <v>2.4E-2</v>
      </c>
      <c r="O13" s="68">
        <v>-17.217500000000001</v>
      </c>
      <c r="P13" s="73">
        <v>5.8</v>
      </c>
      <c r="Q13" s="74">
        <f>'Trade Data'!B5</f>
        <v>0.64345331184822074</v>
      </c>
      <c r="R13" s="35">
        <v>1</v>
      </c>
    </row>
    <row r="14" spans="1:18" ht="20.100000000000001" customHeight="1">
      <c r="A14" s="44" t="s">
        <v>22</v>
      </c>
      <c r="B14" s="44" t="s">
        <v>220</v>
      </c>
      <c r="C14" s="45">
        <v>0</v>
      </c>
      <c r="D14" s="47">
        <f>'Sectors % GDP'!E4</f>
        <v>45088.800000000003</v>
      </c>
      <c r="E14" s="47">
        <f t="shared" si="0"/>
        <v>0</v>
      </c>
      <c r="F14" s="47">
        <v>0</v>
      </c>
      <c r="G14" s="46">
        <v>0</v>
      </c>
      <c r="H14" s="47">
        <v>0</v>
      </c>
      <c r="I14" s="48">
        <v>17.45</v>
      </c>
      <c r="J14" s="50">
        <v>21.31</v>
      </c>
      <c r="K14" s="48">
        <v>43.87</v>
      </c>
      <c r="L14" s="49">
        <v>8.26</v>
      </c>
      <c r="M14" s="72">
        <f t="shared" si="1"/>
        <v>-2.5</v>
      </c>
      <c r="N14" s="36">
        <v>-2.5000000000000001E-2</v>
      </c>
      <c r="O14" s="68">
        <v>-19.132500000000004</v>
      </c>
      <c r="P14" s="73">
        <v>5</v>
      </c>
      <c r="Q14" s="74">
        <f>'Trade Data'!D5</f>
        <v>0.59136484071720108</v>
      </c>
      <c r="R14" s="37">
        <v>0</v>
      </c>
    </row>
    <row r="15" spans="1:18" ht="20.100000000000001" customHeight="1">
      <c r="A15" s="51" t="s">
        <v>22</v>
      </c>
      <c r="B15" s="44" t="s">
        <v>226</v>
      </c>
      <c r="C15" s="45">
        <f>'Thomson Reuters IMA  ($)'!I13+'Thomson Reuters IMA  ($)'!I14+'Thomson Reuters IMA  ($)'!I16+'Thomson Reuters IMA  ($)'!I17</f>
        <v>1327.241</v>
      </c>
      <c r="D15" s="47">
        <f>'Sectors % GDP'!E5</f>
        <v>163052.37299999999</v>
      </c>
      <c r="E15" s="47">
        <f t="shared" si="0"/>
        <v>8.1399673956293796E-3</v>
      </c>
      <c r="F15" s="47">
        <v>1</v>
      </c>
      <c r="G15" s="46">
        <v>1</v>
      </c>
      <c r="H15" s="47">
        <v>8</v>
      </c>
      <c r="I15" s="48">
        <v>17.45</v>
      </c>
      <c r="J15" s="48">
        <v>21.31</v>
      </c>
      <c r="K15" s="48">
        <v>43.87</v>
      </c>
      <c r="L15" s="49">
        <v>8.26</v>
      </c>
      <c r="M15" s="72">
        <f t="shared" si="1"/>
        <v>-2.5</v>
      </c>
      <c r="N15" s="36">
        <v>-2.5000000000000001E-2</v>
      </c>
      <c r="O15" s="68">
        <v>-19.132500000000004</v>
      </c>
      <c r="P15" s="73">
        <v>5</v>
      </c>
      <c r="Q15" s="74">
        <f>'Trade Data'!D5</f>
        <v>0.59136484071720108</v>
      </c>
      <c r="R15" s="37">
        <v>1</v>
      </c>
    </row>
    <row r="16" spans="1:18" ht="20.100000000000001" customHeight="1">
      <c r="A16" s="51" t="s">
        <v>22</v>
      </c>
      <c r="B16" s="44" t="s">
        <v>227</v>
      </c>
      <c r="C16" s="45">
        <f>'Thomson Reuters IMA  ($)'!I15</f>
        <v>31.5</v>
      </c>
      <c r="D16" s="47">
        <f>'Sectors % GDP'!E6</f>
        <v>355525.18800000002</v>
      </c>
      <c r="E16" s="47">
        <f t="shared" si="0"/>
        <v>8.8601317327761318E-5</v>
      </c>
      <c r="F16" s="47">
        <v>1</v>
      </c>
      <c r="G16" s="46">
        <v>1</v>
      </c>
      <c r="H16" s="47">
        <v>1</v>
      </c>
      <c r="I16" s="48">
        <v>17.45</v>
      </c>
      <c r="J16" s="48">
        <v>21.31</v>
      </c>
      <c r="K16" s="48">
        <v>43.87</v>
      </c>
      <c r="L16" s="49">
        <v>8.26</v>
      </c>
      <c r="M16" s="72">
        <f t="shared" si="1"/>
        <v>-2.5</v>
      </c>
      <c r="N16" s="36">
        <v>-2.5000000000000001E-2</v>
      </c>
      <c r="O16" s="68">
        <v>-19.132500000000004</v>
      </c>
      <c r="P16" s="73">
        <v>5</v>
      </c>
      <c r="Q16" s="74">
        <f>'Trade Data'!D5</f>
        <v>0.59136484071720108</v>
      </c>
      <c r="R16" s="37">
        <v>1</v>
      </c>
    </row>
    <row r="17" spans="1:18" ht="20.100000000000001" customHeight="1">
      <c r="A17" s="44" t="s">
        <v>24</v>
      </c>
      <c r="B17" s="44" t="s">
        <v>228</v>
      </c>
      <c r="C17" s="45">
        <v>0</v>
      </c>
      <c r="D17" s="47">
        <f>'Sectors % GDP'!E4</f>
        <v>45088.800000000003</v>
      </c>
      <c r="E17" s="47">
        <f t="shared" si="0"/>
        <v>0</v>
      </c>
      <c r="F17" s="47">
        <v>0</v>
      </c>
      <c r="G17" s="46">
        <v>0</v>
      </c>
      <c r="H17" s="47">
        <v>0</v>
      </c>
      <c r="I17" s="48">
        <v>25.83</v>
      </c>
      <c r="J17" s="48">
        <v>60.54</v>
      </c>
      <c r="K17" s="48">
        <v>32.75</v>
      </c>
      <c r="L17" s="49">
        <v>8.26</v>
      </c>
      <c r="M17" s="72">
        <f t="shared" si="1"/>
        <v>-2.5</v>
      </c>
      <c r="N17" s="36">
        <v>-2.5000000000000001E-2</v>
      </c>
      <c r="O17" s="68">
        <v>-16.116249999999994</v>
      </c>
      <c r="P17" s="73">
        <v>5</v>
      </c>
      <c r="Q17" s="74">
        <f>'Trade Data'!D5</f>
        <v>0.59136484071720108</v>
      </c>
      <c r="R17" s="35">
        <v>0</v>
      </c>
    </row>
    <row r="18" spans="1:18" ht="20.100000000000001" customHeight="1">
      <c r="A18" s="44" t="s">
        <v>24</v>
      </c>
      <c r="B18" s="44" t="s">
        <v>221</v>
      </c>
      <c r="C18" s="45">
        <f>'Thomson Reuters IMA  ($)'!I18+'Thomson Reuters IMA  ($)'!I19+'Thomson Reuters IMA  ($)'!I20</f>
        <v>7.6550000000000002</v>
      </c>
      <c r="D18" s="47">
        <f>'Sectors % GDP'!E5</f>
        <v>163052.37299999999</v>
      </c>
      <c r="E18" s="47">
        <f t="shared" si="0"/>
        <v>4.69481054409432E-5</v>
      </c>
      <c r="F18" s="47">
        <v>1</v>
      </c>
      <c r="G18" s="46">
        <v>1</v>
      </c>
      <c r="H18" s="47">
        <v>8</v>
      </c>
      <c r="I18" s="48">
        <v>25.83</v>
      </c>
      <c r="J18" s="48">
        <v>60.54</v>
      </c>
      <c r="K18" s="48">
        <v>32.75</v>
      </c>
      <c r="L18" s="49">
        <v>8.26</v>
      </c>
      <c r="M18" s="72">
        <f t="shared" si="1"/>
        <v>-2.5</v>
      </c>
      <c r="N18" s="36">
        <v>-2.5000000000000001E-2</v>
      </c>
      <c r="O18" s="68">
        <v>-16.116249999999994</v>
      </c>
      <c r="P18" s="73">
        <v>5</v>
      </c>
      <c r="Q18" s="74">
        <f>'Trade Data'!D5</f>
        <v>0.59136484071720108</v>
      </c>
      <c r="R18" s="35">
        <v>1</v>
      </c>
    </row>
    <row r="19" spans="1:18" ht="20.100000000000001" customHeight="1">
      <c r="A19" s="44" t="s">
        <v>24</v>
      </c>
      <c r="B19" s="44" t="s">
        <v>229</v>
      </c>
      <c r="C19" s="45">
        <v>0</v>
      </c>
      <c r="D19" s="47">
        <f>'Sectors % GDP'!E6</f>
        <v>355525.18800000002</v>
      </c>
      <c r="E19" s="47">
        <f t="shared" si="0"/>
        <v>0</v>
      </c>
      <c r="F19" s="47">
        <v>0</v>
      </c>
      <c r="G19" s="46">
        <v>1</v>
      </c>
      <c r="H19" s="47">
        <v>3</v>
      </c>
      <c r="I19" s="48">
        <v>25.83</v>
      </c>
      <c r="J19" s="48">
        <v>60.54</v>
      </c>
      <c r="K19" s="48">
        <v>32.75</v>
      </c>
      <c r="L19" s="49">
        <v>8.26</v>
      </c>
      <c r="M19" s="72">
        <f t="shared" si="1"/>
        <v>-2.5</v>
      </c>
      <c r="N19" s="36">
        <v>-2.5000000000000001E-2</v>
      </c>
      <c r="O19" s="68">
        <v>-16.116249999999994</v>
      </c>
      <c r="P19" s="73">
        <v>5</v>
      </c>
      <c r="Q19" s="74">
        <f>'Trade Data'!D5</f>
        <v>0.59136484071720108</v>
      </c>
      <c r="R19" s="35">
        <v>1</v>
      </c>
    </row>
    <row r="20" spans="1:18" ht="20.100000000000001" customHeight="1">
      <c r="A20" s="44" t="s">
        <v>23</v>
      </c>
      <c r="B20" s="44" t="s">
        <v>230</v>
      </c>
      <c r="C20" s="45">
        <v>0</v>
      </c>
      <c r="D20" s="47">
        <f>'Sectors % GDP'!E4</f>
        <v>45088.800000000003</v>
      </c>
      <c r="E20" s="47">
        <f t="shared" si="0"/>
        <v>0</v>
      </c>
      <c r="F20" s="47">
        <v>0</v>
      </c>
      <c r="G20" s="46">
        <v>0</v>
      </c>
      <c r="H20" s="47">
        <v>0</v>
      </c>
      <c r="I20" s="48">
        <v>21.71</v>
      </c>
      <c r="J20" s="48">
        <v>44</v>
      </c>
      <c r="K20" s="48">
        <v>37.159999999999997</v>
      </c>
      <c r="L20" s="49">
        <v>8.26</v>
      </c>
      <c r="M20" s="72">
        <f t="shared" si="1"/>
        <v>-2.5</v>
      </c>
      <c r="N20" s="36">
        <v>-2.5000000000000001E-2</v>
      </c>
      <c r="O20" s="68">
        <v>-16.048749999999998</v>
      </c>
      <c r="P20" s="73">
        <v>5</v>
      </c>
      <c r="Q20" s="74">
        <f>'Trade Data'!D5</f>
        <v>0.59136484071720108</v>
      </c>
      <c r="R20" s="37">
        <v>0</v>
      </c>
    </row>
    <row r="21" spans="1:18" ht="20.100000000000001" customHeight="1">
      <c r="A21" s="44" t="s">
        <v>23</v>
      </c>
      <c r="B21" s="44" t="s">
        <v>231</v>
      </c>
      <c r="C21" s="45">
        <v>0</v>
      </c>
      <c r="D21" s="47">
        <f>'Sectors % GDP'!E5</f>
        <v>163052.37299999999</v>
      </c>
      <c r="E21" s="47">
        <f t="shared" si="0"/>
        <v>0</v>
      </c>
      <c r="F21" s="47">
        <v>0</v>
      </c>
      <c r="G21" s="46">
        <v>1</v>
      </c>
      <c r="H21" s="47">
        <v>1</v>
      </c>
      <c r="I21" s="48">
        <v>21.71</v>
      </c>
      <c r="J21" s="48">
        <v>44</v>
      </c>
      <c r="K21" s="48">
        <v>37.159999999999997</v>
      </c>
      <c r="L21" s="49">
        <v>8.26</v>
      </c>
      <c r="M21" s="72">
        <f t="shared" si="1"/>
        <v>-2.5</v>
      </c>
      <c r="N21" s="36">
        <v>-2.5000000000000001E-2</v>
      </c>
      <c r="O21" s="68">
        <v>-16.048749999999998</v>
      </c>
      <c r="P21" s="73">
        <v>5</v>
      </c>
      <c r="Q21" s="74">
        <f>'Trade Data'!D5</f>
        <v>0.59136484071720108</v>
      </c>
      <c r="R21" s="37">
        <v>1</v>
      </c>
    </row>
    <row r="22" spans="1:18" ht="20.100000000000001" customHeight="1">
      <c r="A22" s="44" t="s">
        <v>23</v>
      </c>
      <c r="B22" s="44" t="s">
        <v>222</v>
      </c>
      <c r="C22" s="45">
        <f>'Thomson Reuters IMA  ($)'!I21+'Thomson Reuters IMA  ($)'!I22+'Thomson Reuters IMA  ($)'!I23</f>
        <v>216.95099999999999</v>
      </c>
      <c r="D22" s="47">
        <f>'Sectors % GDP'!E6</f>
        <v>355525.18800000002</v>
      </c>
      <c r="E22" s="47">
        <f t="shared" si="0"/>
        <v>6.1022680620873471E-4</v>
      </c>
      <c r="F22" s="47">
        <v>1</v>
      </c>
      <c r="G22" s="46">
        <v>1</v>
      </c>
      <c r="H22" s="47">
        <v>5</v>
      </c>
      <c r="I22" s="48">
        <v>21.71</v>
      </c>
      <c r="J22" s="48">
        <v>44</v>
      </c>
      <c r="K22" s="48">
        <v>37.159999999999997</v>
      </c>
      <c r="L22" s="49">
        <v>8.26</v>
      </c>
      <c r="M22" s="72">
        <f t="shared" si="1"/>
        <v>-2.5</v>
      </c>
      <c r="N22" s="36">
        <v>-2.5000000000000001E-2</v>
      </c>
      <c r="O22" s="68">
        <v>-16.048749999999998</v>
      </c>
      <c r="P22" s="73">
        <v>5</v>
      </c>
      <c r="Q22" s="74">
        <f>'Trade Data'!D5</f>
        <v>0.59136484071720108</v>
      </c>
      <c r="R22" s="37">
        <v>1</v>
      </c>
    </row>
    <row r="23" spans="1:18" ht="20.100000000000001" customHeight="1">
      <c r="A23" s="44" t="s">
        <v>25</v>
      </c>
      <c r="B23" s="44" t="s">
        <v>223</v>
      </c>
      <c r="C23" s="45">
        <v>0</v>
      </c>
      <c r="D23" s="47">
        <f>'Sectors % GDP'!G4</f>
        <v>38149.847999999998</v>
      </c>
      <c r="E23" s="47">
        <f t="shared" si="0"/>
        <v>0</v>
      </c>
      <c r="F23" s="47">
        <v>0</v>
      </c>
      <c r="G23" s="46">
        <v>0</v>
      </c>
      <c r="H23" s="47">
        <v>0</v>
      </c>
      <c r="I23" s="48">
        <v>16.41</v>
      </c>
      <c r="J23" s="48">
        <v>18.809999999999999</v>
      </c>
      <c r="K23" s="48">
        <v>42.1</v>
      </c>
      <c r="L23" s="49">
        <v>7.68</v>
      </c>
      <c r="M23" s="72">
        <f t="shared" si="1"/>
        <v>-2.5</v>
      </c>
      <c r="N23" s="36">
        <v>-2.5000000000000001E-2</v>
      </c>
      <c r="O23" s="68">
        <v>-17.296250000000004</v>
      </c>
      <c r="P23" s="73">
        <v>5</v>
      </c>
      <c r="Q23" s="74">
        <f>'Trade Data'!D5</f>
        <v>0.59136484071720108</v>
      </c>
      <c r="R23" s="35">
        <v>0</v>
      </c>
    </row>
    <row r="24" spans="1:18" ht="20.100000000000001" customHeight="1">
      <c r="A24" s="44" t="s">
        <v>25</v>
      </c>
      <c r="B24" s="44" t="s">
        <v>224</v>
      </c>
      <c r="C24" s="45">
        <f>'Thomson Reuters IMA  ($)'!I24+'Thomson Reuters IMA  ($)'!I25</f>
        <v>6.05</v>
      </c>
      <c r="D24" s="47">
        <f>'Sectors % GDP'!G5</f>
        <v>177232.57200000001</v>
      </c>
      <c r="E24" s="47">
        <f t="shared" si="0"/>
        <v>3.4135937495733006E-5</v>
      </c>
      <c r="F24" s="47">
        <v>1</v>
      </c>
      <c r="G24" s="46">
        <v>1</v>
      </c>
      <c r="H24" s="47">
        <v>4</v>
      </c>
      <c r="I24" s="48">
        <v>16.41</v>
      </c>
      <c r="J24" s="48">
        <v>18.809999999999999</v>
      </c>
      <c r="K24" s="48">
        <v>42.1</v>
      </c>
      <c r="L24" s="49">
        <v>7.68</v>
      </c>
      <c r="M24" s="72">
        <f t="shared" si="1"/>
        <v>-2.5</v>
      </c>
      <c r="N24" s="36">
        <v>-2.5000000000000001E-2</v>
      </c>
      <c r="O24" s="68">
        <v>-17.296250000000004</v>
      </c>
      <c r="P24" s="73">
        <v>5</v>
      </c>
      <c r="Q24" s="74">
        <f>'Trade Data'!D5</f>
        <v>0.59136484071720108</v>
      </c>
      <c r="R24" s="35">
        <v>1</v>
      </c>
    </row>
    <row r="25" spans="1:18" ht="20.100000000000001" customHeight="1">
      <c r="A25" s="44" t="s">
        <v>25</v>
      </c>
      <c r="B25" s="44" t="s">
        <v>225</v>
      </c>
      <c r="C25" s="45">
        <v>0</v>
      </c>
      <c r="D25" s="47">
        <f>'Sectors % GDP'!G6</f>
        <v>416174.41800000001</v>
      </c>
      <c r="E25" s="47">
        <f t="shared" si="0"/>
        <v>0</v>
      </c>
      <c r="F25" s="47">
        <v>0</v>
      </c>
      <c r="G25" s="46">
        <v>1</v>
      </c>
      <c r="H25" s="47">
        <v>1</v>
      </c>
      <c r="I25" s="48">
        <v>16.41</v>
      </c>
      <c r="J25" s="48">
        <v>18.809999999999999</v>
      </c>
      <c r="K25" s="48">
        <v>42.1</v>
      </c>
      <c r="L25" s="49">
        <v>7.68</v>
      </c>
      <c r="M25" s="72">
        <f t="shared" si="1"/>
        <v>-2.5</v>
      </c>
      <c r="N25" s="36">
        <v>-2.5000000000000001E-2</v>
      </c>
      <c r="O25" s="68">
        <v>-17.296250000000004</v>
      </c>
      <c r="P25" s="73">
        <v>5</v>
      </c>
      <c r="Q25" s="74">
        <f>'Trade Data'!D5</f>
        <v>0.59136484071720108</v>
      </c>
      <c r="R25" s="35">
        <v>1</v>
      </c>
    </row>
    <row r="26" spans="1:18" ht="20.100000000000001" customHeight="1">
      <c r="A26" s="44" t="s">
        <v>877</v>
      </c>
      <c r="B26" s="44" t="s">
        <v>234</v>
      </c>
      <c r="C26" s="45">
        <v>0</v>
      </c>
      <c r="D26" s="47">
        <f>'Sectors % GDP'!G4</f>
        <v>38149.847999999998</v>
      </c>
      <c r="E26" s="47">
        <f t="shared" si="0"/>
        <v>0</v>
      </c>
      <c r="F26" s="47">
        <v>0</v>
      </c>
      <c r="G26" s="46">
        <v>0</v>
      </c>
      <c r="H26" s="47">
        <v>0</v>
      </c>
      <c r="I26" s="48">
        <v>34.42</v>
      </c>
      <c r="J26" s="48">
        <v>64.06</v>
      </c>
      <c r="K26" s="48">
        <v>50.43</v>
      </c>
      <c r="L26" s="49">
        <v>7.68</v>
      </c>
      <c r="M26" s="72">
        <f t="shared" si="1"/>
        <v>2.6</v>
      </c>
      <c r="N26" s="36">
        <v>2.5999999999999999E-2</v>
      </c>
      <c r="O26" s="68">
        <v>1.1325000000000003</v>
      </c>
      <c r="P26" s="73">
        <v>5.75</v>
      </c>
      <c r="Q26" s="74">
        <f>'Trade Data'!F5</f>
        <v>0.61215508806410301</v>
      </c>
      <c r="R26" s="37">
        <v>0</v>
      </c>
    </row>
    <row r="27" spans="1:18" ht="20.100000000000001" customHeight="1">
      <c r="A27" s="44" t="s">
        <v>877</v>
      </c>
      <c r="B27" s="44" t="s">
        <v>232</v>
      </c>
      <c r="C27" s="45">
        <f>'Thomson Reuters IMA  ($)'!I26</f>
        <v>24.372</v>
      </c>
      <c r="D27" s="47">
        <f>'Sectors % GDP'!G5</f>
        <v>177232.57200000001</v>
      </c>
      <c r="E27" s="47">
        <f t="shared" si="0"/>
        <v>1.3751422622248013E-4</v>
      </c>
      <c r="F27" s="47">
        <v>1</v>
      </c>
      <c r="G27" s="46">
        <v>1</v>
      </c>
      <c r="H27" s="47">
        <v>2</v>
      </c>
      <c r="I27" s="48">
        <v>34.42</v>
      </c>
      <c r="J27" s="48">
        <v>64.06</v>
      </c>
      <c r="K27" s="48">
        <v>50.43</v>
      </c>
      <c r="L27" s="49">
        <v>7.68</v>
      </c>
      <c r="M27" s="72">
        <f t="shared" si="1"/>
        <v>2.6</v>
      </c>
      <c r="N27" s="36">
        <v>2.5999999999999999E-2</v>
      </c>
      <c r="O27" s="68">
        <v>1.1325000000000003</v>
      </c>
      <c r="P27" s="73">
        <v>5.75</v>
      </c>
      <c r="Q27" s="74">
        <f>'Trade Data'!F5</f>
        <v>0.61215508806410301</v>
      </c>
      <c r="R27" s="37">
        <v>1</v>
      </c>
    </row>
    <row r="28" spans="1:18" ht="20.100000000000001" customHeight="1">
      <c r="A28" s="44" t="s">
        <v>877</v>
      </c>
      <c r="B28" s="44" t="s">
        <v>233</v>
      </c>
      <c r="C28" s="45">
        <v>0</v>
      </c>
      <c r="D28" s="47">
        <f>'Sectors % GDP'!G6</f>
        <v>416174.41800000001</v>
      </c>
      <c r="E28" s="47">
        <f t="shared" si="0"/>
        <v>0</v>
      </c>
      <c r="F28" s="47">
        <v>0</v>
      </c>
      <c r="G28" s="46">
        <v>1</v>
      </c>
      <c r="H28" s="47">
        <v>2</v>
      </c>
      <c r="I28" s="48">
        <v>34.42</v>
      </c>
      <c r="J28" s="48">
        <v>64.06</v>
      </c>
      <c r="K28" s="48">
        <v>50.43</v>
      </c>
      <c r="L28" s="49">
        <v>7.68</v>
      </c>
      <c r="M28" s="72">
        <f t="shared" si="1"/>
        <v>2.6</v>
      </c>
      <c r="N28" s="36">
        <v>2.5999999999999999E-2</v>
      </c>
      <c r="O28" s="68">
        <v>1.1325000000000003</v>
      </c>
      <c r="P28" s="73">
        <v>5.75</v>
      </c>
      <c r="Q28" s="74">
        <f>'Trade Data'!F5</f>
        <v>0.61215508806410301</v>
      </c>
      <c r="R28" s="37">
        <v>1</v>
      </c>
    </row>
    <row r="29" spans="1:18" ht="20.100000000000001" customHeight="1">
      <c r="A29" s="44" t="s">
        <v>27</v>
      </c>
      <c r="B29" s="44" t="s">
        <v>240</v>
      </c>
      <c r="C29" s="45">
        <v>0</v>
      </c>
      <c r="D29" s="47">
        <f>'Sectors % GDP'!G4</f>
        <v>38149.847999999998</v>
      </c>
      <c r="E29" s="47">
        <f t="shared" si="0"/>
        <v>0</v>
      </c>
      <c r="F29" s="47">
        <v>0</v>
      </c>
      <c r="G29" s="46">
        <v>0</v>
      </c>
      <c r="H29" s="47">
        <v>0</v>
      </c>
      <c r="I29" s="48">
        <v>35.11</v>
      </c>
      <c r="J29" s="48">
        <v>57.4</v>
      </c>
      <c r="K29" s="48">
        <v>63.55</v>
      </c>
      <c r="L29" s="49">
        <v>7.68</v>
      </c>
      <c r="M29" s="72">
        <f t="shared" si="1"/>
        <v>2.6</v>
      </c>
      <c r="N29" s="36">
        <v>2.5999999999999999E-2</v>
      </c>
      <c r="O29" s="68">
        <v>-2.947499999999998</v>
      </c>
      <c r="P29" s="73">
        <v>5.75</v>
      </c>
      <c r="Q29" s="74">
        <f>'Trade Data'!F5</f>
        <v>0.61215508806410301</v>
      </c>
      <c r="R29" s="35">
        <v>0</v>
      </c>
    </row>
    <row r="30" spans="1:18" ht="20.100000000000001" customHeight="1">
      <c r="A30" s="44" t="s">
        <v>27</v>
      </c>
      <c r="B30" s="44" t="s">
        <v>235</v>
      </c>
      <c r="C30" s="45">
        <v>0</v>
      </c>
      <c r="D30" s="47">
        <f>'Sectors % GDP'!G5</f>
        <v>177232.57200000001</v>
      </c>
      <c r="E30" s="47">
        <f t="shared" si="0"/>
        <v>0</v>
      </c>
      <c r="F30" s="47">
        <v>0</v>
      </c>
      <c r="G30" s="46">
        <v>0</v>
      </c>
      <c r="H30" s="47">
        <v>0</v>
      </c>
      <c r="I30" s="48">
        <v>35.11</v>
      </c>
      <c r="J30" s="48">
        <v>57.4</v>
      </c>
      <c r="K30" s="48">
        <v>63.55</v>
      </c>
      <c r="L30" s="49">
        <v>7.68</v>
      </c>
      <c r="M30" s="72">
        <f t="shared" si="1"/>
        <v>2.6</v>
      </c>
      <c r="N30" s="36">
        <v>2.5999999999999999E-2</v>
      </c>
      <c r="O30" s="68">
        <v>-2.947499999999998</v>
      </c>
      <c r="P30" s="73">
        <v>5.75</v>
      </c>
      <c r="Q30" s="74">
        <f>'Trade Data'!F5</f>
        <v>0.61215508806410301</v>
      </c>
      <c r="R30" s="35">
        <v>1</v>
      </c>
    </row>
    <row r="31" spans="1:18" ht="20.100000000000001" customHeight="1">
      <c r="A31" s="44" t="s">
        <v>27</v>
      </c>
      <c r="B31" s="44" t="s">
        <v>236</v>
      </c>
      <c r="C31" s="45">
        <v>0</v>
      </c>
      <c r="D31" s="47">
        <f>'Sectors % GDP'!G6</f>
        <v>416174.41800000001</v>
      </c>
      <c r="E31" s="47">
        <f t="shared" si="0"/>
        <v>0</v>
      </c>
      <c r="F31" s="47">
        <v>0</v>
      </c>
      <c r="G31" s="46">
        <v>1</v>
      </c>
      <c r="H31" s="47">
        <v>1</v>
      </c>
      <c r="I31" s="48">
        <v>35.11</v>
      </c>
      <c r="J31" s="48">
        <v>57.4</v>
      </c>
      <c r="K31" s="48">
        <v>63.55</v>
      </c>
      <c r="L31" s="49">
        <v>7.68</v>
      </c>
      <c r="M31" s="72">
        <f t="shared" si="1"/>
        <v>2.6</v>
      </c>
      <c r="N31" s="36">
        <v>2.5999999999999999E-2</v>
      </c>
      <c r="O31" s="68">
        <v>-2.947499999999998</v>
      </c>
      <c r="P31" s="73">
        <v>5.75</v>
      </c>
      <c r="Q31" s="74">
        <f>'Trade Data'!F5</f>
        <v>0.61215508806410301</v>
      </c>
      <c r="R31" s="35">
        <v>1</v>
      </c>
    </row>
    <row r="32" spans="1:18" ht="20.100000000000001" customHeight="1">
      <c r="A32" s="44" t="s">
        <v>28</v>
      </c>
      <c r="B32" s="44" t="s">
        <v>237</v>
      </c>
      <c r="C32" s="45"/>
      <c r="D32" s="47">
        <f>'Sectors % GDP'!G4</f>
        <v>38149.847999999998</v>
      </c>
      <c r="E32" s="47">
        <f t="shared" si="0"/>
        <v>0</v>
      </c>
      <c r="F32" s="47">
        <v>0</v>
      </c>
      <c r="G32" s="46">
        <v>0</v>
      </c>
      <c r="H32" s="47">
        <v>0</v>
      </c>
      <c r="I32" s="48">
        <v>17.920000000000002</v>
      </c>
      <c r="J32" s="48">
        <v>15.47</v>
      </c>
      <c r="K32" s="48">
        <v>52.02</v>
      </c>
      <c r="L32" s="49">
        <v>7.68</v>
      </c>
      <c r="M32" s="72">
        <f t="shared" si="1"/>
        <v>2.6</v>
      </c>
      <c r="N32" s="36">
        <v>2.5999999999999999E-2</v>
      </c>
      <c r="O32" s="68">
        <v>-13.0275</v>
      </c>
      <c r="P32" s="73">
        <v>5.75</v>
      </c>
      <c r="Q32" s="74">
        <f>'Trade Data'!F5</f>
        <v>0.61215508806410301</v>
      </c>
      <c r="R32" s="37">
        <v>0</v>
      </c>
    </row>
    <row r="33" spans="1:18" ht="20.100000000000001" customHeight="1">
      <c r="A33" s="44" t="s">
        <v>28</v>
      </c>
      <c r="B33" s="44" t="s">
        <v>238</v>
      </c>
      <c r="C33" s="45">
        <f>'Thomson Reuters IMA  ($)'!I27+'Thomson Reuters IMA  ($)'!I28</f>
        <v>16.827999999999999</v>
      </c>
      <c r="D33" s="47">
        <f>'Sectors % GDP'!G5</f>
        <v>177232.57200000001</v>
      </c>
      <c r="E33" s="47">
        <f t="shared" si="0"/>
        <v>9.4948686971602474E-5</v>
      </c>
      <c r="F33" s="47">
        <v>1</v>
      </c>
      <c r="G33" s="46">
        <v>1</v>
      </c>
      <c r="H33" s="47">
        <v>2</v>
      </c>
      <c r="I33" s="48">
        <v>17.920000000000002</v>
      </c>
      <c r="J33" s="48">
        <v>15.47</v>
      </c>
      <c r="K33" s="48">
        <v>52.02</v>
      </c>
      <c r="L33" s="49">
        <v>7.68</v>
      </c>
      <c r="M33" s="72">
        <f t="shared" si="1"/>
        <v>2.6</v>
      </c>
      <c r="N33" s="36">
        <v>2.5999999999999999E-2</v>
      </c>
      <c r="O33" s="68">
        <v>-13.0275</v>
      </c>
      <c r="P33" s="73">
        <v>5.75</v>
      </c>
      <c r="Q33" s="74">
        <f>'Trade Data'!F5</f>
        <v>0.61215508806410301</v>
      </c>
      <c r="R33" s="37">
        <v>1</v>
      </c>
    </row>
    <row r="34" spans="1:18" ht="20.100000000000001" customHeight="1">
      <c r="A34" s="44" t="s">
        <v>28</v>
      </c>
      <c r="B34" s="44" t="s">
        <v>239</v>
      </c>
      <c r="C34" s="45">
        <v>0</v>
      </c>
      <c r="D34" s="47">
        <f>'Sectors % GDP'!G6</f>
        <v>416174.41800000001</v>
      </c>
      <c r="E34" s="47">
        <f t="shared" si="0"/>
        <v>0</v>
      </c>
      <c r="F34" s="47">
        <v>0</v>
      </c>
      <c r="G34" s="46">
        <v>1</v>
      </c>
      <c r="H34" s="47">
        <v>4</v>
      </c>
      <c r="I34" s="48">
        <v>17.920000000000002</v>
      </c>
      <c r="J34" s="48">
        <v>15.47</v>
      </c>
      <c r="K34" s="48">
        <v>52.02</v>
      </c>
      <c r="L34" s="49">
        <v>7.68</v>
      </c>
      <c r="M34" s="72">
        <f t="shared" si="1"/>
        <v>2.6</v>
      </c>
      <c r="N34" s="36">
        <v>2.5999999999999999E-2</v>
      </c>
      <c r="O34" s="68">
        <v>-13.0275</v>
      </c>
      <c r="P34" s="73">
        <v>5.75</v>
      </c>
      <c r="Q34" s="74">
        <f>'Trade Data'!F5</f>
        <v>0.61215508806410301</v>
      </c>
      <c r="R34" s="37">
        <v>1</v>
      </c>
    </row>
    <row r="35" spans="1:18" ht="20.100000000000001" customHeight="1">
      <c r="A35" s="44" t="s">
        <v>29</v>
      </c>
      <c r="B35" s="44" t="s">
        <v>241</v>
      </c>
      <c r="C35" s="45">
        <v>0</v>
      </c>
      <c r="D35" s="47">
        <f>'Sectors % GDP'!I4</f>
        <v>41182.343999999997</v>
      </c>
      <c r="E35" s="47">
        <f t="shared" si="0"/>
        <v>0</v>
      </c>
      <c r="F35" s="47">
        <v>0</v>
      </c>
      <c r="G35" s="46">
        <v>0</v>
      </c>
      <c r="H35" s="47">
        <v>0</v>
      </c>
      <c r="I35" s="48">
        <v>13.77</v>
      </c>
      <c r="J35" s="48">
        <v>23.69</v>
      </c>
      <c r="K35" s="48">
        <v>22.56</v>
      </c>
      <c r="L35" s="49">
        <v>8.65</v>
      </c>
      <c r="M35" s="72">
        <f t="shared" si="1"/>
        <v>2.6</v>
      </c>
      <c r="N35" s="36">
        <v>2.5999999999999999E-2</v>
      </c>
      <c r="O35" s="68">
        <v>-17.523750000000003</v>
      </c>
      <c r="P35" s="73">
        <v>5.75</v>
      </c>
      <c r="Q35" s="74">
        <f>'Trade Data'!F5</f>
        <v>0.61215508806410301</v>
      </c>
      <c r="R35" s="35">
        <v>0</v>
      </c>
    </row>
    <row r="36" spans="1:18" ht="20.100000000000001" customHeight="1">
      <c r="A36" s="44" t="s">
        <v>29</v>
      </c>
      <c r="B36" s="44" t="s">
        <v>242</v>
      </c>
      <c r="C36" s="45">
        <f>'Thomson Reuters IMA  ($)'!I29+'Thomson Reuters IMA  ($)'!I30+'Thomson Reuters IMA  ($)'!I31+'Thomson Reuters IMA  ($)'!I32+'Thomson Reuters IMA  ($)'!I33</f>
        <v>26.552</v>
      </c>
      <c r="D36" s="47">
        <f>'Sectors % GDP'!I5</f>
        <v>145336.63199999998</v>
      </c>
      <c r="E36" s="47">
        <f t="shared" si="0"/>
        <v>1.8269310107585265E-4</v>
      </c>
      <c r="F36" s="47">
        <v>1</v>
      </c>
      <c r="G36" s="46">
        <v>1</v>
      </c>
      <c r="H36" s="47">
        <v>6</v>
      </c>
      <c r="I36" s="48">
        <v>13.77</v>
      </c>
      <c r="J36" s="48">
        <v>23.69</v>
      </c>
      <c r="K36" s="48">
        <v>22.56</v>
      </c>
      <c r="L36" s="49">
        <v>8.65</v>
      </c>
      <c r="M36" s="72">
        <f t="shared" si="1"/>
        <v>2.6</v>
      </c>
      <c r="N36" s="36">
        <v>2.5999999999999999E-2</v>
      </c>
      <c r="O36" s="68">
        <v>-17.523750000000003</v>
      </c>
      <c r="P36" s="73">
        <v>5.75</v>
      </c>
      <c r="Q36" s="75">
        <f>'Trade Data'!F5</f>
        <v>0.61215508806410301</v>
      </c>
      <c r="R36" s="35">
        <v>1</v>
      </c>
    </row>
    <row r="37" spans="1:18" ht="20.100000000000001" customHeight="1">
      <c r="A37" s="44" t="s">
        <v>29</v>
      </c>
      <c r="B37" s="44" t="s">
        <v>243</v>
      </c>
      <c r="C37" s="45">
        <f>'Thomson Reuters IMA  ($)'!I34</f>
        <v>1238.578</v>
      </c>
      <c r="D37" s="47">
        <f>'Sectors % GDP'!I6</f>
        <v>358221.02399999998</v>
      </c>
      <c r="E37" s="47">
        <f t="shared" si="0"/>
        <v>3.4575804238670257E-3</v>
      </c>
      <c r="F37" s="47">
        <v>1</v>
      </c>
      <c r="G37" s="46">
        <v>1</v>
      </c>
      <c r="H37" s="47">
        <v>2</v>
      </c>
      <c r="I37" s="48">
        <v>13.77</v>
      </c>
      <c r="J37" s="48">
        <v>23.69</v>
      </c>
      <c r="K37" s="48">
        <v>22.56</v>
      </c>
      <c r="L37" s="49">
        <v>8.65</v>
      </c>
      <c r="M37" s="72">
        <f t="shared" si="1"/>
        <v>2.6</v>
      </c>
      <c r="N37" s="36">
        <v>2.5999999999999999E-2</v>
      </c>
      <c r="O37" s="68">
        <v>-17.523750000000003</v>
      </c>
      <c r="P37" s="73">
        <v>5.75</v>
      </c>
      <c r="Q37" s="75">
        <f>'Trade Data'!F5</f>
        <v>0.61215508806410301</v>
      </c>
      <c r="R37" s="35">
        <v>1</v>
      </c>
    </row>
    <row r="38" spans="1:18" ht="20.100000000000001" customHeight="1">
      <c r="A38" s="44" t="s">
        <v>30</v>
      </c>
      <c r="B38" s="44" t="s">
        <v>244</v>
      </c>
      <c r="C38" s="45">
        <v>0</v>
      </c>
      <c r="D38" s="47">
        <f>'Sectors % GDP'!I4</f>
        <v>41182.343999999997</v>
      </c>
      <c r="E38" s="47">
        <f t="shared" si="0"/>
        <v>0</v>
      </c>
      <c r="F38" s="47">
        <v>0</v>
      </c>
      <c r="G38" s="46">
        <v>0</v>
      </c>
      <c r="H38" s="47">
        <v>0</v>
      </c>
      <c r="I38" s="48">
        <v>18.53</v>
      </c>
      <c r="J38" s="48">
        <v>25</v>
      </c>
      <c r="K38" s="52">
        <v>40.229999999999997</v>
      </c>
      <c r="L38" s="49">
        <v>8.65</v>
      </c>
      <c r="M38" s="72">
        <f t="shared" si="1"/>
        <v>-2.1999999999999997</v>
      </c>
      <c r="N38" s="36">
        <v>-2.1999999999999999E-2</v>
      </c>
      <c r="O38" s="68">
        <v>-18.094999999999999</v>
      </c>
      <c r="P38" s="73">
        <v>6.25</v>
      </c>
      <c r="Q38" s="75">
        <v>0.65</v>
      </c>
      <c r="R38" s="37">
        <v>0</v>
      </c>
    </row>
    <row r="39" spans="1:18" ht="20.100000000000001" customHeight="1">
      <c r="A39" s="44" t="s">
        <v>30</v>
      </c>
      <c r="B39" s="44" t="s">
        <v>245</v>
      </c>
      <c r="C39" s="45">
        <f>'Thomson Reuters IMA  ($)'!I35+'Thomson Reuters IMA  ($)'!I37</f>
        <v>250.03899999999999</v>
      </c>
      <c r="D39" s="47">
        <f>'Sectors % GDP'!I5</f>
        <v>145336.63199999998</v>
      </c>
      <c r="E39" s="47">
        <f t="shared" si="0"/>
        <v>1.7204127862272191E-3</v>
      </c>
      <c r="F39" s="47">
        <v>1</v>
      </c>
      <c r="G39" s="46">
        <v>1</v>
      </c>
      <c r="H39" s="47">
        <v>4</v>
      </c>
      <c r="I39" s="48">
        <v>18.53</v>
      </c>
      <c r="J39" s="48">
        <v>25</v>
      </c>
      <c r="K39" s="52">
        <v>40.229999999999997</v>
      </c>
      <c r="L39" s="49">
        <v>8.65</v>
      </c>
      <c r="M39" s="72">
        <f t="shared" si="1"/>
        <v>-2.1999999999999997</v>
      </c>
      <c r="N39" s="36">
        <v>-2.1999999999999999E-2</v>
      </c>
      <c r="O39" s="68">
        <v>-18.094999999999999</v>
      </c>
      <c r="P39" s="73">
        <v>6.25</v>
      </c>
      <c r="Q39" s="75">
        <v>0.65</v>
      </c>
      <c r="R39" s="37">
        <v>1</v>
      </c>
    </row>
    <row r="40" spans="1:18" ht="20.100000000000001" customHeight="1">
      <c r="A40" s="44" t="s">
        <v>30</v>
      </c>
      <c r="B40" s="44" t="s">
        <v>246</v>
      </c>
      <c r="C40" s="45">
        <f>'Thomson Reuters IMA  ($)'!I36</f>
        <v>140.4</v>
      </c>
      <c r="D40" s="47">
        <f>'Sectors % GDP'!I6</f>
        <v>358221.02399999998</v>
      </c>
      <c r="E40" s="47">
        <f t="shared" si="0"/>
        <v>3.9193679486550741E-4</v>
      </c>
      <c r="F40" s="47">
        <v>1</v>
      </c>
      <c r="G40" s="46">
        <v>1</v>
      </c>
      <c r="H40" s="47">
        <v>1</v>
      </c>
      <c r="I40" s="48">
        <v>18.53</v>
      </c>
      <c r="J40" s="48">
        <v>25</v>
      </c>
      <c r="K40" s="52">
        <v>40.229999999999997</v>
      </c>
      <c r="L40" s="49">
        <v>8.65</v>
      </c>
      <c r="M40" s="72">
        <f t="shared" si="1"/>
        <v>-2.1999999999999997</v>
      </c>
      <c r="N40" s="36">
        <v>-2.1999999999999999E-2</v>
      </c>
      <c r="O40" s="68">
        <v>-18.094999999999999</v>
      </c>
      <c r="P40" s="73">
        <v>6.25</v>
      </c>
      <c r="Q40" s="75">
        <v>0.65</v>
      </c>
      <c r="R40" s="37">
        <v>1</v>
      </c>
    </row>
    <row r="41" spans="1:18" ht="20.100000000000001" customHeight="1">
      <c r="A41" s="44" t="s">
        <v>31</v>
      </c>
      <c r="B41" s="44" t="s">
        <v>247</v>
      </c>
      <c r="C41" s="45">
        <v>0</v>
      </c>
      <c r="D41" s="47">
        <f>'Sectors % GDP'!I4</f>
        <v>41182.343999999997</v>
      </c>
      <c r="E41" s="47">
        <f t="shared" si="0"/>
        <v>0</v>
      </c>
      <c r="F41" s="47">
        <v>0</v>
      </c>
      <c r="G41" s="46">
        <v>1</v>
      </c>
      <c r="H41" s="47">
        <v>1</v>
      </c>
      <c r="I41" s="48">
        <v>23.03</v>
      </c>
      <c r="J41" s="48">
        <v>54.9</v>
      </c>
      <c r="K41" s="52">
        <v>29.79</v>
      </c>
      <c r="L41" s="49">
        <v>8.65</v>
      </c>
      <c r="M41" s="72">
        <f t="shared" si="1"/>
        <v>-2.1999999999999997</v>
      </c>
      <c r="N41" s="36">
        <v>-2.1999999999999999E-2</v>
      </c>
      <c r="O41" s="68">
        <v>-11.941249999999997</v>
      </c>
      <c r="P41" s="73">
        <v>6.25</v>
      </c>
      <c r="Q41" s="75">
        <v>0.65</v>
      </c>
      <c r="R41" s="35">
        <v>0</v>
      </c>
    </row>
    <row r="42" spans="1:18" ht="20.100000000000001" customHeight="1">
      <c r="A42" s="44" t="s">
        <v>31</v>
      </c>
      <c r="B42" s="44" t="s">
        <v>248</v>
      </c>
      <c r="C42" s="45">
        <f>'Thomson Reuters IMA  ($)'!I38+'Thomson Reuters IMA  ($)'!I39+'Thomson Reuters IMA  ($)'!I40+'Thomson Reuters IMA  ($)'!I41-'Thomson Reuters IMA  ($)'!I40</f>
        <v>272.17</v>
      </c>
      <c r="D42" s="47">
        <f>'Sectors % GDP'!I5</f>
        <v>145336.63199999998</v>
      </c>
      <c r="E42" s="47">
        <f t="shared" si="0"/>
        <v>1.8726868529607872E-3</v>
      </c>
      <c r="F42" s="47">
        <v>1</v>
      </c>
      <c r="G42" s="46">
        <v>1</v>
      </c>
      <c r="H42" s="47">
        <v>4</v>
      </c>
      <c r="I42" s="48">
        <v>23.03</v>
      </c>
      <c r="J42" s="48">
        <v>54.9</v>
      </c>
      <c r="K42" s="52">
        <v>29.79</v>
      </c>
      <c r="L42" s="49">
        <v>8.65</v>
      </c>
      <c r="M42" s="72">
        <f t="shared" si="1"/>
        <v>-2.1999999999999997</v>
      </c>
      <c r="N42" s="36">
        <v>-2.1999999999999999E-2</v>
      </c>
      <c r="O42" s="68">
        <v>-11.941249999999997</v>
      </c>
      <c r="P42" s="73">
        <v>6.25</v>
      </c>
      <c r="Q42" s="75">
        <v>0.65</v>
      </c>
      <c r="R42" s="35">
        <v>1</v>
      </c>
    </row>
    <row r="43" spans="1:18" ht="20.100000000000001" customHeight="1">
      <c r="A43" s="44" t="s">
        <v>31</v>
      </c>
      <c r="B43" s="44" t="s">
        <v>249</v>
      </c>
      <c r="C43" s="45">
        <f>'Thomson Reuters IMA  ($)'!I40+'Thomson Reuters IMA  ($)'!I42</f>
        <v>280</v>
      </c>
      <c r="D43" s="47">
        <f>'Sectors % GDP'!I6</f>
        <v>358221.02399999998</v>
      </c>
      <c r="E43" s="47">
        <f t="shared" si="0"/>
        <v>7.8164033164061309E-4</v>
      </c>
      <c r="F43" s="47">
        <v>1</v>
      </c>
      <c r="G43" s="46">
        <v>1</v>
      </c>
      <c r="H43" s="47">
        <v>6</v>
      </c>
      <c r="I43" s="48">
        <v>23.03</v>
      </c>
      <c r="J43" s="48">
        <v>54.9</v>
      </c>
      <c r="K43" s="52">
        <v>29.79</v>
      </c>
      <c r="L43" s="49">
        <v>8.65</v>
      </c>
      <c r="M43" s="72">
        <f t="shared" si="1"/>
        <v>-2.1999999999999997</v>
      </c>
      <c r="N43" s="36">
        <v>-2.1999999999999999E-2</v>
      </c>
      <c r="O43" s="68">
        <v>-11.941249999999997</v>
      </c>
      <c r="P43" s="73">
        <v>6.25</v>
      </c>
      <c r="Q43" s="75">
        <v>0.65</v>
      </c>
      <c r="R43" s="35">
        <v>1</v>
      </c>
    </row>
    <row r="44" spans="1:18" ht="20.100000000000001" customHeight="1">
      <c r="A44" s="53" t="s">
        <v>32</v>
      </c>
      <c r="B44" s="44" t="s">
        <v>250</v>
      </c>
      <c r="C44" s="45">
        <v>0</v>
      </c>
      <c r="D44" s="47">
        <f>'Sectors % GDP'!I4</f>
        <v>41182.343999999997</v>
      </c>
      <c r="E44" s="47">
        <f t="shared" si="0"/>
        <v>0</v>
      </c>
      <c r="F44" s="47">
        <v>0</v>
      </c>
      <c r="G44" s="46">
        <v>0</v>
      </c>
      <c r="H44" s="47">
        <v>0</v>
      </c>
      <c r="I44" s="48">
        <v>16.260000000000002</v>
      </c>
      <c r="J44" s="48">
        <v>40.22</v>
      </c>
      <c r="K44" s="52">
        <v>19.649999999999999</v>
      </c>
      <c r="L44" s="49">
        <v>8.65</v>
      </c>
      <c r="M44" s="72">
        <f t="shared" si="1"/>
        <v>-2.1999999999999997</v>
      </c>
      <c r="N44" s="36">
        <v>-2.1999999999999999E-2</v>
      </c>
      <c r="O44" s="68">
        <v>-17.077500000000004</v>
      </c>
      <c r="P44" s="73">
        <v>6.25</v>
      </c>
      <c r="Q44" s="75">
        <v>0.65</v>
      </c>
      <c r="R44" s="37">
        <v>0</v>
      </c>
    </row>
    <row r="45" spans="1:18" ht="20.100000000000001" customHeight="1">
      <c r="A45" s="44" t="s">
        <v>32</v>
      </c>
      <c r="B45" s="44" t="s">
        <v>251</v>
      </c>
      <c r="C45" s="45">
        <f>SUM('Thomson Reuters IMA  ($)'!I43:I51)</f>
        <v>270.09699999999998</v>
      </c>
      <c r="D45" s="47">
        <f>'Sectors % GDP'!I5</f>
        <v>145336.63199999998</v>
      </c>
      <c r="E45" s="47">
        <f t="shared" si="0"/>
        <v>1.8584234152336763E-3</v>
      </c>
      <c r="F45" s="47">
        <v>1</v>
      </c>
      <c r="G45" s="46">
        <v>1</v>
      </c>
      <c r="H45" s="47">
        <v>10</v>
      </c>
      <c r="I45" s="48">
        <v>16.260000000000002</v>
      </c>
      <c r="J45" s="48">
        <v>40.22</v>
      </c>
      <c r="K45" s="52">
        <v>19.649999999999999</v>
      </c>
      <c r="L45" s="49">
        <v>8.65</v>
      </c>
      <c r="M45" s="72">
        <f t="shared" si="1"/>
        <v>-2.1999999999999997</v>
      </c>
      <c r="N45" s="36">
        <v>-2.1999999999999999E-2</v>
      </c>
      <c r="O45" s="68">
        <v>-17.077500000000004</v>
      </c>
      <c r="P45" s="73">
        <v>6.25</v>
      </c>
      <c r="Q45" s="75">
        <v>0.65</v>
      </c>
      <c r="R45" s="37">
        <v>1</v>
      </c>
    </row>
    <row r="46" spans="1:18" ht="20.100000000000001" customHeight="1">
      <c r="A46" s="44" t="s">
        <v>32</v>
      </c>
      <c r="B46" s="44" t="s">
        <v>252</v>
      </c>
      <c r="C46" s="45">
        <f>'Thomson Reuters IMA  ($)'!I52+'Thomson Reuters IMA  ($)'!I53</f>
        <v>585</v>
      </c>
      <c r="D46" s="47">
        <f>'Sectors % GDP'!I6</f>
        <v>358221.02399999998</v>
      </c>
      <c r="E46" s="47">
        <f t="shared" si="0"/>
        <v>1.6330699786062809E-3</v>
      </c>
      <c r="F46" s="47">
        <v>1</v>
      </c>
      <c r="G46" s="46">
        <v>1</v>
      </c>
      <c r="H46" s="47">
        <v>6</v>
      </c>
      <c r="I46" s="48">
        <v>16.260000000000002</v>
      </c>
      <c r="J46" s="48">
        <v>40.22</v>
      </c>
      <c r="K46" s="52">
        <v>19.649999999999999</v>
      </c>
      <c r="L46" s="49">
        <v>8.65</v>
      </c>
      <c r="M46" s="72">
        <f t="shared" si="1"/>
        <v>-2.1999999999999997</v>
      </c>
      <c r="N46" s="36">
        <v>-2.1999999999999999E-2</v>
      </c>
      <c r="O46" s="68">
        <v>-17.077500000000004</v>
      </c>
      <c r="P46" s="73">
        <v>6.25</v>
      </c>
      <c r="Q46" s="75">
        <v>0.65</v>
      </c>
      <c r="R46" s="37">
        <v>1</v>
      </c>
    </row>
    <row r="47" spans="1:18" ht="20.100000000000001" customHeight="1">
      <c r="A47" s="44" t="s">
        <v>33</v>
      </c>
      <c r="B47" s="44" t="s">
        <v>253</v>
      </c>
      <c r="C47" s="45">
        <v>0</v>
      </c>
      <c r="D47" s="47">
        <f>'Sectors % GDP'!K4</f>
        <v>67565.83</v>
      </c>
      <c r="E47" s="47">
        <f t="shared" si="0"/>
        <v>0</v>
      </c>
      <c r="F47" s="47">
        <v>0</v>
      </c>
      <c r="G47" s="46">
        <v>0</v>
      </c>
      <c r="H47" s="47">
        <v>0</v>
      </c>
      <c r="I47" s="48">
        <v>17.940000000000001</v>
      </c>
      <c r="J47" s="48">
        <v>20.399999999999999</v>
      </c>
      <c r="K47" s="52">
        <v>36.880000000000003</v>
      </c>
      <c r="L47" s="49">
        <v>11.82</v>
      </c>
      <c r="M47" s="72">
        <f t="shared" si="1"/>
        <v>-2.1999999999999997</v>
      </c>
      <c r="N47" s="36">
        <v>-2.1999999999999999E-2</v>
      </c>
      <c r="O47" s="68">
        <v>-12.067499999999999</v>
      </c>
      <c r="P47" s="73">
        <v>6.25</v>
      </c>
      <c r="Q47" s="74">
        <f>'Trade Data'!J5</f>
        <v>0.64695522396479066</v>
      </c>
      <c r="R47" s="35">
        <v>0</v>
      </c>
    </row>
    <row r="48" spans="1:18" ht="20.100000000000001" customHeight="1">
      <c r="A48" s="44" t="s">
        <v>33</v>
      </c>
      <c r="B48" s="44" t="s">
        <v>254</v>
      </c>
      <c r="C48" s="45">
        <f>'Thomson Reuters IMA  ($)'!I54+'Thomson Reuters IMA  ($)'!I55+'Thomson Reuters IMA  ($)'!I57+'Thomson Reuters IMA  ($)'!I58+'Thomson Reuters IMA  ($)'!I59+'Thomson Reuters IMA  ($)'!I60+'Thomson Reuters IMA  ($)'!I61</f>
        <v>102.078</v>
      </c>
      <c r="D48" s="47">
        <f>'Sectors % GDP'!K5</f>
        <v>174803.34</v>
      </c>
      <c r="E48" s="47">
        <f t="shared" si="0"/>
        <v>5.8395909368779797E-4</v>
      </c>
      <c r="F48" s="47">
        <v>1</v>
      </c>
      <c r="G48" s="46">
        <v>1</v>
      </c>
      <c r="H48" s="47">
        <v>9</v>
      </c>
      <c r="I48" s="48">
        <v>17.940000000000001</v>
      </c>
      <c r="J48" s="48">
        <v>20.399999999999999</v>
      </c>
      <c r="K48" s="52">
        <v>36.880000000000003</v>
      </c>
      <c r="L48" s="49">
        <v>11.82</v>
      </c>
      <c r="M48" s="72">
        <f t="shared" si="1"/>
        <v>-2.1999999999999997</v>
      </c>
      <c r="N48" s="36">
        <v>-2.1999999999999999E-2</v>
      </c>
      <c r="O48" s="68">
        <v>-12.067499999999999</v>
      </c>
      <c r="P48" s="73">
        <v>6.25</v>
      </c>
      <c r="Q48" s="75">
        <v>0.65</v>
      </c>
      <c r="R48" s="35">
        <v>1</v>
      </c>
    </row>
    <row r="49" spans="1:18" ht="20.100000000000001" customHeight="1">
      <c r="A49" s="44" t="s">
        <v>879</v>
      </c>
      <c r="B49" s="44" t="s">
        <v>255</v>
      </c>
      <c r="C49" s="45">
        <f>'Thomson Reuters IMA  ($)'!I56</f>
        <v>5.0579999999999998</v>
      </c>
      <c r="D49" s="47">
        <f>'Sectors % GDP'!K6</f>
        <v>377500.83</v>
      </c>
      <c r="E49" s="47">
        <f t="shared" si="0"/>
        <v>1.3398646037414009E-5</v>
      </c>
      <c r="F49" s="47">
        <v>1</v>
      </c>
      <c r="G49" s="46">
        <v>1</v>
      </c>
      <c r="H49" s="47">
        <v>5</v>
      </c>
      <c r="I49" s="48">
        <v>17.940000000000001</v>
      </c>
      <c r="J49" s="48">
        <v>20.399999999999999</v>
      </c>
      <c r="K49" s="52">
        <v>36.880000000000003</v>
      </c>
      <c r="L49" s="49">
        <v>11.82</v>
      </c>
      <c r="M49" s="72">
        <f t="shared" si="1"/>
        <v>-2.1999999999999997</v>
      </c>
      <c r="N49" s="36">
        <v>-2.1999999999999999E-2</v>
      </c>
      <c r="O49" s="68">
        <v>-12.067499999999999</v>
      </c>
      <c r="P49" s="73">
        <v>6.25</v>
      </c>
      <c r="Q49" s="75">
        <v>0.65</v>
      </c>
      <c r="R49" s="35">
        <v>1</v>
      </c>
    </row>
    <row r="50" spans="1:18" ht="20.100000000000001" customHeight="1">
      <c r="A50" s="44" t="s">
        <v>34</v>
      </c>
      <c r="B50" s="44" t="s">
        <v>256</v>
      </c>
      <c r="C50" s="45">
        <v>0</v>
      </c>
      <c r="D50" s="47">
        <f>'Sectors % GDP'!K4</f>
        <v>67565.83</v>
      </c>
      <c r="E50" s="47">
        <f t="shared" si="0"/>
        <v>0</v>
      </c>
      <c r="F50" s="47">
        <v>0</v>
      </c>
      <c r="G50" s="46">
        <v>0</v>
      </c>
      <c r="H50" s="47">
        <v>0</v>
      </c>
      <c r="I50" s="48">
        <v>35.090000000000003</v>
      </c>
      <c r="J50" s="48">
        <v>59.98</v>
      </c>
      <c r="K50" s="52">
        <v>50.68</v>
      </c>
      <c r="L50" s="49">
        <v>11.82</v>
      </c>
      <c r="M50" s="72">
        <f t="shared" si="1"/>
        <v>2.1999999999999997</v>
      </c>
      <c r="N50" s="36">
        <v>2.1999999999999999E-2</v>
      </c>
      <c r="O50" s="68">
        <v>-0.15999999999999659</v>
      </c>
      <c r="P50" s="73">
        <v>5.69</v>
      </c>
      <c r="Q50" s="75">
        <v>0.65</v>
      </c>
      <c r="R50" s="37">
        <v>0</v>
      </c>
    </row>
    <row r="51" spans="1:18" ht="20.100000000000001" customHeight="1">
      <c r="A51" s="44" t="s">
        <v>34</v>
      </c>
      <c r="B51" s="44" t="s">
        <v>257</v>
      </c>
      <c r="C51" s="45">
        <f>'Thomson Reuters IMA  ($)'!I64</f>
        <v>960</v>
      </c>
      <c r="D51" s="47">
        <f>'Sectors % GDP'!K5</f>
        <v>174803.34</v>
      </c>
      <c r="E51" s="47">
        <f t="shared" si="0"/>
        <v>5.49188591018913E-3</v>
      </c>
      <c r="F51" s="47">
        <v>1</v>
      </c>
      <c r="G51" s="46">
        <v>1</v>
      </c>
      <c r="H51" s="47">
        <v>4</v>
      </c>
      <c r="I51" s="48">
        <v>35.090000000000003</v>
      </c>
      <c r="J51" s="48">
        <v>59.98</v>
      </c>
      <c r="K51" s="52">
        <v>50.68</v>
      </c>
      <c r="L51" s="49">
        <v>11.82</v>
      </c>
      <c r="M51" s="72">
        <f t="shared" si="1"/>
        <v>2.1999999999999997</v>
      </c>
      <c r="N51" s="36">
        <v>2.1999999999999999E-2</v>
      </c>
      <c r="O51" s="68">
        <v>-0.15999999999999659</v>
      </c>
      <c r="P51" s="73">
        <v>5.69</v>
      </c>
      <c r="Q51" s="75">
        <v>0.65</v>
      </c>
      <c r="R51" s="37">
        <v>1</v>
      </c>
    </row>
    <row r="52" spans="1:18" ht="20.100000000000001" customHeight="1">
      <c r="A52" s="44" t="s">
        <v>34</v>
      </c>
      <c r="B52" s="44" t="s">
        <v>258</v>
      </c>
      <c r="C52" s="45">
        <f>'Thomson Reuters IMA  ($)'!I62+'Thomson Reuters IMA  ($)'!I63</f>
        <v>216</v>
      </c>
      <c r="D52" s="47">
        <f>'Sectors % GDP'!K6</f>
        <v>377500.83</v>
      </c>
      <c r="E52" s="47">
        <f t="shared" si="0"/>
        <v>5.7218417241625661E-4</v>
      </c>
      <c r="F52" s="47">
        <v>1</v>
      </c>
      <c r="G52" s="46">
        <v>1</v>
      </c>
      <c r="H52" s="47">
        <v>5</v>
      </c>
      <c r="I52" s="48">
        <v>35.090000000000003</v>
      </c>
      <c r="J52" s="48">
        <v>59.98</v>
      </c>
      <c r="K52" s="52">
        <v>50.68</v>
      </c>
      <c r="L52" s="49">
        <v>11.82</v>
      </c>
      <c r="M52" s="72">
        <f t="shared" si="1"/>
        <v>2.1999999999999997</v>
      </c>
      <c r="N52" s="36">
        <v>2.1999999999999999E-2</v>
      </c>
      <c r="O52" s="68">
        <v>-0.15999999999999659</v>
      </c>
      <c r="P52" s="73">
        <v>5.69</v>
      </c>
      <c r="Q52" s="75">
        <v>0.65</v>
      </c>
      <c r="R52" s="37">
        <v>1</v>
      </c>
    </row>
    <row r="53" spans="1:18" ht="20.100000000000001" customHeight="1">
      <c r="A53" s="44" t="s">
        <v>35</v>
      </c>
      <c r="B53" s="44" t="s">
        <v>259</v>
      </c>
      <c r="C53" s="45">
        <v>0</v>
      </c>
      <c r="D53" s="47">
        <f>'Sectors % GDP'!K4</f>
        <v>67565.83</v>
      </c>
      <c r="E53" s="47">
        <f t="shared" si="0"/>
        <v>0</v>
      </c>
      <c r="F53" s="47">
        <v>0</v>
      </c>
      <c r="G53" s="46">
        <v>0</v>
      </c>
      <c r="H53" s="47">
        <v>0</v>
      </c>
      <c r="I53" s="48">
        <v>18.11</v>
      </c>
      <c r="J53" s="48">
        <v>33.799999999999997</v>
      </c>
      <c r="K53" s="52">
        <v>24.06</v>
      </c>
      <c r="L53" s="49">
        <v>11.82</v>
      </c>
      <c r="M53" s="72">
        <f t="shared" si="1"/>
        <v>2.1999999999999997</v>
      </c>
      <c r="N53" s="36">
        <v>2.1999999999999999E-2</v>
      </c>
      <c r="O53" s="68">
        <v>-13.533750000000001</v>
      </c>
      <c r="P53" s="73">
        <v>5.69</v>
      </c>
      <c r="Q53" s="75">
        <v>0.65</v>
      </c>
      <c r="R53" s="35">
        <v>0</v>
      </c>
    </row>
    <row r="54" spans="1:18" ht="20.100000000000001" customHeight="1">
      <c r="A54" s="44" t="s">
        <v>35</v>
      </c>
      <c r="B54" s="44" t="s">
        <v>260</v>
      </c>
      <c r="C54" s="45">
        <f>'Thomson Reuters IMA  ($)'!I65+'Thomson Reuters IMA  ($)'!I66+'Thomson Reuters IMA  ($)'!I68+'Thomson Reuters IMA  ($)'!I69+'Thomson Reuters IMA  ($)'!I70</f>
        <v>162.04300000000001</v>
      </c>
      <c r="D54" s="47">
        <f>'Sectors % GDP'!K5</f>
        <v>174803.34</v>
      </c>
      <c r="E54" s="47">
        <f t="shared" si="0"/>
        <v>9.2700173806747638E-4</v>
      </c>
      <c r="F54" s="47">
        <v>1</v>
      </c>
      <c r="G54" s="46">
        <v>1</v>
      </c>
      <c r="H54" s="47">
        <v>7</v>
      </c>
      <c r="I54" s="48">
        <v>18.11</v>
      </c>
      <c r="J54" s="48">
        <v>33.799999999999997</v>
      </c>
      <c r="K54" s="52">
        <v>24.06</v>
      </c>
      <c r="L54" s="49">
        <v>11.82</v>
      </c>
      <c r="M54" s="72">
        <f t="shared" si="1"/>
        <v>2.1999999999999997</v>
      </c>
      <c r="N54" s="36">
        <v>2.1999999999999999E-2</v>
      </c>
      <c r="O54" s="68">
        <v>-13.533750000000001</v>
      </c>
      <c r="P54" s="73">
        <v>5.69</v>
      </c>
      <c r="Q54" s="75">
        <v>0.65</v>
      </c>
      <c r="R54" s="35">
        <v>1</v>
      </c>
    </row>
    <row r="55" spans="1:18" ht="20.100000000000001" customHeight="1">
      <c r="A55" s="44" t="s">
        <v>35</v>
      </c>
      <c r="B55" s="44" t="s">
        <v>261</v>
      </c>
      <c r="C55" s="45">
        <f>'Thomson Reuters IMA  ($)'!I67</f>
        <v>2.5</v>
      </c>
      <c r="D55" s="47">
        <f>'Sectors % GDP'!K6</f>
        <v>377500.83</v>
      </c>
      <c r="E55" s="47">
        <f t="shared" si="0"/>
        <v>6.6225019955585262E-6</v>
      </c>
      <c r="F55" s="47">
        <v>1</v>
      </c>
      <c r="G55" s="46">
        <v>1</v>
      </c>
      <c r="H55" s="47">
        <v>4</v>
      </c>
      <c r="I55" s="48">
        <v>18.11</v>
      </c>
      <c r="J55" s="48">
        <v>33.799999999999997</v>
      </c>
      <c r="K55" s="52">
        <v>24.06</v>
      </c>
      <c r="L55" s="49">
        <v>11.82</v>
      </c>
      <c r="M55" s="72">
        <f t="shared" si="1"/>
        <v>2.1999999999999997</v>
      </c>
      <c r="N55" s="36">
        <v>2.1999999999999999E-2</v>
      </c>
      <c r="O55" s="68">
        <v>-13.533750000000001</v>
      </c>
      <c r="P55" s="73">
        <v>5.69</v>
      </c>
      <c r="Q55" s="75">
        <v>0.65</v>
      </c>
      <c r="R55" s="35">
        <v>1</v>
      </c>
    </row>
    <row r="56" spans="1:18" ht="20.100000000000001" customHeight="1">
      <c r="A56" s="44" t="s">
        <v>0</v>
      </c>
      <c r="B56" s="44" t="s">
        <v>849</v>
      </c>
      <c r="C56" s="45">
        <v>0</v>
      </c>
      <c r="D56" s="47">
        <f>'Sectors % GDP'!K4</f>
        <v>67565.83</v>
      </c>
      <c r="E56" s="47">
        <f t="shared" si="0"/>
        <v>0</v>
      </c>
      <c r="F56" s="47">
        <v>0</v>
      </c>
      <c r="G56" s="46">
        <v>1</v>
      </c>
      <c r="H56" s="47">
        <v>1</v>
      </c>
      <c r="I56" s="48">
        <v>21.24</v>
      </c>
      <c r="J56" s="48">
        <v>32.29</v>
      </c>
      <c r="K56" s="48">
        <v>35</v>
      </c>
      <c r="L56" s="49">
        <v>11.82</v>
      </c>
      <c r="M56" s="72">
        <f t="shared" si="1"/>
        <v>2.1999999999999997</v>
      </c>
      <c r="N56" s="36">
        <v>2.1999999999999999E-2</v>
      </c>
      <c r="O56" s="68">
        <v>-16.150000000000002</v>
      </c>
      <c r="P56" s="73">
        <v>5.69</v>
      </c>
      <c r="Q56" s="75">
        <v>0.65</v>
      </c>
      <c r="R56" s="37">
        <v>0</v>
      </c>
    </row>
    <row r="57" spans="1:18" ht="20.100000000000001" customHeight="1">
      <c r="A57" s="44" t="s">
        <v>0</v>
      </c>
      <c r="B57" s="44" t="s">
        <v>850</v>
      </c>
      <c r="C57" s="45">
        <f>'Thomson Reuters IMA  ($)'!I71+'Thomson Reuters IMA  ($)'!I72+'Thomson Reuters IMA  ($)'!I73+'Thomson Reuters IMA  ($)'!I74</f>
        <v>53.969000000000001</v>
      </c>
      <c r="D57" s="47">
        <f>'Sectors % GDP'!K5</f>
        <v>174803.34</v>
      </c>
      <c r="E57" s="47">
        <f t="shared" si="0"/>
        <v>3.0874124029895539E-4</v>
      </c>
      <c r="F57" s="47">
        <v>1</v>
      </c>
      <c r="G57" s="46">
        <v>1</v>
      </c>
      <c r="H57" s="47">
        <v>9</v>
      </c>
      <c r="I57" s="48">
        <v>21.24</v>
      </c>
      <c r="J57" s="48">
        <v>32.29</v>
      </c>
      <c r="K57" s="48">
        <v>35</v>
      </c>
      <c r="L57" s="49">
        <v>11.82</v>
      </c>
      <c r="M57" s="72">
        <f t="shared" si="1"/>
        <v>2.1999999999999997</v>
      </c>
      <c r="N57" s="36">
        <v>2.1999999999999999E-2</v>
      </c>
      <c r="O57" s="68">
        <v>-16.150000000000002</v>
      </c>
      <c r="P57" s="73">
        <v>5.69</v>
      </c>
      <c r="Q57" s="75">
        <v>0.65</v>
      </c>
      <c r="R57" s="37">
        <v>1</v>
      </c>
    </row>
    <row r="58" spans="1:18" ht="20.100000000000001" customHeight="1">
      <c r="A58" s="44" t="s">
        <v>0</v>
      </c>
      <c r="B58" s="44" t="s">
        <v>851</v>
      </c>
      <c r="C58" s="45">
        <f>'Thomson Reuters IMA  ($)'!I75+'Thomson Reuters IMA  ($)'!I76</f>
        <v>1065.2950000000001</v>
      </c>
      <c r="D58" s="47">
        <f>'Sectors % GDP'!K6</f>
        <v>377500.83</v>
      </c>
      <c r="E58" s="47">
        <f t="shared" si="0"/>
        <v>2.821967305343408E-3</v>
      </c>
      <c r="F58" s="47">
        <v>1</v>
      </c>
      <c r="G58" s="46">
        <v>1</v>
      </c>
      <c r="H58" s="47">
        <v>3</v>
      </c>
      <c r="I58" s="48">
        <v>21.24</v>
      </c>
      <c r="J58" s="48">
        <v>32.29</v>
      </c>
      <c r="K58" s="48">
        <v>35</v>
      </c>
      <c r="L58" s="49">
        <v>11.82</v>
      </c>
      <c r="M58" s="72">
        <f t="shared" si="1"/>
        <v>2.1999999999999997</v>
      </c>
      <c r="N58" s="36">
        <v>2.1999999999999999E-2</v>
      </c>
      <c r="O58" s="68">
        <v>-16.150000000000002</v>
      </c>
      <c r="P58" s="73">
        <v>5.69</v>
      </c>
      <c r="Q58" s="75">
        <v>0.65</v>
      </c>
      <c r="R58" s="37">
        <v>1</v>
      </c>
    </row>
    <row r="59" spans="1:18" ht="20.100000000000001" customHeight="1">
      <c r="A59" s="44" t="s">
        <v>1</v>
      </c>
      <c r="B59" s="44" t="s">
        <v>817</v>
      </c>
      <c r="C59" s="45">
        <v>0</v>
      </c>
      <c r="D59" s="47">
        <f>'Sectors % GDP'!C8</f>
        <v>130416</v>
      </c>
      <c r="E59" s="47">
        <f t="shared" si="0"/>
        <v>0</v>
      </c>
      <c r="F59" s="47">
        <v>0</v>
      </c>
      <c r="G59" s="46">
        <v>0</v>
      </c>
      <c r="H59" s="47">
        <v>0</v>
      </c>
      <c r="I59" s="48">
        <v>35.770000000000003</v>
      </c>
      <c r="J59" s="54">
        <v>34.43</v>
      </c>
      <c r="K59" s="49">
        <v>66.790000000000006</v>
      </c>
      <c r="L59" s="49">
        <v>17.03</v>
      </c>
      <c r="M59" s="72">
        <f t="shared" si="1"/>
        <v>3</v>
      </c>
      <c r="N59" s="36">
        <v>0.03</v>
      </c>
      <c r="O59" s="68">
        <v>-8.5675000000000026</v>
      </c>
      <c r="P59" s="73">
        <v>5.8</v>
      </c>
      <c r="Q59" s="74">
        <f>'Trade Data'!B8</f>
        <v>2.1643702144485442</v>
      </c>
      <c r="R59" s="35">
        <v>0</v>
      </c>
    </row>
    <row r="60" spans="1:18" ht="20.100000000000001" customHeight="1">
      <c r="A60" s="44" t="s">
        <v>1</v>
      </c>
      <c r="B60" s="44" t="s">
        <v>816</v>
      </c>
      <c r="C60" s="45">
        <f>SUM('Thomson Reuters IMA  ($)'!I77,'Thomson Reuters IMA  ($)'!I80,'Thomson Reuters IMA  ($)'!I81,'Thomson Reuters IMA  ($)'!I82)</f>
        <v>27.853999999999999</v>
      </c>
      <c r="D60" s="47">
        <f>'Sectors % GDP'!C9</f>
        <v>613795</v>
      </c>
      <c r="E60" s="47">
        <f t="shared" si="0"/>
        <v>4.5379972140535518E-5</v>
      </c>
      <c r="F60" s="47">
        <v>1</v>
      </c>
      <c r="G60" s="46">
        <v>1</v>
      </c>
      <c r="H60" s="47">
        <v>24</v>
      </c>
      <c r="I60" s="48">
        <v>35.770000000000003</v>
      </c>
      <c r="J60" s="54">
        <v>34.43</v>
      </c>
      <c r="K60" s="49">
        <v>66.790000000000006</v>
      </c>
      <c r="L60" s="49">
        <v>17.03</v>
      </c>
      <c r="M60" s="72">
        <f t="shared" si="1"/>
        <v>3</v>
      </c>
      <c r="N60" s="36">
        <v>0.03</v>
      </c>
      <c r="O60" s="68">
        <v>-8.5675000000000026</v>
      </c>
      <c r="P60" s="73">
        <v>5.8</v>
      </c>
      <c r="Q60" s="74">
        <f>'Trade Data'!B8</f>
        <v>2.1643702144485442</v>
      </c>
      <c r="R60" s="35">
        <v>1</v>
      </c>
    </row>
    <row r="61" spans="1:18" ht="20.100000000000001" customHeight="1">
      <c r="A61" s="44" t="s">
        <v>1</v>
      </c>
      <c r="B61" s="44" t="s">
        <v>815</v>
      </c>
      <c r="C61" s="45">
        <f>'Thomson Reuters IMA  ($)'!I78+'Thomson Reuters IMA  ($)'!I79+'Thomson Reuters IMA  ($)'!I83+'Thomson Reuters IMA  ($)'!I84+'Thomson Reuters IMA  ($)'!I85+'Thomson Reuters IMA  ($)'!I86</f>
        <v>864.37</v>
      </c>
      <c r="D61" s="47">
        <f>'Sectors % GDP'!C10</f>
        <v>1725789</v>
      </c>
      <c r="E61" s="47">
        <f t="shared" si="0"/>
        <v>5.0085497126241968E-4</v>
      </c>
      <c r="F61" s="47">
        <v>1</v>
      </c>
      <c r="G61" s="46">
        <v>1</v>
      </c>
      <c r="H61" s="47">
        <v>20</v>
      </c>
      <c r="I61" s="48">
        <v>35.770000000000003</v>
      </c>
      <c r="J61" s="54">
        <v>34.43</v>
      </c>
      <c r="K61" s="49">
        <v>66.790000000000006</v>
      </c>
      <c r="L61" s="49">
        <v>17.03</v>
      </c>
      <c r="M61" s="72">
        <f t="shared" si="1"/>
        <v>3</v>
      </c>
      <c r="N61" s="36">
        <v>0.03</v>
      </c>
      <c r="O61" s="68">
        <v>-8.5675000000000026</v>
      </c>
      <c r="P61" s="73">
        <v>5.8</v>
      </c>
      <c r="Q61" s="74">
        <f>'Trade Data'!B8</f>
        <v>2.1643702144485442</v>
      </c>
      <c r="R61" s="35">
        <v>1</v>
      </c>
    </row>
    <row r="62" spans="1:18" ht="20.100000000000001" customHeight="1">
      <c r="A62" s="44" t="s">
        <v>2</v>
      </c>
      <c r="B62" s="44" t="s">
        <v>814</v>
      </c>
      <c r="C62" s="45">
        <v>0</v>
      </c>
      <c r="D62" s="47">
        <f>'Sectors % GDP'!C8</f>
        <v>130416</v>
      </c>
      <c r="E62" s="47">
        <f t="shared" si="0"/>
        <v>0</v>
      </c>
      <c r="F62" s="47">
        <v>0</v>
      </c>
      <c r="G62" s="46">
        <v>0</v>
      </c>
      <c r="H62" s="47">
        <v>0</v>
      </c>
      <c r="I62" s="48">
        <v>20.02</v>
      </c>
      <c r="J62" s="54">
        <v>6.66</v>
      </c>
      <c r="K62" s="48">
        <v>63.76</v>
      </c>
      <c r="L62" s="49">
        <v>17.03</v>
      </c>
      <c r="M62" s="72">
        <f t="shared" si="1"/>
        <v>3</v>
      </c>
      <c r="N62" s="36">
        <v>0.03</v>
      </c>
      <c r="O62" s="68">
        <v>-13.541250000000002</v>
      </c>
      <c r="P62" s="73">
        <v>5.8</v>
      </c>
      <c r="Q62" s="74">
        <f>'Trade Data'!B8</f>
        <v>2.1643702144485442</v>
      </c>
      <c r="R62" s="37">
        <v>0</v>
      </c>
    </row>
    <row r="63" spans="1:18" ht="20.100000000000001" customHeight="1">
      <c r="A63" s="44" t="s">
        <v>2</v>
      </c>
      <c r="B63" s="44" t="s">
        <v>813</v>
      </c>
      <c r="C63" s="45">
        <f>'Thomson Reuters IMA  ($)'!I90+'Thomson Reuters IMA  ($)'!I91+'Thomson Reuters IMA  ($)'!I92+'Thomson Reuters IMA  ($)'!I97+'Thomson Reuters IMA  ($)'!I102+'Thomson Reuters IMA  ($)'!I106</f>
        <v>1936.242</v>
      </c>
      <c r="D63" s="47">
        <f>'Sectors % GDP'!C9</f>
        <v>613795</v>
      </c>
      <c r="E63" s="47">
        <f t="shared" si="0"/>
        <v>3.154541825853909E-3</v>
      </c>
      <c r="F63" s="47">
        <v>1</v>
      </c>
      <c r="G63" s="46">
        <v>1</v>
      </c>
      <c r="H63" s="47">
        <v>22</v>
      </c>
      <c r="I63" s="48">
        <v>20.02</v>
      </c>
      <c r="J63" s="54">
        <v>6.66</v>
      </c>
      <c r="K63" s="48">
        <v>63.76</v>
      </c>
      <c r="L63" s="49">
        <v>17.03</v>
      </c>
      <c r="M63" s="72">
        <f t="shared" si="1"/>
        <v>3</v>
      </c>
      <c r="N63" s="36">
        <v>0.03</v>
      </c>
      <c r="O63" s="68">
        <v>-13.541250000000002</v>
      </c>
      <c r="P63" s="73">
        <v>5.8</v>
      </c>
      <c r="Q63" s="74">
        <f>'Trade Data'!B8</f>
        <v>2.1643702144485442</v>
      </c>
      <c r="R63" s="37">
        <v>1</v>
      </c>
    </row>
    <row r="64" spans="1:18" ht="20.100000000000001" customHeight="1">
      <c r="A64" s="44" t="s">
        <v>880</v>
      </c>
      <c r="B64" s="44" t="s">
        <v>812</v>
      </c>
      <c r="C64" s="45">
        <f>'Thomson Reuters IMA  ($)'!I87+'Thomson Reuters IMA  ($)'!I88+'Thomson Reuters IMA  ($)'!I89+'Thomson Reuters IMA  ($)'!I93+'Thomson Reuters IMA  ($)'!I94+'Thomson Reuters IMA  ($)'!I95+'Thomson Reuters IMA  ($)'!I96+'Thomson Reuters IMA  ($)'!I98+'Thomson Reuters IMA  ($)'!I99+'Thomson Reuters IMA  ($)'!I100+'Thomson Reuters IMA  ($)'!I101+'Thomson Reuters IMA  ($)'!I103+'Thomson Reuters IMA  ($)'!I104+'Thomson Reuters IMA  ($)'!I105</f>
        <v>2220.9870000000001</v>
      </c>
      <c r="D64" s="47">
        <f>'Sectors % GDP'!C10</f>
        <v>1725789</v>
      </c>
      <c r="E64" s="47">
        <f t="shared" si="0"/>
        <v>1.286940060459303E-3</v>
      </c>
      <c r="F64" s="47">
        <v>1</v>
      </c>
      <c r="G64" s="46">
        <v>1</v>
      </c>
      <c r="H64" s="47">
        <v>32</v>
      </c>
      <c r="I64" s="48">
        <v>20.02</v>
      </c>
      <c r="J64" s="54">
        <v>6.66</v>
      </c>
      <c r="K64" s="48">
        <v>63.76</v>
      </c>
      <c r="L64" s="49">
        <v>17.03</v>
      </c>
      <c r="M64" s="72">
        <f t="shared" si="1"/>
        <v>3</v>
      </c>
      <c r="N64" s="36">
        <v>0.03</v>
      </c>
      <c r="O64" s="68">
        <v>-13.541250000000002</v>
      </c>
      <c r="P64" s="73">
        <v>5.8</v>
      </c>
      <c r="Q64" s="74">
        <f>'Trade Data'!B8</f>
        <v>2.1643702144485442</v>
      </c>
      <c r="R64" s="37">
        <v>1</v>
      </c>
    </row>
    <row r="65" spans="1:18" ht="20.100000000000001" customHeight="1">
      <c r="A65" s="44" t="s">
        <v>3</v>
      </c>
      <c r="B65" s="44" t="s">
        <v>811</v>
      </c>
      <c r="C65" s="45">
        <v>0</v>
      </c>
      <c r="D65" s="47">
        <f>'Sectors % GDP'!C8</f>
        <v>130416</v>
      </c>
      <c r="E65" s="47">
        <f t="shared" si="0"/>
        <v>0</v>
      </c>
      <c r="F65" s="47">
        <v>0</v>
      </c>
      <c r="G65" s="46">
        <v>1</v>
      </c>
      <c r="H65" s="47">
        <v>1</v>
      </c>
      <c r="I65" s="48">
        <v>33.24</v>
      </c>
      <c r="J65" s="54">
        <v>34.049999999999997</v>
      </c>
      <c r="K65" s="48">
        <v>60.1</v>
      </c>
      <c r="L65" s="49">
        <v>17.03</v>
      </c>
      <c r="M65" s="72">
        <f t="shared" si="1"/>
        <v>3</v>
      </c>
      <c r="N65" s="36">
        <v>0.03</v>
      </c>
      <c r="O65" s="68">
        <v>-7.916249999999998</v>
      </c>
      <c r="P65" s="73">
        <v>5.8</v>
      </c>
      <c r="Q65" s="74">
        <f>'Trade Data'!B8</f>
        <v>2.1643702144485442</v>
      </c>
      <c r="R65" s="35">
        <v>0</v>
      </c>
    </row>
    <row r="66" spans="1:18" ht="20.100000000000001" customHeight="1">
      <c r="A66" s="44" t="s">
        <v>3</v>
      </c>
      <c r="B66" s="44" t="s">
        <v>810</v>
      </c>
      <c r="C66" s="45">
        <f>'Thomson Reuters IMA  ($)'!I109+'Thomson Reuters IMA  ($)'!I111+'Thomson Reuters IMA  ($)'!I114+'Thomson Reuters IMA  ($)'!I117</f>
        <v>564.99699999999996</v>
      </c>
      <c r="D66" s="47">
        <f>'Sectors % GDP'!C9</f>
        <v>613795</v>
      </c>
      <c r="E66" s="47">
        <f t="shared" ref="E66:E129" si="2">C66/D66</f>
        <v>9.2049788610203728E-4</v>
      </c>
      <c r="F66" s="47">
        <v>1</v>
      </c>
      <c r="G66" s="46">
        <v>1</v>
      </c>
      <c r="H66" s="47">
        <v>17</v>
      </c>
      <c r="I66" s="48">
        <v>33.24</v>
      </c>
      <c r="J66" s="54">
        <v>34.049999999999997</v>
      </c>
      <c r="K66" s="48">
        <v>60.1</v>
      </c>
      <c r="L66" s="49">
        <v>17.03</v>
      </c>
      <c r="M66" s="72">
        <f t="shared" si="1"/>
        <v>3</v>
      </c>
      <c r="N66" s="36">
        <v>0.03</v>
      </c>
      <c r="O66" s="68">
        <v>-7.916249999999998</v>
      </c>
      <c r="P66" s="73">
        <v>5.8</v>
      </c>
      <c r="Q66" s="74">
        <f>'Trade Data'!B8</f>
        <v>2.1643702144485442</v>
      </c>
      <c r="R66" s="35">
        <v>1</v>
      </c>
    </row>
    <row r="67" spans="1:18" ht="20.100000000000001" customHeight="1">
      <c r="A67" s="44" t="s">
        <v>3</v>
      </c>
      <c r="B67" s="44" t="s">
        <v>809</v>
      </c>
      <c r="C67" s="45">
        <f>'Thomson Reuters IMA  ($)'!I107+'Thomson Reuters IMA  ($)'!I108+'Thomson Reuters IMA  ($)'!I110+'Thomson Reuters IMA  ($)'!I112+'Thomson Reuters IMA  ($)'!I113+'Thomson Reuters IMA  ($)'!I115+'Thomson Reuters IMA  ($)'!I116+'Thomson Reuters IMA  ($)'!I118+'Thomson Reuters IMA  ($)'!I119+'Thomson Reuters IMA  ($)'!I120+'Thomson Reuters IMA  ($)'!I121</f>
        <v>5177.4880000000003</v>
      </c>
      <c r="D67" s="47">
        <f>'Sectors % GDP'!C10</f>
        <v>1725789</v>
      </c>
      <c r="E67" s="47">
        <f t="shared" si="2"/>
        <v>3.0000701128585247E-3</v>
      </c>
      <c r="F67" s="47">
        <v>1</v>
      </c>
      <c r="G67" s="46">
        <v>1</v>
      </c>
      <c r="H67" s="47">
        <v>29</v>
      </c>
      <c r="I67" s="48">
        <v>33.24</v>
      </c>
      <c r="J67" s="54">
        <v>34.049999999999997</v>
      </c>
      <c r="K67" s="48">
        <v>60.1</v>
      </c>
      <c r="L67" s="49">
        <v>17.03</v>
      </c>
      <c r="M67" s="72">
        <f t="shared" ref="M67:M130" si="3">N67*100</f>
        <v>3</v>
      </c>
      <c r="N67" s="36">
        <v>0.03</v>
      </c>
      <c r="O67" s="68">
        <v>-7.916249999999998</v>
      </c>
      <c r="P67" s="73">
        <v>5.8</v>
      </c>
      <c r="Q67" s="74">
        <f>'Trade Data'!B8</f>
        <v>2.1643702144485442</v>
      </c>
      <c r="R67" s="35">
        <v>1</v>
      </c>
    </row>
    <row r="68" spans="1:18" ht="20.100000000000001" customHeight="1">
      <c r="A68" s="44" t="s">
        <v>4</v>
      </c>
      <c r="B68" s="44" t="s">
        <v>808</v>
      </c>
      <c r="C68" s="45">
        <v>0</v>
      </c>
      <c r="D68" s="47">
        <f>'Sectors % GDP'!E8</f>
        <v>123738</v>
      </c>
      <c r="E68" s="47">
        <f t="shared" si="2"/>
        <v>0</v>
      </c>
      <c r="F68" s="47">
        <v>0</v>
      </c>
      <c r="G68" s="46">
        <v>0</v>
      </c>
      <c r="H68" s="47">
        <v>0</v>
      </c>
      <c r="I68" s="48">
        <v>21.53</v>
      </c>
      <c r="J68" s="54">
        <v>12.28</v>
      </c>
      <c r="K68" s="48">
        <v>55.65</v>
      </c>
      <c r="L68" s="49">
        <v>17.03</v>
      </c>
      <c r="M68" s="72">
        <f t="shared" si="3"/>
        <v>3</v>
      </c>
      <c r="N68" s="36">
        <v>0.03</v>
      </c>
      <c r="O68" s="68">
        <v>-14.837499999999999</v>
      </c>
      <c r="P68" s="73">
        <v>5.8</v>
      </c>
      <c r="Q68" s="74">
        <f>'Trade Data'!B8</f>
        <v>2.1643702144485442</v>
      </c>
      <c r="R68" s="37">
        <v>0</v>
      </c>
    </row>
    <row r="69" spans="1:18" ht="20.100000000000001" customHeight="1">
      <c r="A69" s="44" t="s">
        <v>4</v>
      </c>
      <c r="B69" s="44" t="s">
        <v>807</v>
      </c>
      <c r="C69" s="45">
        <f>'Thomson Reuters IMA  ($)'!I122+'Thomson Reuters IMA  ($)'!I123+'Thomson Reuters IMA  ($)'!I124+'Thomson Reuters IMA  ($)'!I125+'Thomson Reuters IMA  ($)'!I126+'Thomson Reuters IMA  ($)'!I131</f>
        <v>1196.146</v>
      </c>
      <c r="D69" s="47">
        <f>'Sectors % GDP'!E9</f>
        <v>585234</v>
      </c>
      <c r="E69" s="47">
        <f t="shared" si="2"/>
        <v>2.0438764665074139E-3</v>
      </c>
      <c r="F69" s="47">
        <v>1</v>
      </c>
      <c r="G69" s="46">
        <v>1</v>
      </c>
      <c r="H69" s="47">
        <v>23</v>
      </c>
      <c r="I69" s="48">
        <v>21.53</v>
      </c>
      <c r="J69" s="54">
        <v>12.28</v>
      </c>
      <c r="K69" s="48">
        <v>55.65</v>
      </c>
      <c r="L69" s="49">
        <v>17.03</v>
      </c>
      <c r="M69" s="72">
        <f t="shared" si="3"/>
        <v>3</v>
      </c>
      <c r="N69" s="36">
        <v>0.03</v>
      </c>
      <c r="O69" s="68">
        <v>-14.837499999999999</v>
      </c>
      <c r="P69" s="73">
        <v>5.8</v>
      </c>
      <c r="Q69" s="74">
        <f>'Trade Data'!B8</f>
        <v>2.1643702144485442</v>
      </c>
      <c r="R69" s="37">
        <v>1</v>
      </c>
    </row>
    <row r="70" spans="1:18" ht="20.100000000000001" customHeight="1">
      <c r="A70" s="44" t="s">
        <v>4</v>
      </c>
      <c r="B70" s="44" t="s">
        <v>806</v>
      </c>
      <c r="C70" s="45">
        <f>SUM('Thomson Reuters IMA  ($)'!I127:I130)</f>
        <v>671.98199999999997</v>
      </c>
      <c r="D70" s="47">
        <f>'Sectors % GDP'!E10</f>
        <v>1751028</v>
      </c>
      <c r="E70" s="47">
        <f t="shared" si="2"/>
        <v>3.8376428018284116E-4</v>
      </c>
      <c r="F70" s="47">
        <v>1</v>
      </c>
      <c r="G70" s="46">
        <v>1</v>
      </c>
      <c r="H70" s="47">
        <v>15</v>
      </c>
      <c r="I70" s="48">
        <v>21.53</v>
      </c>
      <c r="J70" s="54">
        <v>12.28</v>
      </c>
      <c r="K70" s="48">
        <v>55.65</v>
      </c>
      <c r="L70" s="49">
        <v>17.03</v>
      </c>
      <c r="M70" s="72">
        <f t="shared" si="3"/>
        <v>3</v>
      </c>
      <c r="N70" s="36">
        <v>0.03</v>
      </c>
      <c r="O70" s="68">
        <v>-14.837499999999999</v>
      </c>
      <c r="P70" s="73">
        <v>5.8</v>
      </c>
      <c r="Q70" s="74">
        <f>'Trade Data'!B8</f>
        <v>2.1643702144485442</v>
      </c>
      <c r="R70" s="37">
        <v>1</v>
      </c>
    </row>
    <row r="71" spans="1:18" ht="20.100000000000001" customHeight="1">
      <c r="A71" s="44" t="s">
        <v>5</v>
      </c>
      <c r="B71" s="44" t="s">
        <v>805</v>
      </c>
      <c r="C71" s="45">
        <v>0</v>
      </c>
      <c r="D71" s="47">
        <f>'Sectors % GDP'!E8</f>
        <v>123738</v>
      </c>
      <c r="E71" s="47">
        <f t="shared" si="2"/>
        <v>0</v>
      </c>
      <c r="F71" s="47">
        <v>0</v>
      </c>
      <c r="G71" s="46">
        <v>1</v>
      </c>
      <c r="H71" s="47">
        <v>1</v>
      </c>
      <c r="I71" s="48">
        <v>26</v>
      </c>
      <c r="J71" s="54">
        <v>16.28</v>
      </c>
      <c r="K71" s="48">
        <v>62.49</v>
      </c>
      <c r="L71" s="49">
        <v>17.03</v>
      </c>
      <c r="M71" s="72">
        <f t="shared" si="3"/>
        <v>0.5</v>
      </c>
      <c r="N71" s="36">
        <v>5.0000000000000001E-3</v>
      </c>
      <c r="O71" s="68">
        <v>-10.582500000000003</v>
      </c>
      <c r="P71" s="73">
        <v>5</v>
      </c>
      <c r="Q71" s="74">
        <f>'Trade Data'!D8</f>
        <v>2.1175705424135502</v>
      </c>
      <c r="R71" s="35">
        <v>0</v>
      </c>
    </row>
    <row r="72" spans="1:18" ht="20.100000000000001" customHeight="1">
      <c r="A72" s="44" t="s">
        <v>5</v>
      </c>
      <c r="B72" s="44" t="s">
        <v>804</v>
      </c>
      <c r="C72" s="45">
        <f>'Thomson Reuters IMA  ($)'!I132+'Thomson Reuters IMA  ($)'!I133+'Thomson Reuters IMA  ($)'!I134+'Thomson Reuters IMA  ($)'!I135+'Thomson Reuters IMA  ($)'!I136+'Thomson Reuters IMA  ($)'!I137+'Thomson Reuters IMA  ($)'!I139+'Thomson Reuters IMA  ($)'!I140+'Thomson Reuters IMA  ($)'!I142+'Thomson Reuters IMA  ($)'!I143+'Thomson Reuters IMA  ($)'!I145</f>
        <v>1512.325</v>
      </c>
      <c r="D72" s="47">
        <f>'Sectors % GDP'!E9</f>
        <v>585234</v>
      </c>
      <c r="E72" s="47">
        <f t="shared" si="2"/>
        <v>2.5841372852568375E-3</v>
      </c>
      <c r="F72" s="47">
        <v>1</v>
      </c>
      <c r="G72" s="46">
        <v>1</v>
      </c>
      <c r="H72" s="47">
        <v>21</v>
      </c>
      <c r="I72" s="48">
        <v>26</v>
      </c>
      <c r="J72" s="54">
        <v>16.28</v>
      </c>
      <c r="K72" s="48">
        <v>62.49</v>
      </c>
      <c r="L72" s="49">
        <v>17.03</v>
      </c>
      <c r="M72" s="72">
        <f t="shared" si="3"/>
        <v>0.5</v>
      </c>
      <c r="N72" s="36">
        <v>5.0000000000000001E-3</v>
      </c>
      <c r="O72" s="68">
        <v>-10.582500000000003</v>
      </c>
      <c r="P72" s="73">
        <v>5</v>
      </c>
      <c r="Q72" s="74">
        <f>'Trade Data'!D8</f>
        <v>2.1175705424135502</v>
      </c>
      <c r="R72" s="35">
        <v>1</v>
      </c>
    </row>
    <row r="73" spans="1:18" ht="20.100000000000001" customHeight="1">
      <c r="A73" s="44" t="s">
        <v>5</v>
      </c>
      <c r="B73" s="44" t="s">
        <v>803</v>
      </c>
      <c r="C73" s="45">
        <f>'Thomson Reuters IMA  ($)'!I138+'Thomson Reuters IMA  ($)'!I141+'Thomson Reuters IMA  ($)'!I144+'Thomson Reuters IMA  ($)'!I146</f>
        <v>3790.8510000000001</v>
      </c>
      <c r="D73" s="47">
        <f>'Sectors % GDP'!E10</f>
        <v>1751028</v>
      </c>
      <c r="E73" s="47">
        <f t="shared" si="2"/>
        <v>2.1649288303784977E-3</v>
      </c>
      <c r="F73" s="47">
        <v>1</v>
      </c>
      <c r="G73" s="46">
        <v>1</v>
      </c>
      <c r="H73" s="47">
        <v>15</v>
      </c>
      <c r="I73" s="48">
        <v>26</v>
      </c>
      <c r="J73" s="54">
        <v>16.28</v>
      </c>
      <c r="K73" s="48">
        <v>62.49</v>
      </c>
      <c r="L73" s="49">
        <v>17.03</v>
      </c>
      <c r="M73" s="72">
        <f t="shared" si="3"/>
        <v>0.5</v>
      </c>
      <c r="N73" s="36">
        <v>5.0000000000000001E-3</v>
      </c>
      <c r="O73" s="68">
        <v>-10.582500000000003</v>
      </c>
      <c r="P73" s="73">
        <v>5</v>
      </c>
      <c r="Q73" s="74">
        <f>'Trade Data'!D8</f>
        <v>2.1175705424135502</v>
      </c>
      <c r="R73" s="35">
        <v>1</v>
      </c>
    </row>
    <row r="74" spans="1:18" ht="20.100000000000001" customHeight="1">
      <c r="A74" s="44" t="s">
        <v>6</v>
      </c>
      <c r="B74" s="44" t="s">
        <v>802</v>
      </c>
      <c r="C74" s="45">
        <v>0</v>
      </c>
      <c r="D74" s="47">
        <f>'Sectors % GDP'!E8</f>
        <v>123738</v>
      </c>
      <c r="E74" s="47">
        <f t="shared" si="2"/>
        <v>0</v>
      </c>
      <c r="F74" s="47">
        <v>0</v>
      </c>
      <c r="G74" s="46">
        <v>1</v>
      </c>
      <c r="H74" s="47">
        <v>1</v>
      </c>
      <c r="I74" s="48">
        <v>29.5</v>
      </c>
      <c r="J74" s="54">
        <v>39.090000000000003</v>
      </c>
      <c r="K74" s="48">
        <v>45.81</v>
      </c>
      <c r="L74" s="49">
        <v>17.03</v>
      </c>
      <c r="M74" s="72">
        <f t="shared" si="3"/>
        <v>0.5</v>
      </c>
      <c r="N74" s="36">
        <v>5.0000000000000001E-3</v>
      </c>
      <c r="O74" s="68">
        <v>-12.446249999999992</v>
      </c>
      <c r="P74" s="73">
        <v>5</v>
      </c>
      <c r="Q74" s="74">
        <f>'Trade Data'!D8</f>
        <v>2.1175705424135502</v>
      </c>
      <c r="R74" s="37">
        <v>0</v>
      </c>
    </row>
    <row r="75" spans="1:18" ht="20.100000000000001" customHeight="1">
      <c r="A75" s="44" t="s">
        <v>6</v>
      </c>
      <c r="B75" s="44" t="s">
        <v>801</v>
      </c>
      <c r="C75" s="45">
        <f>'Thomson Reuters IMA  ($)'!I148+'Thomson Reuters IMA  ($)'!I149+'Thomson Reuters IMA  ($)'!I151+'Thomson Reuters IMA  ($)'!I154+'Thomson Reuters IMA  ($)'!I156+'Thomson Reuters IMA  ($)'!I157</f>
        <v>561.30700000000002</v>
      </c>
      <c r="D75" s="47">
        <f>'Sectors % GDP'!E9</f>
        <v>585234</v>
      </c>
      <c r="E75" s="47">
        <f t="shared" si="2"/>
        <v>9.5911549909950551E-4</v>
      </c>
      <c r="F75" s="47">
        <v>1</v>
      </c>
      <c r="G75" s="46">
        <v>1</v>
      </c>
      <c r="H75" s="47">
        <v>18</v>
      </c>
      <c r="I75" s="48">
        <v>29.5</v>
      </c>
      <c r="J75" s="54">
        <v>39.090000000000003</v>
      </c>
      <c r="K75" s="48">
        <v>45.81</v>
      </c>
      <c r="L75" s="49">
        <v>17.03</v>
      </c>
      <c r="M75" s="72">
        <f t="shared" si="3"/>
        <v>0.5</v>
      </c>
      <c r="N75" s="36">
        <v>5.0000000000000001E-3</v>
      </c>
      <c r="O75" s="68">
        <v>-12.446249999999992</v>
      </c>
      <c r="P75" s="73">
        <v>5</v>
      </c>
      <c r="Q75" s="74">
        <f>'Trade Data'!D8</f>
        <v>2.1175705424135502</v>
      </c>
      <c r="R75" s="37">
        <v>1</v>
      </c>
    </row>
    <row r="76" spans="1:18" ht="20.100000000000001" customHeight="1">
      <c r="A76" s="44" t="s">
        <v>6</v>
      </c>
      <c r="B76" s="44" t="s">
        <v>800</v>
      </c>
      <c r="C76" s="45">
        <f>'Thomson Reuters IMA  ($)'!I147+'Thomson Reuters IMA  ($)'!I150+'Thomson Reuters IMA  ($)'!I152+'Thomson Reuters IMA  ($)'!I153+'Thomson Reuters IMA  ($)'!I155</f>
        <v>158.37700000000001</v>
      </c>
      <c r="D76" s="47">
        <f>'Sectors % GDP'!E10</f>
        <v>1751028</v>
      </c>
      <c r="E76" s="47">
        <f t="shared" si="2"/>
        <v>9.0448011111187259E-5</v>
      </c>
      <c r="F76" s="47">
        <v>1</v>
      </c>
      <c r="G76" s="46">
        <v>1</v>
      </c>
      <c r="H76" s="47">
        <v>21</v>
      </c>
      <c r="I76" s="48">
        <v>29.5</v>
      </c>
      <c r="J76" s="54">
        <v>39.090000000000003</v>
      </c>
      <c r="K76" s="48">
        <v>45.81</v>
      </c>
      <c r="L76" s="49">
        <v>17.03</v>
      </c>
      <c r="M76" s="72">
        <f t="shared" si="3"/>
        <v>0.5</v>
      </c>
      <c r="N76" s="36">
        <v>5.0000000000000001E-3</v>
      </c>
      <c r="O76" s="68">
        <v>-12.446249999999992</v>
      </c>
      <c r="P76" s="73">
        <v>5</v>
      </c>
      <c r="Q76" s="74">
        <f>'Trade Data'!D8</f>
        <v>2.1175705424135502</v>
      </c>
      <c r="R76" s="37">
        <v>1</v>
      </c>
    </row>
    <row r="77" spans="1:18" ht="20.100000000000001" customHeight="1">
      <c r="A77" s="44" t="s">
        <v>7</v>
      </c>
      <c r="B77" s="44" t="s">
        <v>799</v>
      </c>
      <c r="C77" s="45">
        <v>0</v>
      </c>
      <c r="D77" s="47">
        <f>'Sectors % GDP'!E8</f>
        <v>123738</v>
      </c>
      <c r="E77" s="47">
        <f t="shared" si="2"/>
        <v>0</v>
      </c>
      <c r="F77" s="47">
        <v>0</v>
      </c>
      <c r="G77" s="46">
        <v>0</v>
      </c>
      <c r="H77" s="47">
        <v>0</v>
      </c>
      <c r="I77" s="48">
        <v>23.34</v>
      </c>
      <c r="J77" s="54">
        <v>30.51</v>
      </c>
      <c r="K77" s="48">
        <v>37.79</v>
      </c>
      <c r="L77" s="49">
        <v>17.03</v>
      </c>
      <c r="M77" s="72">
        <f t="shared" si="3"/>
        <v>0.5</v>
      </c>
      <c r="N77" s="36">
        <v>5.0000000000000001E-3</v>
      </c>
      <c r="O77" s="68">
        <v>-14.418749999999999</v>
      </c>
      <c r="P77" s="73">
        <v>5</v>
      </c>
      <c r="Q77" s="74">
        <f>'Trade Data'!D8</f>
        <v>2.1175705424135502</v>
      </c>
      <c r="R77" s="35">
        <v>0</v>
      </c>
    </row>
    <row r="78" spans="1:18" ht="20.100000000000001" customHeight="1">
      <c r="A78" s="44" t="s">
        <v>881</v>
      </c>
      <c r="B78" s="44" t="s">
        <v>798</v>
      </c>
      <c r="C78" s="45">
        <f>'Thomson Reuters IMA  ($)'!I160+'Thomson Reuters IMA  ($)'!I161+'Thomson Reuters IMA  ($)'!I162+'Thomson Reuters IMA  ($)'!I164+'Thomson Reuters IMA  ($)'!I166+'Thomson Reuters IMA  ($)'!I170+'Thomson Reuters IMA  ($)'!I171+'Thomson Reuters IMA  ($)'!I172</f>
        <v>172.24699999999999</v>
      </c>
      <c r="D78" s="47">
        <f>'Sectors % GDP'!E9</f>
        <v>585234</v>
      </c>
      <c r="E78" s="47">
        <f t="shared" si="2"/>
        <v>2.9432158760427449E-4</v>
      </c>
      <c r="F78" s="47">
        <v>1</v>
      </c>
      <c r="G78" s="46">
        <v>1</v>
      </c>
      <c r="H78" s="47">
        <v>24</v>
      </c>
      <c r="I78" s="48">
        <v>23.34</v>
      </c>
      <c r="J78" s="54">
        <v>30.51</v>
      </c>
      <c r="K78" s="48">
        <v>37.79</v>
      </c>
      <c r="L78" s="49">
        <v>17.03</v>
      </c>
      <c r="M78" s="72">
        <f t="shared" si="3"/>
        <v>0.5</v>
      </c>
      <c r="N78" s="36">
        <v>5.0000000000000001E-3</v>
      </c>
      <c r="O78" s="68">
        <v>-14.418749999999999</v>
      </c>
      <c r="P78" s="73">
        <v>5</v>
      </c>
      <c r="Q78" s="74">
        <f>'Trade Data'!D8</f>
        <v>2.1175705424135502</v>
      </c>
      <c r="R78" s="35">
        <v>1</v>
      </c>
    </row>
    <row r="79" spans="1:18" ht="20.100000000000001" customHeight="1">
      <c r="A79" s="44" t="s">
        <v>7</v>
      </c>
      <c r="B79" s="44" t="s">
        <v>797</v>
      </c>
      <c r="C79" s="45">
        <f>'Thomson Reuters IMA  ($)'!I158+'Thomson Reuters IMA  ($)'!I159+'Thomson Reuters IMA  ($)'!I163+'Thomson Reuters IMA  ($)'!I165+'Thomson Reuters IMA  ($)'!I167+'Thomson Reuters IMA  ($)'!I168+'Thomson Reuters IMA  ($)'!I169+'Thomson Reuters IMA  ($)'!I173</f>
        <v>187.279</v>
      </c>
      <c r="D79" s="47">
        <f>'Sectors % GDP'!E10</f>
        <v>1751028</v>
      </c>
      <c r="E79" s="47">
        <f t="shared" si="2"/>
        <v>1.0695374374367514E-4</v>
      </c>
      <c r="F79" s="47">
        <v>1</v>
      </c>
      <c r="G79" s="46">
        <v>1</v>
      </c>
      <c r="H79" s="47">
        <v>34</v>
      </c>
      <c r="I79" s="48">
        <v>23.34</v>
      </c>
      <c r="J79" s="54">
        <v>30.51</v>
      </c>
      <c r="K79" s="48">
        <v>37.79</v>
      </c>
      <c r="L79" s="49">
        <v>17.03</v>
      </c>
      <c r="M79" s="72">
        <f t="shared" si="3"/>
        <v>0.5</v>
      </c>
      <c r="N79" s="36">
        <v>5.0000000000000001E-3</v>
      </c>
      <c r="O79" s="68">
        <v>-14.418749999999999</v>
      </c>
      <c r="P79" s="73">
        <v>5</v>
      </c>
      <c r="Q79" s="74">
        <f>'Trade Data'!D8</f>
        <v>2.1175705424135502</v>
      </c>
      <c r="R79" s="35">
        <v>1</v>
      </c>
    </row>
    <row r="80" spans="1:18" ht="20.100000000000001" customHeight="1">
      <c r="A80" s="44" t="s">
        <v>8</v>
      </c>
      <c r="B80" s="44" t="s">
        <v>796</v>
      </c>
      <c r="C80" s="45">
        <f>'Thomson Reuters IMA  ($)'!I179+'Thomson Reuters IMA  ($)'!I180</f>
        <v>21.498999999999999</v>
      </c>
      <c r="D80" s="47">
        <f>'Sectors % GDP'!G8</f>
        <v>89460</v>
      </c>
      <c r="E80" s="47">
        <f t="shared" si="2"/>
        <v>2.4031969595349876E-4</v>
      </c>
      <c r="F80" s="47">
        <v>1</v>
      </c>
      <c r="G80" s="46">
        <v>1</v>
      </c>
      <c r="H80" s="47">
        <v>2</v>
      </c>
      <c r="I80" s="48">
        <v>17.93</v>
      </c>
      <c r="J80" s="48">
        <v>21.26</v>
      </c>
      <c r="K80" s="48">
        <v>34.24</v>
      </c>
      <c r="L80" s="49">
        <v>12.15</v>
      </c>
      <c r="M80" s="72">
        <f t="shared" si="3"/>
        <v>0.5</v>
      </c>
      <c r="N80" s="36">
        <v>5.0000000000000001E-3</v>
      </c>
      <c r="O80" s="68">
        <v>-15.776250000000005</v>
      </c>
      <c r="P80" s="73">
        <v>5</v>
      </c>
      <c r="Q80" s="74">
        <f>'Trade Data'!D8</f>
        <v>2.1175705424135502</v>
      </c>
      <c r="R80" s="37">
        <v>0</v>
      </c>
    </row>
    <row r="81" spans="1:18" ht="20.100000000000001" customHeight="1">
      <c r="A81" s="44" t="s">
        <v>8</v>
      </c>
      <c r="B81" s="44" t="s">
        <v>795</v>
      </c>
      <c r="C81" s="45">
        <f>'Thomson Reuters IMA  ($)'!I174+'Thomson Reuters IMA  ($)'!I175+'Thomson Reuters IMA  ($)'!I183</f>
        <v>56.18</v>
      </c>
      <c r="D81" s="47">
        <f>'Sectors % GDP'!G9</f>
        <v>402300</v>
      </c>
      <c r="E81" s="47">
        <f t="shared" si="2"/>
        <v>1.3964702957991549E-4</v>
      </c>
      <c r="F81" s="47">
        <v>1</v>
      </c>
      <c r="G81" s="46">
        <v>1</v>
      </c>
      <c r="H81" s="47">
        <v>25</v>
      </c>
      <c r="I81" s="48">
        <v>17.93</v>
      </c>
      <c r="J81" s="48">
        <v>21.26</v>
      </c>
      <c r="K81" s="48">
        <v>34.24</v>
      </c>
      <c r="L81" s="49">
        <v>12.15</v>
      </c>
      <c r="M81" s="72">
        <f t="shared" si="3"/>
        <v>0.5</v>
      </c>
      <c r="N81" s="36">
        <v>5.0000000000000001E-3</v>
      </c>
      <c r="O81" s="68">
        <v>-15.776250000000005</v>
      </c>
      <c r="P81" s="73">
        <v>5</v>
      </c>
      <c r="Q81" s="75">
        <f>'Trade Data'!D8</f>
        <v>2.1175705424135502</v>
      </c>
      <c r="R81" s="37">
        <v>1</v>
      </c>
    </row>
    <row r="82" spans="1:18" ht="20.100000000000001" customHeight="1">
      <c r="A82" s="44" t="s">
        <v>8</v>
      </c>
      <c r="B82" s="44" t="s">
        <v>794</v>
      </c>
      <c r="C82" s="45">
        <f>'Thomson Reuters IMA  ($)'!I176+'Thomson Reuters IMA  ($)'!I177+'Thomson Reuters IMA  ($)'!I178+'Thomson Reuters IMA  ($)'!I181+'Thomson Reuters IMA  ($)'!I182+'Thomson Reuters IMA  ($)'!I184+'Thomson Reuters IMA  ($)'!I185+'Thomson Reuters IMA  ($)'!I186</f>
        <v>581.57500000000005</v>
      </c>
      <c r="D82" s="47">
        <f>'Sectors % GDP'!G10</f>
        <v>1308240</v>
      </c>
      <c r="E82" s="47">
        <f t="shared" si="2"/>
        <v>4.4454763651929311E-4</v>
      </c>
      <c r="F82" s="47">
        <v>1</v>
      </c>
      <c r="G82" s="46">
        <v>1</v>
      </c>
      <c r="H82" s="47">
        <v>28</v>
      </c>
      <c r="I82" s="48">
        <v>17.93</v>
      </c>
      <c r="J82" s="48">
        <v>21.26</v>
      </c>
      <c r="K82" s="48">
        <v>34.24</v>
      </c>
      <c r="L82" s="49">
        <v>12.15</v>
      </c>
      <c r="M82" s="72">
        <f t="shared" si="3"/>
        <v>0.5</v>
      </c>
      <c r="N82" s="36">
        <v>5.0000000000000001E-3</v>
      </c>
      <c r="O82" s="68">
        <v>-15.776250000000005</v>
      </c>
      <c r="P82" s="73">
        <v>5</v>
      </c>
      <c r="Q82" s="75">
        <f>'Trade Data'!D8</f>
        <v>2.1175705424135502</v>
      </c>
      <c r="R82" s="37">
        <v>1</v>
      </c>
    </row>
    <row r="83" spans="1:18" ht="20.100000000000001" customHeight="1">
      <c r="A83" s="44" t="s">
        <v>882</v>
      </c>
      <c r="B83" s="44" t="s">
        <v>793</v>
      </c>
      <c r="C83" s="45">
        <v>0</v>
      </c>
      <c r="D83" s="47">
        <f>'Sectors % GDP'!G8</f>
        <v>89460</v>
      </c>
      <c r="E83" s="47">
        <f t="shared" si="2"/>
        <v>0</v>
      </c>
      <c r="F83" s="47">
        <v>0</v>
      </c>
      <c r="G83" s="46">
        <v>1</v>
      </c>
      <c r="H83" s="47">
        <v>2</v>
      </c>
      <c r="I83" s="48">
        <v>14.56</v>
      </c>
      <c r="J83" s="48">
        <v>17.149999999999999</v>
      </c>
      <c r="K83" s="48">
        <v>27.17</v>
      </c>
      <c r="L83" s="49">
        <v>12.15</v>
      </c>
      <c r="M83" s="72">
        <f t="shared" si="3"/>
        <v>-3.8</v>
      </c>
      <c r="N83" s="36">
        <v>-3.7999999999999999E-2</v>
      </c>
      <c r="O83" s="68">
        <v>-18.727499999999999</v>
      </c>
      <c r="P83" s="73">
        <v>5.75</v>
      </c>
      <c r="Q83" s="75">
        <f>'Trade Data'!F8</f>
        <v>1.9495038934441589</v>
      </c>
      <c r="R83" s="35">
        <v>0</v>
      </c>
    </row>
    <row r="84" spans="1:18" ht="20.100000000000001" customHeight="1">
      <c r="A84" s="44" t="s">
        <v>882</v>
      </c>
      <c r="B84" s="44" t="s">
        <v>792</v>
      </c>
      <c r="C84" s="45">
        <f>'Thomson Reuters IMA  ($)'!I187+'Thomson Reuters IMA  ($)'!I188+'Thomson Reuters IMA  ($)'!I189+'Thomson Reuters IMA  ($)'!I190+'Thomson Reuters IMA  ($)'!I192+'Thomson Reuters IMA  ($)'!I195+'Thomson Reuters IMA  ($)'!I197+'Thomson Reuters IMA  ($)'!I198+'Thomson Reuters IMA  ($)'!I199+'Thomson Reuters IMA  ($)'!I203+'Thomson Reuters IMA  ($)'!I207+'Thomson Reuters IMA  ($)'!I208+'Thomson Reuters IMA  ($)'!I210</f>
        <v>5247.4809999999998</v>
      </c>
      <c r="D84" s="47">
        <f>'Sectors % GDP'!G9</f>
        <v>402300</v>
      </c>
      <c r="E84" s="47">
        <f t="shared" si="2"/>
        <v>1.304370121799652E-2</v>
      </c>
      <c r="F84" s="47">
        <v>1</v>
      </c>
      <c r="G84" s="46">
        <v>1</v>
      </c>
      <c r="H84" s="47">
        <v>25</v>
      </c>
      <c r="I84" s="48">
        <v>14.56</v>
      </c>
      <c r="J84" s="48">
        <v>17.149999999999999</v>
      </c>
      <c r="K84" s="48">
        <v>27.17</v>
      </c>
      <c r="L84" s="49">
        <v>12.15</v>
      </c>
      <c r="M84" s="72">
        <f t="shared" si="3"/>
        <v>-3.8</v>
      </c>
      <c r="N84" s="36">
        <v>-3.7999999999999999E-2</v>
      </c>
      <c r="O84" s="68">
        <v>-18.727499999999999</v>
      </c>
      <c r="P84" s="73">
        <v>5.75</v>
      </c>
      <c r="Q84" s="74">
        <f>'Trade Data'!F8</f>
        <v>1.9495038934441589</v>
      </c>
      <c r="R84" s="35">
        <v>1</v>
      </c>
    </row>
    <row r="85" spans="1:18" ht="20.100000000000001" customHeight="1">
      <c r="A85" s="44" t="s">
        <v>882</v>
      </c>
      <c r="B85" s="44" t="s">
        <v>791</v>
      </c>
      <c r="C85" s="45">
        <f>'Thomson Reuters IMA  ($)'!I191+'Thomson Reuters IMA  ($)'!I193+'Thomson Reuters IMA  ($)'!I194+'Thomson Reuters IMA  ($)'!I196+'Thomson Reuters IMA  ($)'!I200+'Thomson Reuters IMA  ($)'!I201+'Thomson Reuters IMA  ($)'!I202+'Thomson Reuters IMA  ($)'!I204+'Thomson Reuters IMA  ($)'!I205+'Thomson Reuters IMA  ($)'!I206+'Thomson Reuters IMA  ($)'!I209</f>
        <v>1214.67</v>
      </c>
      <c r="D85" s="47">
        <f>'Sectors % GDP'!G10</f>
        <v>1308240</v>
      </c>
      <c r="E85" s="47">
        <f t="shared" si="2"/>
        <v>9.2847642634379015E-4</v>
      </c>
      <c r="F85" s="47">
        <v>1</v>
      </c>
      <c r="G85" s="46">
        <v>1</v>
      </c>
      <c r="H85" s="47">
        <v>26</v>
      </c>
      <c r="I85" s="48">
        <v>14.56</v>
      </c>
      <c r="J85" s="48">
        <v>17.149999999999999</v>
      </c>
      <c r="K85" s="48">
        <v>27.17</v>
      </c>
      <c r="L85" s="49">
        <v>12.15</v>
      </c>
      <c r="M85" s="72">
        <f t="shared" si="3"/>
        <v>-3.8</v>
      </c>
      <c r="N85" s="36">
        <v>-3.7999999999999999E-2</v>
      </c>
      <c r="O85" s="68">
        <v>-18.727499999999999</v>
      </c>
      <c r="P85" s="73">
        <v>5.75</v>
      </c>
      <c r="Q85" s="74">
        <f>'Trade Data'!F8</f>
        <v>1.9495038934441589</v>
      </c>
      <c r="R85" s="35">
        <v>1</v>
      </c>
    </row>
    <row r="86" spans="1:18" ht="20.100000000000001" customHeight="1">
      <c r="A86" s="44" t="s">
        <v>10</v>
      </c>
      <c r="B86" s="44" t="s">
        <v>790</v>
      </c>
      <c r="C86" s="45">
        <v>0</v>
      </c>
      <c r="D86" s="47">
        <f>'Sectors % GDP'!G8</f>
        <v>89460</v>
      </c>
      <c r="E86" s="47">
        <f t="shared" si="2"/>
        <v>0</v>
      </c>
      <c r="F86" s="47">
        <v>0</v>
      </c>
      <c r="G86" s="46">
        <v>1</v>
      </c>
      <c r="H86" s="47">
        <v>1</v>
      </c>
      <c r="I86" s="48">
        <v>16.5</v>
      </c>
      <c r="J86" s="55">
        <v>26.8</v>
      </c>
      <c r="K86" s="49">
        <v>25.37</v>
      </c>
      <c r="L86" s="49">
        <v>12.15</v>
      </c>
      <c r="M86" s="72">
        <f t="shared" si="3"/>
        <v>-3.8</v>
      </c>
      <c r="N86" s="36">
        <v>-3.7999999999999999E-2</v>
      </c>
      <c r="O86" s="68">
        <v>-21.557499999999997</v>
      </c>
      <c r="P86" s="73">
        <v>5.75</v>
      </c>
      <c r="Q86" s="74">
        <f>'Trade Data'!F8</f>
        <v>1.9495038934441589</v>
      </c>
      <c r="R86" s="37">
        <v>0</v>
      </c>
    </row>
    <row r="87" spans="1:18" ht="20.100000000000001" customHeight="1">
      <c r="A87" s="44" t="s">
        <v>10</v>
      </c>
      <c r="B87" s="44" t="s">
        <v>789</v>
      </c>
      <c r="C87" s="45">
        <f>'Thomson Reuters IMA  ($)'!I214+'Thomson Reuters IMA  ($)'!I218+'Thomson Reuters IMA  ($)'!I219</f>
        <v>466.01900000000001</v>
      </c>
      <c r="D87" s="47">
        <f>'Sectors % GDP'!G9</f>
        <v>402300</v>
      </c>
      <c r="E87" s="47">
        <f t="shared" si="2"/>
        <v>1.1583867760377828E-3</v>
      </c>
      <c r="F87" s="47">
        <v>1</v>
      </c>
      <c r="G87" s="46">
        <v>1</v>
      </c>
      <c r="H87" s="47">
        <v>17</v>
      </c>
      <c r="I87" s="48">
        <v>16.5</v>
      </c>
      <c r="J87" s="55">
        <v>26.8</v>
      </c>
      <c r="K87" s="49">
        <v>25.37</v>
      </c>
      <c r="L87" s="49">
        <v>12.15</v>
      </c>
      <c r="M87" s="72">
        <f t="shared" si="3"/>
        <v>-3.8</v>
      </c>
      <c r="N87" s="36">
        <v>-3.7999999999999999E-2</v>
      </c>
      <c r="O87" s="68">
        <v>-21.557499999999997</v>
      </c>
      <c r="P87" s="73">
        <v>5.75</v>
      </c>
      <c r="Q87" s="74">
        <f>'Trade Data'!F8</f>
        <v>1.9495038934441589</v>
      </c>
      <c r="R87" s="37">
        <v>1</v>
      </c>
    </row>
    <row r="88" spans="1:18" ht="20.100000000000001" customHeight="1">
      <c r="A88" s="44" t="s">
        <v>10</v>
      </c>
      <c r="B88" s="44" t="s">
        <v>788</v>
      </c>
      <c r="C88" s="45">
        <f>'Thomson Reuters IMA  ($)'!I212+'Thomson Reuters IMA  ($)'!I215+'Thomson Reuters IMA  ($)'!I216+'Thomson Reuters IMA  ($)'!I217+'Thomson Reuters IMA  ($)'!I220+'Thomson Reuters IMA  ($)'!I221</f>
        <v>1438.481</v>
      </c>
      <c r="D88" s="47">
        <f>'Sectors % GDP'!G10</f>
        <v>1308240</v>
      </c>
      <c r="E88" s="47">
        <f t="shared" si="2"/>
        <v>1.0995543631138018E-3</v>
      </c>
      <c r="F88" s="47">
        <v>1</v>
      </c>
      <c r="G88" s="46">
        <v>1</v>
      </c>
      <c r="H88" s="47">
        <v>28</v>
      </c>
      <c r="I88" s="48">
        <v>16.5</v>
      </c>
      <c r="J88" s="55">
        <v>26.8</v>
      </c>
      <c r="K88" s="49">
        <v>25.37</v>
      </c>
      <c r="L88" s="49">
        <v>12.15</v>
      </c>
      <c r="M88" s="72">
        <f t="shared" si="3"/>
        <v>-3.8</v>
      </c>
      <c r="N88" s="36">
        <v>-3.7999999999999999E-2</v>
      </c>
      <c r="O88" s="68">
        <v>-21.557499999999997</v>
      </c>
      <c r="P88" s="73">
        <v>5.75</v>
      </c>
      <c r="Q88" s="74">
        <f>'Trade Data'!F8</f>
        <v>1.9495038934441589</v>
      </c>
      <c r="R88" s="37">
        <v>1</v>
      </c>
    </row>
    <row r="89" spans="1:18" ht="20.100000000000001" customHeight="1">
      <c r="A89" s="44" t="s">
        <v>11</v>
      </c>
      <c r="B89" s="44" t="s">
        <v>787</v>
      </c>
      <c r="C89" s="45">
        <v>0</v>
      </c>
      <c r="D89" s="47">
        <f>'Sectors % GDP'!G8</f>
        <v>89460</v>
      </c>
      <c r="E89" s="47">
        <f t="shared" si="2"/>
        <v>0</v>
      </c>
      <c r="F89" s="47">
        <v>0</v>
      </c>
      <c r="G89" s="46">
        <v>1</v>
      </c>
      <c r="H89" s="47">
        <v>1</v>
      </c>
      <c r="I89" s="48">
        <v>9</v>
      </c>
      <c r="J89" s="48">
        <v>4.95</v>
      </c>
      <c r="K89" s="48">
        <v>24.06</v>
      </c>
      <c r="L89" s="49">
        <v>12.15</v>
      </c>
      <c r="M89" s="72">
        <f t="shared" si="3"/>
        <v>-3.8</v>
      </c>
      <c r="N89" s="36">
        <v>-3.7999999999999999E-2</v>
      </c>
      <c r="O89" s="68">
        <v>-21.947500000000002</v>
      </c>
      <c r="P89" s="73">
        <v>5.75</v>
      </c>
      <c r="Q89" s="74">
        <f>'Trade Data'!F8</f>
        <v>1.9495038934441589</v>
      </c>
      <c r="R89" s="35">
        <v>0</v>
      </c>
    </row>
    <row r="90" spans="1:18" ht="20.100000000000001" customHeight="1">
      <c r="A90" s="44" t="s">
        <v>11</v>
      </c>
      <c r="B90" s="44" t="s">
        <v>786</v>
      </c>
      <c r="C90" s="45">
        <f>'Thomson Reuters IMA  ($)'!I222+'Thomson Reuters IMA  ($)'!I224+'Thomson Reuters IMA  ($)'!I226+'Thomson Reuters IMA  ($)'!I229+'Thomson Reuters IMA  ($)'!I230+'Thomson Reuters IMA  ($)'!I232+'Thomson Reuters IMA  ($)'!I233+'Thomson Reuters IMA  ($)'!I235+'Thomson Reuters IMA  ($)'!I237+'Thomson Reuters IMA  ($)'!I241</f>
        <v>2530.8119999999999</v>
      </c>
      <c r="D90" s="47">
        <f>'Sectors % GDP'!G9</f>
        <v>402300</v>
      </c>
      <c r="E90" s="47">
        <f t="shared" si="2"/>
        <v>6.2908575689783744E-3</v>
      </c>
      <c r="F90" s="47">
        <v>1</v>
      </c>
      <c r="G90" s="46">
        <v>1</v>
      </c>
      <c r="H90" s="47">
        <v>30</v>
      </c>
      <c r="I90" s="48">
        <v>9</v>
      </c>
      <c r="J90" s="48">
        <v>4.95</v>
      </c>
      <c r="K90" s="48">
        <v>24.06</v>
      </c>
      <c r="L90" s="49">
        <v>12.15</v>
      </c>
      <c r="M90" s="72">
        <f t="shared" si="3"/>
        <v>-3.8</v>
      </c>
      <c r="N90" s="36">
        <v>-3.7999999999999999E-2</v>
      </c>
      <c r="O90" s="68">
        <v>-21.947500000000002</v>
      </c>
      <c r="P90" s="73">
        <v>5.75</v>
      </c>
      <c r="Q90" s="74">
        <f>'Trade Data'!F8</f>
        <v>1.9495038934441589</v>
      </c>
      <c r="R90" s="35">
        <v>1</v>
      </c>
    </row>
    <row r="91" spans="1:18" ht="20.100000000000001" customHeight="1">
      <c r="A91" s="44" t="s">
        <v>11</v>
      </c>
      <c r="B91" s="44" t="s">
        <v>785</v>
      </c>
      <c r="C91" s="45">
        <f>'Thomson Reuters IMA  ($)'!I223+'Thomson Reuters IMA  ($)'!I225+'Thomson Reuters IMA  ($)'!I227+'Thomson Reuters IMA  ($)'!I228+'Thomson Reuters IMA  ($)'!I231+'Thomson Reuters IMA  ($)'!I234+'Thomson Reuters IMA  ($)'!I236+'Thomson Reuters IMA  ($)'!I238+'Thomson Reuters IMA  ($)'!I239+'Thomson Reuters IMA  ($)'!I240+'Thomson Reuters IMA  ($)'!I242</f>
        <v>6613.8109999999997</v>
      </c>
      <c r="D91" s="47">
        <f>'Sectors % GDP'!G10</f>
        <v>1308240</v>
      </c>
      <c r="E91" s="47">
        <f t="shared" si="2"/>
        <v>5.0555028129395212E-3</v>
      </c>
      <c r="F91" s="47">
        <v>1</v>
      </c>
      <c r="G91" s="46">
        <v>1</v>
      </c>
      <c r="H91" s="47">
        <v>33</v>
      </c>
      <c r="I91" s="48">
        <v>9</v>
      </c>
      <c r="J91" s="48">
        <v>4.95</v>
      </c>
      <c r="K91" s="48">
        <v>24.06</v>
      </c>
      <c r="L91" s="49">
        <v>12.15</v>
      </c>
      <c r="M91" s="72">
        <f t="shared" si="3"/>
        <v>-3.8</v>
      </c>
      <c r="N91" s="36">
        <v>-3.7999999999999999E-2</v>
      </c>
      <c r="O91" s="68">
        <v>-21.947500000000002</v>
      </c>
      <c r="P91" s="73">
        <v>5.75</v>
      </c>
      <c r="Q91" s="74">
        <f>'Trade Data'!F8</f>
        <v>1.9495038934441589</v>
      </c>
      <c r="R91" s="35">
        <v>1</v>
      </c>
    </row>
    <row r="92" spans="1:18" ht="20.100000000000001" customHeight="1">
      <c r="A92" s="44" t="s">
        <v>12</v>
      </c>
      <c r="B92" s="44" t="s">
        <v>784</v>
      </c>
      <c r="C92" s="45">
        <v>0</v>
      </c>
      <c r="D92" s="47">
        <f>'Sectors % GDP'!I8</f>
        <v>98100</v>
      </c>
      <c r="E92" s="47">
        <f t="shared" si="2"/>
        <v>0</v>
      </c>
      <c r="F92" s="47">
        <v>0</v>
      </c>
      <c r="G92" s="46">
        <v>0</v>
      </c>
      <c r="H92" s="47">
        <v>0</v>
      </c>
      <c r="I92" s="48">
        <v>10.64</v>
      </c>
      <c r="J92" s="48">
        <v>9.99</v>
      </c>
      <c r="K92" s="49">
        <v>22.13</v>
      </c>
      <c r="L92" s="49">
        <v>11.76</v>
      </c>
      <c r="M92" s="72">
        <f t="shared" si="3"/>
        <v>-3.8</v>
      </c>
      <c r="N92" s="36">
        <v>-3.7999999999999999E-2</v>
      </c>
      <c r="O92" s="68">
        <v>-20.653750000000002</v>
      </c>
      <c r="P92" s="73">
        <v>5.75</v>
      </c>
      <c r="Q92" s="74">
        <f>'Trade Data'!F8</f>
        <v>1.9495038934441589</v>
      </c>
      <c r="R92" s="37">
        <v>0</v>
      </c>
    </row>
    <row r="93" spans="1:18" ht="20.100000000000001" customHeight="1">
      <c r="A93" s="44" t="s">
        <v>12</v>
      </c>
      <c r="B93" s="44" t="s">
        <v>783</v>
      </c>
      <c r="C93" s="45">
        <f>'Thomson Reuters IMA  ($)'!I243+'Thomson Reuters IMA  ($)'!I247+'Thomson Reuters IMA  ($)'!I248+'Thomson Reuters IMA  ($)'!I249+'Thomson Reuters IMA  ($)'!I251</f>
        <v>237.95099999999999</v>
      </c>
      <c r="D93" s="47">
        <f>'Sectors % GDP'!I9</f>
        <v>382320</v>
      </c>
      <c r="E93" s="47">
        <f t="shared" si="2"/>
        <v>6.2238700564971753E-4</v>
      </c>
      <c r="F93" s="47">
        <v>1</v>
      </c>
      <c r="G93" s="46">
        <v>1</v>
      </c>
      <c r="H93" s="47">
        <v>19</v>
      </c>
      <c r="I93" s="48">
        <v>10.64</v>
      </c>
      <c r="J93" s="48">
        <v>9.99</v>
      </c>
      <c r="K93" s="49">
        <v>22.13</v>
      </c>
      <c r="L93" s="49">
        <v>11.76</v>
      </c>
      <c r="M93" s="72">
        <f t="shared" si="3"/>
        <v>-3.8</v>
      </c>
      <c r="N93" s="36">
        <v>-3.7999999999999999E-2</v>
      </c>
      <c r="O93" s="68">
        <v>-20.653750000000002</v>
      </c>
      <c r="P93" s="73">
        <v>5.75</v>
      </c>
      <c r="Q93" s="74">
        <f>'Trade Data'!F8</f>
        <v>1.9495038934441589</v>
      </c>
      <c r="R93" s="37">
        <v>1</v>
      </c>
    </row>
    <row r="94" spans="1:18" ht="20.100000000000001" customHeight="1">
      <c r="A94" s="44" t="s">
        <v>12</v>
      </c>
      <c r="B94" s="44" t="s">
        <v>782</v>
      </c>
      <c r="C94" s="45">
        <f>'Thomson Reuters IMA  ($)'!I250+'Thomson Reuters IMA  ($)'!I246+'Thomson Reuters IMA  ($)'!I245+'Thomson Reuters IMA  ($)'!I244+'Thomson Reuters IMA  ($)'!I243</f>
        <v>58.145000000000003</v>
      </c>
      <c r="D94" s="47">
        <f>'Sectors % GDP'!I10</f>
        <v>1319400</v>
      </c>
      <c r="E94" s="47">
        <f t="shared" si="2"/>
        <v>4.406927391238442E-5</v>
      </c>
      <c r="F94" s="47">
        <v>1</v>
      </c>
      <c r="G94" s="46">
        <v>1</v>
      </c>
      <c r="H94" s="47">
        <v>22</v>
      </c>
      <c r="I94" s="48">
        <v>10.64</v>
      </c>
      <c r="J94" s="48">
        <v>9.99</v>
      </c>
      <c r="K94" s="49">
        <v>22.13</v>
      </c>
      <c r="L94" s="49">
        <v>11.76</v>
      </c>
      <c r="M94" s="72">
        <f t="shared" si="3"/>
        <v>-3.8</v>
      </c>
      <c r="N94" s="36">
        <v>-3.7999999999999999E-2</v>
      </c>
      <c r="O94" s="68">
        <v>-20.653750000000002</v>
      </c>
      <c r="P94" s="73">
        <v>5.75</v>
      </c>
      <c r="Q94" s="74">
        <f>'Trade Data'!F8</f>
        <v>1.9495038934441589</v>
      </c>
      <c r="R94" s="37">
        <v>1</v>
      </c>
    </row>
    <row r="95" spans="1:18" ht="20.100000000000001" customHeight="1">
      <c r="A95" s="44" t="s">
        <v>13</v>
      </c>
      <c r="B95" s="44" t="s">
        <v>781</v>
      </c>
      <c r="C95" s="45">
        <v>0</v>
      </c>
      <c r="D95" s="47">
        <f>'Sectors % GDP'!I8</f>
        <v>98100</v>
      </c>
      <c r="E95" s="47">
        <f t="shared" si="2"/>
        <v>0</v>
      </c>
      <c r="F95" s="47">
        <v>0</v>
      </c>
      <c r="G95" s="46">
        <v>0</v>
      </c>
      <c r="H95" s="47">
        <v>0</v>
      </c>
      <c r="I95" s="48">
        <v>20.91</v>
      </c>
      <c r="J95" s="48">
        <v>44.83</v>
      </c>
      <c r="K95" s="48">
        <v>25.35</v>
      </c>
      <c r="L95" s="49">
        <v>11.76</v>
      </c>
      <c r="M95" s="72">
        <f t="shared" si="3"/>
        <v>-3.5999999999999996</v>
      </c>
      <c r="N95" s="36">
        <v>-3.5999999999999997E-2</v>
      </c>
      <c r="O95" s="68">
        <v>-15.715</v>
      </c>
      <c r="P95" s="73">
        <v>6.25</v>
      </c>
      <c r="Q95" s="74">
        <f>'Trade Data'!H8</f>
        <v>1.8710074189599308</v>
      </c>
      <c r="R95" s="35">
        <v>0</v>
      </c>
    </row>
    <row r="96" spans="1:18" ht="20.100000000000001" customHeight="1">
      <c r="A96" s="44" t="s">
        <v>13</v>
      </c>
      <c r="B96" s="44" t="s">
        <v>780</v>
      </c>
      <c r="C96" s="45">
        <f>'Thomson Reuters IMA  ($)'!I252+'Thomson Reuters IMA  ($)'!I253+'Thomson Reuters IMA  ($)'!I255+'Thomson Reuters IMA  ($)'!I260</f>
        <v>1707.55</v>
      </c>
      <c r="D96" s="47">
        <f>'Sectors % GDP'!I9</f>
        <v>382320</v>
      </c>
      <c r="E96" s="47">
        <f t="shared" si="2"/>
        <v>4.466284787612471E-3</v>
      </c>
      <c r="F96" s="47">
        <v>1</v>
      </c>
      <c r="G96" s="46">
        <v>1</v>
      </c>
      <c r="H96" s="47">
        <v>14</v>
      </c>
      <c r="I96" s="48">
        <v>20.91</v>
      </c>
      <c r="J96" s="48">
        <v>44.83</v>
      </c>
      <c r="K96" s="48">
        <v>25.35</v>
      </c>
      <c r="L96" s="49">
        <v>11.76</v>
      </c>
      <c r="M96" s="72">
        <f t="shared" si="3"/>
        <v>-3.5999999999999996</v>
      </c>
      <c r="N96" s="36">
        <v>-3.5999999999999997E-2</v>
      </c>
      <c r="O96" s="68">
        <v>-15.715</v>
      </c>
      <c r="P96" s="73">
        <v>6.25</v>
      </c>
      <c r="Q96" s="74">
        <f>'Trade Data'!H8</f>
        <v>1.8710074189599308</v>
      </c>
      <c r="R96" s="35">
        <v>1</v>
      </c>
    </row>
    <row r="97" spans="1:18" ht="20.100000000000001" customHeight="1">
      <c r="A97" s="44" t="s">
        <v>13</v>
      </c>
      <c r="B97" s="44" t="s">
        <v>779</v>
      </c>
      <c r="C97" s="45">
        <f>'Thomson Reuters IMA  ($)'!I254+'Thomson Reuters IMA  ($)'!I256+'Thomson Reuters IMA  ($)'!I257+'Thomson Reuters IMA  ($)'!I258+'Thomson Reuters IMA  ($)'!I259</f>
        <v>410.90999999999997</v>
      </c>
      <c r="D97" s="47">
        <f>'Sectors % GDP'!I10</f>
        <v>1319400</v>
      </c>
      <c r="E97" s="47">
        <f t="shared" si="2"/>
        <v>3.1143701682582992E-4</v>
      </c>
      <c r="F97" s="47">
        <v>1</v>
      </c>
      <c r="G97" s="46">
        <v>1</v>
      </c>
      <c r="H97" s="47">
        <v>16</v>
      </c>
      <c r="I97" s="48">
        <v>20.91</v>
      </c>
      <c r="J97" s="48">
        <v>44.83</v>
      </c>
      <c r="K97" s="48">
        <v>25.35</v>
      </c>
      <c r="L97" s="49">
        <v>11.76</v>
      </c>
      <c r="M97" s="72">
        <f t="shared" si="3"/>
        <v>-3.5999999999999996</v>
      </c>
      <c r="N97" s="36">
        <v>-3.5999999999999997E-2</v>
      </c>
      <c r="O97" s="68">
        <v>-15.715</v>
      </c>
      <c r="P97" s="73">
        <v>6.25</v>
      </c>
      <c r="Q97" s="74">
        <f>'Trade Data'!H8</f>
        <v>1.8710074189599308</v>
      </c>
      <c r="R97" s="35">
        <v>1</v>
      </c>
    </row>
    <row r="98" spans="1:18" ht="20.100000000000001" customHeight="1">
      <c r="A98" s="44" t="s">
        <v>14</v>
      </c>
      <c r="B98" s="44" t="s">
        <v>778</v>
      </c>
      <c r="C98" s="45">
        <v>0</v>
      </c>
      <c r="D98" s="47">
        <f>'Sectors % GDP'!I8</f>
        <v>98100</v>
      </c>
      <c r="E98" s="47">
        <f t="shared" si="2"/>
        <v>0</v>
      </c>
      <c r="F98" s="47">
        <v>0</v>
      </c>
      <c r="G98" s="46">
        <v>0</v>
      </c>
      <c r="H98" s="47">
        <v>0</v>
      </c>
      <c r="I98" s="48">
        <v>21.37</v>
      </c>
      <c r="J98" s="48">
        <v>39.130000000000003</v>
      </c>
      <c r="K98" s="49">
        <v>31.18</v>
      </c>
      <c r="L98" s="49">
        <v>11.76</v>
      </c>
      <c r="M98" s="72">
        <f t="shared" si="3"/>
        <v>-3.5999999999999996</v>
      </c>
      <c r="N98" s="36">
        <v>-3.5999999999999997E-2</v>
      </c>
      <c r="O98" s="68">
        <v>-13.601249999999997</v>
      </c>
      <c r="P98" s="73">
        <v>6.25</v>
      </c>
      <c r="Q98" s="74">
        <f>'Trade Data'!H8</f>
        <v>1.8710074189599308</v>
      </c>
      <c r="R98" s="37">
        <v>0</v>
      </c>
    </row>
    <row r="99" spans="1:18" ht="20.100000000000001" customHeight="1">
      <c r="A99" s="44" t="s">
        <v>14</v>
      </c>
      <c r="B99" s="44" t="s">
        <v>777</v>
      </c>
      <c r="C99" s="45">
        <f>'Thomson Reuters IMA  ($)'!I261+'Thomson Reuters IMA  ($)'!I263+'Thomson Reuters IMA  ($)'!I265+'Thomson Reuters IMA  ($)'!I266+'Thomson Reuters IMA  ($)'!I270+'Thomson Reuters IMA  ($)'!I272+'Thomson Reuters IMA  ($)'!I276</f>
        <v>602.30099999999993</v>
      </c>
      <c r="D99" s="47">
        <f>'Sectors % GDP'!I9</f>
        <v>382320</v>
      </c>
      <c r="E99" s="47">
        <f t="shared" si="2"/>
        <v>1.5753844946641555E-3</v>
      </c>
      <c r="F99" s="47">
        <v>1</v>
      </c>
      <c r="G99" s="46">
        <v>1</v>
      </c>
      <c r="H99" s="47">
        <v>21</v>
      </c>
      <c r="I99" s="48">
        <v>21.37</v>
      </c>
      <c r="J99" s="48">
        <v>39.130000000000003</v>
      </c>
      <c r="K99" s="49">
        <v>31.18</v>
      </c>
      <c r="L99" s="49">
        <v>11.76</v>
      </c>
      <c r="M99" s="72">
        <f t="shared" si="3"/>
        <v>-3.5999999999999996</v>
      </c>
      <c r="N99" s="36">
        <v>-3.5999999999999997E-2</v>
      </c>
      <c r="O99" s="68">
        <v>-13.601249999999997</v>
      </c>
      <c r="P99" s="73">
        <v>6.25</v>
      </c>
      <c r="Q99" s="74">
        <f>'Trade Data'!H8</f>
        <v>1.8710074189599308</v>
      </c>
      <c r="R99" s="37">
        <v>1</v>
      </c>
    </row>
    <row r="100" spans="1:18" ht="20.100000000000001" customHeight="1">
      <c r="A100" s="44" t="s">
        <v>14</v>
      </c>
      <c r="B100" s="44" t="s">
        <v>776</v>
      </c>
      <c r="C100" s="45">
        <f>'Thomson Reuters IMA  ($)'!I262+'Thomson Reuters IMA  ($)'!I264+'Thomson Reuters IMA  ($)'!I267+'Thomson Reuters IMA  ($)'!I268+'Thomson Reuters IMA  ($)'!I269+'Thomson Reuters IMA  ($)'!I271+'Thomson Reuters IMA  ($)'!I273+'Thomson Reuters IMA  ($)'!I274+'Thomson Reuters IMA  ($)'!I275</f>
        <v>595.88900000000001</v>
      </c>
      <c r="D100" s="47">
        <f>'Sectors % GDP'!I10</f>
        <v>1319400</v>
      </c>
      <c r="E100" s="47">
        <f t="shared" si="2"/>
        <v>4.5163634985599514E-4</v>
      </c>
      <c r="F100" s="47">
        <v>1</v>
      </c>
      <c r="G100" s="46">
        <v>1</v>
      </c>
      <c r="H100" s="47">
        <v>31</v>
      </c>
      <c r="I100" s="48">
        <v>21.37</v>
      </c>
      <c r="J100" s="48">
        <v>39.130000000000003</v>
      </c>
      <c r="K100" s="49">
        <v>31.18</v>
      </c>
      <c r="L100" s="49">
        <v>11.76</v>
      </c>
      <c r="M100" s="72">
        <f t="shared" si="3"/>
        <v>-3.5999999999999996</v>
      </c>
      <c r="N100" s="36">
        <v>-3.5999999999999997E-2</v>
      </c>
      <c r="O100" s="68">
        <v>-13.601249999999997</v>
      </c>
      <c r="P100" s="73">
        <v>6.25</v>
      </c>
      <c r="Q100" s="74">
        <f>'Trade Data'!H8</f>
        <v>1.8710074189599308</v>
      </c>
      <c r="R100" s="37">
        <v>1</v>
      </c>
    </row>
    <row r="101" spans="1:18" ht="20.100000000000001" customHeight="1">
      <c r="A101" s="44" t="s">
        <v>15</v>
      </c>
      <c r="B101" s="44" t="s">
        <v>775</v>
      </c>
      <c r="C101" s="45">
        <v>0</v>
      </c>
      <c r="D101" s="47">
        <f>'Sectors % GDP'!I8</f>
        <v>98100</v>
      </c>
      <c r="E101" s="47">
        <f t="shared" si="2"/>
        <v>0</v>
      </c>
      <c r="F101" s="47">
        <v>0</v>
      </c>
      <c r="G101" s="46">
        <v>0</v>
      </c>
      <c r="H101" s="47">
        <v>0</v>
      </c>
      <c r="I101" s="48">
        <v>28.07</v>
      </c>
      <c r="J101" s="54">
        <v>55.23</v>
      </c>
      <c r="K101" s="49">
        <v>35.74</v>
      </c>
      <c r="L101" s="49">
        <v>11.76</v>
      </c>
      <c r="M101" s="72">
        <f t="shared" si="3"/>
        <v>-3.5999999999999996</v>
      </c>
      <c r="N101" s="36">
        <v>-3.5999999999999997E-2</v>
      </c>
      <c r="O101" s="68">
        <v>-5.2675000000000054</v>
      </c>
      <c r="P101" s="73">
        <v>6.25</v>
      </c>
      <c r="Q101" s="74">
        <f>'Trade Data'!H8</f>
        <v>1.8710074189599308</v>
      </c>
      <c r="R101" s="35">
        <v>0</v>
      </c>
    </row>
    <row r="102" spans="1:18" ht="20.100000000000001" customHeight="1">
      <c r="A102" s="44" t="s">
        <v>15</v>
      </c>
      <c r="B102" s="44" t="s">
        <v>774</v>
      </c>
      <c r="C102" s="45">
        <f>'Thomson Reuters IMA  ($)'!I277+'Thomson Reuters IMA  ($)'!I279+'Thomson Reuters IMA  ($)'!I281+'Thomson Reuters IMA  ($)'!I282+'Thomson Reuters IMA  ($)'!I283+'Thomson Reuters IMA  ($)'!I284+'Thomson Reuters IMA  ($)'!I285+'Thomson Reuters IMA  ($)'!I286+'Thomson Reuters IMA  ($)'!I287+'Thomson Reuters IMA  ($)'!I290+'Thomson Reuters IMA  ($)'!I292+'Thomson Reuters IMA  ($)'!I294+'Thomson Reuters IMA  ($)'!I295+'Thomson Reuters IMA  ($)'!I296+'Thomson Reuters IMA  ($)'!I297+'Thomson Reuters IMA  ($)'!I298+'Thomson Reuters IMA  ($)'!I299+'Thomson Reuters IMA  ($)'!I300</f>
        <v>8124.2919999999995</v>
      </c>
      <c r="D102" s="47">
        <f>'Sectors % GDP'!I9</f>
        <v>382320</v>
      </c>
      <c r="E102" s="47">
        <f t="shared" si="2"/>
        <v>2.1249979075120315E-2</v>
      </c>
      <c r="F102" s="47">
        <v>1</v>
      </c>
      <c r="G102" s="46">
        <v>1</v>
      </c>
      <c r="H102" s="47">
        <v>36</v>
      </c>
      <c r="I102" s="48">
        <v>28.07</v>
      </c>
      <c r="J102" s="54">
        <v>55.23</v>
      </c>
      <c r="K102" s="49">
        <v>35.74</v>
      </c>
      <c r="L102" s="49">
        <v>11.76</v>
      </c>
      <c r="M102" s="72">
        <f t="shared" si="3"/>
        <v>-3.5999999999999996</v>
      </c>
      <c r="N102" s="36">
        <v>-3.5999999999999997E-2</v>
      </c>
      <c r="O102" s="68">
        <v>-5.2675000000000054</v>
      </c>
      <c r="P102" s="73">
        <v>6.25</v>
      </c>
      <c r="Q102" s="74">
        <f>'Trade Data'!H8</f>
        <v>1.8710074189599308</v>
      </c>
      <c r="R102" s="35">
        <v>1</v>
      </c>
    </row>
    <row r="103" spans="1:18" ht="20.100000000000001" customHeight="1">
      <c r="A103" s="44" t="s">
        <v>15</v>
      </c>
      <c r="B103" s="44" t="s">
        <v>773</v>
      </c>
      <c r="C103" s="45">
        <f>'Thomson Reuters IMA  ($)'!I278+'Thomson Reuters IMA  ($)'!I280+'Thomson Reuters IMA  ($)'!I288+'Thomson Reuters IMA  ($)'!I289+'Thomson Reuters IMA  ($)'!I291+'Thomson Reuters IMA  ($)'!I293</f>
        <v>552.71699999999998</v>
      </c>
      <c r="D103" s="47">
        <f>'Sectors % GDP'!I10</f>
        <v>1319400</v>
      </c>
      <c r="E103" s="47">
        <f t="shared" si="2"/>
        <v>4.1891541609822647E-4</v>
      </c>
      <c r="F103" s="47">
        <v>1</v>
      </c>
      <c r="G103" s="46">
        <v>1</v>
      </c>
      <c r="H103" s="47">
        <v>34</v>
      </c>
      <c r="I103" s="48">
        <v>28.07</v>
      </c>
      <c r="J103" s="54">
        <v>55.23</v>
      </c>
      <c r="K103" s="49">
        <v>35.74</v>
      </c>
      <c r="L103" s="49">
        <v>11.76</v>
      </c>
      <c r="M103" s="72">
        <f t="shared" si="3"/>
        <v>-3.5999999999999996</v>
      </c>
      <c r="N103" s="36">
        <v>-3.5999999999999997E-2</v>
      </c>
      <c r="O103" s="68">
        <v>-5.2675000000000054</v>
      </c>
      <c r="P103" s="73">
        <v>6.25</v>
      </c>
      <c r="Q103" s="74">
        <f>'Trade Data'!H8</f>
        <v>1.8710074189599308</v>
      </c>
      <c r="R103" s="35">
        <v>1</v>
      </c>
    </row>
    <row r="104" spans="1:18" ht="20.100000000000001" customHeight="1">
      <c r="A104" s="44" t="s">
        <v>16</v>
      </c>
      <c r="B104" s="44" t="s">
        <v>772</v>
      </c>
      <c r="C104" s="45">
        <f>'Thomson Reuters IMA  ($)'!I314</f>
        <v>252.88499999999999</v>
      </c>
      <c r="D104" s="47">
        <f>'Sectors % GDP'!K8</f>
        <v>128960</v>
      </c>
      <c r="E104" s="47">
        <f t="shared" si="2"/>
        <v>1.9609568858560793E-3</v>
      </c>
      <c r="F104" s="47">
        <v>1</v>
      </c>
      <c r="G104" s="46">
        <v>1</v>
      </c>
      <c r="H104" s="47">
        <v>2</v>
      </c>
      <c r="I104" s="48">
        <v>15.42</v>
      </c>
      <c r="J104" s="54">
        <v>26.82</v>
      </c>
      <c r="K104" s="49">
        <v>22.16</v>
      </c>
      <c r="L104" s="49">
        <v>11.14</v>
      </c>
      <c r="M104" s="72">
        <f t="shared" si="3"/>
        <v>-3.5999999999999996</v>
      </c>
      <c r="N104" s="36">
        <v>-3.5999999999999997E-2</v>
      </c>
      <c r="O104" s="68">
        <v>-14.5875</v>
      </c>
      <c r="P104" s="73">
        <v>6.25</v>
      </c>
      <c r="Q104" s="74">
        <f>'Trade Data'!H8</f>
        <v>1.8710074189599308</v>
      </c>
      <c r="R104" s="37">
        <v>0</v>
      </c>
    </row>
    <row r="105" spans="1:18" ht="20.100000000000001" customHeight="1">
      <c r="A105" s="44" t="s">
        <v>16</v>
      </c>
      <c r="B105" s="44" t="s">
        <v>771</v>
      </c>
      <c r="C105" s="45">
        <f>'Thomson Reuters IMA  ($)'!I302+'Thomson Reuters IMA  ($)'!I303+'Thomson Reuters IMA  ($)'!I304+'Thomson Reuters IMA  ($)'!I306+'Thomson Reuters IMA  ($)'!I308+'Thomson Reuters IMA  ($)'!I309+'Thomson Reuters IMA  ($)'!I311+'Thomson Reuters IMA  ($)'!I312+'Thomson Reuters IMA  ($)'!I316</f>
        <v>805.48399999999992</v>
      </c>
      <c r="D105" s="47">
        <f>'Sectors % GDP'!K9</f>
        <v>436800</v>
      </c>
      <c r="E105" s="47">
        <f t="shared" si="2"/>
        <v>1.8440567765567763E-3</v>
      </c>
      <c r="F105" s="47">
        <v>1</v>
      </c>
      <c r="G105" s="46">
        <v>1</v>
      </c>
      <c r="H105" s="47">
        <v>16</v>
      </c>
      <c r="I105" s="48">
        <v>15.42</v>
      </c>
      <c r="J105" s="54">
        <v>26.82</v>
      </c>
      <c r="K105" s="49">
        <v>22.16</v>
      </c>
      <c r="L105" s="49">
        <v>11.14</v>
      </c>
      <c r="M105" s="72">
        <f t="shared" si="3"/>
        <v>-3.5999999999999996</v>
      </c>
      <c r="N105" s="36">
        <v>-3.5999999999999997E-2</v>
      </c>
      <c r="O105" s="68">
        <v>-14.5875</v>
      </c>
      <c r="P105" s="73">
        <v>6.25</v>
      </c>
      <c r="Q105" s="74">
        <f>'Trade Data'!H8</f>
        <v>1.8710074189599308</v>
      </c>
      <c r="R105" s="37">
        <v>1</v>
      </c>
    </row>
    <row r="106" spans="1:18" ht="20.100000000000001" customHeight="1">
      <c r="A106" s="44" t="s">
        <v>16</v>
      </c>
      <c r="B106" s="44" t="s">
        <v>770</v>
      </c>
      <c r="C106" s="45">
        <f>'Thomson Reuters IMA  ($)'!I301+'Thomson Reuters IMA  ($)'!I305+'Thomson Reuters IMA  ($)'!I307+'Thomson Reuters IMA  ($)'!I310+'Thomson Reuters IMA  ($)'!I313+'Thomson Reuters IMA  ($)'!I315+'Thomson Reuters IMA  ($)'!I317+'Thomson Reuters IMA  ($)'!I318</f>
        <v>1627.7449999999999</v>
      </c>
      <c r="D106" s="47">
        <f>'Sectors % GDP'!K10</f>
        <v>1514240</v>
      </c>
      <c r="E106" s="47">
        <f t="shared" si="2"/>
        <v>1.0749583949704142E-3</v>
      </c>
      <c r="F106" s="47">
        <v>1</v>
      </c>
      <c r="G106" s="46">
        <v>1</v>
      </c>
      <c r="H106" s="47">
        <v>26</v>
      </c>
      <c r="I106" s="48">
        <v>15.42</v>
      </c>
      <c r="J106" s="54">
        <v>26.82</v>
      </c>
      <c r="K106" s="49">
        <v>22.16</v>
      </c>
      <c r="L106" s="49">
        <v>11.14</v>
      </c>
      <c r="M106" s="72">
        <f t="shared" si="3"/>
        <v>-3.5999999999999996</v>
      </c>
      <c r="N106" s="36">
        <v>-3.5999999999999997E-2</v>
      </c>
      <c r="O106" s="68">
        <v>-14.5875</v>
      </c>
      <c r="P106" s="73">
        <v>6.25</v>
      </c>
      <c r="Q106" s="74">
        <f>'Trade Data'!H8</f>
        <v>1.8710074189599308</v>
      </c>
      <c r="R106" s="37">
        <v>1</v>
      </c>
    </row>
    <row r="107" spans="1:18" ht="20.100000000000001" customHeight="1">
      <c r="A107" s="44" t="s">
        <v>17</v>
      </c>
      <c r="B107" s="44" t="s">
        <v>769</v>
      </c>
      <c r="C107" s="45">
        <f>'Thomson Reuters IMA  ($)'!I326</f>
        <v>318.60000000000002</v>
      </c>
      <c r="D107" s="47">
        <f>'Sectors % GDP'!K8</f>
        <v>128960</v>
      </c>
      <c r="E107" s="47">
        <f t="shared" si="2"/>
        <v>2.4705334987593056E-3</v>
      </c>
      <c r="F107" s="47">
        <v>1</v>
      </c>
      <c r="G107" s="46">
        <v>1</v>
      </c>
      <c r="H107" s="47">
        <v>2</v>
      </c>
      <c r="I107" s="48">
        <v>26.08</v>
      </c>
      <c r="J107" s="48">
        <v>53</v>
      </c>
      <c r="K107" s="49">
        <v>32.83</v>
      </c>
      <c r="L107" s="49">
        <v>11.14</v>
      </c>
      <c r="M107" s="72">
        <f t="shared" si="3"/>
        <v>0.2</v>
      </c>
      <c r="N107" s="36">
        <v>2E-3</v>
      </c>
      <c r="O107" s="68">
        <v>-9.1700000000000017</v>
      </c>
      <c r="P107" s="73">
        <v>5.69</v>
      </c>
      <c r="Q107" s="74">
        <f>'Trade Data'!J8</f>
        <v>1.9069110390230477</v>
      </c>
      <c r="R107" s="35">
        <v>0</v>
      </c>
    </row>
    <row r="108" spans="1:18" ht="20.100000000000001" customHeight="1">
      <c r="A108" s="44" t="s">
        <v>17</v>
      </c>
      <c r="B108" s="44" t="s">
        <v>768</v>
      </c>
      <c r="C108" s="45">
        <f>'Thomson Reuters IMA  ($)'!I320+'Thomson Reuters IMA  ($)'!I321</f>
        <v>8.1</v>
      </c>
      <c r="D108" s="47">
        <f>'Sectors % GDP'!K9</f>
        <v>436800</v>
      </c>
      <c r="E108" s="47">
        <f t="shared" si="2"/>
        <v>1.8543956043956043E-5</v>
      </c>
      <c r="F108" s="47">
        <v>1</v>
      </c>
      <c r="G108" s="46">
        <v>1</v>
      </c>
      <c r="H108" s="47">
        <v>18</v>
      </c>
      <c r="I108" s="48">
        <v>26.08</v>
      </c>
      <c r="J108" s="48">
        <v>53</v>
      </c>
      <c r="K108" s="49">
        <v>32.83</v>
      </c>
      <c r="L108" s="49">
        <v>11.14</v>
      </c>
      <c r="M108" s="72">
        <f t="shared" si="3"/>
        <v>0.2</v>
      </c>
      <c r="N108" s="36">
        <v>2E-3</v>
      </c>
      <c r="O108" s="68">
        <v>-9.1700000000000017</v>
      </c>
      <c r="P108" s="73">
        <v>5.69</v>
      </c>
      <c r="Q108" s="74">
        <f>'Trade Data'!J8</f>
        <v>1.9069110390230477</v>
      </c>
      <c r="R108" s="35">
        <v>1</v>
      </c>
    </row>
    <row r="109" spans="1:18" ht="20.100000000000001" customHeight="1">
      <c r="A109" s="44" t="s">
        <v>17</v>
      </c>
      <c r="B109" s="44" t="s">
        <v>767</v>
      </c>
      <c r="C109" s="45">
        <f>'Thomson Reuters IMA  ($)'!I319+'Thomson Reuters IMA  ($)'!I322+'Thomson Reuters IMA  ($)'!I323+'Thomson Reuters IMA  ($)'!I324+'Thomson Reuters IMA  ($)'!I325+'Thomson Reuters IMA  ($)'!I327+'Thomson Reuters IMA  ($)'!I328</f>
        <v>1519.373</v>
      </c>
      <c r="D109" s="47">
        <f>'Sectors % GDP'!K10</f>
        <v>1514240</v>
      </c>
      <c r="E109" s="47">
        <f t="shared" si="2"/>
        <v>1.0033898193153002E-3</v>
      </c>
      <c r="F109" s="47">
        <v>1</v>
      </c>
      <c r="G109" s="46">
        <v>1</v>
      </c>
      <c r="H109" s="47">
        <v>22</v>
      </c>
      <c r="I109" s="48">
        <v>26.08</v>
      </c>
      <c r="J109" s="48">
        <v>53</v>
      </c>
      <c r="K109" s="49">
        <v>32.83</v>
      </c>
      <c r="L109" s="49">
        <v>11.14</v>
      </c>
      <c r="M109" s="72">
        <f t="shared" si="3"/>
        <v>0.2</v>
      </c>
      <c r="N109" s="36">
        <v>2E-3</v>
      </c>
      <c r="O109" s="68">
        <v>-9.1700000000000017</v>
      </c>
      <c r="P109" s="73">
        <v>5.69</v>
      </c>
      <c r="Q109" s="74">
        <f>'Trade Data'!J8</f>
        <v>1.9069110390230477</v>
      </c>
      <c r="R109" s="35">
        <v>1</v>
      </c>
    </row>
    <row r="110" spans="1:18" ht="20.100000000000001" customHeight="1">
      <c r="A110" s="44" t="s">
        <v>37</v>
      </c>
      <c r="B110" s="44" t="s">
        <v>766</v>
      </c>
      <c r="C110" s="45">
        <f>'Thomson Reuters IMA  ($)'!I345+'Thomson Reuters IMA  ($)'!I330</f>
        <v>1105</v>
      </c>
      <c r="D110" s="47">
        <f>'Sectors % GDP'!K8</f>
        <v>128960</v>
      </c>
      <c r="E110" s="47">
        <f t="shared" si="2"/>
        <v>8.5685483870967735E-3</v>
      </c>
      <c r="F110" s="47">
        <v>1</v>
      </c>
      <c r="G110" s="46">
        <v>1</v>
      </c>
      <c r="H110" s="47">
        <v>3</v>
      </c>
      <c r="I110" s="48">
        <v>12.23</v>
      </c>
      <c r="J110" s="48">
        <v>10.26</v>
      </c>
      <c r="K110" s="49">
        <v>29.58</v>
      </c>
      <c r="L110" s="49">
        <v>11.14</v>
      </c>
      <c r="M110" s="72">
        <f t="shared" si="3"/>
        <v>0.2</v>
      </c>
      <c r="N110" s="36">
        <v>2E-3</v>
      </c>
      <c r="O110" s="68">
        <v>-19.41375</v>
      </c>
      <c r="P110" s="73">
        <v>5.69</v>
      </c>
      <c r="Q110" s="74">
        <f>'Trade Data'!J8</f>
        <v>1.9069110390230477</v>
      </c>
      <c r="R110" s="37">
        <v>0</v>
      </c>
    </row>
    <row r="111" spans="1:18" ht="20.100000000000001" customHeight="1">
      <c r="A111" s="51" t="s">
        <v>37</v>
      </c>
      <c r="B111" s="44" t="s">
        <v>765</v>
      </c>
      <c r="C111" s="45">
        <f>'Thomson Reuters IMA  ($)'!I331+'Thomson Reuters IMA  ($)'!I332+'Thomson Reuters IMA  ($)'!I333+'Thomson Reuters IMA  ($)'!I335+'Thomson Reuters IMA  ($)'!I337+'Thomson Reuters IMA  ($)'!I346</f>
        <v>2336.7809999999999</v>
      </c>
      <c r="D111" s="47">
        <f>'Sectors % GDP'!K9</f>
        <v>436800</v>
      </c>
      <c r="E111" s="47">
        <f t="shared" si="2"/>
        <v>5.3497733516483514E-3</v>
      </c>
      <c r="F111" s="47">
        <v>1</v>
      </c>
      <c r="G111" s="46">
        <v>1</v>
      </c>
      <c r="H111" s="47">
        <v>23</v>
      </c>
      <c r="I111" s="48">
        <v>12.23</v>
      </c>
      <c r="J111" s="48">
        <v>10.26</v>
      </c>
      <c r="K111" s="49">
        <v>29.58</v>
      </c>
      <c r="L111" s="49">
        <v>11.14</v>
      </c>
      <c r="M111" s="72">
        <f t="shared" si="3"/>
        <v>0.2</v>
      </c>
      <c r="N111" s="36">
        <v>2E-3</v>
      </c>
      <c r="O111" s="68">
        <v>-19.41375</v>
      </c>
      <c r="P111" s="73">
        <v>5.69</v>
      </c>
      <c r="Q111" s="74">
        <f>'Trade Data'!J8</f>
        <v>1.9069110390230477</v>
      </c>
      <c r="R111" s="37">
        <v>1</v>
      </c>
    </row>
    <row r="112" spans="1:18" ht="20.100000000000001" customHeight="1">
      <c r="A112" s="51" t="s">
        <v>37</v>
      </c>
      <c r="B112" s="44" t="s">
        <v>764</v>
      </c>
      <c r="C112" s="45">
        <f>'Thomson Reuters IMA  ($)'!I334+'Thomson Reuters IMA  ($)'!I336+'Thomson Reuters IMA  ($)'!I338+'Thomson Reuters IMA  ($)'!I339+'Thomson Reuters IMA  ($)'!I340+'Thomson Reuters IMA  ($)'!I341+'Thomson Reuters IMA  ($)'!I342+'Thomson Reuters IMA  ($)'!I343+'Thomson Reuters IMA  ($)'!I344</f>
        <v>1646.922</v>
      </c>
      <c r="D112" s="47">
        <f>'Sectors % GDP'!K10</f>
        <v>1514240</v>
      </c>
      <c r="E112" s="47">
        <f t="shared" si="2"/>
        <v>1.0876228338968725E-3</v>
      </c>
      <c r="F112" s="47">
        <v>1</v>
      </c>
      <c r="G112" s="46">
        <v>1</v>
      </c>
      <c r="H112" s="47">
        <v>26</v>
      </c>
      <c r="I112" s="48">
        <v>12.23</v>
      </c>
      <c r="J112" s="48">
        <v>10.26</v>
      </c>
      <c r="K112" s="49">
        <v>29.58</v>
      </c>
      <c r="L112" s="49">
        <v>11.14</v>
      </c>
      <c r="M112" s="72">
        <f t="shared" si="3"/>
        <v>0.2</v>
      </c>
      <c r="N112" s="36">
        <v>2E-3</v>
      </c>
      <c r="O112" s="68">
        <v>-19.41375</v>
      </c>
      <c r="P112" s="73">
        <v>5.69</v>
      </c>
      <c r="Q112" s="74">
        <f>'Trade Data'!J8</f>
        <v>1.9069110390230477</v>
      </c>
      <c r="R112" s="37">
        <v>1</v>
      </c>
    </row>
    <row r="113" spans="1:18" ht="20.100000000000001" customHeight="1">
      <c r="A113" s="44" t="s">
        <v>38</v>
      </c>
      <c r="B113" s="44" t="s">
        <v>853</v>
      </c>
      <c r="C113" s="45">
        <v>0</v>
      </c>
      <c r="D113" s="47">
        <f>'Sectors % GDP'!K8</f>
        <v>128960</v>
      </c>
      <c r="E113" s="47">
        <f t="shared" si="2"/>
        <v>0</v>
      </c>
      <c r="F113" s="47">
        <v>0</v>
      </c>
      <c r="G113" s="46">
        <v>1</v>
      </c>
      <c r="H113" s="47">
        <v>1</v>
      </c>
      <c r="I113" s="48">
        <v>33.74</v>
      </c>
      <c r="J113" s="48">
        <v>70.010000000000005</v>
      </c>
      <c r="K113" s="49">
        <v>39.17</v>
      </c>
      <c r="L113" s="49">
        <v>11.14</v>
      </c>
      <c r="M113" s="72">
        <f t="shared" si="3"/>
        <v>0.2</v>
      </c>
      <c r="N113" s="36">
        <v>2E-3</v>
      </c>
      <c r="O113" s="68">
        <v>-3.6499999999999986</v>
      </c>
      <c r="P113" s="73">
        <v>5.69</v>
      </c>
      <c r="Q113" s="74">
        <f>'Trade Data'!J8</f>
        <v>1.9069110390230477</v>
      </c>
      <c r="R113" s="35">
        <v>0</v>
      </c>
    </row>
    <row r="114" spans="1:18" ht="20.100000000000001" customHeight="1">
      <c r="A114" s="44" t="s">
        <v>38</v>
      </c>
      <c r="B114" s="44" t="s">
        <v>854</v>
      </c>
      <c r="C114" s="45">
        <f>'Thomson Reuters IMA  ($)'!I347+'Thomson Reuters IMA  ($)'!I348+'Thomson Reuters IMA  ($)'!I349+'Thomson Reuters IMA  ($)'!I352+'Thomson Reuters IMA  ($)'!I353</f>
        <v>3204.308</v>
      </c>
      <c r="D114" s="47">
        <f>'Sectors % GDP'!K9</f>
        <v>436800</v>
      </c>
      <c r="E114" s="47">
        <f t="shared" si="2"/>
        <v>7.3358699633699637E-3</v>
      </c>
      <c r="F114" s="47">
        <v>1</v>
      </c>
      <c r="G114" s="46">
        <v>1</v>
      </c>
      <c r="H114" s="47">
        <v>12</v>
      </c>
      <c r="I114" s="48">
        <v>33.74</v>
      </c>
      <c r="J114" s="48">
        <v>70.010000000000005</v>
      </c>
      <c r="K114" s="49">
        <v>39.17</v>
      </c>
      <c r="L114" s="49">
        <v>11.14</v>
      </c>
      <c r="M114" s="72">
        <f t="shared" si="3"/>
        <v>0.2</v>
      </c>
      <c r="N114" s="36">
        <v>2E-3</v>
      </c>
      <c r="O114" s="68">
        <v>-3.6499999999999986</v>
      </c>
      <c r="P114" s="73">
        <v>5.69</v>
      </c>
      <c r="Q114" s="74">
        <f>'Trade Data'!J8</f>
        <v>1.9069110390230477</v>
      </c>
      <c r="R114" s="35">
        <v>1</v>
      </c>
    </row>
    <row r="115" spans="1:18" ht="20.100000000000001" customHeight="1">
      <c r="A115" s="44" t="s">
        <v>38</v>
      </c>
      <c r="B115" s="44" t="s">
        <v>852</v>
      </c>
      <c r="C115" s="45">
        <f>'Thomson Reuters IMA  ($)'!I350</f>
        <v>73.19</v>
      </c>
      <c r="D115" s="47">
        <f>'Sectors % GDP'!K10</f>
        <v>1514240</v>
      </c>
      <c r="E115" s="47">
        <f t="shared" si="2"/>
        <v>4.8334478021978021E-5</v>
      </c>
      <c r="F115" s="47">
        <v>1</v>
      </c>
      <c r="G115" s="46">
        <v>1</v>
      </c>
      <c r="H115" s="47">
        <v>8</v>
      </c>
      <c r="I115" s="48">
        <v>33.74</v>
      </c>
      <c r="J115" s="48">
        <v>70.010000000000005</v>
      </c>
      <c r="K115" s="49">
        <v>39.17</v>
      </c>
      <c r="L115" s="49">
        <v>11.14</v>
      </c>
      <c r="M115" s="72">
        <f t="shared" si="3"/>
        <v>0.2</v>
      </c>
      <c r="N115" s="36">
        <v>2E-3</v>
      </c>
      <c r="O115" s="68">
        <v>-3.6499999999999986</v>
      </c>
      <c r="P115" s="73">
        <v>5.69</v>
      </c>
      <c r="Q115" s="74">
        <f>'Trade Data'!J8</f>
        <v>1.9069110390230477</v>
      </c>
      <c r="R115" s="35">
        <v>1</v>
      </c>
    </row>
    <row r="116" spans="1:18" ht="20.100000000000001" customHeight="1">
      <c r="A116" s="44" t="s">
        <v>39</v>
      </c>
      <c r="B116" s="44" t="s">
        <v>763</v>
      </c>
      <c r="C116" s="45">
        <v>0</v>
      </c>
      <c r="D116" s="47">
        <f>'Sectors % GDP'!C12</f>
        <v>10298.58</v>
      </c>
      <c r="E116" s="47">
        <f t="shared" si="2"/>
        <v>0</v>
      </c>
      <c r="F116" s="47">
        <v>0</v>
      </c>
      <c r="G116" s="46">
        <v>0</v>
      </c>
      <c r="H116" s="47">
        <v>0</v>
      </c>
      <c r="I116" s="48">
        <v>85.85</v>
      </c>
      <c r="J116" s="54">
        <v>78.180000000000007</v>
      </c>
      <c r="K116" s="49">
        <v>78.55</v>
      </c>
      <c r="L116" s="49">
        <v>86.75</v>
      </c>
      <c r="M116" s="72">
        <f t="shared" si="3"/>
        <v>4</v>
      </c>
      <c r="N116" s="36">
        <v>0.04</v>
      </c>
      <c r="O116" s="68">
        <v>41.512499999999989</v>
      </c>
      <c r="P116" s="73">
        <v>5.8</v>
      </c>
      <c r="Q116" s="74">
        <f>'Trade Data'!B11</f>
        <v>0.64085335301855728</v>
      </c>
      <c r="R116" s="37">
        <v>0</v>
      </c>
    </row>
    <row r="117" spans="1:18" ht="20.100000000000001" customHeight="1">
      <c r="A117" s="44" t="s">
        <v>39</v>
      </c>
      <c r="B117" s="44" t="s">
        <v>762</v>
      </c>
      <c r="C117" s="45">
        <f>'Thomson Reuters IMA  ($)'!I354+'Thomson Reuters IMA  ($)'!I355+'Thomson Reuters IMA  ($)'!I356+'Thomson Reuters IMA  ($)'!I357+'Thomson Reuters IMA  ($)'!I358</f>
        <v>49.725000000000001</v>
      </c>
      <c r="D117" s="47">
        <f>'Sectors % GDP'!C13</f>
        <v>94858.271999999997</v>
      </c>
      <c r="E117" s="47">
        <f t="shared" si="2"/>
        <v>5.2420309743782809E-4</v>
      </c>
      <c r="F117" s="47">
        <v>1</v>
      </c>
      <c r="G117" s="46">
        <v>1</v>
      </c>
      <c r="H117" s="47">
        <v>6</v>
      </c>
      <c r="I117" s="48">
        <v>85.85</v>
      </c>
      <c r="J117" s="54">
        <v>78.180000000000007</v>
      </c>
      <c r="K117" s="49">
        <v>78.55</v>
      </c>
      <c r="L117" s="49">
        <v>86.75</v>
      </c>
      <c r="M117" s="72">
        <f t="shared" si="3"/>
        <v>4</v>
      </c>
      <c r="N117" s="36">
        <v>0.04</v>
      </c>
      <c r="O117" s="68">
        <v>41.512499999999989</v>
      </c>
      <c r="P117" s="73">
        <v>5.8</v>
      </c>
      <c r="Q117" s="74">
        <f>'Trade Data'!B11</f>
        <v>0.64085335301855728</v>
      </c>
      <c r="R117" s="37">
        <v>1</v>
      </c>
    </row>
    <row r="118" spans="1:18" ht="20.100000000000001" customHeight="1">
      <c r="A118" s="44" t="s">
        <v>39</v>
      </c>
      <c r="B118" s="44" t="s">
        <v>761</v>
      </c>
      <c r="C118" s="45">
        <f>'Thomson Reuters IMA  ($)'!I359</f>
        <v>16.495000000000001</v>
      </c>
      <c r="D118" s="47">
        <f>'Sectors % GDP'!C14</f>
        <v>173183.14799999999</v>
      </c>
      <c r="E118" s="47">
        <f t="shared" si="2"/>
        <v>9.5245987790913708E-5</v>
      </c>
      <c r="F118" s="47">
        <v>1</v>
      </c>
      <c r="G118" s="46">
        <v>1</v>
      </c>
      <c r="H118" s="47">
        <v>6</v>
      </c>
      <c r="I118" s="48">
        <v>85.85</v>
      </c>
      <c r="J118" s="54">
        <v>78.180000000000007</v>
      </c>
      <c r="K118" s="49">
        <v>78.55</v>
      </c>
      <c r="L118" s="49">
        <v>86.75</v>
      </c>
      <c r="M118" s="72">
        <f t="shared" si="3"/>
        <v>4</v>
      </c>
      <c r="N118" s="36">
        <v>0.04</v>
      </c>
      <c r="O118" s="68">
        <v>41.512499999999989</v>
      </c>
      <c r="P118" s="73">
        <v>5.8</v>
      </c>
      <c r="Q118" s="74">
        <f>'Trade Data'!B11</f>
        <v>0.64085335301855728</v>
      </c>
      <c r="R118" s="37">
        <v>1</v>
      </c>
    </row>
    <row r="119" spans="1:18" ht="20.100000000000001" customHeight="1">
      <c r="A119" s="44" t="s">
        <v>40</v>
      </c>
      <c r="B119" s="44" t="s">
        <v>760</v>
      </c>
      <c r="C119" s="45">
        <v>0</v>
      </c>
      <c r="D119" s="47">
        <f>'Sectors % GDP'!C12</f>
        <v>10298.58</v>
      </c>
      <c r="E119" s="47">
        <f t="shared" si="2"/>
        <v>0</v>
      </c>
      <c r="F119" s="47">
        <v>0</v>
      </c>
      <c r="G119" s="46">
        <v>0</v>
      </c>
      <c r="H119" s="47">
        <v>0</v>
      </c>
      <c r="I119" s="48">
        <v>72.2</v>
      </c>
      <c r="J119" s="54">
        <v>22.75</v>
      </c>
      <c r="K119" s="52">
        <v>83.35</v>
      </c>
      <c r="L119" s="49">
        <v>86.75</v>
      </c>
      <c r="M119" s="72">
        <f t="shared" si="3"/>
        <v>4</v>
      </c>
      <c r="N119" s="36">
        <v>0.04</v>
      </c>
      <c r="O119" s="68">
        <v>38.638750000000002</v>
      </c>
      <c r="P119" s="73">
        <v>5.8</v>
      </c>
      <c r="Q119" s="74">
        <f>'Trade Data'!B11</f>
        <v>0.64085335301855728</v>
      </c>
      <c r="R119" s="35">
        <v>0</v>
      </c>
    </row>
    <row r="120" spans="1:18" ht="20.100000000000001" customHeight="1">
      <c r="A120" s="44" t="s">
        <v>40</v>
      </c>
      <c r="B120" s="44" t="s">
        <v>759</v>
      </c>
      <c r="C120" s="45">
        <f>'Thomson Reuters IMA  ($)'!I360</f>
        <v>1</v>
      </c>
      <c r="D120" s="47">
        <f>'Sectors % GDP'!C13</f>
        <v>94858.271999999997</v>
      </c>
      <c r="E120" s="47">
        <f t="shared" si="2"/>
        <v>1.0542043186281108E-5</v>
      </c>
      <c r="F120" s="47">
        <v>1</v>
      </c>
      <c r="G120" s="46">
        <v>1</v>
      </c>
      <c r="H120" s="47">
        <v>2</v>
      </c>
      <c r="I120" s="48">
        <v>72.2</v>
      </c>
      <c r="J120" s="54">
        <v>22.75</v>
      </c>
      <c r="K120" s="52">
        <v>83.35</v>
      </c>
      <c r="L120" s="49">
        <v>86.75</v>
      </c>
      <c r="M120" s="72">
        <f t="shared" si="3"/>
        <v>4</v>
      </c>
      <c r="N120" s="36">
        <v>0.04</v>
      </c>
      <c r="O120" s="68">
        <v>38.638750000000002</v>
      </c>
      <c r="P120" s="73">
        <v>5.8</v>
      </c>
      <c r="Q120" s="74">
        <f>'Trade Data'!B11</f>
        <v>0.64085335301855728</v>
      </c>
      <c r="R120" s="35">
        <v>1</v>
      </c>
    </row>
    <row r="121" spans="1:18" ht="20.100000000000001" customHeight="1">
      <c r="A121" s="44" t="s">
        <v>40</v>
      </c>
      <c r="B121" s="44" t="s">
        <v>758</v>
      </c>
      <c r="C121" s="45">
        <f>'Thomson Reuters IMA  ($)'!I361+'Thomson Reuters IMA  ($)'!I362</f>
        <v>9.33</v>
      </c>
      <c r="D121" s="47">
        <f>'Sectors % GDP'!C14</f>
        <v>173183.14799999999</v>
      </c>
      <c r="E121" s="47">
        <f t="shared" si="2"/>
        <v>5.3873602066639881E-5</v>
      </c>
      <c r="F121" s="47">
        <v>1</v>
      </c>
      <c r="G121" s="46">
        <v>1</v>
      </c>
      <c r="H121" s="47">
        <v>4</v>
      </c>
      <c r="I121" s="48">
        <v>72.2</v>
      </c>
      <c r="J121" s="54">
        <v>22.75</v>
      </c>
      <c r="K121" s="52">
        <v>83.35</v>
      </c>
      <c r="L121" s="49">
        <v>86.75</v>
      </c>
      <c r="M121" s="72">
        <f t="shared" si="3"/>
        <v>4</v>
      </c>
      <c r="N121" s="36">
        <v>0.04</v>
      </c>
      <c r="O121" s="68">
        <v>38.638750000000002</v>
      </c>
      <c r="P121" s="73">
        <v>5.8</v>
      </c>
      <c r="Q121" s="74">
        <f>'Trade Data'!B11</f>
        <v>0.64085335301855728</v>
      </c>
      <c r="R121" s="35">
        <v>1</v>
      </c>
    </row>
    <row r="122" spans="1:18" ht="20.100000000000001" customHeight="1">
      <c r="A122" s="44" t="s">
        <v>883</v>
      </c>
      <c r="B122" s="44" t="s">
        <v>757</v>
      </c>
      <c r="C122" s="45">
        <v>0</v>
      </c>
      <c r="D122" s="47">
        <f>'Sectors % GDP'!C12</f>
        <v>10298.58</v>
      </c>
      <c r="E122" s="47">
        <f t="shared" si="2"/>
        <v>0</v>
      </c>
      <c r="F122" s="47">
        <v>0</v>
      </c>
      <c r="G122" s="46">
        <v>0</v>
      </c>
      <c r="H122" s="47">
        <v>0</v>
      </c>
      <c r="I122" s="48">
        <v>75.680000000000007</v>
      </c>
      <c r="J122" s="54">
        <v>44.28</v>
      </c>
      <c r="K122" s="52">
        <v>78.790000000000006</v>
      </c>
      <c r="L122" s="49">
        <v>86.75</v>
      </c>
      <c r="M122" s="72">
        <f t="shared" si="3"/>
        <v>4</v>
      </c>
      <c r="N122" s="36">
        <v>0.04</v>
      </c>
      <c r="O122" s="68">
        <v>34.523750000000007</v>
      </c>
      <c r="P122" s="73">
        <v>5.8</v>
      </c>
      <c r="Q122" s="74">
        <f>'Trade Data'!B11</f>
        <v>0.64085335301855728</v>
      </c>
      <c r="R122" s="37">
        <v>0</v>
      </c>
    </row>
    <row r="123" spans="1:18" ht="20.100000000000001" customHeight="1">
      <c r="A123" s="44" t="s">
        <v>41</v>
      </c>
      <c r="B123" s="44" t="s">
        <v>756</v>
      </c>
      <c r="C123" s="45">
        <f>'Thomson Reuters IMA  ($)'!I364+'Thomson Reuters IMA  ($)'!I365+'Thomson Reuters IMA  ($)'!I366+'Thomson Reuters IMA  ($)'!I367+'Thomson Reuters IMA  ($)'!I368</f>
        <v>24.804000000000002</v>
      </c>
      <c r="D123" s="47">
        <f>'Sectors % GDP'!C13</f>
        <v>94858.271999999997</v>
      </c>
      <c r="E123" s="47">
        <f t="shared" si="2"/>
        <v>2.6148483919251662E-4</v>
      </c>
      <c r="F123" s="47">
        <v>1</v>
      </c>
      <c r="G123" s="46">
        <v>1</v>
      </c>
      <c r="H123" s="47">
        <v>8</v>
      </c>
      <c r="I123" s="48">
        <v>75.680000000000007</v>
      </c>
      <c r="J123" s="54">
        <v>44.28</v>
      </c>
      <c r="K123" s="52">
        <v>78.790000000000006</v>
      </c>
      <c r="L123" s="49">
        <v>86.75</v>
      </c>
      <c r="M123" s="72">
        <f t="shared" si="3"/>
        <v>4</v>
      </c>
      <c r="N123" s="36">
        <v>0.04</v>
      </c>
      <c r="O123" s="68">
        <v>34.523750000000007</v>
      </c>
      <c r="P123" s="73">
        <v>5.8</v>
      </c>
      <c r="Q123" s="74">
        <f>'Trade Data'!B11</f>
        <v>0.64085335301855728</v>
      </c>
      <c r="R123" s="37">
        <v>1</v>
      </c>
    </row>
    <row r="124" spans="1:18" ht="20.100000000000001" customHeight="1">
      <c r="A124" s="44" t="s">
        <v>883</v>
      </c>
      <c r="B124" s="44" t="s">
        <v>755</v>
      </c>
      <c r="C124" s="45">
        <f>'Thomson Reuters IMA  ($)'!I369+'Thomson Reuters IMA  ($)'!I370+'Thomson Reuters IMA  ($)'!I363</f>
        <v>219.80600000000001</v>
      </c>
      <c r="D124" s="47">
        <f>'Sectors % GDP'!C14</f>
        <v>173183.14799999999</v>
      </c>
      <c r="E124" s="47">
        <f t="shared" si="2"/>
        <v>1.2692112514319236E-3</v>
      </c>
      <c r="F124" s="47">
        <v>1</v>
      </c>
      <c r="G124" s="46">
        <v>1</v>
      </c>
      <c r="H124" s="47">
        <v>4</v>
      </c>
      <c r="I124" s="48">
        <v>75.680000000000007</v>
      </c>
      <c r="J124" s="54">
        <v>44.28</v>
      </c>
      <c r="K124" s="52">
        <v>78.790000000000006</v>
      </c>
      <c r="L124" s="49">
        <v>86.75</v>
      </c>
      <c r="M124" s="72">
        <f t="shared" si="3"/>
        <v>4</v>
      </c>
      <c r="N124" s="36">
        <v>0.04</v>
      </c>
      <c r="O124" s="68">
        <v>34.523750000000007</v>
      </c>
      <c r="P124" s="73">
        <v>5.8</v>
      </c>
      <c r="Q124" s="74">
        <f>'Trade Data'!B11</f>
        <v>0.64085335301855728</v>
      </c>
      <c r="R124" s="37">
        <v>1</v>
      </c>
    </row>
    <row r="125" spans="1:18" ht="20.100000000000001" customHeight="1">
      <c r="A125" s="44" t="s">
        <v>42</v>
      </c>
      <c r="B125" s="44" t="s">
        <v>754</v>
      </c>
      <c r="C125" s="45">
        <v>0</v>
      </c>
      <c r="D125" s="47">
        <f>'Sectors % GDP'!E12</f>
        <v>11168.66</v>
      </c>
      <c r="E125" s="47">
        <f t="shared" si="2"/>
        <v>0</v>
      </c>
      <c r="F125" s="47">
        <v>0</v>
      </c>
      <c r="G125" s="46">
        <v>0</v>
      </c>
      <c r="H125" s="47">
        <v>0</v>
      </c>
      <c r="I125" s="48">
        <v>69.489999999999995</v>
      </c>
      <c r="J125" s="54">
        <v>36.65</v>
      </c>
      <c r="K125" s="52">
        <v>67.510000000000005</v>
      </c>
      <c r="L125" s="49">
        <v>86.75</v>
      </c>
      <c r="M125" s="72">
        <f t="shared" si="3"/>
        <v>4</v>
      </c>
      <c r="N125" s="36">
        <v>0.04</v>
      </c>
      <c r="O125" s="68">
        <v>33.122499999999995</v>
      </c>
      <c r="P125" s="73">
        <v>5.8</v>
      </c>
      <c r="Q125" s="74">
        <f>'Trade Data'!B11</f>
        <v>0.64085335301855728</v>
      </c>
      <c r="R125" s="35">
        <v>0</v>
      </c>
    </row>
    <row r="126" spans="1:18" ht="20.100000000000001" customHeight="1">
      <c r="A126" s="44" t="s">
        <v>42</v>
      </c>
      <c r="B126" s="44" t="s">
        <v>753</v>
      </c>
      <c r="C126" s="45">
        <f>SUM('Thomson Reuters IMA  ($)'!I371:I375)</f>
        <v>6.508</v>
      </c>
      <c r="D126" s="47">
        <f>'Sectors % GDP'!E13</f>
        <v>87992.34</v>
      </c>
      <c r="E126" s="47">
        <f t="shared" si="2"/>
        <v>7.3960983421966057E-5</v>
      </c>
      <c r="F126" s="47">
        <v>1</v>
      </c>
      <c r="G126" s="46">
        <v>1</v>
      </c>
      <c r="H126" s="47">
        <v>5</v>
      </c>
      <c r="I126" s="48">
        <v>69.489999999999995</v>
      </c>
      <c r="J126" s="54">
        <v>36.65</v>
      </c>
      <c r="K126" s="52">
        <v>67.510000000000005</v>
      </c>
      <c r="L126" s="49">
        <v>86.75</v>
      </c>
      <c r="M126" s="72">
        <f t="shared" si="3"/>
        <v>4</v>
      </c>
      <c r="N126" s="36">
        <v>0.04</v>
      </c>
      <c r="O126" s="68">
        <v>33.122499999999995</v>
      </c>
      <c r="P126" s="73">
        <v>5.8</v>
      </c>
      <c r="Q126" s="74">
        <f>'Trade Data'!B11</f>
        <v>0.64085335301855728</v>
      </c>
      <c r="R126" s="35">
        <v>1</v>
      </c>
    </row>
    <row r="127" spans="1:18" ht="20.100000000000001" customHeight="1">
      <c r="A127" s="44" t="s">
        <v>42</v>
      </c>
      <c r="B127" s="44" t="s">
        <v>752</v>
      </c>
      <c r="C127" s="45">
        <f>'Thomson Reuters IMA  ($)'!I376</f>
        <v>438.74400000000003</v>
      </c>
      <c r="D127" s="47">
        <f>'Sectors % GDP'!E14</f>
        <v>161789</v>
      </c>
      <c r="E127" s="47">
        <f t="shared" si="2"/>
        <v>2.7118283690485759E-3</v>
      </c>
      <c r="F127" s="47">
        <v>1</v>
      </c>
      <c r="G127" s="46">
        <v>1</v>
      </c>
      <c r="H127" s="47">
        <v>4</v>
      </c>
      <c r="I127" s="48">
        <v>69.489999999999995</v>
      </c>
      <c r="J127" s="54">
        <v>36.65</v>
      </c>
      <c r="K127" s="52">
        <v>67.510000000000005</v>
      </c>
      <c r="L127" s="49">
        <v>86.75</v>
      </c>
      <c r="M127" s="72">
        <f t="shared" si="3"/>
        <v>4</v>
      </c>
      <c r="N127" s="36">
        <v>0.04</v>
      </c>
      <c r="O127" s="68">
        <v>33.122499999999995</v>
      </c>
      <c r="P127" s="73">
        <v>5.8</v>
      </c>
      <c r="Q127" s="74">
        <f>'Trade Data'!B11</f>
        <v>0.64085335301855728</v>
      </c>
      <c r="R127" s="35">
        <v>1</v>
      </c>
    </row>
    <row r="128" spans="1:18" ht="20.100000000000001" customHeight="1">
      <c r="A128" s="44" t="s">
        <v>43</v>
      </c>
      <c r="B128" s="44" t="s">
        <v>751</v>
      </c>
      <c r="C128" s="45">
        <f>'Thomson Reuters IMA  ($)'!I379</f>
        <v>204.46</v>
      </c>
      <c r="D128" s="47">
        <f>'Sectors % GDP'!E12</f>
        <v>11168.66</v>
      </c>
      <c r="E128" s="47">
        <f t="shared" si="2"/>
        <v>1.8306582884607465E-2</v>
      </c>
      <c r="F128" s="47">
        <v>1</v>
      </c>
      <c r="G128" s="46">
        <v>1</v>
      </c>
      <c r="H128" s="47">
        <v>1</v>
      </c>
      <c r="I128" s="48">
        <v>72.33</v>
      </c>
      <c r="J128" s="54">
        <v>41.49</v>
      </c>
      <c r="K128" s="52">
        <v>70.95</v>
      </c>
      <c r="L128" s="49">
        <v>86.75</v>
      </c>
      <c r="M128" s="72">
        <f t="shared" si="3"/>
        <v>1.9</v>
      </c>
      <c r="N128" s="36">
        <v>1.9E-2</v>
      </c>
      <c r="O128" s="68">
        <v>35.747499999999995</v>
      </c>
      <c r="P128" s="73">
        <v>5</v>
      </c>
      <c r="Q128" s="74">
        <f>'Trade Data'!D11</f>
        <v>0.61322126255178466</v>
      </c>
      <c r="R128" s="37">
        <v>0</v>
      </c>
    </row>
    <row r="129" spans="1:18" ht="20.100000000000001" customHeight="1">
      <c r="A129" s="44" t="s">
        <v>43</v>
      </c>
      <c r="B129" s="44" t="s">
        <v>750</v>
      </c>
      <c r="C129" s="45">
        <f>'Thomson Reuters IMA  ($)'!I377+'Thomson Reuters IMA  ($)'!I378+'Thomson Reuters IMA  ($)'!I381</f>
        <v>3381.3119999999999</v>
      </c>
      <c r="D129" s="47">
        <f>'Sectors % GDP'!E13</f>
        <v>87992.34</v>
      </c>
      <c r="E129" s="47">
        <f t="shared" si="2"/>
        <v>3.8427344925706035E-2</v>
      </c>
      <c r="F129" s="47">
        <v>1</v>
      </c>
      <c r="G129" s="46">
        <v>1</v>
      </c>
      <c r="H129" s="47">
        <v>5</v>
      </c>
      <c r="I129" s="48">
        <v>72.33</v>
      </c>
      <c r="J129" s="54">
        <v>41.49</v>
      </c>
      <c r="K129" s="52">
        <v>70.95</v>
      </c>
      <c r="L129" s="49">
        <v>86.75</v>
      </c>
      <c r="M129" s="72">
        <f t="shared" si="3"/>
        <v>1.9</v>
      </c>
      <c r="N129" s="36">
        <v>1.9E-2</v>
      </c>
      <c r="O129" s="68">
        <v>35.747499999999995</v>
      </c>
      <c r="P129" s="73">
        <v>5</v>
      </c>
      <c r="Q129" s="74">
        <f>'Trade Data'!D11</f>
        <v>0.61322126255178466</v>
      </c>
      <c r="R129" s="37">
        <v>1</v>
      </c>
    </row>
    <row r="130" spans="1:18" ht="20.100000000000001" customHeight="1">
      <c r="A130" s="44" t="s">
        <v>43</v>
      </c>
      <c r="B130" s="44" t="s">
        <v>749</v>
      </c>
      <c r="C130" s="45">
        <f>'Thomson Reuters IMA  ($)'!I380</f>
        <v>280</v>
      </c>
      <c r="D130" s="47">
        <f>'Sectors % GDP'!E14</f>
        <v>161789</v>
      </c>
      <c r="E130" s="47">
        <f t="shared" ref="E130:E193" si="4">C130/D130</f>
        <v>1.7306491788687734E-3</v>
      </c>
      <c r="F130" s="47">
        <v>1</v>
      </c>
      <c r="G130" s="46">
        <v>1</v>
      </c>
      <c r="H130" s="47">
        <v>3</v>
      </c>
      <c r="I130" s="48">
        <v>72.33</v>
      </c>
      <c r="J130" s="54">
        <v>41.49</v>
      </c>
      <c r="K130" s="52">
        <v>70.95</v>
      </c>
      <c r="L130" s="49">
        <v>86.75</v>
      </c>
      <c r="M130" s="72">
        <f t="shared" si="3"/>
        <v>1.9</v>
      </c>
      <c r="N130" s="36">
        <v>1.9E-2</v>
      </c>
      <c r="O130" s="68">
        <v>35.747499999999995</v>
      </c>
      <c r="P130" s="73">
        <v>5</v>
      </c>
      <c r="Q130" s="74">
        <f>'Trade Data'!D11</f>
        <v>0.61322126255178466</v>
      </c>
      <c r="R130" s="37">
        <v>1</v>
      </c>
    </row>
    <row r="131" spans="1:18" ht="20.100000000000001" customHeight="1">
      <c r="A131" s="44" t="s">
        <v>44</v>
      </c>
      <c r="B131" s="44" t="s">
        <v>748</v>
      </c>
      <c r="C131" s="45">
        <f>'Thomson Reuters IMA  ($)'!I383+'Thomson Reuters IMA  ($)'!I385</f>
        <v>300</v>
      </c>
      <c r="D131" s="47">
        <f>'Sectors % GDP'!E12</f>
        <v>11168.66</v>
      </c>
      <c r="E131" s="47">
        <f t="shared" si="4"/>
        <v>2.6860876774832433E-2</v>
      </c>
      <c r="F131" s="47">
        <v>1</v>
      </c>
      <c r="G131" s="46">
        <v>1</v>
      </c>
      <c r="H131" s="47">
        <v>2</v>
      </c>
      <c r="I131" s="48">
        <v>72.83</v>
      </c>
      <c r="J131" s="54">
        <v>48.71</v>
      </c>
      <c r="K131" s="52">
        <v>65.739999999999995</v>
      </c>
      <c r="L131" s="49">
        <v>86.75</v>
      </c>
      <c r="M131" s="72">
        <f t="shared" ref="M131:M194" si="5">N131*100</f>
        <v>1.9</v>
      </c>
      <c r="N131" s="36">
        <v>1.9E-2</v>
      </c>
      <c r="O131" s="68">
        <v>30.883750000000006</v>
      </c>
      <c r="P131" s="73">
        <v>5</v>
      </c>
      <c r="Q131" s="74">
        <f>'Trade Data'!D11</f>
        <v>0.61322126255178466</v>
      </c>
      <c r="R131" s="35">
        <v>0</v>
      </c>
    </row>
    <row r="132" spans="1:18" ht="20.100000000000001" customHeight="1">
      <c r="A132" s="44" t="s">
        <v>44</v>
      </c>
      <c r="B132" s="44" t="s">
        <v>747</v>
      </c>
      <c r="C132" s="45">
        <f>'Thomson Reuters IMA  ($)'!I382</f>
        <v>0.13700000000000001</v>
      </c>
      <c r="D132" s="47">
        <f>'Sectors % GDP'!E13</f>
        <v>87992.34</v>
      </c>
      <c r="E132" s="47">
        <f t="shared" si="4"/>
        <v>1.556953707561363E-6</v>
      </c>
      <c r="F132" s="47">
        <v>1</v>
      </c>
      <c r="G132" s="46">
        <v>1</v>
      </c>
      <c r="H132" s="47">
        <v>4</v>
      </c>
      <c r="I132" s="48">
        <v>72.83</v>
      </c>
      <c r="J132" s="54">
        <v>48.71</v>
      </c>
      <c r="K132" s="52">
        <v>65.739999999999995</v>
      </c>
      <c r="L132" s="49">
        <v>86.75</v>
      </c>
      <c r="M132" s="72">
        <f t="shared" si="5"/>
        <v>1.9</v>
      </c>
      <c r="N132" s="36">
        <v>1.9E-2</v>
      </c>
      <c r="O132" s="68">
        <v>30.883750000000006</v>
      </c>
      <c r="P132" s="73">
        <v>5</v>
      </c>
      <c r="Q132" s="74">
        <f>'Trade Data'!D11</f>
        <v>0.61322126255178466</v>
      </c>
      <c r="R132" s="35">
        <v>1</v>
      </c>
    </row>
    <row r="133" spans="1:18" ht="20.100000000000001" customHeight="1">
      <c r="A133" s="44" t="s">
        <v>44</v>
      </c>
      <c r="B133" s="44" t="s">
        <v>746</v>
      </c>
      <c r="C133" s="45">
        <f>'Thomson Reuters IMA  ($)'!I384+'Thomson Reuters IMA  ($)'!I386</f>
        <v>624</v>
      </c>
      <c r="D133" s="47">
        <f>'Sectors % GDP'!E14</f>
        <v>161789</v>
      </c>
      <c r="E133" s="47">
        <f t="shared" si="4"/>
        <v>3.8568753129075524E-3</v>
      </c>
      <c r="F133" s="47">
        <v>1</v>
      </c>
      <c r="G133" s="46">
        <v>1</v>
      </c>
      <c r="H133" s="47">
        <v>2</v>
      </c>
      <c r="I133" s="48">
        <v>72.83</v>
      </c>
      <c r="J133" s="54">
        <v>48.71</v>
      </c>
      <c r="K133" s="52">
        <v>65.739999999999995</v>
      </c>
      <c r="L133" s="49">
        <v>86.75</v>
      </c>
      <c r="M133" s="72">
        <f t="shared" si="5"/>
        <v>1.9</v>
      </c>
      <c r="N133" s="36">
        <v>1.9E-2</v>
      </c>
      <c r="O133" s="68">
        <v>30.883750000000006</v>
      </c>
      <c r="P133" s="73">
        <v>5</v>
      </c>
      <c r="Q133" s="74">
        <f>'Trade Data'!D11</f>
        <v>0.61322126255178466</v>
      </c>
      <c r="R133" s="35">
        <v>1</v>
      </c>
    </row>
    <row r="134" spans="1:18" ht="20.100000000000001" customHeight="1">
      <c r="A134" s="44" t="s">
        <v>45</v>
      </c>
      <c r="B134" s="44" t="s">
        <v>745</v>
      </c>
      <c r="C134" s="45">
        <v>0</v>
      </c>
      <c r="D134" s="47">
        <f>'Sectors % GDP'!E12</f>
        <v>11168.66</v>
      </c>
      <c r="E134" s="47">
        <f t="shared" si="4"/>
        <v>0</v>
      </c>
      <c r="F134" s="47">
        <v>0</v>
      </c>
      <c r="G134" s="46">
        <v>0</v>
      </c>
      <c r="H134" s="47">
        <v>0</v>
      </c>
      <c r="I134" s="48">
        <v>71.650000000000006</v>
      </c>
      <c r="J134" s="54">
        <v>46.32</v>
      </c>
      <c r="K134" s="52">
        <v>62.98</v>
      </c>
      <c r="L134" s="49">
        <v>86.75</v>
      </c>
      <c r="M134" s="72">
        <f t="shared" si="5"/>
        <v>1.9</v>
      </c>
      <c r="N134" s="36">
        <v>1.9E-2</v>
      </c>
      <c r="O134" s="68">
        <v>33.891250000000007</v>
      </c>
      <c r="P134" s="73">
        <v>5</v>
      </c>
      <c r="Q134" s="74">
        <f>'Trade Data'!D11</f>
        <v>0.61322126255178466</v>
      </c>
      <c r="R134" s="37">
        <v>0</v>
      </c>
    </row>
    <row r="135" spans="1:18" ht="20.100000000000001" customHeight="1">
      <c r="A135" s="44" t="s">
        <v>45</v>
      </c>
      <c r="B135" s="44" t="s">
        <v>744</v>
      </c>
      <c r="C135" s="45">
        <f>'Thomson Reuters IMA  ($)'!I389</f>
        <v>2000</v>
      </c>
      <c r="D135" s="47">
        <f>'Sectors % GDP'!E13</f>
        <v>87992.34</v>
      </c>
      <c r="E135" s="47">
        <f t="shared" si="4"/>
        <v>2.2729251205275369E-2</v>
      </c>
      <c r="F135" s="47">
        <v>1</v>
      </c>
      <c r="G135" s="46">
        <v>1</v>
      </c>
      <c r="H135" s="47">
        <v>4</v>
      </c>
      <c r="I135" s="48">
        <v>71.650000000000006</v>
      </c>
      <c r="J135" s="54">
        <v>46.32</v>
      </c>
      <c r="K135" s="52">
        <v>62.98</v>
      </c>
      <c r="L135" s="49">
        <v>86.75</v>
      </c>
      <c r="M135" s="72">
        <f t="shared" si="5"/>
        <v>1.9</v>
      </c>
      <c r="N135" s="36">
        <v>1.9E-2</v>
      </c>
      <c r="O135" s="68">
        <v>33.891250000000007</v>
      </c>
      <c r="P135" s="73">
        <v>5</v>
      </c>
      <c r="Q135" s="74">
        <f>'Trade Data'!D11</f>
        <v>0.61322126255178466</v>
      </c>
      <c r="R135" s="37">
        <v>1</v>
      </c>
    </row>
    <row r="136" spans="1:18" ht="20.100000000000001" customHeight="1">
      <c r="A136" s="44" t="s">
        <v>45</v>
      </c>
      <c r="B136" s="44" t="s">
        <v>743</v>
      </c>
      <c r="C136" s="45">
        <f>'Thomson Reuters IMA  ($)'!I387+'Thomson Reuters IMA  ($)'!I388</f>
        <v>659.00800000000004</v>
      </c>
      <c r="D136" s="47">
        <f>'Sectors % GDP'!E14</f>
        <v>161789</v>
      </c>
      <c r="E136" s="47">
        <f t="shared" si="4"/>
        <v>4.0732559073855456E-3</v>
      </c>
      <c r="F136" s="47">
        <v>1</v>
      </c>
      <c r="G136" s="46">
        <v>1</v>
      </c>
      <c r="H136" s="47">
        <v>5</v>
      </c>
      <c r="I136" s="48">
        <v>71.650000000000006</v>
      </c>
      <c r="J136" s="54">
        <v>46.32</v>
      </c>
      <c r="K136" s="52">
        <v>62.98</v>
      </c>
      <c r="L136" s="49">
        <v>86.75</v>
      </c>
      <c r="M136" s="72">
        <f t="shared" si="5"/>
        <v>1.9</v>
      </c>
      <c r="N136" s="36">
        <v>1.9E-2</v>
      </c>
      <c r="O136" s="68">
        <v>33.891250000000007</v>
      </c>
      <c r="P136" s="73">
        <v>5</v>
      </c>
      <c r="Q136" s="74">
        <f>'Trade Data'!D11</f>
        <v>0.61322126255178466</v>
      </c>
      <c r="R136" s="37">
        <v>1</v>
      </c>
    </row>
    <row r="137" spans="1:18" ht="20.100000000000001" customHeight="1">
      <c r="A137" s="44" t="s">
        <v>46</v>
      </c>
      <c r="B137" s="44" t="s">
        <v>742</v>
      </c>
      <c r="C137" s="45">
        <v>0</v>
      </c>
      <c r="D137" s="47">
        <f>'Sectors % GDP'!G12</f>
        <v>10453.474</v>
      </c>
      <c r="E137" s="47">
        <f t="shared" si="4"/>
        <v>0</v>
      </c>
      <c r="F137" s="47">
        <v>0</v>
      </c>
      <c r="G137" s="46">
        <v>0</v>
      </c>
      <c r="H137" s="47">
        <v>0</v>
      </c>
      <c r="I137" s="48">
        <v>76.17</v>
      </c>
      <c r="J137" s="48">
        <v>67.02</v>
      </c>
      <c r="K137" s="48">
        <v>68.53</v>
      </c>
      <c r="L137" s="49">
        <v>82.25</v>
      </c>
      <c r="M137" s="72">
        <f t="shared" si="5"/>
        <v>1.9</v>
      </c>
      <c r="N137" s="36">
        <v>1.9E-2</v>
      </c>
      <c r="O137" s="68">
        <v>42.463749999999997</v>
      </c>
      <c r="P137" s="73">
        <v>5</v>
      </c>
      <c r="Q137" s="74">
        <f>'Trade Data'!D11</f>
        <v>0.61322126255178466</v>
      </c>
      <c r="R137" s="35">
        <v>0</v>
      </c>
    </row>
    <row r="138" spans="1:18" ht="20.100000000000001" customHeight="1">
      <c r="A138" s="44" t="s">
        <v>46</v>
      </c>
      <c r="B138" s="44" t="s">
        <v>741</v>
      </c>
      <c r="C138" s="45">
        <f>'Thomson Reuters IMA  ($)'!I390+'Thomson Reuters IMA  ($)'!I391+'Thomson Reuters IMA  ($)'!I392</f>
        <v>148.69300000000001</v>
      </c>
      <c r="D138" s="47">
        <f>'Sectors % GDP'!G13</f>
        <v>78607.213999999993</v>
      </c>
      <c r="E138" s="47">
        <f t="shared" si="4"/>
        <v>1.8915948350491092E-3</v>
      </c>
      <c r="F138" s="47">
        <v>1</v>
      </c>
      <c r="G138" s="46">
        <v>1</v>
      </c>
      <c r="H138" s="47">
        <v>4</v>
      </c>
      <c r="I138" s="48">
        <v>76.17</v>
      </c>
      <c r="J138" s="48">
        <v>67.02</v>
      </c>
      <c r="K138" s="48">
        <v>68.53</v>
      </c>
      <c r="L138" s="49">
        <v>82.25</v>
      </c>
      <c r="M138" s="72">
        <f t="shared" si="5"/>
        <v>1.9</v>
      </c>
      <c r="N138" s="36">
        <v>1.9E-2</v>
      </c>
      <c r="O138" s="68">
        <v>42.463749999999997</v>
      </c>
      <c r="P138" s="73">
        <v>5</v>
      </c>
      <c r="Q138" s="74">
        <f>'Trade Data'!D11</f>
        <v>0.61322126255178466</v>
      </c>
      <c r="R138" s="35">
        <v>1</v>
      </c>
    </row>
    <row r="139" spans="1:18" ht="20.100000000000001" customHeight="1">
      <c r="A139" s="44" t="s">
        <v>46</v>
      </c>
      <c r="B139" s="44" t="s">
        <v>740</v>
      </c>
      <c r="C139" s="45">
        <v>0</v>
      </c>
      <c r="D139" s="47">
        <f>'Sectors % GDP'!G14</f>
        <v>153455.05800000002</v>
      </c>
      <c r="E139" s="47">
        <f t="shared" si="4"/>
        <v>0</v>
      </c>
      <c r="F139" s="47">
        <v>0</v>
      </c>
      <c r="G139" s="46">
        <v>1</v>
      </c>
      <c r="H139" s="47">
        <v>10</v>
      </c>
      <c r="I139" s="48">
        <v>76.17</v>
      </c>
      <c r="J139" s="48">
        <v>67.02</v>
      </c>
      <c r="K139" s="48">
        <v>68.53</v>
      </c>
      <c r="L139" s="49">
        <v>82.25</v>
      </c>
      <c r="M139" s="72">
        <f t="shared" si="5"/>
        <v>1.9</v>
      </c>
      <c r="N139" s="36">
        <v>1.9E-2</v>
      </c>
      <c r="O139" s="68">
        <v>42.463749999999997</v>
      </c>
      <c r="P139" s="73">
        <v>5</v>
      </c>
      <c r="Q139" s="74">
        <f>'Trade Data'!D11</f>
        <v>0.61322126255178466</v>
      </c>
      <c r="R139" s="35">
        <v>1</v>
      </c>
    </row>
    <row r="140" spans="1:18" ht="20.100000000000001" customHeight="1">
      <c r="A140" s="44" t="s">
        <v>47</v>
      </c>
      <c r="B140" s="44" t="s">
        <v>739</v>
      </c>
      <c r="C140" s="45">
        <v>0</v>
      </c>
      <c r="D140" s="47">
        <f>'Sectors % GDP'!G12</f>
        <v>10453.474</v>
      </c>
      <c r="E140" s="47">
        <f t="shared" si="4"/>
        <v>0</v>
      </c>
      <c r="F140" s="47">
        <v>0</v>
      </c>
      <c r="G140" s="46">
        <v>0</v>
      </c>
      <c r="H140" s="47">
        <v>0</v>
      </c>
      <c r="I140" s="48">
        <v>75.290000000000006</v>
      </c>
      <c r="J140" s="48">
        <v>61.6</v>
      </c>
      <c r="K140" s="48">
        <v>71.38</v>
      </c>
      <c r="L140" s="49">
        <v>82.25</v>
      </c>
      <c r="M140" s="72">
        <f t="shared" si="5"/>
        <v>2.2999999999999998</v>
      </c>
      <c r="N140" s="36">
        <v>2.3E-2</v>
      </c>
      <c r="O140" s="68">
        <v>42.002500000000005</v>
      </c>
      <c r="P140" s="73">
        <v>5.75</v>
      </c>
      <c r="Q140" s="74">
        <f>'Trade Data'!F11</f>
        <v>0.59940791688720507</v>
      </c>
      <c r="R140" s="37">
        <v>0</v>
      </c>
    </row>
    <row r="141" spans="1:18" ht="20.100000000000001" customHeight="1">
      <c r="A141" s="44" t="s">
        <v>47</v>
      </c>
      <c r="B141" s="44" t="s">
        <v>738</v>
      </c>
      <c r="C141" s="45">
        <v>0</v>
      </c>
      <c r="D141" s="47">
        <f>'Sectors % GDP'!G13</f>
        <v>78607.213999999993</v>
      </c>
      <c r="E141" s="47">
        <f t="shared" si="4"/>
        <v>0</v>
      </c>
      <c r="F141" s="47">
        <v>0</v>
      </c>
      <c r="G141" s="46">
        <v>1</v>
      </c>
      <c r="H141" s="47">
        <v>2</v>
      </c>
      <c r="I141" s="48">
        <v>75.290000000000006</v>
      </c>
      <c r="J141" s="48">
        <v>61.6</v>
      </c>
      <c r="K141" s="48">
        <v>71.38</v>
      </c>
      <c r="L141" s="49">
        <v>82.25</v>
      </c>
      <c r="M141" s="72">
        <f t="shared" si="5"/>
        <v>2.2999999999999998</v>
      </c>
      <c r="N141" s="36">
        <v>2.3E-2</v>
      </c>
      <c r="O141" s="68">
        <v>42.002500000000005</v>
      </c>
      <c r="P141" s="73">
        <v>5.75</v>
      </c>
      <c r="Q141" s="74">
        <f>'Trade Data'!F11</f>
        <v>0.59940791688720507</v>
      </c>
      <c r="R141" s="37">
        <v>1</v>
      </c>
    </row>
    <row r="142" spans="1:18" ht="20.100000000000001" customHeight="1">
      <c r="A142" s="44" t="s">
        <v>47</v>
      </c>
      <c r="B142" s="44" t="s">
        <v>737</v>
      </c>
      <c r="C142" s="45">
        <f>'Thomson Reuters IMA  ($)'!I393</f>
        <v>14.407999999999999</v>
      </c>
      <c r="D142" s="47">
        <f>'Sectors % GDP'!G14</f>
        <v>153455.05800000002</v>
      </c>
      <c r="E142" s="47">
        <f t="shared" si="4"/>
        <v>9.3890681661336952E-5</v>
      </c>
      <c r="F142" s="47">
        <v>1</v>
      </c>
      <c r="G142" s="46">
        <v>1</v>
      </c>
      <c r="H142" s="47">
        <v>6</v>
      </c>
      <c r="I142" s="48">
        <v>75.290000000000006</v>
      </c>
      <c r="J142" s="48">
        <v>61.6</v>
      </c>
      <c r="K142" s="48">
        <v>71.38</v>
      </c>
      <c r="L142" s="49">
        <v>82.25</v>
      </c>
      <c r="M142" s="72">
        <f t="shared" si="5"/>
        <v>2.2999999999999998</v>
      </c>
      <c r="N142" s="36">
        <v>2.3E-2</v>
      </c>
      <c r="O142" s="68">
        <v>42.002500000000005</v>
      </c>
      <c r="P142" s="73">
        <v>5.75</v>
      </c>
      <c r="Q142" s="74">
        <f>'Trade Data'!F11</f>
        <v>0.59940791688720507</v>
      </c>
      <c r="R142" s="37">
        <v>1</v>
      </c>
    </row>
    <row r="143" spans="1:18" ht="20.100000000000001" customHeight="1">
      <c r="A143" s="44" t="s">
        <v>48</v>
      </c>
      <c r="B143" s="44" t="s">
        <v>736</v>
      </c>
      <c r="C143" s="45">
        <v>0</v>
      </c>
      <c r="D143" s="47">
        <f>'Sectors % GDP'!G12</f>
        <v>10453.474</v>
      </c>
      <c r="E143" s="47">
        <f t="shared" si="4"/>
        <v>0</v>
      </c>
      <c r="F143" s="47">
        <v>0</v>
      </c>
      <c r="G143" s="46">
        <v>0</v>
      </c>
      <c r="H143" s="47">
        <v>0</v>
      </c>
      <c r="I143" s="48">
        <v>80.14</v>
      </c>
      <c r="J143" s="48">
        <v>74.81</v>
      </c>
      <c r="K143" s="48">
        <v>70.84</v>
      </c>
      <c r="L143" s="49">
        <v>82.25</v>
      </c>
      <c r="M143" s="72">
        <f t="shared" si="5"/>
        <v>2.2999999999999998</v>
      </c>
      <c r="N143" s="36">
        <v>2.3E-2</v>
      </c>
      <c r="O143" s="68">
        <v>42.082500000000003</v>
      </c>
      <c r="P143" s="73">
        <v>5.75</v>
      </c>
      <c r="Q143" s="74">
        <f>'Trade Data'!F11</f>
        <v>0.59940791688720507</v>
      </c>
      <c r="R143" s="35">
        <v>0</v>
      </c>
    </row>
    <row r="144" spans="1:18" ht="20.100000000000001" customHeight="1">
      <c r="A144" s="44" t="s">
        <v>48</v>
      </c>
      <c r="B144" s="44" t="s">
        <v>735</v>
      </c>
      <c r="C144" s="45">
        <f>'Thomson Reuters IMA  ($)'!I395+'Thomson Reuters IMA  ($)'!I397+'Thomson Reuters IMA  ($)'!I398</f>
        <v>1595</v>
      </c>
      <c r="D144" s="47">
        <f>'Sectors % GDP'!G13</f>
        <v>78607.213999999993</v>
      </c>
      <c r="E144" s="47">
        <f t="shared" si="4"/>
        <v>2.0290758555569725E-2</v>
      </c>
      <c r="F144" s="47">
        <v>1</v>
      </c>
      <c r="G144" s="46">
        <v>1</v>
      </c>
      <c r="H144" s="47">
        <v>6</v>
      </c>
      <c r="I144" s="48">
        <v>80.14</v>
      </c>
      <c r="J144" s="48">
        <v>74.81</v>
      </c>
      <c r="K144" s="48">
        <v>70.84</v>
      </c>
      <c r="L144" s="49">
        <v>82.25</v>
      </c>
      <c r="M144" s="72">
        <f t="shared" si="5"/>
        <v>2.2999999999999998</v>
      </c>
      <c r="N144" s="36">
        <v>2.3E-2</v>
      </c>
      <c r="O144" s="68">
        <v>42.082500000000003</v>
      </c>
      <c r="P144" s="73">
        <v>5.75</v>
      </c>
      <c r="Q144" s="74">
        <f>'Trade Data'!F11</f>
        <v>0.59940791688720507</v>
      </c>
      <c r="R144" s="35">
        <v>1</v>
      </c>
    </row>
    <row r="145" spans="1:18" ht="20.100000000000001" customHeight="1">
      <c r="A145" s="44" t="s">
        <v>48</v>
      </c>
      <c r="B145" s="44" t="s">
        <v>734</v>
      </c>
      <c r="C145" s="45">
        <f>'Thomson Reuters IMA  ($)'!I394+'Thomson Reuters IMA  ($)'!I396</f>
        <v>197.55500000000001</v>
      </c>
      <c r="D145" s="47">
        <f>'Sectors % GDP'!G14</f>
        <v>153455.05800000002</v>
      </c>
      <c r="E145" s="47">
        <f t="shared" si="4"/>
        <v>1.2873801787621753E-3</v>
      </c>
      <c r="F145" s="47">
        <v>1</v>
      </c>
      <c r="G145" s="46">
        <v>1</v>
      </c>
      <c r="H145" s="47">
        <v>4</v>
      </c>
      <c r="I145" s="48">
        <v>80.14</v>
      </c>
      <c r="J145" s="48">
        <v>74.81</v>
      </c>
      <c r="K145" s="48">
        <v>70.84</v>
      </c>
      <c r="L145" s="49">
        <v>82.25</v>
      </c>
      <c r="M145" s="72">
        <f t="shared" si="5"/>
        <v>2.2999999999999998</v>
      </c>
      <c r="N145" s="36">
        <v>2.3E-2</v>
      </c>
      <c r="O145" s="68">
        <v>42.082500000000003</v>
      </c>
      <c r="P145" s="73">
        <v>5.75</v>
      </c>
      <c r="Q145" s="74">
        <f>'Trade Data'!F11</f>
        <v>0.59940791688720507</v>
      </c>
      <c r="R145" s="35">
        <v>1</v>
      </c>
    </row>
    <row r="146" spans="1:18" ht="20.100000000000001" customHeight="1">
      <c r="A146" s="44" t="s">
        <v>49</v>
      </c>
      <c r="B146" s="44" t="s">
        <v>733</v>
      </c>
      <c r="C146" s="45">
        <v>0</v>
      </c>
      <c r="D146" s="47">
        <f>'Sectors % GDP'!G12</f>
        <v>10453.474</v>
      </c>
      <c r="E146" s="47">
        <f t="shared" si="4"/>
        <v>0</v>
      </c>
      <c r="F146" s="47">
        <v>0</v>
      </c>
      <c r="G146" s="46">
        <v>0</v>
      </c>
      <c r="H146" s="47">
        <v>0</v>
      </c>
      <c r="I146" s="48">
        <v>76.36</v>
      </c>
      <c r="J146" s="48">
        <v>64.930000000000007</v>
      </c>
      <c r="K146" s="48">
        <v>70.14</v>
      </c>
      <c r="L146" s="49">
        <v>82.25</v>
      </c>
      <c r="M146" s="72">
        <f t="shared" si="5"/>
        <v>2.2999999999999998</v>
      </c>
      <c r="N146" s="36">
        <v>2.3E-2</v>
      </c>
      <c r="O146" s="68">
        <v>45.412499999999994</v>
      </c>
      <c r="P146" s="73">
        <v>5.75</v>
      </c>
      <c r="Q146" s="74">
        <f>'Trade Data'!F11</f>
        <v>0.59940791688720507</v>
      </c>
      <c r="R146" s="37">
        <v>0</v>
      </c>
    </row>
    <row r="147" spans="1:18" ht="20.100000000000001" customHeight="1">
      <c r="A147" s="44" t="s">
        <v>49</v>
      </c>
      <c r="B147" s="44" t="s">
        <v>732</v>
      </c>
      <c r="C147" s="45">
        <f>'Thomson Reuters IMA  ($)'!I399+'Thomson Reuters IMA  ($)'!I400</f>
        <v>1.67</v>
      </c>
      <c r="D147" s="47">
        <f>'Sectors % GDP'!G13</f>
        <v>78607.213999999993</v>
      </c>
      <c r="E147" s="47">
        <f t="shared" si="4"/>
        <v>2.1244869459436636E-5</v>
      </c>
      <c r="F147" s="47">
        <v>1</v>
      </c>
      <c r="G147" s="46">
        <v>1</v>
      </c>
      <c r="H147" s="47">
        <v>5</v>
      </c>
      <c r="I147" s="48">
        <v>76.36</v>
      </c>
      <c r="J147" s="48">
        <v>64.930000000000007</v>
      </c>
      <c r="K147" s="48">
        <v>70.14</v>
      </c>
      <c r="L147" s="49">
        <v>82.25</v>
      </c>
      <c r="M147" s="72">
        <f t="shared" si="5"/>
        <v>2.2999999999999998</v>
      </c>
      <c r="N147" s="36">
        <v>2.3E-2</v>
      </c>
      <c r="O147" s="68">
        <v>45.412499999999994</v>
      </c>
      <c r="P147" s="73">
        <v>5.75</v>
      </c>
      <c r="Q147" s="74">
        <f>'Trade Data'!F11</f>
        <v>0.59940791688720507</v>
      </c>
      <c r="R147" s="37">
        <v>1</v>
      </c>
    </row>
    <row r="148" spans="1:18" ht="20.100000000000001" customHeight="1">
      <c r="A148" s="51" t="s">
        <v>49</v>
      </c>
      <c r="B148" s="44" t="s">
        <v>731</v>
      </c>
      <c r="C148" s="45">
        <f>'Thomson Reuters IMA  ($)'!I401</f>
        <v>224.32</v>
      </c>
      <c r="D148" s="47">
        <f>'Sectors % GDP'!G14</f>
        <v>153455.05800000002</v>
      </c>
      <c r="E148" s="47">
        <f t="shared" si="4"/>
        <v>1.4617960653991605E-3</v>
      </c>
      <c r="F148" s="47">
        <v>1</v>
      </c>
      <c r="G148" s="46">
        <v>1</v>
      </c>
      <c r="H148" s="47">
        <v>5</v>
      </c>
      <c r="I148" s="48">
        <v>76.36</v>
      </c>
      <c r="J148" s="48">
        <v>64.930000000000007</v>
      </c>
      <c r="K148" s="48">
        <v>70.14</v>
      </c>
      <c r="L148" s="49">
        <v>82.25</v>
      </c>
      <c r="M148" s="72">
        <f t="shared" si="5"/>
        <v>2.2999999999999998</v>
      </c>
      <c r="N148" s="36">
        <v>2.3E-2</v>
      </c>
      <c r="O148" s="68">
        <v>45.412499999999994</v>
      </c>
      <c r="P148" s="73">
        <v>5.75</v>
      </c>
      <c r="Q148" s="74">
        <f>'Trade Data'!F11</f>
        <v>0.59940791688720507</v>
      </c>
      <c r="R148" s="37">
        <v>1</v>
      </c>
    </row>
    <row r="149" spans="1:18" ht="20.100000000000001" customHeight="1">
      <c r="A149" s="51" t="s">
        <v>50</v>
      </c>
      <c r="B149" s="44" t="s">
        <v>730</v>
      </c>
      <c r="C149" s="45">
        <v>0</v>
      </c>
      <c r="D149" s="47">
        <f>'Sectors % GDP'!I12</f>
        <v>10622.289999999999</v>
      </c>
      <c r="E149" s="47">
        <f t="shared" si="4"/>
        <v>0</v>
      </c>
      <c r="F149" s="47">
        <v>0</v>
      </c>
      <c r="G149" s="46">
        <v>0</v>
      </c>
      <c r="H149" s="47">
        <v>0</v>
      </c>
      <c r="I149" s="48">
        <v>77.31</v>
      </c>
      <c r="J149" s="56">
        <v>58.98</v>
      </c>
      <c r="K149" s="48">
        <v>83.17</v>
      </c>
      <c r="L149" s="49">
        <v>78.150000000000006</v>
      </c>
      <c r="M149" s="72">
        <f t="shared" si="5"/>
        <v>2.2999999999999998</v>
      </c>
      <c r="N149" s="36">
        <v>2.3E-2</v>
      </c>
      <c r="O149" s="68">
        <v>46.016249999999999</v>
      </c>
      <c r="P149" s="73">
        <v>5.75</v>
      </c>
      <c r="Q149" s="74">
        <f>'Trade Data'!F11</f>
        <v>0.59940791688720507</v>
      </c>
      <c r="R149" s="35">
        <v>0</v>
      </c>
    </row>
    <row r="150" spans="1:18" ht="20.100000000000001" customHeight="1">
      <c r="A150" s="51" t="s">
        <v>50</v>
      </c>
      <c r="B150" s="44" t="s">
        <v>729</v>
      </c>
      <c r="C150" s="45">
        <f>'Thomson Reuters IMA  ($)'!I402</f>
        <v>3</v>
      </c>
      <c r="D150" s="47">
        <f>'Sectors % GDP'!I13</f>
        <v>77295.687000000005</v>
      </c>
      <c r="E150" s="47">
        <f t="shared" si="4"/>
        <v>3.8811997362802398E-5</v>
      </c>
      <c r="F150" s="47">
        <v>1</v>
      </c>
      <c r="G150" s="46">
        <v>1</v>
      </c>
      <c r="H150" s="47">
        <v>4</v>
      </c>
      <c r="I150" s="48">
        <v>77.31</v>
      </c>
      <c r="J150" s="56">
        <v>58.98</v>
      </c>
      <c r="K150" s="48">
        <v>83.17</v>
      </c>
      <c r="L150" s="49">
        <v>78.150000000000006</v>
      </c>
      <c r="M150" s="72">
        <f t="shared" si="5"/>
        <v>2.2999999999999998</v>
      </c>
      <c r="N150" s="36">
        <v>2.3E-2</v>
      </c>
      <c r="O150" s="68">
        <v>46.016249999999999</v>
      </c>
      <c r="P150" s="73">
        <v>5.75</v>
      </c>
      <c r="Q150" s="74">
        <f>'Trade Data'!F11</f>
        <v>0.59940791688720507</v>
      </c>
      <c r="R150" s="35">
        <v>1</v>
      </c>
    </row>
    <row r="151" spans="1:18" ht="20.100000000000001" customHeight="1">
      <c r="A151" s="44" t="s">
        <v>50</v>
      </c>
      <c r="B151" s="44" t="s">
        <v>728</v>
      </c>
      <c r="C151" s="45">
        <f>'Thomson Reuters IMA  ($)'!I403+'Thomson Reuters IMA  ($)'!I404+'Thomson Reuters IMA  ($)'!I405</f>
        <v>1187.83</v>
      </c>
      <c r="D151" s="47">
        <f>'Sectors % GDP'!I14</f>
        <v>159087.32</v>
      </c>
      <c r="E151" s="47">
        <f t="shared" si="4"/>
        <v>7.4665284448817157E-3</v>
      </c>
      <c r="F151" s="47">
        <v>1</v>
      </c>
      <c r="G151" s="49">
        <v>1</v>
      </c>
      <c r="H151" s="47">
        <v>6</v>
      </c>
      <c r="I151" s="48">
        <v>77.31</v>
      </c>
      <c r="J151" s="56">
        <v>58.98</v>
      </c>
      <c r="K151" s="48">
        <v>83.17</v>
      </c>
      <c r="L151" s="49">
        <v>78.150000000000006</v>
      </c>
      <c r="M151" s="72">
        <f t="shared" si="5"/>
        <v>2.2999999999999998</v>
      </c>
      <c r="N151" s="36">
        <v>2.3E-2</v>
      </c>
      <c r="O151" s="68">
        <v>46.016249999999999</v>
      </c>
      <c r="P151" s="73">
        <v>5.75</v>
      </c>
      <c r="Q151" s="74">
        <f>'Trade Data'!F11</f>
        <v>0.59940791688720507</v>
      </c>
      <c r="R151" s="35">
        <v>1</v>
      </c>
    </row>
    <row r="152" spans="1:18" ht="20.100000000000001" customHeight="1">
      <c r="A152" s="44" t="s">
        <v>51</v>
      </c>
      <c r="B152" s="44" t="s">
        <v>727</v>
      </c>
      <c r="C152" s="45">
        <f>'Thomson Reuters IMA  ($)'!I408</f>
        <v>9.1660000000000004</v>
      </c>
      <c r="D152" s="47">
        <f>'Sectors % GDP'!I12</f>
        <v>10622.289999999999</v>
      </c>
      <c r="E152" s="47">
        <f t="shared" si="4"/>
        <v>8.6290244382331883E-4</v>
      </c>
      <c r="F152" s="47">
        <v>1</v>
      </c>
      <c r="G152" s="49">
        <v>1</v>
      </c>
      <c r="H152" s="47">
        <v>2</v>
      </c>
      <c r="I152" s="48">
        <v>81.180000000000007</v>
      </c>
      <c r="J152" s="56">
        <v>84.1</v>
      </c>
      <c r="K152" s="48">
        <v>70.430000000000007</v>
      </c>
      <c r="L152" s="49">
        <v>78.150000000000006</v>
      </c>
      <c r="M152" s="72">
        <f t="shared" si="5"/>
        <v>1.6</v>
      </c>
      <c r="N152" s="36">
        <v>1.6E-2</v>
      </c>
      <c r="O152" s="68">
        <v>44.555000000000007</v>
      </c>
      <c r="P152" s="73">
        <v>6.25</v>
      </c>
      <c r="Q152" s="74">
        <f>'Trade Data'!H11</f>
        <v>0.61376183531780448</v>
      </c>
      <c r="R152" s="37">
        <v>0</v>
      </c>
    </row>
    <row r="153" spans="1:18" ht="20.100000000000001" customHeight="1">
      <c r="A153" s="44" t="s">
        <v>51</v>
      </c>
      <c r="B153" s="44" t="s">
        <v>726</v>
      </c>
      <c r="C153" s="45">
        <f>'Thomson Reuters IMA  ($)'!I407+'Thomson Reuters IMA  ($)'!I409+'Thomson Reuters IMA  ($)'!I410</f>
        <v>464.4</v>
      </c>
      <c r="D153" s="47">
        <f>'Sectors % GDP'!I13</f>
        <v>77295.687000000005</v>
      </c>
      <c r="E153" s="47">
        <f t="shared" si="4"/>
        <v>6.0080971917618117E-3</v>
      </c>
      <c r="F153" s="47">
        <v>1</v>
      </c>
      <c r="G153" s="49">
        <v>1</v>
      </c>
      <c r="H153" s="47">
        <v>5</v>
      </c>
      <c r="I153" s="48">
        <v>81.180000000000007</v>
      </c>
      <c r="J153" s="56">
        <v>84.1</v>
      </c>
      <c r="K153" s="48">
        <v>70.430000000000007</v>
      </c>
      <c r="L153" s="49">
        <v>78.150000000000006</v>
      </c>
      <c r="M153" s="72">
        <f t="shared" si="5"/>
        <v>1.6</v>
      </c>
      <c r="N153" s="36">
        <v>1.6E-2</v>
      </c>
      <c r="O153" s="68">
        <v>44.555000000000007</v>
      </c>
      <c r="P153" s="73">
        <v>6.25</v>
      </c>
      <c r="Q153" s="74">
        <f>'Trade Data'!H11</f>
        <v>0.61376183531780448</v>
      </c>
      <c r="R153" s="37">
        <v>1</v>
      </c>
    </row>
    <row r="154" spans="1:18" ht="20.100000000000001" customHeight="1">
      <c r="A154" s="44" t="s">
        <v>51</v>
      </c>
      <c r="B154" s="44" t="s">
        <v>725</v>
      </c>
      <c r="C154" s="57">
        <f>'Thomson Reuters IMA  ($)'!I406</f>
        <v>0.93700000000000006</v>
      </c>
      <c r="D154" s="47">
        <f>'Sectors % GDP'!I14</f>
        <v>159087.32</v>
      </c>
      <c r="E154" s="47">
        <f t="shared" si="4"/>
        <v>5.8898471606662303E-6</v>
      </c>
      <c r="F154" s="47">
        <v>1</v>
      </c>
      <c r="G154" s="49">
        <v>1</v>
      </c>
      <c r="H154" s="47">
        <v>5</v>
      </c>
      <c r="I154" s="48">
        <v>81.180000000000007</v>
      </c>
      <c r="J154" s="56">
        <v>84.1</v>
      </c>
      <c r="K154" s="48">
        <v>70.430000000000007</v>
      </c>
      <c r="L154" s="49">
        <v>78.150000000000006</v>
      </c>
      <c r="M154" s="72">
        <f t="shared" si="5"/>
        <v>1.6</v>
      </c>
      <c r="N154" s="36">
        <v>1.6E-2</v>
      </c>
      <c r="O154" s="68">
        <v>44.555000000000007</v>
      </c>
      <c r="P154" s="73">
        <v>6.25</v>
      </c>
      <c r="Q154" s="74">
        <f>'Trade Data'!H11</f>
        <v>0.61376183531780448</v>
      </c>
      <c r="R154" s="37">
        <v>1</v>
      </c>
    </row>
    <row r="155" spans="1:18" ht="20.100000000000001" customHeight="1">
      <c r="A155" s="44" t="s">
        <v>52</v>
      </c>
      <c r="B155" s="44" t="s">
        <v>724</v>
      </c>
      <c r="C155" s="57">
        <v>0</v>
      </c>
      <c r="D155" s="47">
        <f>'Sectors % GDP'!I12</f>
        <v>10622.289999999999</v>
      </c>
      <c r="E155" s="47">
        <f t="shared" si="4"/>
        <v>0</v>
      </c>
      <c r="F155" s="47">
        <v>0</v>
      </c>
      <c r="G155" s="49">
        <v>0</v>
      </c>
      <c r="H155" s="47">
        <v>0</v>
      </c>
      <c r="I155" s="48">
        <v>77.42</v>
      </c>
      <c r="J155" s="56">
        <v>73.06</v>
      </c>
      <c r="K155" s="48">
        <v>69.45</v>
      </c>
      <c r="L155" s="49">
        <v>78.150000000000006</v>
      </c>
      <c r="M155" s="72">
        <f t="shared" si="5"/>
        <v>1.6</v>
      </c>
      <c r="N155" s="36">
        <v>1.6E-2</v>
      </c>
      <c r="O155" s="68">
        <v>42.448750000000004</v>
      </c>
      <c r="P155" s="73">
        <v>6.25</v>
      </c>
      <c r="Q155" s="74">
        <f>'Trade Data'!H11</f>
        <v>0.61376183531780448</v>
      </c>
      <c r="R155" s="35">
        <v>0</v>
      </c>
    </row>
    <row r="156" spans="1:18" ht="20.100000000000001" customHeight="1">
      <c r="A156" s="44" t="s">
        <v>52</v>
      </c>
      <c r="B156" s="44" t="s">
        <v>723</v>
      </c>
      <c r="C156" s="57">
        <f>'Thomson Reuters IMA  ($)'!I412+'Thomson Reuters IMA  ($)'!I413</f>
        <v>55.754999999999995</v>
      </c>
      <c r="D156" s="47">
        <f>'Sectors % GDP'!I13</f>
        <v>77295.687000000005</v>
      </c>
      <c r="E156" s="47">
        <f t="shared" si="4"/>
        <v>7.2132097098768252E-4</v>
      </c>
      <c r="F156" s="47">
        <v>1</v>
      </c>
      <c r="G156" s="49">
        <v>1</v>
      </c>
      <c r="H156" s="47">
        <v>4</v>
      </c>
      <c r="I156" s="48">
        <v>77.42</v>
      </c>
      <c r="J156" s="56">
        <v>73.06</v>
      </c>
      <c r="K156" s="48">
        <v>69.45</v>
      </c>
      <c r="L156" s="49">
        <v>78.150000000000006</v>
      </c>
      <c r="M156" s="72">
        <f t="shared" si="5"/>
        <v>1.6</v>
      </c>
      <c r="N156" s="36">
        <v>1.6E-2</v>
      </c>
      <c r="O156" s="68">
        <v>42.448750000000004</v>
      </c>
      <c r="P156" s="73">
        <v>6.25</v>
      </c>
      <c r="Q156" s="74">
        <f>'Trade Data'!H11</f>
        <v>0.61376183531780448</v>
      </c>
      <c r="R156" s="35">
        <v>1</v>
      </c>
    </row>
    <row r="157" spans="1:18" ht="20.100000000000001" customHeight="1">
      <c r="A157" s="44" t="s">
        <v>52</v>
      </c>
      <c r="B157" s="44" t="s">
        <v>722</v>
      </c>
      <c r="C157" s="57">
        <f>'Thomson Reuters IMA  ($)'!I411+'Thomson Reuters IMA  ($)'!I414+'Thomson Reuters IMA  ($)'!I415</f>
        <v>697.25199999999995</v>
      </c>
      <c r="D157" s="47">
        <f>'Sectors % GDP'!I14</f>
        <v>159087.32</v>
      </c>
      <c r="E157" s="47">
        <f t="shared" si="4"/>
        <v>4.3828257336914088E-3</v>
      </c>
      <c r="F157" s="47">
        <v>1</v>
      </c>
      <c r="G157" s="49">
        <v>1</v>
      </c>
      <c r="H157" s="47">
        <v>9</v>
      </c>
      <c r="I157" s="48">
        <v>77.42</v>
      </c>
      <c r="J157" s="56">
        <v>73.06</v>
      </c>
      <c r="K157" s="48">
        <v>69.45</v>
      </c>
      <c r="L157" s="49">
        <v>78.150000000000006</v>
      </c>
      <c r="M157" s="72">
        <f t="shared" si="5"/>
        <v>1.6</v>
      </c>
      <c r="N157" s="36">
        <v>1.6E-2</v>
      </c>
      <c r="O157" s="68">
        <v>42.448750000000004</v>
      </c>
      <c r="P157" s="73">
        <v>6.25</v>
      </c>
      <c r="Q157" s="74">
        <f>'Trade Data'!H11</f>
        <v>0.61376183531780448</v>
      </c>
      <c r="R157" s="35">
        <v>1</v>
      </c>
    </row>
    <row r="158" spans="1:18" ht="20.100000000000001" customHeight="1">
      <c r="A158" s="44" t="s">
        <v>53</v>
      </c>
      <c r="B158" s="44" t="s">
        <v>721</v>
      </c>
      <c r="C158" s="57">
        <v>0</v>
      </c>
      <c r="D158" s="47">
        <f>'Sectors % GDP'!I12</f>
        <v>10622.289999999999</v>
      </c>
      <c r="E158" s="47">
        <f t="shared" si="4"/>
        <v>0</v>
      </c>
      <c r="F158" s="47">
        <v>0</v>
      </c>
      <c r="G158" s="49">
        <v>1</v>
      </c>
      <c r="H158" s="47">
        <v>1</v>
      </c>
      <c r="I158" s="48">
        <v>70.5</v>
      </c>
      <c r="J158" s="48">
        <v>53.44</v>
      </c>
      <c r="K158" s="48">
        <v>68.510000000000005</v>
      </c>
      <c r="L158" s="49">
        <v>78.150000000000006</v>
      </c>
      <c r="M158" s="72">
        <f t="shared" si="5"/>
        <v>1.6</v>
      </c>
      <c r="N158" s="36">
        <v>1.6E-2</v>
      </c>
      <c r="O158" s="68">
        <v>37.162499999999994</v>
      </c>
      <c r="P158" s="73">
        <v>6.25</v>
      </c>
      <c r="Q158" s="74">
        <f>'Trade Data'!H11</f>
        <v>0.61376183531780448</v>
      </c>
      <c r="R158" s="37">
        <v>0</v>
      </c>
    </row>
    <row r="159" spans="1:18" ht="20.100000000000001" customHeight="1">
      <c r="A159" s="44" t="s">
        <v>53</v>
      </c>
      <c r="B159" s="44" t="s">
        <v>720</v>
      </c>
      <c r="C159" s="57">
        <f>'Thomson Reuters IMA  ($)'!I416+'Thomson Reuters IMA  ($)'!I417+'Thomson Reuters IMA  ($)'!I418+'Thomson Reuters IMA  ($)'!I419+'Thomson Reuters IMA  ($)'!I422</f>
        <v>1466.6680000000001</v>
      </c>
      <c r="D159" s="47">
        <f>'Sectors % GDP'!I13</f>
        <v>77295.687000000005</v>
      </c>
      <c r="E159" s="47">
        <f t="shared" si="4"/>
        <v>1.8974771516035559E-2</v>
      </c>
      <c r="F159" s="47">
        <v>1</v>
      </c>
      <c r="G159" s="49">
        <v>1</v>
      </c>
      <c r="H159" s="47">
        <v>6</v>
      </c>
      <c r="I159" s="48">
        <v>70.5</v>
      </c>
      <c r="J159" s="48">
        <v>53.44</v>
      </c>
      <c r="K159" s="48">
        <v>68.510000000000005</v>
      </c>
      <c r="L159" s="49">
        <v>78.150000000000006</v>
      </c>
      <c r="M159" s="72">
        <f t="shared" si="5"/>
        <v>1.6</v>
      </c>
      <c r="N159" s="36">
        <v>1.6E-2</v>
      </c>
      <c r="O159" s="68">
        <v>37.162499999999994</v>
      </c>
      <c r="P159" s="73">
        <v>6.25</v>
      </c>
      <c r="Q159" s="74">
        <f>'Trade Data'!H11</f>
        <v>0.61376183531780448</v>
      </c>
      <c r="R159" s="37">
        <v>1</v>
      </c>
    </row>
    <row r="160" spans="1:18" ht="20.100000000000001" customHeight="1">
      <c r="A160" s="44" t="s">
        <v>53</v>
      </c>
      <c r="B160" s="44" t="s">
        <v>719</v>
      </c>
      <c r="C160" s="57">
        <f>'Thomson Reuters IMA  ($)'!I420+'Thomson Reuters IMA  ($)'!I421</f>
        <v>843.10799999999995</v>
      </c>
      <c r="D160" s="47">
        <f>'Sectors % GDP'!I14</f>
        <v>159087.32</v>
      </c>
      <c r="E160" s="47">
        <f t="shared" si="4"/>
        <v>5.2996555602294378E-3</v>
      </c>
      <c r="F160" s="47">
        <v>1</v>
      </c>
      <c r="G160" s="49">
        <v>1</v>
      </c>
      <c r="H160" s="47">
        <v>10</v>
      </c>
      <c r="I160" s="48">
        <v>70.5</v>
      </c>
      <c r="J160" s="48">
        <v>53.44</v>
      </c>
      <c r="K160" s="48">
        <v>68.510000000000005</v>
      </c>
      <c r="L160" s="49">
        <v>78.150000000000006</v>
      </c>
      <c r="M160" s="72">
        <f t="shared" si="5"/>
        <v>1.6</v>
      </c>
      <c r="N160" s="36">
        <v>1.6E-2</v>
      </c>
      <c r="O160" s="68">
        <v>37.162499999999994</v>
      </c>
      <c r="P160" s="73">
        <v>6.25</v>
      </c>
      <c r="Q160" s="74">
        <f>'Trade Data'!H11</f>
        <v>0.61376183531780448</v>
      </c>
      <c r="R160" s="37">
        <v>1</v>
      </c>
    </row>
    <row r="161" spans="1:18" ht="20.100000000000001" customHeight="1">
      <c r="A161" s="44" t="s">
        <v>54</v>
      </c>
      <c r="B161" s="44" t="s">
        <v>718</v>
      </c>
      <c r="C161" s="57">
        <v>0</v>
      </c>
      <c r="D161" s="47">
        <f>'Sectors % GDP'!K12</f>
        <v>11581.24</v>
      </c>
      <c r="E161" s="47">
        <f t="shared" si="4"/>
        <v>0</v>
      </c>
      <c r="F161" s="47">
        <v>0</v>
      </c>
      <c r="G161" s="49">
        <v>0</v>
      </c>
      <c r="H161" s="47">
        <v>0</v>
      </c>
      <c r="I161" s="48">
        <v>75.86</v>
      </c>
      <c r="J161" s="48">
        <v>69.19</v>
      </c>
      <c r="K161" s="48">
        <v>73.36</v>
      </c>
      <c r="L161" s="49">
        <v>75.34</v>
      </c>
      <c r="M161" s="72">
        <f t="shared" si="5"/>
        <v>1.6</v>
      </c>
      <c r="N161" s="36">
        <v>1.6E-2</v>
      </c>
      <c r="O161" s="68">
        <v>45.852499999999999</v>
      </c>
      <c r="P161" s="73">
        <v>6.25</v>
      </c>
      <c r="Q161" s="74">
        <f>'Trade Data'!H11</f>
        <v>0.61376183531780448</v>
      </c>
      <c r="R161" s="35">
        <v>0</v>
      </c>
    </row>
    <row r="162" spans="1:18" ht="20.100000000000001" customHeight="1">
      <c r="A162" s="44" t="s">
        <v>54</v>
      </c>
      <c r="B162" s="44" t="s">
        <v>717</v>
      </c>
      <c r="C162" s="58">
        <f>SUM('Thomson Reuters IMA  ($)'!I423:I426)</f>
        <v>664</v>
      </c>
      <c r="D162" s="47">
        <f>'Sectors % GDP'!K13</f>
        <v>82647.94</v>
      </c>
      <c r="E162" s="47">
        <f t="shared" si="4"/>
        <v>8.0340780423565298E-3</v>
      </c>
      <c r="F162" s="47">
        <v>1</v>
      </c>
      <c r="G162" s="49">
        <v>1</v>
      </c>
      <c r="H162" s="47">
        <v>5</v>
      </c>
      <c r="I162" s="48">
        <v>75.86</v>
      </c>
      <c r="J162" s="48">
        <v>69.19</v>
      </c>
      <c r="K162" s="48">
        <v>73.36</v>
      </c>
      <c r="L162" s="49">
        <v>75.34</v>
      </c>
      <c r="M162" s="72">
        <f t="shared" si="5"/>
        <v>1.6</v>
      </c>
      <c r="N162" s="36">
        <v>1.6E-2</v>
      </c>
      <c r="O162" s="68">
        <v>45.852499999999999</v>
      </c>
      <c r="P162" s="73">
        <v>6.25</v>
      </c>
      <c r="Q162" s="74">
        <f>'Trade Data'!H11</f>
        <v>0.61376183531780448</v>
      </c>
      <c r="R162" s="35">
        <v>1</v>
      </c>
    </row>
    <row r="163" spans="1:18" ht="20.100000000000001" customHeight="1">
      <c r="A163" s="44" t="s">
        <v>54</v>
      </c>
      <c r="B163" s="44" t="s">
        <v>716</v>
      </c>
      <c r="C163" s="59">
        <v>0</v>
      </c>
      <c r="D163" s="47">
        <f>'Sectors % GDP'!K14</f>
        <v>169244.03</v>
      </c>
      <c r="E163" s="47">
        <f t="shared" si="4"/>
        <v>0</v>
      </c>
      <c r="F163" s="47">
        <v>0</v>
      </c>
      <c r="G163" s="49">
        <v>1</v>
      </c>
      <c r="H163" s="47">
        <v>5</v>
      </c>
      <c r="I163" s="48">
        <v>75.86</v>
      </c>
      <c r="J163" s="48">
        <v>69.19</v>
      </c>
      <c r="K163" s="48">
        <v>73.36</v>
      </c>
      <c r="L163" s="49">
        <v>75.34</v>
      </c>
      <c r="M163" s="72">
        <f t="shared" si="5"/>
        <v>1.6</v>
      </c>
      <c r="N163" s="36">
        <v>1.6E-2</v>
      </c>
      <c r="O163" s="68">
        <v>45.852499999999999</v>
      </c>
      <c r="P163" s="73">
        <v>6.25</v>
      </c>
      <c r="Q163" s="74">
        <f>'Trade Data'!H11</f>
        <v>0.61376183531780448</v>
      </c>
      <c r="R163" s="35">
        <v>1</v>
      </c>
    </row>
    <row r="164" spans="1:18" ht="20.100000000000001" customHeight="1">
      <c r="A164" s="44" t="s">
        <v>56</v>
      </c>
      <c r="B164" s="44" t="s">
        <v>715</v>
      </c>
      <c r="C164" s="59">
        <f>'Thomson Reuters IMA  ($)'!I428</f>
        <v>2.8</v>
      </c>
      <c r="D164" s="47">
        <f>'Sectors % GDP'!K12</f>
        <v>11581.24</v>
      </c>
      <c r="E164" s="47">
        <f t="shared" si="4"/>
        <v>2.4177031129654508E-4</v>
      </c>
      <c r="F164" s="47">
        <v>1</v>
      </c>
      <c r="G164" s="49">
        <v>1</v>
      </c>
      <c r="H164" s="47">
        <v>1</v>
      </c>
      <c r="I164" s="48">
        <v>77.739999999999995</v>
      </c>
      <c r="J164" s="48">
        <v>88.81</v>
      </c>
      <c r="K164" s="48">
        <v>54.52</v>
      </c>
      <c r="L164" s="49">
        <v>75.34</v>
      </c>
      <c r="M164" s="72">
        <f t="shared" si="5"/>
        <v>1.7000000000000002</v>
      </c>
      <c r="N164" s="36">
        <v>1.7000000000000001E-2</v>
      </c>
      <c r="O164" s="68">
        <v>42.489999999999995</v>
      </c>
      <c r="P164" s="73">
        <v>5.69</v>
      </c>
      <c r="Q164" s="74">
        <f>'Trade Data'!J11</f>
        <v>0.61966902795142798</v>
      </c>
      <c r="R164" s="37">
        <v>0</v>
      </c>
    </row>
    <row r="165" spans="1:18" ht="20.100000000000001" customHeight="1">
      <c r="A165" s="44" t="s">
        <v>56</v>
      </c>
      <c r="B165" s="44" t="s">
        <v>714</v>
      </c>
      <c r="C165" s="59">
        <f>'Thomson Reuters IMA  ($)'!I429</f>
        <v>341</v>
      </c>
      <c r="D165" s="47">
        <f>'Sectors % GDP'!K13</f>
        <v>82647.94</v>
      </c>
      <c r="E165" s="47">
        <f t="shared" si="4"/>
        <v>4.1259346572945438E-3</v>
      </c>
      <c r="F165" s="47">
        <v>1</v>
      </c>
      <c r="G165" s="49">
        <v>1</v>
      </c>
      <c r="H165" s="47">
        <v>4</v>
      </c>
      <c r="I165" s="48">
        <v>77.739999999999995</v>
      </c>
      <c r="J165" s="48">
        <v>88.81</v>
      </c>
      <c r="K165" s="48">
        <v>54.52</v>
      </c>
      <c r="L165" s="49">
        <v>75.34</v>
      </c>
      <c r="M165" s="72">
        <f t="shared" si="5"/>
        <v>1.7000000000000002</v>
      </c>
      <c r="N165" s="36">
        <v>1.7000000000000001E-2</v>
      </c>
      <c r="O165" s="68">
        <v>42.489999999999995</v>
      </c>
      <c r="P165" s="73">
        <v>5.69</v>
      </c>
      <c r="Q165" s="74">
        <f>'Trade Data'!J11</f>
        <v>0.61966902795142798</v>
      </c>
      <c r="R165" s="37">
        <v>1</v>
      </c>
    </row>
    <row r="166" spans="1:18" ht="20.100000000000001" customHeight="1">
      <c r="A166" s="44" t="s">
        <v>56</v>
      </c>
      <c r="B166" s="44" t="s">
        <v>713</v>
      </c>
      <c r="C166" s="59">
        <f>'Thomson Reuters IMA  ($)'!I427</f>
        <v>9.1999999999999998E-2</v>
      </c>
      <c r="D166" s="47">
        <f>'Sectors % GDP'!K14</f>
        <v>169244.03</v>
      </c>
      <c r="E166" s="47">
        <f t="shared" si="4"/>
        <v>5.4359376812286967E-7</v>
      </c>
      <c r="F166" s="47">
        <v>1</v>
      </c>
      <c r="G166" s="49">
        <v>1</v>
      </c>
      <c r="H166" s="47">
        <v>3</v>
      </c>
      <c r="I166" s="48">
        <v>77.739999999999995</v>
      </c>
      <c r="J166" s="48">
        <v>88.81</v>
      </c>
      <c r="K166" s="48">
        <v>54.52</v>
      </c>
      <c r="L166" s="49">
        <v>75.34</v>
      </c>
      <c r="M166" s="72">
        <f t="shared" si="5"/>
        <v>1.7000000000000002</v>
      </c>
      <c r="N166" s="36">
        <v>1.7000000000000001E-2</v>
      </c>
      <c r="O166" s="68">
        <v>42.489999999999995</v>
      </c>
      <c r="P166" s="73">
        <v>5.69</v>
      </c>
      <c r="Q166" s="74">
        <f>'Trade Data'!J11</f>
        <v>0.61966902795142798</v>
      </c>
      <c r="R166" s="37">
        <v>1</v>
      </c>
    </row>
    <row r="167" spans="1:18" ht="20.100000000000001" customHeight="1">
      <c r="A167" s="44" t="s">
        <v>57</v>
      </c>
      <c r="B167" s="44" t="s">
        <v>712</v>
      </c>
      <c r="C167" s="59"/>
      <c r="D167" s="47">
        <f>'Sectors % GDP'!K12</f>
        <v>11581.24</v>
      </c>
      <c r="E167" s="47">
        <f t="shared" si="4"/>
        <v>0</v>
      </c>
      <c r="F167" s="47">
        <v>0</v>
      </c>
      <c r="G167" s="49">
        <v>0</v>
      </c>
      <c r="H167" s="47">
        <v>0</v>
      </c>
      <c r="I167" s="48">
        <v>66.8</v>
      </c>
      <c r="J167" s="48">
        <v>59.21</v>
      </c>
      <c r="K167" s="48">
        <v>57.21</v>
      </c>
      <c r="L167" s="49">
        <v>75.34</v>
      </c>
      <c r="M167" s="72">
        <f t="shared" si="5"/>
        <v>1.7000000000000002</v>
      </c>
      <c r="N167" s="36">
        <v>1.7000000000000001E-2</v>
      </c>
      <c r="O167" s="68">
        <v>35.15625</v>
      </c>
      <c r="P167" s="73">
        <v>5.69</v>
      </c>
      <c r="Q167" s="74">
        <f>'Trade Data'!J11</f>
        <v>0.61966902795142798</v>
      </c>
      <c r="R167" s="35">
        <v>0</v>
      </c>
    </row>
    <row r="168" spans="1:18" ht="20.100000000000001" customHeight="1">
      <c r="A168" s="44" t="s">
        <v>57</v>
      </c>
      <c r="B168" s="44" t="s">
        <v>711</v>
      </c>
      <c r="C168" s="59">
        <f>'Thomson Reuters IMA  ($)'!I430+'Thomson Reuters IMA  ($)'!I431+'Thomson Reuters IMA  ($)'!I432+'Thomson Reuters IMA  ($)'!I433</f>
        <v>74.861999999999995</v>
      </c>
      <c r="D168" s="47">
        <f>'Sectors % GDP'!K13</f>
        <v>82647.94</v>
      </c>
      <c r="E168" s="47">
        <f t="shared" si="4"/>
        <v>9.0579390121520262E-4</v>
      </c>
      <c r="F168" s="47">
        <v>1</v>
      </c>
      <c r="G168" s="49">
        <v>1</v>
      </c>
      <c r="H168" s="47">
        <v>7</v>
      </c>
      <c r="I168" s="48">
        <v>66.8</v>
      </c>
      <c r="J168" s="48">
        <v>59.21</v>
      </c>
      <c r="K168" s="48">
        <v>57.21</v>
      </c>
      <c r="L168" s="49">
        <v>75.34</v>
      </c>
      <c r="M168" s="72">
        <f t="shared" si="5"/>
        <v>1.7000000000000002</v>
      </c>
      <c r="N168" s="36">
        <v>1.7000000000000001E-2</v>
      </c>
      <c r="O168" s="68">
        <v>35.15625</v>
      </c>
      <c r="P168" s="73">
        <v>5.69</v>
      </c>
      <c r="Q168" s="74">
        <f>'Trade Data'!J11</f>
        <v>0.61966902795142798</v>
      </c>
      <c r="R168" s="35">
        <v>1</v>
      </c>
    </row>
    <row r="169" spans="1:18" ht="20.100000000000001" customHeight="1">
      <c r="A169" s="44" t="s">
        <v>57</v>
      </c>
      <c r="B169" s="44" t="s">
        <v>710</v>
      </c>
      <c r="C169" s="59">
        <f>'Thomson Reuters IMA  ($)'!I434+'Thomson Reuters IMA  ($)'!I435</f>
        <v>2594.442</v>
      </c>
      <c r="D169" s="47">
        <f>'Sectors % GDP'!K14</f>
        <v>169244.03</v>
      </c>
      <c r="E169" s="47">
        <f t="shared" si="4"/>
        <v>1.532959242343733E-2</v>
      </c>
      <c r="F169" s="47">
        <v>1</v>
      </c>
      <c r="G169" s="49">
        <v>1</v>
      </c>
      <c r="H169" s="47">
        <v>5</v>
      </c>
      <c r="I169" s="48">
        <v>66.8</v>
      </c>
      <c r="J169" s="48">
        <v>59.21</v>
      </c>
      <c r="K169" s="48">
        <v>57.21</v>
      </c>
      <c r="L169" s="49">
        <v>75.34</v>
      </c>
      <c r="M169" s="72">
        <f t="shared" si="5"/>
        <v>1.7000000000000002</v>
      </c>
      <c r="N169" s="36">
        <v>1.7000000000000001E-2</v>
      </c>
      <c r="O169" s="68">
        <v>35.15625</v>
      </c>
      <c r="P169" s="73">
        <v>5.69</v>
      </c>
      <c r="Q169" s="74">
        <f>'Trade Data'!J11</f>
        <v>0.61966902795142798</v>
      </c>
      <c r="R169" s="35">
        <v>1</v>
      </c>
    </row>
    <row r="170" spans="1:18" ht="20.100000000000001" customHeight="1">
      <c r="A170" s="44" t="s">
        <v>58</v>
      </c>
      <c r="B170" s="44" t="s">
        <v>855</v>
      </c>
      <c r="C170" s="59"/>
      <c r="D170" s="47">
        <f>'Sectors % GDP'!K12</f>
        <v>11581.24</v>
      </c>
      <c r="E170" s="47">
        <f t="shared" si="4"/>
        <v>0</v>
      </c>
      <c r="F170" s="47">
        <v>0</v>
      </c>
      <c r="G170" s="49">
        <v>0</v>
      </c>
      <c r="H170" s="47">
        <v>0</v>
      </c>
      <c r="I170" s="48">
        <v>80.5</v>
      </c>
      <c r="J170" s="48">
        <v>90.62</v>
      </c>
      <c r="K170" s="48">
        <v>61.27</v>
      </c>
      <c r="L170" s="49">
        <v>75.34</v>
      </c>
      <c r="M170" s="72">
        <f t="shared" si="5"/>
        <v>1.7000000000000002</v>
      </c>
      <c r="N170" s="36">
        <v>1.7000000000000001E-2</v>
      </c>
      <c r="O170" s="68">
        <v>43.11</v>
      </c>
      <c r="P170" s="73">
        <v>5.69</v>
      </c>
      <c r="Q170" s="74">
        <f>'Trade Data'!J11</f>
        <v>0.61966902795142798</v>
      </c>
      <c r="R170" s="37">
        <v>0</v>
      </c>
    </row>
    <row r="171" spans="1:18" ht="20.100000000000001" customHeight="1">
      <c r="A171" s="44" t="s">
        <v>58</v>
      </c>
      <c r="B171" s="44" t="s">
        <v>856</v>
      </c>
      <c r="C171" s="59">
        <f>'Thomson Reuters IMA  ($)'!I436+'Thomson Reuters IMA  ($)'!I437</f>
        <v>13.74</v>
      </c>
      <c r="D171" s="47">
        <f>'Sectors % GDP'!K13</f>
        <v>82647.94</v>
      </c>
      <c r="E171" s="47">
        <f t="shared" si="4"/>
        <v>1.6624733780418483E-4</v>
      </c>
      <c r="F171" s="47">
        <v>1</v>
      </c>
      <c r="G171" s="49">
        <v>1</v>
      </c>
      <c r="H171" s="47">
        <v>4</v>
      </c>
      <c r="I171" s="48">
        <v>80.5</v>
      </c>
      <c r="J171" s="48">
        <v>90.62</v>
      </c>
      <c r="K171" s="48">
        <v>61.27</v>
      </c>
      <c r="L171" s="49">
        <v>75.34</v>
      </c>
      <c r="M171" s="72">
        <f t="shared" si="5"/>
        <v>1.7000000000000002</v>
      </c>
      <c r="N171" s="36">
        <v>1.7000000000000001E-2</v>
      </c>
      <c r="O171" s="68">
        <v>43.11</v>
      </c>
      <c r="P171" s="73">
        <v>5.69</v>
      </c>
      <c r="Q171" s="74">
        <f>'Trade Data'!J11</f>
        <v>0.61966902795142798</v>
      </c>
      <c r="R171" s="37">
        <v>1</v>
      </c>
    </row>
    <row r="172" spans="1:18" ht="20.100000000000001" customHeight="1">
      <c r="A172" s="44" t="s">
        <v>58</v>
      </c>
      <c r="B172" s="44" t="s">
        <v>857</v>
      </c>
      <c r="C172" s="59">
        <f>'Thomson Reuters IMA  ($)'!I438</f>
        <v>38.515999999999998</v>
      </c>
      <c r="D172" s="47">
        <f>'Sectors % GDP'!K14</f>
        <v>169244.03</v>
      </c>
      <c r="E172" s="47">
        <f t="shared" si="4"/>
        <v>2.2757671275022226E-4</v>
      </c>
      <c r="F172" s="47">
        <v>1</v>
      </c>
      <c r="G172" s="49">
        <v>1</v>
      </c>
      <c r="H172" s="47">
        <v>1</v>
      </c>
      <c r="I172" s="48">
        <v>80.5</v>
      </c>
      <c r="J172" s="48">
        <v>90.62</v>
      </c>
      <c r="K172" s="48">
        <v>61.27</v>
      </c>
      <c r="L172" s="49">
        <v>75.34</v>
      </c>
      <c r="M172" s="72">
        <f t="shared" si="5"/>
        <v>1.7000000000000002</v>
      </c>
      <c r="N172" s="36">
        <v>1.7000000000000001E-2</v>
      </c>
      <c r="O172" s="68">
        <v>43.11</v>
      </c>
      <c r="P172" s="73">
        <v>5.69</v>
      </c>
      <c r="Q172" s="74">
        <f>'Trade Data'!J11</f>
        <v>0.61966902795142798</v>
      </c>
      <c r="R172" s="37">
        <v>1</v>
      </c>
    </row>
    <row r="173" spans="1:18" ht="20.100000000000001" customHeight="1">
      <c r="A173" s="44" t="s">
        <v>59</v>
      </c>
      <c r="B173" s="44" t="s">
        <v>709</v>
      </c>
      <c r="C173" s="59">
        <v>0</v>
      </c>
      <c r="D173" s="47">
        <f>'Sectors % GDP'!C16</f>
        <v>23114.335999999999</v>
      </c>
      <c r="E173" s="47">
        <f t="shared" si="4"/>
        <v>0</v>
      </c>
      <c r="F173" s="47">
        <v>0</v>
      </c>
      <c r="G173" s="49">
        <v>0</v>
      </c>
      <c r="H173" s="47">
        <v>0</v>
      </c>
      <c r="I173" s="56">
        <v>56.2</v>
      </c>
      <c r="J173" s="56">
        <v>54.85</v>
      </c>
      <c r="K173" s="49">
        <v>75.819999999999993</v>
      </c>
      <c r="L173" s="49">
        <v>33.43</v>
      </c>
      <c r="M173" s="72">
        <f t="shared" si="5"/>
        <v>4.9000000000000004</v>
      </c>
      <c r="N173" s="36">
        <v>4.9000000000000002E-2</v>
      </c>
      <c r="O173" s="68">
        <v>11.862499999999997</v>
      </c>
      <c r="P173" s="73">
        <v>5.8</v>
      </c>
      <c r="Q173" s="74">
        <f>'Trade Data'!B14</f>
        <v>0.49273767380624867</v>
      </c>
      <c r="R173" s="35">
        <v>0</v>
      </c>
    </row>
    <row r="174" spans="1:18" ht="20.100000000000001" customHeight="1">
      <c r="A174" s="44" t="s">
        <v>59</v>
      </c>
      <c r="B174" s="44" t="s">
        <v>708</v>
      </c>
      <c r="C174" s="59">
        <f>'Thomson Reuters IMA  ($)'!I439+'Thomson Reuters IMA  ($)'!I440+'Thomson Reuters IMA  ($)'!I441</f>
        <v>16.041999999999998</v>
      </c>
      <c r="D174" s="47">
        <f>'Sectors % GDP'!C17</f>
        <v>141157.12100000001</v>
      </c>
      <c r="E174" s="47">
        <f t="shared" si="4"/>
        <v>1.1364640966288904E-4</v>
      </c>
      <c r="F174" s="47">
        <v>1</v>
      </c>
      <c r="G174" s="49">
        <v>1</v>
      </c>
      <c r="H174" s="47">
        <v>3</v>
      </c>
      <c r="I174" s="56">
        <v>56.2</v>
      </c>
      <c r="J174" s="56">
        <v>54.85</v>
      </c>
      <c r="K174" s="49">
        <v>75.819999999999993</v>
      </c>
      <c r="L174" s="49">
        <v>33.43</v>
      </c>
      <c r="M174" s="72">
        <f t="shared" si="5"/>
        <v>4.9000000000000004</v>
      </c>
      <c r="N174" s="36">
        <v>4.9000000000000002E-2</v>
      </c>
      <c r="O174" s="68">
        <v>11.862499999999997</v>
      </c>
      <c r="P174" s="73">
        <v>5.8</v>
      </c>
      <c r="Q174" s="74">
        <f>'Trade Data'!B14</f>
        <v>0.49273767380624867</v>
      </c>
      <c r="R174" s="35">
        <v>1</v>
      </c>
    </row>
    <row r="175" spans="1:18" ht="20.100000000000001" customHeight="1">
      <c r="A175" s="44" t="s">
        <v>59</v>
      </c>
      <c r="B175" s="44" t="s">
        <v>707</v>
      </c>
      <c r="C175" s="59">
        <v>0</v>
      </c>
      <c r="D175" s="47">
        <f>'Sectors % GDP'!C18</f>
        <v>215898.54299999998</v>
      </c>
      <c r="E175" s="47">
        <f t="shared" si="4"/>
        <v>0</v>
      </c>
      <c r="F175" s="47">
        <v>0</v>
      </c>
      <c r="G175" s="49">
        <v>1</v>
      </c>
      <c r="H175" s="47">
        <v>8</v>
      </c>
      <c r="I175" s="56">
        <v>56.2</v>
      </c>
      <c r="J175" s="56">
        <v>54.85</v>
      </c>
      <c r="K175" s="49">
        <v>75.819999999999993</v>
      </c>
      <c r="L175" s="49">
        <v>33.43</v>
      </c>
      <c r="M175" s="72">
        <f t="shared" si="5"/>
        <v>4.9000000000000004</v>
      </c>
      <c r="N175" s="36">
        <v>4.9000000000000002E-2</v>
      </c>
      <c r="O175" s="68">
        <v>11.862499999999997</v>
      </c>
      <c r="P175" s="73">
        <v>5.8</v>
      </c>
      <c r="Q175" s="74">
        <f>'Trade Data'!B14</f>
        <v>0.49273767380624867</v>
      </c>
      <c r="R175" s="35">
        <v>1</v>
      </c>
    </row>
    <row r="176" spans="1:18" ht="20.100000000000001" customHeight="1">
      <c r="A176" s="44" t="s">
        <v>60</v>
      </c>
      <c r="B176" s="44" t="s">
        <v>706</v>
      </c>
      <c r="C176" s="59">
        <v>0</v>
      </c>
      <c r="D176" s="47">
        <f>'Sectors % GDP'!C16</f>
        <v>23114.335999999999</v>
      </c>
      <c r="E176" s="47">
        <f t="shared" si="4"/>
        <v>0</v>
      </c>
      <c r="F176" s="47">
        <v>0</v>
      </c>
      <c r="G176" s="49">
        <v>0</v>
      </c>
      <c r="H176" s="47">
        <v>0</v>
      </c>
      <c r="I176" s="56">
        <v>46.21</v>
      </c>
      <c r="J176" s="56">
        <v>25.18</v>
      </c>
      <c r="K176" s="52">
        <v>79.989999999999995</v>
      </c>
      <c r="L176" s="49">
        <v>33.43</v>
      </c>
      <c r="M176" s="72">
        <f t="shared" si="5"/>
        <v>4.9000000000000004</v>
      </c>
      <c r="N176" s="36">
        <v>4.9000000000000002E-2</v>
      </c>
      <c r="O176" s="68">
        <v>12.64875</v>
      </c>
      <c r="P176" s="73">
        <v>5.8</v>
      </c>
      <c r="Q176" s="74">
        <f>'Trade Data'!B14</f>
        <v>0.49273767380624867</v>
      </c>
      <c r="R176" s="37">
        <v>0</v>
      </c>
    </row>
    <row r="177" spans="1:18" ht="20.100000000000001" customHeight="1">
      <c r="A177" s="44" t="s">
        <v>60</v>
      </c>
      <c r="B177" s="44" t="s">
        <v>705</v>
      </c>
      <c r="C177" s="59">
        <f>'Thomson Reuters IMA  ($)'!I445+'Thomson Reuters IMA  ($)'!I446+'Thomson Reuters IMA  ($)'!I447</f>
        <v>595.55200000000002</v>
      </c>
      <c r="D177" s="47">
        <f>'Sectors % GDP'!C17</f>
        <v>141157.12100000001</v>
      </c>
      <c r="E177" s="47">
        <f t="shared" si="4"/>
        <v>4.2190715975285436E-3</v>
      </c>
      <c r="F177" s="47">
        <v>1</v>
      </c>
      <c r="G177" s="49">
        <v>1</v>
      </c>
      <c r="H177" s="47">
        <v>6</v>
      </c>
      <c r="I177" s="56">
        <v>46.21</v>
      </c>
      <c r="J177" s="56">
        <v>25.18</v>
      </c>
      <c r="K177" s="52">
        <v>79.989999999999995</v>
      </c>
      <c r="L177" s="49">
        <v>33.43</v>
      </c>
      <c r="M177" s="72">
        <f t="shared" si="5"/>
        <v>4.9000000000000004</v>
      </c>
      <c r="N177" s="36">
        <v>4.9000000000000002E-2</v>
      </c>
      <c r="O177" s="68">
        <v>12.64875</v>
      </c>
      <c r="P177" s="73">
        <v>5.8</v>
      </c>
      <c r="Q177" s="74">
        <f>'Trade Data'!B14</f>
        <v>0.49273767380624867</v>
      </c>
      <c r="R177" s="37">
        <v>1</v>
      </c>
    </row>
    <row r="178" spans="1:18" ht="20.100000000000001" customHeight="1">
      <c r="A178" s="44" t="s">
        <v>60</v>
      </c>
      <c r="B178" s="44" t="s">
        <v>704</v>
      </c>
      <c r="C178" s="59">
        <f>'Thomson Reuters IMA  ($)'!I442+'Thomson Reuters IMA  ($)'!I443+'Thomson Reuters IMA  ($)'!I444</f>
        <v>69.31</v>
      </c>
      <c r="D178" s="47">
        <f>'Sectors % GDP'!C18</f>
        <v>215898.54299999998</v>
      </c>
      <c r="E178" s="47">
        <f t="shared" si="4"/>
        <v>3.2103042029329494E-4</v>
      </c>
      <c r="F178" s="47">
        <v>1</v>
      </c>
      <c r="G178" s="49">
        <v>1</v>
      </c>
      <c r="H178" s="47">
        <v>3</v>
      </c>
      <c r="I178" s="56">
        <v>46.21</v>
      </c>
      <c r="J178" s="56">
        <v>25.18</v>
      </c>
      <c r="K178" s="52">
        <v>79.989999999999995</v>
      </c>
      <c r="L178" s="49">
        <v>33.43</v>
      </c>
      <c r="M178" s="72">
        <f t="shared" si="5"/>
        <v>4.9000000000000004</v>
      </c>
      <c r="N178" s="36">
        <v>4.9000000000000002E-2</v>
      </c>
      <c r="O178" s="68">
        <v>12.64875</v>
      </c>
      <c r="P178" s="73">
        <v>5.8</v>
      </c>
      <c r="Q178" s="74">
        <f>'Trade Data'!B14</f>
        <v>0.49273767380624867</v>
      </c>
      <c r="R178" s="37">
        <v>1</v>
      </c>
    </row>
    <row r="179" spans="1:18" ht="20.100000000000001" customHeight="1">
      <c r="A179" s="44" t="s">
        <v>61</v>
      </c>
      <c r="B179" s="44" t="s">
        <v>703</v>
      </c>
      <c r="C179" s="59">
        <v>0</v>
      </c>
      <c r="D179" s="47">
        <f>'Sectors % GDP'!C16</f>
        <v>23114.335999999999</v>
      </c>
      <c r="E179" s="47">
        <f t="shared" si="4"/>
        <v>0</v>
      </c>
      <c r="F179" s="47">
        <v>0</v>
      </c>
      <c r="G179" s="49">
        <v>0</v>
      </c>
      <c r="H179" s="47">
        <v>0</v>
      </c>
      <c r="I179" s="56">
        <v>64.209999999999994</v>
      </c>
      <c r="J179" s="56">
        <v>71.2</v>
      </c>
      <c r="K179" s="52">
        <v>79.13</v>
      </c>
      <c r="L179" s="49">
        <v>33.43</v>
      </c>
      <c r="M179" s="72">
        <f t="shared" si="5"/>
        <v>4.9000000000000004</v>
      </c>
      <c r="N179" s="36">
        <v>4.9000000000000002E-2</v>
      </c>
      <c r="O179" s="68">
        <v>23.053749999999994</v>
      </c>
      <c r="P179" s="73">
        <v>5.8</v>
      </c>
      <c r="Q179" s="74">
        <f>'Trade Data'!B14</f>
        <v>0.49273767380624867</v>
      </c>
      <c r="R179" s="35">
        <v>0</v>
      </c>
    </row>
    <row r="180" spans="1:18" ht="20.100000000000001" customHeight="1">
      <c r="A180" s="44" t="s">
        <v>61</v>
      </c>
      <c r="B180" s="44" t="s">
        <v>702</v>
      </c>
      <c r="C180" s="59">
        <f>'Thomson Reuters IMA  ($)'!I448+'Thomson Reuters IMA  ($)'!I449+'Thomson Reuters IMA  ($)'!I450+'Thomson Reuters IMA  ($)'!I451+'Thomson Reuters IMA  ($)'!I452+'Thomson Reuters IMA  ($)'!I454+'Thomson Reuters IMA  ($)'!I455+'Thomson Reuters IMA  ($)'!I457</f>
        <v>746.26300000000003</v>
      </c>
      <c r="D180" s="47">
        <f>'Sectors % GDP'!C17</f>
        <v>141157.12100000001</v>
      </c>
      <c r="E180" s="47">
        <f t="shared" si="4"/>
        <v>5.2867541836589312E-3</v>
      </c>
      <c r="F180" s="47">
        <v>1</v>
      </c>
      <c r="G180" s="49">
        <v>1</v>
      </c>
      <c r="H180" s="47">
        <v>15</v>
      </c>
      <c r="I180" s="56">
        <v>64.209999999999994</v>
      </c>
      <c r="J180" s="56">
        <v>71.2</v>
      </c>
      <c r="K180" s="52">
        <v>79.13</v>
      </c>
      <c r="L180" s="49">
        <v>33.43</v>
      </c>
      <c r="M180" s="72">
        <f t="shared" si="5"/>
        <v>4.9000000000000004</v>
      </c>
      <c r="N180" s="36">
        <v>4.9000000000000002E-2</v>
      </c>
      <c r="O180" s="68">
        <v>23.053749999999994</v>
      </c>
      <c r="P180" s="73">
        <v>5.8</v>
      </c>
      <c r="Q180" s="74">
        <f>'Trade Data'!B14</f>
        <v>0.49273767380624867</v>
      </c>
      <c r="R180" s="35">
        <v>1</v>
      </c>
    </row>
    <row r="181" spans="1:18" ht="20.100000000000001" customHeight="1">
      <c r="A181" s="44" t="s">
        <v>61</v>
      </c>
      <c r="B181" s="44" t="s">
        <v>701</v>
      </c>
      <c r="C181" s="59">
        <f>'Thomson Reuters IMA  ($)'!I453+'Thomson Reuters IMA  ($)'!I456</f>
        <v>354.44</v>
      </c>
      <c r="D181" s="47">
        <f>'Sectors % GDP'!C18</f>
        <v>215898.54299999998</v>
      </c>
      <c r="E181" s="47">
        <f t="shared" si="4"/>
        <v>1.6416970447086345E-3</v>
      </c>
      <c r="F181" s="47">
        <v>1</v>
      </c>
      <c r="G181" s="49">
        <v>1</v>
      </c>
      <c r="H181" s="47">
        <v>5</v>
      </c>
      <c r="I181" s="56">
        <v>64.209999999999994</v>
      </c>
      <c r="J181" s="56">
        <v>71.2</v>
      </c>
      <c r="K181" s="52">
        <v>79.13</v>
      </c>
      <c r="L181" s="49">
        <v>33.43</v>
      </c>
      <c r="M181" s="72">
        <f t="shared" si="5"/>
        <v>4.9000000000000004</v>
      </c>
      <c r="N181" s="36">
        <v>4.9000000000000002E-2</v>
      </c>
      <c r="O181" s="68">
        <v>23.053749999999994</v>
      </c>
      <c r="P181" s="73">
        <v>5.8</v>
      </c>
      <c r="Q181" s="74">
        <f>'Trade Data'!B14</f>
        <v>0.49273767380624867</v>
      </c>
      <c r="R181" s="35">
        <v>1</v>
      </c>
    </row>
    <row r="182" spans="1:18" ht="20.100000000000001" customHeight="1">
      <c r="A182" s="44" t="s">
        <v>63</v>
      </c>
      <c r="B182" s="44" t="s">
        <v>700</v>
      </c>
      <c r="C182" s="59">
        <v>0</v>
      </c>
      <c r="D182" s="47">
        <f>'Sectors % GDP'!E16</f>
        <v>23380.175999999999</v>
      </c>
      <c r="E182" s="47">
        <f t="shared" si="4"/>
        <v>0</v>
      </c>
      <c r="F182" s="47">
        <v>0</v>
      </c>
      <c r="G182" s="49">
        <v>0</v>
      </c>
      <c r="H182" s="47">
        <v>0</v>
      </c>
      <c r="I182" s="56">
        <v>49.7</v>
      </c>
      <c r="J182" s="56">
        <v>39.700000000000003</v>
      </c>
      <c r="K182" s="52">
        <v>75.53</v>
      </c>
      <c r="L182" s="49">
        <v>33.43</v>
      </c>
      <c r="M182" s="72">
        <f t="shared" si="5"/>
        <v>4.9000000000000004</v>
      </c>
      <c r="N182" s="36">
        <v>4.9000000000000002E-2</v>
      </c>
      <c r="O182" s="68">
        <v>13.332500000000003</v>
      </c>
      <c r="P182" s="73">
        <v>5.8</v>
      </c>
      <c r="Q182" s="74">
        <f>'Trade Data'!B14</f>
        <v>0.49273767380624867</v>
      </c>
      <c r="R182" s="37">
        <v>0</v>
      </c>
    </row>
    <row r="183" spans="1:18" ht="20.100000000000001" customHeight="1">
      <c r="A183" s="44" t="s">
        <v>63</v>
      </c>
      <c r="B183" s="44" t="s">
        <v>699</v>
      </c>
      <c r="C183" s="59">
        <f>'Thomson Reuters IMA  ($)'!I458+'Thomson Reuters IMA  ($)'!I459+'Thomson Reuters IMA  ($)'!I460</f>
        <v>9.15</v>
      </c>
      <c r="D183" s="47">
        <f>'Sectors % GDP'!E17</f>
        <v>135135.90400000001</v>
      </c>
      <c r="E183" s="47">
        <f t="shared" si="4"/>
        <v>6.7709614759375864E-5</v>
      </c>
      <c r="F183" s="47">
        <v>1</v>
      </c>
      <c r="G183" s="49">
        <v>1</v>
      </c>
      <c r="H183" s="47">
        <v>8</v>
      </c>
      <c r="I183" s="56">
        <v>49.7</v>
      </c>
      <c r="J183" s="56">
        <v>39.700000000000003</v>
      </c>
      <c r="K183" s="52">
        <v>75.53</v>
      </c>
      <c r="L183" s="49">
        <v>33.43</v>
      </c>
      <c r="M183" s="72">
        <f t="shared" si="5"/>
        <v>4.9000000000000004</v>
      </c>
      <c r="N183" s="36">
        <v>4.9000000000000002E-2</v>
      </c>
      <c r="O183" s="68">
        <v>13.332500000000003</v>
      </c>
      <c r="P183" s="73">
        <v>5.8</v>
      </c>
      <c r="Q183" s="74">
        <f>'Trade Data'!B14</f>
        <v>0.49273767380624867</v>
      </c>
      <c r="R183" s="37">
        <v>1</v>
      </c>
    </row>
    <row r="184" spans="1:18" ht="20.100000000000001" customHeight="1">
      <c r="A184" s="44" t="s">
        <v>63</v>
      </c>
      <c r="B184" s="44" t="s">
        <v>698</v>
      </c>
      <c r="C184" s="59">
        <f>'Thomson Reuters IMA  ($)'!I461</f>
        <v>109</v>
      </c>
      <c r="D184" s="47">
        <f>'Sectors % GDP'!E18</f>
        <v>219766.08799999999</v>
      </c>
      <c r="E184" s="47">
        <f t="shared" si="4"/>
        <v>4.9598189143722671E-4</v>
      </c>
      <c r="F184" s="47">
        <v>1</v>
      </c>
      <c r="G184" s="49">
        <v>1</v>
      </c>
      <c r="H184" s="47">
        <v>5</v>
      </c>
      <c r="I184" s="56">
        <v>49.7</v>
      </c>
      <c r="J184" s="56">
        <v>39.700000000000003</v>
      </c>
      <c r="K184" s="52">
        <v>75.53</v>
      </c>
      <c r="L184" s="49">
        <v>33.43</v>
      </c>
      <c r="M184" s="72">
        <f t="shared" si="5"/>
        <v>4.9000000000000004</v>
      </c>
      <c r="N184" s="36">
        <v>4.9000000000000002E-2</v>
      </c>
      <c r="O184" s="68">
        <v>13.332500000000003</v>
      </c>
      <c r="P184" s="73">
        <v>5.8</v>
      </c>
      <c r="Q184" s="74">
        <f>'Trade Data'!B14</f>
        <v>0.49273767380624867</v>
      </c>
      <c r="R184" s="37">
        <v>1</v>
      </c>
    </row>
    <row r="185" spans="1:18" ht="20.100000000000001" customHeight="1">
      <c r="A185" s="44" t="s">
        <v>62</v>
      </c>
      <c r="B185" s="44" t="s">
        <v>697</v>
      </c>
      <c r="C185" s="59">
        <v>0</v>
      </c>
      <c r="D185" s="47">
        <f>'Sectors % GDP'!E16</f>
        <v>23380.175999999999</v>
      </c>
      <c r="E185" s="47">
        <f t="shared" si="4"/>
        <v>0</v>
      </c>
      <c r="F185" s="47">
        <v>0</v>
      </c>
      <c r="G185" s="49">
        <v>0</v>
      </c>
      <c r="H185" s="47">
        <v>0</v>
      </c>
      <c r="I185" s="56">
        <v>54.41</v>
      </c>
      <c r="J185" s="56">
        <v>53.3</v>
      </c>
      <c r="K185" s="52">
        <v>73.930000000000007</v>
      </c>
      <c r="L185" s="49">
        <v>33.43</v>
      </c>
      <c r="M185" s="72">
        <f t="shared" si="5"/>
        <v>4.3999999999999995</v>
      </c>
      <c r="N185" s="36">
        <v>4.3999999999999997E-2</v>
      </c>
      <c r="O185" s="68">
        <v>17.827499999999993</v>
      </c>
      <c r="P185" s="73">
        <v>5</v>
      </c>
      <c r="Q185" s="74">
        <f>'Trade Data'!D14</f>
        <v>0.50852464992768731</v>
      </c>
      <c r="R185" s="35">
        <v>0</v>
      </c>
    </row>
    <row r="186" spans="1:18" ht="20.100000000000001" customHeight="1">
      <c r="A186" s="44" t="s">
        <v>62</v>
      </c>
      <c r="B186" s="44" t="s">
        <v>696</v>
      </c>
      <c r="C186" s="59">
        <f>'Thomson Reuters IMA  ($)'!I462+'Thomson Reuters IMA  ($)'!I463+'Thomson Reuters IMA  ($)'!I465+'Thomson Reuters IMA  ($)'!I466+'Thomson Reuters IMA  ($)'!I467</f>
        <v>276.56200000000001</v>
      </c>
      <c r="D186" s="47">
        <f>'Sectors % GDP'!E17</f>
        <v>135135.90400000001</v>
      </c>
      <c r="E186" s="47">
        <f t="shared" si="4"/>
        <v>2.0465471559653016E-3</v>
      </c>
      <c r="F186" s="47">
        <v>1</v>
      </c>
      <c r="G186" s="49">
        <v>1</v>
      </c>
      <c r="H186" s="47">
        <v>6</v>
      </c>
      <c r="I186" s="56">
        <v>54.41</v>
      </c>
      <c r="J186" s="56">
        <v>53.3</v>
      </c>
      <c r="K186" s="52">
        <v>73.930000000000007</v>
      </c>
      <c r="L186" s="49">
        <v>33.43</v>
      </c>
      <c r="M186" s="72">
        <f t="shared" si="5"/>
        <v>4.3999999999999995</v>
      </c>
      <c r="N186" s="36">
        <v>4.3999999999999997E-2</v>
      </c>
      <c r="O186" s="68">
        <v>17.827499999999993</v>
      </c>
      <c r="P186" s="73">
        <v>5</v>
      </c>
      <c r="Q186" s="74">
        <f>'Trade Data'!D14</f>
        <v>0.50852464992768731</v>
      </c>
      <c r="R186" s="35">
        <v>1</v>
      </c>
    </row>
    <row r="187" spans="1:18" ht="20.100000000000001" customHeight="1">
      <c r="A187" s="44" t="s">
        <v>62</v>
      </c>
      <c r="B187" s="44" t="s">
        <v>695</v>
      </c>
      <c r="C187" s="59">
        <f>'Thomson Reuters IMA  ($)'!I464</f>
        <v>1.208</v>
      </c>
      <c r="D187" s="47">
        <f>'Sectors % GDP'!E18</f>
        <v>219766.08799999999</v>
      </c>
      <c r="E187" s="47">
        <f t="shared" si="4"/>
        <v>5.4967534390474294E-6</v>
      </c>
      <c r="F187" s="47">
        <v>1</v>
      </c>
      <c r="G187" s="49">
        <v>1</v>
      </c>
      <c r="H187" s="47">
        <v>2</v>
      </c>
      <c r="I187" s="56">
        <v>54.41</v>
      </c>
      <c r="J187" s="56">
        <v>53.3</v>
      </c>
      <c r="K187" s="52">
        <v>73.930000000000007</v>
      </c>
      <c r="L187" s="49">
        <v>33.43</v>
      </c>
      <c r="M187" s="72">
        <f t="shared" si="5"/>
        <v>4.3999999999999995</v>
      </c>
      <c r="N187" s="36">
        <v>4.3999999999999997E-2</v>
      </c>
      <c r="O187" s="68">
        <v>17.827499999999993</v>
      </c>
      <c r="P187" s="73">
        <v>5</v>
      </c>
      <c r="Q187" s="74">
        <f>'Trade Data'!D14</f>
        <v>0.50852464992768731</v>
      </c>
      <c r="R187" s="35">
        <v>1</v>
      </c>
    </row>
    <row r="188" spans="1:18" ht="20.100000000000001" customHeight="1">
      <c r="A188" s="44" t="s">
        <v>64</v>
      </c>
      <c r="B188" s="44" t="s">
        <v>694</v>
      </c>
      <c r="C188" s="59">
        <v>0</v>
      </c>
      <c r="D188" s="47">
        <f>'Sectors % GDP'!E16</f>
        <v>23380.175999999999</v>
      </c>
      <c r="E188" s="47">
        <f t="shared" si="4"/>
        <v>0</v>
      </c>
      <c r="F188" s="47">
        <v>0</v>
      </c>
      <c r="G188" s="49">
        <v>0</v>
      </c>
      <c r="H188" s="47">
        <v>0</v>
      </c>
      <c r="I188" s="56">
        <v>51.47</v>
      </c>
      <c r="J188" s="56">
        <v>53.3</v>
      </c>
      <c r="K188" s="52">
        <v>67.81</v>
      </c>
      <c r="L188" s="49">
        <v>33.43</v>
      </c>
      <c r="M188" s="72">
        <f t="shared" si="5"/>
        <v>4.3999999999999995</v>
      </c>
      <c r="N188" s="36">
        <v>4.3999999999999997E-2</v>
      </c>
      <c r="O188" s="68">
        <v>9.5237500000000068</v>
      </c>
      <c r="P188" s="73">
        <v>5</v>
      </c>
      <c r="Q188" s="74">
        <f>'Trade Data'!D14</f>
        <v>0.50852464992768731</v>
      </c>
      <c r="R188" s="37">
        <v>0</v>
      </c>
    </row>
    <row r="189" spans="1:18" ht="20.100000000000001" customHeight="1">
      <c r="A189" s="44" t="s">
        <v>64</v>
      </c>
      <c r="B189" s="44" t="s">
        <v>693</v>
      </c>
      <c r="C189" s="59">
        <f>'Thomson Reuters IMA  ($)'!I468</f>
        <v>12</v>
      </c>
      <c r="D189" s="47">
        <f>'Sectors % GDP'!E17</f>
        <v>135135.90400000001</v>
      </c>
      <c r="E189" s="47">
        <f t="shared" si="4"/>
        <v>8.8799494766394577E-5</v>
      </c>
      <c r="F189" s="47">
        <v>1</v>
      </c>
      <c r="G189" s="49">
        <v>1</v>
      </c>
      <c r="H189" s="47">
        <v>4</v>
      </c>
      <c r="I189" s="56">
        <v>51.47</v>
      </c>
      <c r="J189" s="56">
        <v>53.3</v>
      </c>
      <c r="K189" s="52">
        <v>67.81</v>
      </c>
      <c r="L189" s="49">
        <v>33.43</v>
      </c>
      <c r="M189" s="72">
        <f t="shared" si="5"/>
        <v>4.3999999999999995</v>
      </c>
      <c r="N189" s="36">
        <v>4.3999999999999997E-2</v>
      </c>
      <c r="O189" s="68">
        <v>9.5237500000000068</v>
      </c>
      <c r="P189" s="73">
        <v>5</v>
      </c>
      <c r="Q189" s="74">
        <f>'Trade Data'!D14</f>
        <v>0.50852464992768731</v>
      </c>
      <c r="R189" s="37">
        <v>1</v>
      </c>
    </row>
    <row r="190" spans="1:18" ht="20.100000000000001" customHeight="1">
      <c r="A190" s="44" t="s">
        <v>64</v>
      </c>
      <c r="B190" s="44" t="s">
        <v>692</v>
      </c>
      <c r="C190" s="59">
        <v>0</v>
      </c>
      <c r="D190" s="47">
        <f>'Sectors % GDP'!E18</f>
        <v>219766.08799999999</v>
      </c>
      <c r="E190" s="47">
        <f t="shared" si="4"/>
        <v>0</v>
      </c>
      <c r="F190" s="47">
        <v>0</v>
      </c>
      <c r="G190" s="49">
        <v>1</v>
      </c>
      <c r="H190" s="47">
        <v>2</v>
      </c>
      <c r="I190" s="56">
        <v>51.47</v>
      </c>
      <c r="J190" s="56">
        <v>53.3</v>
      </c>
      <c r="K190" s="52">
        <v>67.81</v>
      </c>
      <c r="L190" s="49">
        <v>33.43</v>
      </c>
      <c r="M190" s="72">
        <f t="shared" si="5"/>
        <v>4.3999999999999995</v>
      </c>
      <c r="N190" s="36">
        <v>4.3999999999999997E-2</v>
      </c>
      <c r="O190" s="68">
        <v>9.5237500000000068</v>
      </c>
      <c r="P190" s="73">
        <v>5</v>
      </c>
      <c r="Q190" s="74">
        <f>'Trade Data'!D14</f>
        <v>0.50852464992768731</v>
      </c>
      <c r="R190" s="37">
        <v>1</v>
      </c>
    </row>
    <row r="191" spans="1:18" ht="20.100000000000001" customHeight="1">
      <c r="A191" s="44" t="s">
        <v>65</v>
      </c>
      <c r="B191" s="44" t="s">
        <v>691</v>
      </c>
      <c r="C191" s="59">
        <v>0</v>
      </c>
      <c r="D191" s="47">
        <f>'Sectors % GDP'!E16</f>
        <v>23380.175999999999</v>
      </c>
      <c r="E191" s="47">
        <f t="shared" si="4"/>
        <v>0</v>
      </c>
      <c r="F191" s="47">
        <v>0</v>
      </c>
      <c r="G191" s="49">
        <v>0</v>
      </c>
      <c r="H191" s="47">
        <v>0</v>
      </c>
      <c r="I191" s="56">
        <v>45.9</v>
      </c>
      <c r="J191" s="56">
        <v>32.08</v>
      </c>
      <c r="K191" s="48">
        <v>74.650000000000006</v>
      </c>
      <c r="L191" s="49">
        <v>33.43</v>
      </c>
      <c r="M191" s="72">
        <f t="shared" si="5"/>
        <v>4.3999999999999995</v>
      </c>
      <c r="N191" s="36">
        <v>4.3999999999999997E-2</v>
      </c>
      <c r="O191" s="68">
        <v>8.1412499999999994</v>
      </c>
      <c r="P191" s="73">
        <v>5</v>
      </c>
      <c r="Q191" s="74">
        <f>'Trade Data'!D14</f>
        <v>0.50852464992768731</v>
      </c>
      <c r="R191" s="35">
        <v>0</v>
      </c>
    </row>
    <row r="192" spans="1:18" ht="20.100000000000001" customHeight="1">
      <c r="A192" s="44" t="s">
        <v>65</v>
      </c>
      <c r="B192" s="44" t="s">
        <v>690</v>
      </c>
      <c r="C192" s="59">
        <f>'Thomson Reuters IMA  ($)'!I469+'Thomson Reuters IMA  ($)'!I470</f>
        <v>387.2</v>
      </c>
      <c r="D192" s="47">
        <f>'Sectors % GDP'!E17</f>
        <v>135135.90400000001</v>
      </c>
      <c r="E192" s="47">
        <f t="shared" si="4"/>
        <v>2.8652636977956648E-3</v>
      </c>
      <c r="F192" s="47">
        <v>1</v>
      </c>
      <c r="G192" s="49">
        <v>1</v>
      </c>
      <c r="H192" s="47">
        <v>4</v>
      </c>
      <c r="I192" s="56">
        <v>45.9</v>
      </c>
      <c r="J192" s="56">
        <v>32.08</v>
      </c>
      <c r="K192" s="48">
        <v>74.650000000000006</v>
      </c>
      <c r="L192" s="49">
        <v>33.43</v>
      </c>
      <c r="M192" s="72">
        <f t="shared" si="5"/>
        <v>4.3999999999999995</v>
      </c>
      <c r="N192" s="36">
        <v>4.3999999999999997E-2</v>
      </c>
      <c r="O192" s="68">
        <v>8.1412499999999994</v>
      </c>
      <c r="P192" s="73">
        <v>5</v>
      </c>
      <c r="Q192" s="74">
        <f>'Trade Data'!D14</f>
        <v>0.50852464992768731</v>
      </c>
      <c r="R192" s="35">
        <v>1</v>
      </c>
    </row>
    <row r="193" spans="1:18" ht="20.100000000000001" customHeight="1">
      <c r="A193" s="44" t="s">
        <v>65</v>
      </c>
      <c r="B193" s="44" t="s">
        <v>689</v>
      </c>
      <c r="C193" s="59">
        <v>0</v>
      </c>
      <c r="D193" s="47">
        <f>'Sectors % GDP'!E18</f>
        <v>219766.08799999999</v>
      </c>
      <c r="E193" s="47">
        <f t="shared" si="4"/>
        <v>0</v>
      </c>
      <c r="F193" s="47">
        <v>0</v>
      </c>
      <c r="G193" s="49">
        <v>1</v>
      </c>
      <c r="H193" s="47">
        <v>4</v>
      </c>
      <c r="I193" s="56">
        <v>45.9</v>
      </c>
      <c r="J193" s="56">
        <v>32.08</v>
      </c>
      <c r="K193" s="48">
        <v>74.650000000000006</v>
      </c>
      <c r="L193" s="49">
        <v>33.43</v>
      </c>
      <c r="M193" s="72">
        <f t="shared" si="5"/>
        <v>4.3999999999999995</v>
      </c>
      <c r="N193" s="36">
        <v>4.3999999999999997E-2</v>
      </c>
      <c r="O193" s="68">
        <v>8.1412499999999994</v>
      </c>
      <c r="P193" s="73">
        <v>5</v>
      </c>
      <c r="Q193" s="74">
        <f>'Trade Data'!D14</f>
        <v>0.50852464992768731</v>
      </c>
      <c r="R193" s="35">
        <v>1</v>
      </c>
    </row>
    <row r="194" spans="1:18" ht="20.100000000000001" customHeight="1">
      <c r="A194" s="44" t="s">
        <v>66</v>
      </c>
      <c r="B194" s="44" t="s">
        <v>688</v>
      </c>
      <c r="C194" s="59">
        <v>0</v>
      </c>
      <c r="D194" s="47">
        <f>'Sectors % GDP'!G16</f>
        <v>19299.286</v>
      </c>
      <c r="E194" s="47">
        <f t="shared" ref="E194:E257" si="6">C194/D194</f>
        <v>0</v>
      </c>
      <c r="F194" s="47">
        <v>0</v>
      </c>
      <c r="G194" s="49">
        <v>0</v>
      </c>
      <c r="H194" s="47">
        <v>0</v>
      </c>
      <c r="I194" s="48">
        <v>34.92</v>
      </c>
      <c r="J194" s="48">
        <v>22.09</v>
      </c>
      <c r="K194" s="48">
        <v>63.88</v>
      </c>
      <c r="L194" s="49">
        <v>28.93</v>
      </c>
      <c r="M194" s="72">
        <f t="shared" si="5"/>
        <v>4.3999999999999995</v>
      </c>
      <c r="N194" s="36">
        <v>4.3999999999999997E-2</v>
      </c>
      <c r="O194" s="68">
        <v>1.2137499999999974</v>
      </c>
      <c r="P194" s="73">
        <v>5</v>
      </c>
      <c r="Q194" s="74">
        <f>'Trade Data'!D14</f>
        <v>0.50852464992768731</v>
      </c>
      <c r="R194" s="37">
        <v>0</v>
      </c>
    </row>
    <row r="195" spans="1:18" ht="20.100000000000001" customHeight="1">
      <c r="A195" s="44" t="s">
        <v>66</v>
      </c>
      <c r="B195" s="44" t="s">
        <v>687</v>
      </c>
      <c r="C195" s="59">
        <v>0</v>
      </c>
      <c r="D195" s="47">
        <f>'Sectors % GDP'!G17</f>
        <v>97487.631999999998</v>
      </c>
      <c r="E195" s="47">
        <f t="shared" si="6"/>
        <v>0</v>
      </c>
      <c r="F195" s="47">
        <v>0</v>
      </c>
      <c r="G195" s="49">
        <v>1</v>
      </c>
      <c r="H195" s="47">
        <v>3</v>
      </c>
      <c r="I195" s="48">
        <v>34.92</v>
      </c>
      <c r="J195" s="48">
        <v>22.09</v>
      </c>
      <c r="K195" s="48">
        <v>63.88</v>
      </c>
      <c r="L195" s="49">
        <v>28.93</v>
      </c>
      <c r="M195" s="72">
        <f t="shared" ref="M195:M258" si="7">N195*100</f>
        <v>4.3999999999999995</v>
      </c>
      <c r="N195" s="36">
        <v>4.3999999999999997E-2</v>
      </c>
      <c r="O195" s="68">
        <v>1.2137499999999974</v>
      </c>
      <c r="P195" s="73">
        <v>5</v>
      </c>
      <c r="Q195" s="74">
        <f>'Trade Data'!D14</f>
        <v>0.50852464992768731</v>
      </c>
      <c r="R195" s="37">
        <v>1</v>
      </c>
    </row>
    <row r="196" spans="1:18" ht="20.100000000000001" customHeight="1">
      <c r="A196" s="44" t="s">
        <v>66</v>
      </c>
      <c r="B196" s="44" t="s">
        <v>686</v>
      </c>
      <c r="C196" s="59">
        <f>'Thomson Reuters IMA  ($)'!I471</f>
        <v>74.376000000000005</v>
      </c>
      <c r="D196" s="47">
        <f>'Sectors % GDP'!G18</f>
        <v>174772.23500000002</v>
      </c>
      <c r="E196" s="47">
        <f t="shared" si="6"/>
        <v>4.2555958616653268E-4</v>
      </c>
      <c r="F196" s="47">
        <v>1</v>
      </c>
      <c r="G196" s="49">
        <v>1</v>
      </c>
      <c r="H196" s="47">
        <v>7</v>
      </c>
      <c r="I196" s="48">
        <v>34.92</v>
      </c>
      <c r="J196" s="48">
        <v>22.09</v>
      </c>
      <c r="K196" s="48">
        <v>63.88</v>
      </c>
      <c r="L196" s="49">
        <v>28.93</v>
      </c>
      <c r="M196" s="72">
        <f t="shared" si="7"/>
        <v>4.3999999999999995</v>
      </c>
      <c r="N196" s="36">
        <v>4.3999999999999997E-2</v>
      </c>
      <c r="O196" s="68">
        <v>1.2137499999999974</v>
      </c>
      <c r="P196" s="73">
        <v>5</v>
      </c>
      <c r="Q196" s="74">
        <f>'Trade Data'!D14</f>
        <v>0.50852464992768731</v>
      </c>
      <c r="R196" s="37">
        <v>1</v>
      </c>
    </row>
    <row r="197" spans="1:18" ht="20.100000000000001" customHeight="1">
      <c r="A197" s="44" t="s">
        <v>67</v>
      </c>
      <c r="B197" s="44" t="s">
        <v>685</v>
      </c>
      <c r="C197" s="59">
        <v>0</v>
      </c>
      <c r="D197" s="47">
        <f>'Sectors % GDP'!G16</f>
        <v>19299.286</v>
      </c>
      <c r="E197" s="47">
        <f t="shared" si="6"/>
        <v>0</v>
      </c>
      <c r="F197" s="47">
        <v>0</v>
      </c>
      <c r="G197" s="49">
        <v>0</v>
      </c>
      <c r="H197" s="47">
        <v>0</v>
      </c>
      <c r="I197" s="48">
        <v>28.71</v>
      </c>
      <c r="J197" s="48">
        <v>16.97</v>
      </c>
      <c r="K197" s="48">
        <v>53.86</v>
      </c>
      <c r="L197" s="49">
        <v>28.93</v>
      </c>
      <c r="M197" s="72">
        <f t="shared" si="7"/>
        <v>3.1</v>
      </c>
      <c r="N197" s="36">
        <v>3.1E-2</v>
      </c>
      <c r="O197" s="68">
        <v>-4.5775000000000006</v>
      </c>
      <c r="P197" s="73">
        <v>5.75</v>
      </c>
      <c r="Q197" s="74">
        <f>'Trade Data'!F14</f>
        <v>0.46023430147690592</v>
      </c>
      <c r="R197" s="35">
        <v>0</v>
      </c>
    </row>
    <row r="198" spans="1:18" ht="20.100000000000001" customHeight="1">
      <c r="A198" s="44" t="s">
        <v>67</v>
      </c>
      <c r="B198" s="44" t="s">
        <v>684</v>
      </c>
      <c r="C198" s="59">
        <f>SUM('Thomson Reuters IMA  ($)'!I472:I474)</f>
        <v>1402.8100000000002</v>
      </c>
      <c r="D198" s="47">
        <f>'Sectors % GDP'!G17</f>
        <v>97487.631999999998</v>
      </c>
      <c r="E198" s="47">
        <f t="shared" si="6"/>
        <v>1.4389620213567196E-2</v>
      </c>
      <c r="F198" s="47">
        <v>1</v>
      </c>
      <c r="G198" s="49">
        <v>1</v>
      </c>
      <c r="H198" s="47">
        <v>8</v>
      </c>
      <c r="I198" s="48">
        <v>28.71</v>
      </c>
      <c r="J198" s="48">
        <v>16.97</v>
      </c>
      <c r="K198" s="48">
        <v>53.86</v>
      </c>
      <c r="L198" s="49">
        <v>28.93</v>
      </c>
      <c r="M198" s="72">
        <f t="shared" si="7"/>
        <v>3.1</v>
      </c>
      <c r="N198" s="36">
        <v>3.1E-2</v>
      </c>
      <c r="O198" s="68">
        <v>-4.5775000000000006</v>
      </c>
      <c r="P198" s="73">
        <v>5.75</v>
      </c>
      <c r="Q198" s="74">
        <f>'Trade Data'!F14</f>
        <v>0.46023430147690592</v>
      </c>
      <c r="R198" s="35">
        <v>1</v>
      </c>
    </row>
    <row r="199" spans="1:18" ht="20.100000000000001" customHeight="1">
      <c r="A199" s="44" t="s">
        <v>67</v>
      </c>
      <c r="B199" s="44" t="s">
        <v>683</v>
      </c>
      <c r="C199" s="59">
        <v>0</v>
      </c>
      <c r="D199" s="47">
        <f>'Sectors % GDP'!G18</f>
        <v>174772.23500000002</v>
      </c>
      <c r="E199" s="47">
        <f t="shared" si="6"/>
        <v>0</v>
      </c>
      <c r="F199" s="47">
        <v>0</v>
      </c>
      <c r="G199" s="49">
        <v>1</v>
      </c>
      <c r="H199" s="47">
        <v>2</v>
      </c>
      <c r="I199" s="48">
        <v>28.71</v>
      </c>
      <c r="J199" s="48">
        <v>16.97</v>
      </c>
      <c r="K199" s="48">
        <v>53.86</v>
      </c>
      <c r="L199" s="49">
        <v>28.93</v>
      </c>
      <c r="M199" s="72">
        <f t="shared" si="7"/>
        <v>3.1</v>
      </c>
      <c r="N199" s="36">
        <v>3.1E-2</v>
      </c>
      <c r="O199" s="68">
        <v>-4.5775000000000006</v>
      </c>
      <c r="P199" s="73">
        <v>5.75</v>
      </c>
      <c r="Q199" s="74">
        <f>'Trade Data'!F14</f>
        <v>0.46023430147690592</v>
      </c>
      <c r="R199" s="35">
        <v>1</v>
      </c>
    </row>
    <row r="200" spans="1:18" ht="20.100000000000001" customHeight="1">
      <c r="A200" s="44" t="s">
        <v>68</v>
      </c>
      <c r="B200" s="44" t="s">
        <v>682</v>
      </c>
      <c r="C200" s="59">
        <v>0</v>
      </c>
      <c r="D200" s="47">
        <f>'Sectors % GDP'!G16</f>
        <v>19299.286</v>
      </c>
      <c r="E200" s="47">
        <f t="shared" si="6"/>
        <v>0</v>
      </c>
      <c r="F200" s="47">
        <v>0</v>
      </c>
      <c r="G200" s="49">
        <v>0</v>
      </c>
      <c r="H200" s="47">
        <v>0</v>
      </c>
      <c r="I200" s="48">
        <v>41.35</v>
      </c>
      <c r="J200" s="48">
        <v>45.17</v>
      </c>
      <c r="K200" s="48">
        <v>55.52</v>
      </c>
      <c r="L200" s="49">
        <v>28.93</v>
      </c>
      <c r="M200" s="72">
        <f t="shared" si="7"/>
        <v>3.1</v>
      </c>
      <c r="N200" s="36">
        <v>3.1E-2</v>
      </c>
      <c r="O200" s="68">
        <v>3.292500000000004</v>
      </c>
      <c r="P200" s="73">
        <v>5.75</v>
      </c>
      <c r="Q200" s="74">
        <f>'Trade Data'!F14</f>
        <v>0.46023430147690592</v>
      </c>
      <c r="R200" s="37">
        <v>0</v>
      </c>
    </row>
    <row r="201" spans="1:18" ht="20.100000000000001" customHeight="1">
      <c r="A201" s="44" t="s">
        <v>68</v>
      </c>
      <c r="B201" s="44" t="s">
        <v>681</v>
      </c>
      <c r="C201" s="59">
        <f>'Thomson Reuters IMA  ($)'!I475</f>
        <v>9.8780000000000001</v>
      </c>
      <c r="D201" s="47">
        <f>'Sectors % GDP'!G17</f>
        <v>97487.631999999998</v>
      </c>
      <c r="E201" s="47">
        <f t="shared" si="6"/>
        <v>1.0132567380444732E-4</v>
      </c>
      <c r="F201" s="47">
        <v>1</v>
      </c>
      <c r="G201" s="49">
        <v>1</v>
      </c>
      <c r="H201" s="47">
        <v>3</v>
      </c>
      <c r="I201" s="48">
        <v>41.35</v>
      </c>
      <c r="J201" s="48">
        <v>45.17</v>
      </c>
      <c r="K201" s="48">
        <v>55.52</v>
      </c>
      <c r="L201" s="49">
        <v>28.93</v>
      </c>
      <c r="M201" s="72">
        <f t="shared" si="7"/>
        <v>3.1</v>
      </c>
      <c r="N201" s="36">
        <v>3.1E-2</v>
      </c>
      <c r="O201" s="68">
        <v>3.292500000000004</v>
      </c>
      <c r="P201" s="73">
        <v>5.75</v>
      </c>
      <c r="Q201" s="74">
        <f>'Trade Data'!F14</f>
        <v>0.46023430147690592</v>
      </c>
      <c r="R201" s="37">
        <v>1</v>
      </c>
    </row>
    <row r="202" spans="1:18" ht="20.100000000000001" customHeight="1">
      <c r="A202" s="44" t="s">
        <v>68</v>
      </c>
      <c r="B202" s="44" t="s">
        <v>680</v>
      </c>
      <c r="C202" s="59">
        <f>'Thomson Reuters IMA  ($)'!I476</f>
        <v>108.259</v>
      </c>
      <c r="D202" s="47">
        <f>'Sectors % GDP'!G18</f>
        <v>174772.23500000002</v>
      </c>
      <c r="E202" s="47">
        <f t="shared" si="6"/>
        <v>6.1942905290419839E-4</v>
      </c>
      <c r="F202" s="47">
        <v>1</v>
      </c>
      <c r="G202" s="49">
        <v>1</v>
      </c>
      <c r="H202" s="47">
        <v>7</v>
      </c>
      <c r="I202" s="48">
        <v>41.35</v>
      </c>
      <c r="J202" s="48">
        <v>45.17</v>
      </c>
      <c r="K202" s="48">
        <v>55.52</v>
      </c>
      <c r="L202" s="49">
        <v>28.93</v>
      </c>
      <c r="M202" s="72">
        <f t="shared" si="7"/>
        <v>3.1</v>
      </c>
      <c r="N202" s="36">
        <v>3.1E-2</v>
      </c>
      <c r="O202" s="68">
        <v>3.292500000000004</v>
      </c>
      <c r="P202" s="73">
        <v>5.75</v>
      </c>
      <c r="Q202" s="74">
        <f>'Trade Data'!F14</f>
        <v>0.46023430147690592</v>
      </c>
      <c r="R202" s="37">
        <v>1</v>
      </c>
    </row>
    <row r="203" spans="1:18" ht="20.100000000000001" customHeight="1">
      <c r="A203" s="44" t="s">
        <v>69</v>
      </c>
      <c r="B203" s="44" t="s">
        <v>679</v>
      </c>
      <c r="C203" s="59">
        <v>0</v>
      </c>
      <c r="D203" s="47">
        <f>'Sectors % GDP'!G16</f>
        <v>19299.286</v>
      </c>
      <c r="E203" s="47">
        <f t="shared" si="6"/>
        <v>0</v>
      </c>
      <c r="F203" s="47">
        <v>0</v>
      </c>
      <c r="G203" s="49">
        <v>0</v>
      </c>
      <c r="H203" s="47">
        <v>0</v>
      </c>
      <c r="I203" s="48">
        <v>31.52</v>
      </c>
      <c r="J203" s="48">
        <v>20.170000000000002</v>
      </c>
      <c r="K203" s="48">
        <v>54.29</v>
      </c>
      <c r="L203" s="49">
        <v>28.93</v>
      </c>
      <c r="M203" s="72">
        <f t="shared" si="7"/>
        <v>3.1</v>
      </c>
      <c r="N203" s="36">
        <v>3.1E-2</v>
      </c>
      <c r="O203" s="68">
        <v>0.57249999999999801</v>
      </c>
      <c r="P203" s="73">
        <v>5.75</v>
      </c>
      <c r="Q203" s="74">
        <f>'Trade Data'!F14</f>
        <v>0.46023430147690592</v>
      </c>
      <c r="R203" s="35">
        <v>0</v>
      </c>
    </row>
    <row r="204" spans="1:18" ht="20.100000000000001" customHeight="1">
      <c r="A204" s="44" t="s">
        <v>69</v>
      </c>
      <c r="B204" s="44" t="s">
        <v>678</v>
      </c>
      <c r="C204" s="59">
        <v>0</v>
      </c>
      <c r="D204" s="47">
        <f>'Sectors % GDP'!G17</f>
        <v>97487.631999999998</v>
      </c>
      <c r="E204" s="47">
        <f t="shared" si="6"/>
        <v>0</v>
      </c>
      <c r="F204" s="47">
        <v>0</v>
      </c>
      <c r="G204" s="49">
        <v>0</v>
      </c>
      <c r="H204" s="47">
        <v>0</v>
      </c>
      <c r="I204" s="48">
        <v>31.52</v>
      </c>
      <c r="J204" s="48">
        <v>20.170000000000002</v>
      </c>
      <c r="K204" s="48">
        <v>54.29</v>
      </c>
      <c r="L204" s="49">
        <v>28.93</v>
      </c>
      <c r="M204" s="72">
        <f t="shared" si="7"/>
        <v>3.1</v>
      </c>
      <c r="N204" s="36">
        <v>3.1E-2</v>
      </c>
      <c r="O204" s="68">
        <v>0.57249999999999801</v>
      </c>
      <c r="P204" s="73">
        <v>5.75</v>
      </c>
      <c r="Q204" s="74">
        <f>'Trade Data'!F14</f>
        <v>0.46023430147690592</v>
      </c>
      <c r="R204" s="35">
        <v>1</v>
      </c>
    </row>
    <row r="205" spans="1:18" ht="20.100000000000001" customHeight="1">
      <c r="A205" s="44" t="s">
        <v>69</v>
      </c>
      <c r="B205" s="44" t="s">
        <v>677</v>
      </c>
      <c r="C205" s="59">
        <f>'Thomson Reuters IMA  ($)'!I477</f>
        <v>50</v>
      </c>
      <c r="D205" s="47">
        <f>'Sectors % GDP'!G18</f>
        <v>174772.23500000002</v>
      </c>
      <c r="E205" s="47">
        <f t="shared" si="6"/>
        <v>2.8608663155220274E-4</v>
      </c>
      <c r="F205" s="47">
        <v>1</v>
      </c>
      <c r="G205" s="49">
        <v>1</v>
      </c>
      <c r="H205" s="47">
        <v>7</v>
      </c>
      <c r="I205" s="48">
        <v>31.52</v>
      </c>
      <c r="J205" s="48">
        <v>20.170000000000002</v>
      </c>
      <c r="K205" s="48">
        <v>54.29</v>
      </c>
      <c r="L205" s="49">
        <v>28.93</v>
      </c>
      <c r="M205" s="72">
        <f t="shared" si="7"/>
        <v>3.1</v>
      </c>
      <c r="N205" s="36">
        <v>3.1E-2</v>
      </c>
      <c r="O205" s="68">
        <v>0.57249999999999801</v>
      </c>
      <c r="P205" s="73">
        <v>5.75</v>
      </c>
      <c r="Q205" s="74">
        <f>'Trade Data'!F14</f>
        <v>0.46023430147690592</v>
      </c>
      <c r="R205" s="35">
        <v>1</v>
      </c>
    </row>
    <row r="206" spans="1:18" ht="20.100000000000001" customHeight="1">
      <c r="A206" s="44" t="s">
        <v>70</v>
      </c>
      <c r="B206" s="44" t="s">
        <v>676</v>
      </c>
      <c r="C206" s="59">
        <v>0</v>
      </c>
      <c r="D206" s="47">
        <f>'Sectors % GDP'!I16</f>
        <v>20104.031999999999</v>
      </c>
      <c r="E206" s="47">
        <f t="shared" si="6"/>
        <v>0</v>
      </c>
      <c r="F206" s="47">
        <v>0</v>
      </c>
      <c r="G206" s="49">
        <v>0</v>
      </c>
      <c r="H206" s="47">
        <v>0</v>
      </c>
      <c r="I206" s="48">
        <v>31.06</v>
      </c>
      <c r="J206" s="48">
        <v>19.71</v>
      </c>
      <c r="K206" s="48">
        <v>53.72</v>
      </c>
      <c r="L206" s="49">
        <v>30.53</v>
      </c>
      <c r="M206" s="72">
        <f t="shared" si="7"/>
        <v>3.1</v>
      </c>
      <c r="N206" s="36">
        <v>3.1E-2</v>
      </c>
      <c r="O206" s="68">
        <v>-0.23375000000000412</v>
      </c>
      <c r="P206" s="73">
        <v>5.75</v>
      </c>
      <c r="Q206" s="74">
        <f>'Trade Data'!F14</f>
        <v>0.46023430147690592</v>
      </c>
      <c r="R206" s="37">
        <v>0</v>
      </c>
    </row>
    <row r="207" spans="1:18" ht="20.100000000000001" customHeight="1">
      <c r="A207" s="44" t="s">
        <v>70</v>
      </c>
      <c r="B207" s="44" t="s">
        <v>675</v>
      </c>
      <c r="C207" s="59">
        <f>'Thomson Reuters IMA  ($)'!I478+'Thomson Reuters IMA  ($)'!I479+'Thomson Reuters IMA  ($)'!I481+'Thomson Reuters IMA  ($)'!I483+'Thomson Reuters IMA  ($)'!I485</f>
        <v>2013.7670000000001</v>
      </c>
      <c r="D207" s="47">
        <f>'Sectors % GDP'!I17</f>
        <v>92021.124000000011</v>
      </c>
      <c r="E207" s="47">
        <f t="shared" si="6"/>
        <v>2.1883747040516478E-2</v>
      </c>
      <c r="F207" s="47">
        <v>1</v>
      </c>
      <c r="G207" s="49">
        <v>1</v>
      </c>
      <c r="H207" s="47">
        <v>8</v>
      </c>
      <c r="I207" s="48">
        <v>31.06</v>
      </c>
      <c r="J207" s="48">
        <v>19.71</v>
      </c>
      <c r="K207" s="48">
        <v>53.72</v>
      </c>
      <c r="L207" s="49">
        <v>30.53</v>
      </c>
      <c r="M207" s="72">
        <f t="shared" si="7"/>
        <v>3.1</v>
      </c>
      <c r="N207" s="36">
        <v>3.1E-2</v>
      </c>
      <c r="O207" s="68">
        <v>-0.23375000000000412</v>
      </c>
      <c r="P207" s="73">
        <v>5.75</v>
      </c>
      <c r="Q207" s="74">
        <f>'Trade Data'!F14</f>
        <v>0.46023430147690592</v>
      </c>
      <c r="R207" s="37">
        <v>1</v>
      </c>
    </row>
    <row r="208" spans="1:18" ht="20.100000000000001" customHeight="1">
      <c r="A208" s="44" t="s">
        <v>70</v>
      </c>
      <c r="B208" s="44" t="s">
        <v>674</v>
      </c>
      <c r="C208" s="59">
        <f>'Thomson Reuters IMA  ($)'!I480+'Thomson Reuters IMA  ($)'!I482+'Thomson Reuters IMA  ($)'!I484</f>
        <v>67.509</v>
      </c>
      <c r="D208" s="47">
        <f>'Sectors % GDP'!I18</f>
        <v>170234.84400000001</v>
      </c>
      <c r="E208" s="47">
        <f t="shared" si="6"/>
        <v>3.9656393728654043E-4</v>
      </c>
      <c r="F208" s="47">
        <v>1</v>
      </c>
      <c r="G208" s="49">
        <v>1</v>
      </c>
      <c r="H208" s="47">
        <v>11</v>
      </c>
      <c r="I208" s="48">
        <v>31.06</v>
      </c>
      <c r="J208" s="48">
        <v>19.71</v>
      </c>
      <c r="K208" s="48">
        <v>53.72</v>
      </c>
      <c r="L208" s="49">
        <v>30.53</v>
      </c>
      <c r="M208" s="72">
        <f t="shared" si="7"/>
        <v>3.1</v>
      </c>
      <c r="N208" s="36">
        <v>3.1E-2</v>
      </c>
      <c r="O208" s="68">
        <v>-0.23375000000000412</v>
      </c>
      <c r="P208" s="73">
        <v>5.75</v>
      </c>
      <c r="Q208" s="74">
        <f>'Trade Data'!F14</f>
        <v>0.46023430147690592</v>
      </c>
      <c r="R208" s="37">
        <v>1</v>
      </c>
    </row>
    <row r="209" spans="1:18" ht="20.100000000000001" customHeight="1">
      <c r="A209" s="44" t="s">
        <v>71</v>
      </c>
      <c r="B209" s="44" t="s">
        <v>673</v>
      </c>
      <c r="C209" s="59">
        <v>0</v>
      </c>
      <c r="D209" s="47">
        <f>'Sectors % GDP'!I16</f>
        <v>20104.031999999999</v>
      </c>
      <c r="E209" s="47">
        <f t="shared" si="6"/>
        <v>0</v>
      </c>
      <c r="F209" s="47">
        <v>0</v>
      </c>
      <c r="G209" s="49">
        <v>0</v>
      </c>
      <c r="H209" s="47">
        <v>0</v>
      </c>
      <c r="I209" s="48">
        <v>43</v>
      </c>
      <c r="J209" s="52">
        <v>53.41</v>
      </c>
      <c r="K209" s="52">
        <v>50.43</v>
      </c>
      <c r="L209" s="49">
        <v>30.53</v>
      </c>
      <c r="M209" s="72">
        <f t="shared" si="7"/>
        <v>2</v>
      </c>
      <c r="N209" s="36">
        <v>0.02</v>
      </c>
      <c r="O209" s="68">
        <v>6.375</v>
      </c>
      <c r="P209" s="73">
        <v>6.25</v>
      </c>
      <c r="Q209" s="74">
        <f>'Trade Data'!H14</f>
        <v>0.42796964135110316</v>
      </c>
      <c r="R209" s="35">
        <v>0</v>
      </c>
    </row>
    <row r="210" spans="1:18" ht="20.100000000000001" customHeight="1">
      <c r="A210" s="44" t="s">
        <v>71</v>
      </c>
      <c r="B210" s="44" t="s">
        <v>672</v>
      </c>
      <c r="C210" s="59">
        <f>'Thomson Reuters IMA  ($)'!I486</f>
        <v>250</v>
      </c>
      <c r="D210" s="47">
        <f>'Sectors % GDP'!I17</f>
        <v>92021.124000000011</v>
      </c>
      <c r="E210" s="47">
        <f t="shared" si="6"/>
        <v>2.7167675109032569E-3</v>
      </c>
      <c r="F210" s="47">
        <v>1</v>
      </c>
      <c r="G210" s="49">
        <v>1</v>
      </c>
      <c r="H210" s="47">
        <v>3</v>
      </c>
      <c r="I210" s="48">
        <v>43</v>
      </c>
      <c r="J210" s="52">
        <v>53.41</v>
      </c>
      <c r="K210" s="52">
        <v>50.43</v>
      </c>
      <c r="L210" s="49">
        <v>30.53</v>
      </c>
      <c r="M210" s="72">
        <f t="shared" si="7"/>
        <v>2</v>
      </c>
      <c r="N210" s="36">
        <v>0.02</v>
      </c>
      <c r="O210" s="68">
        <v>6.375</v>
      </c>
      <c r="P210" s="73">
        <v>6.25</v>
      </c>
      <c r="Q210" s="74">
        <f>'Trade Data'!H14</f>
        <v>0.42796964135110316</v>
      </c>
      <c r="R210" s="35">
        <v>1</v>
      </c>
    </row>
    <row r="211" spans="1:18" ht="20.100000000000001" customHeight="1">
      <c r="A211" s="44" t="s">
        <v>71</v>
      </c>
      <c r="B211" s="44" t="s">
        <v>671</v>
      </c>
      <c r="C211" s="59">
        <v>0</v>
      </c>
      <c r="D211" s="47">
        <f>'Sectors % GDP'!I18</f>
        <v>170234.84400000001</v>
      </c>
      <c r="E211" s="47">
        <f t="shared" si="6"/>
        <v>0</v>
      </c>
      <c r="F211" s="47">
        <v>0</v>
      </c>
      <c r="G211" s="49">
        <v>1</v>
      </c>
      <c r="H211" s="47">
        <v>3</v>
      </c>
      <c r="I211" s="48">
        <v>43</v>
      </c>
      <c r="J211" s="52">
        <v>53.41</v>
      </c>
      <c r="K211" s="52">
        <v>50.43</v>
      </c>
      <c r="L211" s="49">
        <v>30.53</v>
      </c>
      <c r="M211" s="72">
        <f t="shared" si="7"/>
        <v>2</v>
      </c>
      <c r="N211" s="36">
        <v>0.02</v>
      </c>
      <c r="O211" s="68">
        <v>6.375</v>
      </c>
      <c r="P211" s="73">
        <v>6.25</v>
      </c>
      <c r="Q211" s="74">
        <f>'Trade Data'!H14</f>
        <v>0.42796964135110316</v>
      </c>
      <c r="R211" s="35">
        <v>1</v>
      </c>
    </row>
    <row r="212" spans="1:18" ht="20.100000000000001" customHeight="1">
      <c r="A212" s="44" t="s">
        <v>72</v>
      </c>
      <c r="B212" s="44" t="s">
        <v>670</v>
      </c>
      <c r="C212" s="59">
        <f>'Thomson Reuters IMA  ($)'!I489</f>
        <v>2.1560000000000001</v>
      </c>
      <c r="D212" s="47">
        <f>'Sectors % GDP'!I16</f>
        <v>20104.031999999999</v>
      </c>
      <c r="E212" s="47">
        <f t="shared" si="6"/>
        <v>1.072421691330376E-4</v>
      </c>
      <c r="F212" s="47">
        <v>1</v>
      </c>
      <c r="G212" s="49">
        <v>1</v>
      </c>
      <c r="H212" s="47">
        <v>1</v>
      </c>
      <c r="I212" s="48">
        <v>35.78</v>
      </c>
      <c r="J212" s="48">
        <v>35.94</v>
      </c>
      <c r="K212" s="52">
        <v>47.98</v>
      </c>
      <c r="L212" s="49">
        <v>30.53</v>
      </c>
      <c r="M212" s="72">
        <f t="shared" si="7"/>
        <v>2</v>
      </c>
      <c r="N212" s="36">
        <v>0.02</v>
      </c>
      <c r="O212" s="68">
        <v>0.80875000000000341</v>
      </c>
      <c r="P212" s="73">
        <v>6.25</v>
      </c>
      <c r="Q212" s="74">
        <f>'Trade Data'!H14</f>
        <v>0.42796964135110316</v>
      </c>
      <c r="R212" s="37">
        <v>0</v>
      </c>
    </row>
    <row r="213" spans="1:18" ht="20.100000000000001" customHeight="1">
      <c r="A213" s="44" t="s">
        <v>72</v>
      </c>
      <c r="B213" s="44" t="s">
        <v>669</v>
      </c>
      <c r="C213" s="59">
        <f>'Thomson Reuters IMA  ($)'!I488+'Thomson Reuters IMA  ($)'!I490+'Thomson Reuters IMA  ($)'!I491</f>
        <v>63.051000000000002</v>
      </c>
      <c r="D213" s="47">
        <f>'Sectors % GDP'!I17</f>
        <v>92021.124000000011</v>
      </c>
      <c r="E213" s="47">
        <f t="shared" si="6"/>
        <v>6.8517963331984509E-4</v>
      </c>
      <c r="F213" s="47">
        <v>1</v>
      </c>
      <c r="G213" s="49">
        <v>1</v>
      </c>
      <c r="H213" s="47">
        <v>5</v>
      </c>
      <c r="I213" s="48">
        <v>35.78</v>
      </c>
      <c r="J213" s="48">
        <v>35.94</v>
      </c>
      <c r="K213" s="52">
        <v>47.98</v>
      </c>
      <c r="L213" s="49">
        <v>30.53</v>
      </c>
      <c r="M213" s="72">
        <f t="shared" si="7"/>
        <v>2</v>
      </c>
      <c r="N213" s="36">
        <v>0.02</v>
      </c>
      <c r="O213" s="68">
        <v>0.80875000000000341</v>
      </c>
      <c r="P213" s="73">
        <v>6.25</v>
      </c>
      <c r="Q213" s="74">
        <f>'Trade Data'!H14</f>
        <v>0.42796964135110316</v>
      </c>
      <c r="R213" s="37">
        <v>1</v>
      </c>
    </row>
    <row r="214" spans="1:18" ht="20.100000000000001" customHeight="1">
      <c r="A214" s="44" t="s">
        <v>72</v>
      </c>
      <c r="B214" s="44" t="s">
        <v>668</v>
      </c>
      <c r="C214" s="59">
        <f>'Thomson Reuters IMA  ($)'!I487</f>
        <v>0.193</v>
      </c>
      <c r="D214" s="47">
        <f>'Sectors % GDP'!I18</f>
        <v>170234.84400000001</v>
      </c>
      <c r="E214" s="47">
        <f t="shared" si="6"/>
        <v>1.1337279458487358E-6</v>
      </c>
      <c r="F214" s="47">
        <v>1</v>
      </c>
      <c r="G214" s="49">
        <v>1</v>
      </c>
      <c r="H214" s="47">
        <v>5</v>
      </c>
      <c r="I214" s="48">
        <v>35.78</v>
      </c>
      <c r="J214" s="48">
        <v>35.94</v>
      </c>
      <c r="K214" s="52">
        <v>47.98</v>
      </c>
      <c r="L214" s="49">
        <v>30.53</v>
      </c>
      <c r="M214" s="72">
        <f t="shared" si="7"/>
        <v>2</v>
      </c>
      <c r="N214" s="36">
        <v>0.02</v>
      </c>
      <c r="O214" s="68">
        <v>0.80875000000000341</v>
      </c>
      <c r="P214" s="73">
        <v>6.25</v>
      </c>
      <c r="Q214" s="74">
        <f>'Trade Data'!H14</f>
        <v>0.42796964135110316</v>
      </c>
      <c r="R214" s="37">
        <v>1</v>
      </c>
    </row>
    <row r="215" spans="1:18" ht="20.100000000000001" customHeight="1">
      <c r="A215" s="44" t="s">
        <v>73</v>
      </c>
      <c r="B215" s="44" t="s">
        <v>667</v>
      </c>
      <c r="C215" s="59">
        <v>0</v>
      </c>
      <c r="D215" s="47">
        <f>'Sectors % GDP'!I16</f>
        <v>20104.031999999999</v>
      </c>
      <c r="E215" s="47">
        <f t="shared" si="6"/>
        <v>0</v>
      </c>
      <c r="F215" s="47">
        <v>0</v>
      </c>
      <c r="G215" s="49">
        <v>0</v>
      </c>
      <c r="H215" s="47">
        <v>0</v>
      </c>
      <c r="I215" s="48">
        <v>31.39</v>
      </c>
      <c r="J215" s="48">
        <v>32.83</v>
      </c>
      <c r="K215" s="52">
        <v>38.72</v>
      </c>
      <c r="L215" s="49">
        <v>30.53</v>
      </c>
      <c r="M215" s="72">
        <f t="shared" si="7"/>
        <v>2</v>
      </c>
      <c r="N215" s="36">
        <v>0.02</v>
      </c>
      <c r="O215" s="68">
        <v>-1.9475000000000051</v>
      </c>
      <c r="P215" s="73">
        <v>6.25</v>
      </c>
      <c r="Q215" s="74">
        <f>'Trade Data'!H14</f>
        <v>0.42796964135110316</v>
      </c>
      <c r="R215" s="35">
        <v>0</v>
      </c>
    </row>
    <row r="216" spans="1:18" ht="20.100000000000001" customHeight="1">
      <c r="A216" s="77" t="s">
        <v>73</v>
      </c>
      <c r="B216" s="44" t="s">
        <v>666</v>
      </c>
      <c r="C216" s="59">
        <f>'Thomson Reuters IMA  ($)'!I492</f>
        <v>53.4</v>
      </c>
      <c r="D216" s="47">
        <f>'Sectors % GDP'!I17</f>
        <v>92021.124000000011</v>
      </c>
      <c r="E216" s="47">
        <f t="shared" si="6"/>
        <v>5.8030154032893565E-4</v>
      </c>
      <c r="F216" s="47">
        <v>1</v>
      </c>
      <c r="G216" s="49">
        <v>1</v>
      </c>
      <c r="H216" s="47">
        <v>2</v>
      </c>
      <c r="I216" s="48">
        <v>31.39</v>
      </c>
      <c r="J216" s="48">
        <v>32.83</v>
      </c>
      <c r="K216" s="48">
        <v>38.72</v>
      </c>
      <c r="L216" s="49">
        <v>30.53</v>
      </c>
      <c r="M216" s="72">
        <f t="shared" si="7"/>
        <v>2</v>
      </c>
      <c r="N216" s="36">
        <v>0.02</v>
      </c>
      <c r="O216" s="68">
        <v>-1.9475000000000051</v>
      </c>
      <c r="P216" s="73">
        <v>6.25</v>
      </c>
      <c r="Q216" s="74">
        <f>'Trade Data'!H14</f>
        <v>0.42796964135110316</v>
      </c>
      <c r="R216" s="35">
        <v>1</v>
      </c>
    </row>
    <row r="217" spans="1:18" ht="20.100000000000001" customHeight="1">
      <c r="A217" s="77" t="s">
        <v>73</v>
      </c>
      <c r="B217" s="44" t="s">
        <v>665</v>
      </c>
      <c r="C217" s="59">
        <v>0</v>
      </c>
      <c r="D217" s="47">
        <f>'Sectors % GDP'!I18</f>
        <v>170234.84400000001</v>
      </c>
      <c r="E217" s="47">
        <f t="shared" si="6"/>
        <v>0</v>
      </c>
      <c r="F217" s="47">
        <v>0</v>
      </c>
      <c r="G217" s="49">
        <v>1</v>
      </c>
      <c r="H217" s="47">
        <v>3</v>
      </c>
      <c r="I217" s="48">
        <v>31.39</v>
      </c>
      <c r="J217" s="48">
        <v>32.83</v>
      </c>
      <c r="K217" s="48">
        <v>38.72</v>
      </c>
      <c r="L217" s="49">
        <v>30.53</v>
      </c>
      <c r="M217" s="72">
        <f t="shared" si="7"/>
        <v>2</v>
      </c>
      <c r="N217" s="36">
        <v>0.02</v>
      </c>
      <c r="O217" s="68">
        <v>-1.9475000000000051</v>
      </c>
      <c r="P217" s="73">
        <v>6.25</v>
      </c>
      <c r="Q217" s="74">
        <f>'Trade Data'!H14</f>
        <v>0.42796964135110316</v>
      </c>
      <c r="R217" s="35">
        <v>1</v>
      </c>
    </row>
    <row r="218" spans="1:18" ht="20.100000000000001" customHeight="1">
      <c r="A218" s="44" t="s">
        <v>75</v>
      </c>
      <c r="B218" s="44" t="s">
        <v>664</v>
      </c>
      <c r="C218" s="59">
        <v>0</v>
      </c>
      <c r="D218" s="47">
        <f>'Sectors % GDP'!K16</f>
        <v>22753.52</v>
      </c>
      <c r="E218" s="47">
        <f t="shared" si="6"/>
        <v>0</v>
      </c>
      <c r="F218" s="47">
        <v>0</v>
      </c>
      <c r="G218" s="49">
        <v>0</v>
      </c>
      <c r="H218" s="47">
        <v>0</v>
      </c>
      <c r="I218" s="48">
        <v>31.74</v>
      </c>
      <c r="J218" s="48">
        <v>32.24</v>
      </c>
      <c r="K218" s="49">
        <v>40.81</v>
      </c>
      <c r="L218" s="49">
        <v>29.8</v>
      </c>
      <c r="M218" s="72">
        <f t="shared" si="7"/>
        <v>2</v>
      </c>
      <c r="N218" s="36">
        <v>0.02</v>
      </c>
      <c r="O218" s="68">
        <v>1.7324999999999982</v>
      </c>
      <c r="P218" s="73">
        <v>6.25</v>
      </c>
      <c r="Q218" s="74">
        <f>'Trade Data'!H14</f>
        <v>0.42796964135110316</v>
      </c>
      <c r="R218" s="37">
        <v>0</v>
      </c>
    </row>
    <row r="219" spans="1:18" ht="20.100000000000001" customHeight="1">
      <c r="A219" s="44" t="s">
        <v>75</v>
      </c>
      <c r="B219" s="44" t="s">
        <v>663</v>
      </c>
      <c r="C219" s="59">
        <f>'Thomson Reuters IMA  ($)'!I493+'Thomson Reuters IMA  ($)'!I494</f>
        <v>5.35</v>
      </c>
      <c r="D219" s="47">
        <f>'Sectors % GDP'!K17</f>
        <v>96241.24</v>
      </c>
      <c r="E219" s="47">
        <f t="shared" si="6"/>
        <v>5.558947494857713E-5</v>
      </c>
      <c r="F219" s="47">
        <v>1</v>
      </c>
      <c r="G219" s="49">
        <v>1</v>
      </c>
      <c r="H219" s="47">
        <v>5</v>
      </c>
      <c r="I219" s="48">
        <v>31.74</v>
      </c>
      <c r="J219" s="48">
        <v>32.24</v>
      </c>
      <c r="K219" s="49">
        <v>40.81</v>
      </c>
      <c r="L219" s="49">
        <v>29.8</v>
      </c>
      <c r="M219" s="72">
        <f t="shared" si="7"/>
        <v>2</v>
      </c>
      <c r="N219" s="36">
        <v>0.02</v>
      </c>
      <c r="O219" s="68">
        <v>1.7324999999999982</v>
      </c>
      <c r="P219" s="73">
        <v>6.25</v>
      </c>
      <c r="Q219" s="74">
        <f>'Trade Data'!H14</f>
        <v>0.42796964135110316</v>
      </c>
      <c r="R219" s="37">
        <v>1</v>
      </c>
    </row>
    <row r="220" spans="1:18" ht="20.100000000000001" customHeight="1">
      <c r="A220" s="44" t="s">
        <v>75</v>
      </c>
      <c r="B220" s="44" t="s">
        <v>662</v>
      </c>
      <c r="C220" s="59">
        <v>0</v>
      </c>
      <c r="D220" s="47">
        <f>'Sectors % GDP'!K18</f>
        <v>188792.72</v>
      </c>
      <c r="E220" s="47">
        <f t="shared" si="6"/>
        <v>0</v>
      </c>
      <c r="F220" s="47">
        <v>0</v>
      </c>
      <c r="G220" s="49">
        <v>1</v>
      </c>
      <c r="H220" s="47">
        <v>3</v>
      </c>
      <c r="I220" s="48">
        <v>31.74</v>
      </c>
      <c r="J220" s="48">
        <v>32.24</v>
      </c>
      <c r="K220" s="49">
        <v>40.81</v>
      </c>
      <c r="L220" s="49">
        <v>29.8</v>
      </c>
      <c r="M220" s="72">
        <f t="shared" si="7"/>
        <v>2</v>
      </c>
      <c r="N220" s="36">
        <v>0.02</v>
      </c>
      <c r="O220" s="68">
        <v>1.7324999999999982</v>
      </c>
      <c r="P220" s="73">
        <v>6.25</v>
      </c>
      <c r="Q220" s="74">
        <f>'Trade Data'!H14</f>
        <v>0.42796964135110316</v>
      </c>
      <c r="R220" s="37">
        <v>1</v>
      </c>
    </row>
    <row r="221" spans="1:18" ht="20.100000000000001" customHeight="1">
      <c r="A221" s="44" t="s">
        <v>76</v>
      </c>
      <c r="B221" s="44" t="s">
        <v>661</v>
      </c>
      <c r="C221" s="59">
        <v>0</v>
      </c>
      <c r="D221" s="47">
        <f>'Sectors % GDP'!K16</f>
        <v>22753.52</v>
      </c>
      <c r="E221" s="47">
        <f t="shared" si="6"/>
        <v>0</v>
      </c>
      <c r="F221" s="47">
        <v>0</v>
      </c>
      <c r="G221" s="49">
        <v>0</v>
      </c>
      <c r="H221" s="47">
        <v>0</v>
      </c>
      <c r="I221" s="48">
        <v>30.38</v>
      </c>
      <c r="J221" s="48">
        <v>35.17</v>
      </c>
      <c r="K221" s="48">
        <v>33.99</v>
      </c>
      <c r="L221" s="49">
        <v>29.8</v>
      </c>
      <c r="M221" s="72">
        <f t="shared" si="7"/>
        <v>2.2999999999999998</v>
      </c>
      <c r="N221" s="36">
        <v>2.3E-2</v>
      </c>
      <c r="O221" s="68">
        <v>-4.870000000000001</v>
      </c>
      <c r="P221" s="73">
        <v>5.69</v>
      </c>
      <c r="Q221" s="74">
        <f>'Trade Data'!J14</f>
        <v>0.42097378518607759</v>
      </c>
      <c r="R221" s="35">
        <v>0</v>
      </c>
    </row>
    <row r="222" spans="1:18" ht="20.100000000000001" customHeight="1">
      <c r="A222" s="44" t="s">
        <v>76</v>
      </c>
      <c r="B222" s="44" t="s">
        <v>660</v>
      </c>
      <c r="C222" s="59">
        <v>0</v>
      </c>
      <c r="D222" s="47">
        <f>'Sectors % GDP'!K17</f>
        <v>96241.24</v>
      </c>
      <c r="E222" s="47">
        <f t="shared" si="6"/>
        <v>0</v>
      </c>
      <c r="F222" s="47">
        <v>0</v>
      </c>
      <c r="G222" s="49">
        <v>1</v>
      </c>
      <c r="H222" s="47">
        <v>3</v>
      </c>
      <c r="I222" s="48">
        <v>30.38</v>
      </c>
      <c r="J222" s="48">
        <v>35.17</v>
      </c>
      <c r="K222" s="48">
        <v>33.99</v>
      </c>
      <c r="L222" s="49">
        <v>29.8</v>
      </c>
      <c r="M222" s="72">
        <f t="shared" si="7"/>
        <v>2.2999999999999998</v>
      </c>
      <c r="N222" s="36">
        <v>2.3E-2</v>
      </c>
      <c r="O222" s="68">
        <v>-4.870000000000001</v>
      </c>
      <c r="P222" s="73">
        <v>5.69</v>
      </c>
      <c r="Q222" s="74">
        <f>'Trade Data'!J14</f>
        <v>0.42097378518607759</v>
      </c>
      <c r="R222" s="35">
        <v>1</v>
      </c>
    </row>
    <row r="223" spans="1:18" ht="20.100000000000001" customHeight="1">
      <c r="A223" s="44" t="s">
        <v>76</v>
      </c>
      <c r="B223" s="44" t="s">
        <v>659</v>
      </c>
      <c r="C223" s="59">
        <f>SUM('Thomson Reuters IMA  ($)'!I495:I499)</f>
        <v>49.933000000000007</v>
      </c>
      <c r="D223" s="47">
        <f>'Sectors % GDP'!K18</f>
        <v>188792.72</v>
      </c>
      <c r="E223" s="47">
        <f t="shared" si="6"/>
        <v>2.6448583398766648E-4</v>
      </c>
      <c r="F223" s="47">
        <v>1</v>
      </c>
      <c r="G223" s="49">
        <v>1</v>
      </c>
      <c r="H223" s="47">
        <v>7</v>
      </c>
      <c r="I223" s="48">
        <v>30.38</v>
      </c>
      <c r="J223" s="48">
        <v>35.17</v>
      </c>
      <c r="K223" s="48">
        <v>33.99</v>
      </c>
      <c r="L223" s="49">
        <v>29.8</v>
      </c>
      <c r="M223" s="72">
        <f t="shared" si="7"/>
        <v>2.2999999999999998</v>
      </c>
      <c r="N223" s="36">
        <v>2.3E-2</v>
      </c>
      <c r="O223" s="68">
        <v>-4.870000000000001</v>
      </c>
      <c r="P223" s="73">
        <v>5.69</v>
      </c>
      <c r="Q223" s="74">
        <f>'Trade Data'!J14</f>
        <v>0.42097378518607759</v>
      </c>
      <c r="R223" s="35">
        <v>1</v>
      </c>
    </row>
    <row r="224" spans="1:18" ht="20.100000000000001" customHeight="1">
      <c r="A224" s="44" t="s">
        <v>77</v>
      </c>
      <c r="B224" s="44" t="s">
        <v>658</v>
      </c>
      <c r="C224" s="59">
        <v>0</v>
      </c>
      <c r="D224" s="47">
        <f>'Sectors % GDP'!K16</f>
        <v>22753.52</v>
      </c>
      <c r="E224" s="47">
        <f t="shared" si="6"/>
        <v>0</v>
      </c>
      <c r="F224" s="47">
        <v>0</v>
      </c>
      <c r="G224" s="49">
        <v>0</v>
      </c>
      <c r="H224" s="47">
        <v>0</v>
      </c>
      <c r="I224" s="48">
        <v>35.74</v>
      </c>
      <c r="J224" s="48">
        <v>51.23</v>
      </c>
      <c r="K224" s="49">
        <v>34.25</v>
      </c>
      <c r="L224" s="49">
        <v>29.8</v>
      </c>
      <c r="M224" s="72">
        <f t="shared" si="7"/>
        <v>2.2999999999999998</v>
      </c>
      <c r="N224" s="36">
        <v>2.3E-2</v>
      </c>
      <c r="O224" s="68">
        <v>4.0962500000000013</v>
      </c>
      <c r="P224" s="73">
        <v>5.69</v>
      </c>
      <c r="Q224" s="74">
        <f>'Trade Data'!J14</f>
        <v>0.42097378518607759</v>
      </c>
      <c r="R224" s="37">
        <v>0</v>
      </c>
    </row>
    <row r="225" spans="1:18" ht="20.100000000000001" customHeight="1">
      <c r="A225" s="44" t="s">
        <v>77</v>
      </c>
      <c r="B225" s="44" t="s">
        <v>657</v>
      </c>
      <c r="C225" s="59">
        <f>'Thomson Reuters IMA  ($)'!I502</f>
        <v>90</v>
      </c>
      <c r="D225" s="47">
        <f>'Sectors % GDP'!K17</f>
        <v>96241.24</v>
      </c>
      <c r="E225" s="47">
        <f t="shared" si="6"/>
        <v>9.3515004586391438E-4</v>
      </c>
      <c r="F225" s="47">
        <v>1</v>
      </c>
      <c r="G225" s="49">
        <v>1</v>
      </c>
      <c r="H225" s="47">
        <v>2</v>
      </c>
      <c r="I225" s="48">
        <v>35.74</v>
      </c>
      <c r="J225" s="48">
        <v>51.23</v>
      </c>
      <c r="K225" s="49">
        <v>34.25</v>
      </c>
      <c r="L225" s="49">
        <v>29.8</v>
      </c>
      <c r="M225" s="72">
        <f t="shared" si="7"/>
        <v>2.2999999999999998</v>
      </c>
      <c r="N225" s="36">
        <v>2.3E-2</v>
      </c>
      <c r="O225" s="68">
        <v>4.0962500000000013</v>
      </c>
      <c r="P225" s="73">
        <v>5.69</v>
      </c>
      <c r="Q225" s="74">
        <f>'Trade Data'!J14</f>
        <v>0.42097378518607759</v>
      </c>
      <c r="R225" s="37">
        <v>1</v>
      </c>
    </row>
    <row r="226" spans="1:18" ht="20.100000000000001" customHeight="1">
      <c r="A226" s="44" t="s">
        <v>77</v>
      </c>
      <c r="B226" s="44" t="s">
        <v>656</v>
      </c>
      <c r="C226" s="59">
        <f>'Thomson Reuters IMA  ($)'!I500+'Thomson Reuters IMA  ($)'!I501+'Thomson Reuters IMA  ($)'!I503+'Thomson Reuters IMA  ($)'!I504</f>
        <v>308.82000000000005</v>
      </c>
      <c r="D226" s="47">
        <f>'Sectors % GDP'!K18</f>
        <v>188792.72</v>
      </c>
      <c r="E226" s="47">
        <f t="shared" si="6"/>
        <v>1.6357622264248327E-3</v>
      </c>
      <c r="F226" s="47">
        <v>1</v>
      </c>
      <c r="G226" s="49">
        <v>1</v>
      </c>
      <c r="H226" s="47">
        <v>5</v>
      </c>
      <c r="I226" s="48">
        <v>35.74</v>
      </c>
      <c r="J226" s="48">
        <v>51.23</v>
      </c>
      <c r="K226" s="49">
        <v>34.25</v>
      </c>
      <c r="L226" s="49">
        <v>29.8</v>
      </c>
      <c r="M226" s="72">
        <f t="shared" si="7"/>
        <v>2.2999999999999998</v>
      </c>
      <c r="N226" s="36">
        <v>2.3E-2</v>
      </c>
      <c r="O226" s="68">
        <v>4.0962500000000013</v>
      </c>
      <c r="P226" s="73">
        <v>5.69</v>
      </c>
      <c r="Q226" s="74">
        <f>'Trade Data'!J14</f>
        <v>0.42097378518607759</v>
      </c>
      <c r="R226" s="37">
        <v>1</v>
      </c>
    </row>
    <row r="227" spans="1:18" ht="20.100000000000001" customHeight="1">
      <c r="A227" s="44" t="s">
        <v>78</v>
      </c>
      <c r="B227" s="44" t="s">
        <v>858</v>
      </c>
      <c r="C227" s="59">
        <v>0</v>
      </c>
      <c r="D227" s="47">
        <f>'Sectors % GDP'!K16</f>
        <v>22753.52</v>
      </c>
      <c r="E227" s="47">
        <f t="shared" si="6"/>
        <v>0</v>
      </c>
      <c r="F227" s="47">
        <v>0</v>
      </c>
      <c r="G227" s="49">
        <v>0</v>
      </c>
      <c r="H227" s="47">
        <v>0</v>
      </c>
      <c r="I227" s="48">
        <v>33.15</v>
      </c>
      <c r="J227" s="48">
        <v>38.89</v>
      </c>
      <c r="K227" s="48">
        <v>38.119999999999997</v>
      </c>
      <c r="L227" s="49">
        <v>29.8</v>
      </c>
      <c r="M227" s="72">
        <f t="shared" si="7"/>
        <v>2.2999999999999998</v>
      </c>
      <c r="N227" s="36">
        <v>2.3E-2</v>
      </c>
      <c r="O227" s="68">
        <v>-4.240000000000002</v>
      </c>
      <c r="P227" s="73">
        <v>5.69</v>
      </c>
      <c r="Q227" s="74">
        <f>'Trade Data'!J14</f>
        <v>0.42097378518607759</v>
      </c>
      <c r="R227" s="35">
        <v>0</v>
      </c>
    </row>
    <row r="228" spans="1:18" ht="20.100000000000001" customHeight="1">
      <c r="A228" s="44" t="s">
        <v>78</v>
      </c>
      <c r="B228" s="44" t="s">
        <v>859</v>
      </c>
      <c r="C228" s="59">
        <f>'Thomson Reuters IMA  ($)'!I508+'Thomson Reuters IMA  ($)'!I509+'Thomson Reuters IMA  ($)'!I507</f>
        <v>765.93900000000008</v>
      </c>
      <c r="D228" s="47">
        <f>'Sectors % GDP'!K17</f>
        <v>96241.24</v>
      </c>
      <c r="E228" s="47">
        <f t="shared" si="6"/>
        <v>7.9585321219884531E-3</v>
      </c>
      <c r="F228" s="47">
        <v>1</v>
      </c>
      <c r="G228" s="49">
        <v>1</v>
      </c>
      <c r="H228" s="47">
        <v>5</v>
      </c>
      <c r="I228" s="48">
        <v>33.15</v>
      </c>
      <c r="J228" s="48">
        <v>38.89</v>
      </c>
      <c r="K228" s="48">
        <v>38.119999999999997</v>
      </c>
      <c r="L228" s="49">
        <v>29.8</v>
      </c>
      <c r="M228" s="72">
        <f t="shared" si="7"/>
        <v>2.2999999999999998</v>
      </c>
      <c r="N228" s="36">
        <v>2.3E-2</v>
      </c>
      <c r="O228" s="68">
        <v>-4.240000000000002</v>
      </c>
      <c r="P228" s="73">
        <v>5.69</v>
      </c>
      <c r="Q228" s="74">
        <f>'Trade Data'!J14</f>
        <v>0.42097378518607759</v>
      </c>
      <c r="R228" s="35">
        <v>1</v>
      </c>
    </row>
    <row r="229" spans="1:18" ht="20.100000000000001" customHeight="1">
      <c r="A229" s="44" t="s">
        <v>78</v>
      </c>
      <c r="B229" s="44" t="s">
        <v>860</v>
      </c>
      <c r="C229" s="59">
        <f>'Thomson Reuters IMA  ($)'!I505+'Thomson Reuters IMA  ($)'!I506</f>
        <v>11.497</v>
      </c>
      <c r="D229" s="47">
        <f>'Sectors % GDP'!K18</f>
        <v>188792.72</v>
      </c>
      <c r="E229" s="47">
        <f t="shared" si="6"/>
        <v>6.0897475284004593E-5</v>
      </c>
      <c r="F229" s="47">
        <v>1</v>
      </c>
      <c r="G229" s="49">
        <v>1</v>
      </c>
      <c r="H229" s="47">
        <v>5</v>
      </c>
      <c r="I229" s="48">
        <v>33.15</v>
      </c>
      <c r="J229" s="48">
        <v>38.89</v>
      </c>
      <c r="K229" s="48">
        <v>38.119999999999997</v>
      </c>
      <c r="L229" s="49">
        <v>29.8</v>
      </c>
      <c r="M229" s="72">
        <f t="shared" si="7"/>
        <v>2.2999999999999998</v>
      </c>
      <c r="N229" s="36">
        <v>2.3E-2</v>
      </c>
      <c r="O229" s="68">
        <v>-4.240000000000002</v>
      </c>
      <c r="P229" s="73">
        <v>5.69</v>
      </c>
      <c r="Q229" s="74">
        <f>'Trade Data'!J14</f>
        <v>0.42097378518607759</v>
      </c>
      <c r="R229" s="35">
        <v>1</v>
      </c>
    </row>
    <row r="230" spans="1:18" ht="20.100000000000001" customHeight="1">
      <c r="A230" s="44" t="s">
        <v>79</v>
      </c>
      <c r="B230" s="44" t="s">
        <v>655</v>
      </c>
      <c r="C230" s="59">
        <v>0</v>
      </c>
      <c r="D230" s="47">
        <f>'Sectors % GDP'!C20</f>
        <v>8761.473</v>
      </c>
      <c r="E230" s="47">
        <f t="shared" si="6"/>
        <v>0</v>
      </c>
      <c r="F230" s="47">
        <v>0</v>
      </c>
      <c r="G230" s="49">
        <v>0</v>
      </c>
      <c r="H230" s="47">
        <v>0</v>
      </c>
      <c r="I230" s="48">
        <v>13.97</v>
      </c>
      <c r="J230" s="56">
        <v>23.22</v>
      </c>
      <c r="K230" s="49">
        <v>32.51</v>
      </c>
      <c r="L230" s="49">
        <v>6.53</v>
      </c>
      <c r="M230" s="72">
        <f t="shared" si="7"/>
        <v>4.9000000000000004</v>
      </c>
      <c r="N230" s="36">
        <v>4.9000000000000002E-2</v>
      </c>
      <c r="O230" s="68">
        <v>-30.367500000000007</v>
      </c>
      <c r="P230" s="73">
        <v>5.8</v>
      </c>
      <c r="Q230" s="74">
        <f>'Trade Data'!B17</f>
        <v>0.20459335150255525</v>
      </c>
      <c r="R230" s="37">
        <v>0</v>
      </c>
    </row>
    <row r="231" spans="1:18" ht="20.100000000000001" customHeight="1">
      <c r="A231" s="44" t="s">
        <v>79</v>
      </c>
      <c r="B231" s="44" t="s">
        <v>654</v>
      </c>
      <c r="C231" s="59">
        <v>0</v>
      </c>
      <c r="D231" s="47">
        <f>'Sectors % GDP'!C21</f>
        <v>37129.239000000001</v>
      </c>
      <c r="E231" s="47">
        <f t="shared" si="6"/>
        <v>0</v>
      </c>
      <c r="F231" s="47">
        <v>0</v>
      </c>
      <c r="G231" s="49">
        <v>0</v>
      </c>
      <c r="H231" s="47">
        <v>0</v>
      </c>
      <c r="I231" s="48">
        <v>13.97</v>
      </c>
      <c r="J231" s="56">
        <v>23.22</v>
      </c>
      <c r="K231" s="49">
        <v>32.51</v>
      </c>
      <c r="L231" s="49">
        <v>6.53</v>
      </c>
      <c r="M231" s="72">
        <f t="shared" si="7"/>
        <v>4.9000000000000004</v>
      </c>
      <c r="N231" s="36">
        <v>4.9000000000000002E-2</v>
      </c>
      <c r="O231" s="68">
        <v>-30.367500000000007</v>
      </c>
      <c r="P231" s="73">
        <v>5.8</v>
      </c>
      <c r="Q231" s="74">
        <f>'Trade Data'!B17</f>
        <v>0.20459335150255525</v>
      </c>
      <c r="R231" s="37">
        <v>1</v>
      </c>
    </row>
    <row r="232" spans="1:18" ht="20.100000000000001" customHeight="1">
      <c r="A232" s="44" t="s">
        <v>79</v>
      </c>
      <c r="B232" s="44" t="s">
        <v>653</v>
      </c>
      <c r="C232" s="59">
        <v>0</v>
      </c>
      <c r="D232" s="47">
        <f>'Sectors % GDP'!C22</f>
        <v>49229.774999999994</v>
      </c>
      <c r="E232" s="47">
        <f t="shared" si="6"/>
        <v>0</v>
      </c>
      <c r="F232" s="47">
        <v>0</v>
      </c>
      <c r="G232" s="49">
        <v>0</v>
      </c>
      <c r="H232" s="47">
        <v>0</v>
      </c>
      <c r="I232" s="48">
        <v>13.97</v>
      </c>
      <c r="J232" s="56">
        <v>23.22</v>
      </c>
      <c r="K232" s="49">
        <v>32.51</v>
      </c>
      <c r="L232" s="49">
        <v>6.53</v>
      </c>
      <c r="M232" s="72">
        <f t="shared" si="7"/>
        <v>4.9000000000000004</v>
      </c>
      <c r="N232" s="36">
        <v>4.9000000000000002E-2</v>
      </c>
      <c r="O232" s="68">
        <v>-30.367500000000007</v>
      </c>
      <c r="P232" s="73">
        <v>5.8</v>
      </c>
      <c r="Q232" s="74">
        <f>'Trade Data'!B17</f>
        <v>0.20459335150255525</v>
      </c>
      <c r="R232" s="37">
        <v>1</v>
      </c>
    </row>
    <row r="233" spans="1:18" ht="20.100000000000001" customHeight="1">
      <c r="A233" s="44" t="s">
        <v>1705</v>
      </c>
      <c r="B233" s="44" t="s">
        <v>652</v>
      </c>
      <c r="C233" s="59">
        <v>0</v>
      </c>
      <c r="D233" s="47">
        <f>'Sectors % GDP'!C20</f>
        <v>8761.473</v>
      </c>
      <c r="E233" s="47">
        <f t="shared" si="6"/>
        <v>0</v>
      </c>
      <c r="F233" s="47">
        <v>0</v>
      </c>
      <c r="G233" s="49">
        <v>0</v>
      </c>
      <c r="H233" s="47">
        <v>0</v>
      </c>
      <c r="I233" s="48">
        <v>9.44</v>
      </c>
      <c r="J233" s="56">
        <v>28.75</v>
      </c>
      <c r="K233" s="52">
        <v>13.64</v>
      </c>
      <c r="L233" s="49">
        <v>6.53</v>
      </c>
      <c r="M233" s="72">
        <f t="shared" si="7"/>
        <v>4.9000000000000004</v>
      </c>
      <c r="N233" s="36">
        <v>4.9000000000000002E-2</v>
      </c>
      <c r="O233" s="68">
        <v>-24.121250000000003</v>
      </c>
      <c r="P233" s="73">
        <v>5.8</v>
      </c>
      <c r="Q233" s="74">
        <f>'Trade Data'!B17</f>
        <v>0.20459335150255525</v>
      </c>
      <c r="R233" s="35">
        <v>0</v>
      </c>
    </row>
    <row r="234" spans="1:18" ht="20.100000000000001" customHeight="1">
      <c r="A234" s="44" t="s">
        <v>1705</v>
      </c>
      <c r="B234" s="44" t="s">
        <v>651</v>
      </c>
      <c r="C234" s="59">
        <v>0</v>
      </c>
      <c r="D234" s="47">
        <f>'Sectors % GDP'!C21</f>
        <v>37129.239000000001</v>
      </c>
      <c r="E234" s="47">
        <f t="shared" si="6"/>
        <v>0</v>
      </c>
      <c r="F234" s="47">
        <v>0</v>
      </c>
      <c r="G234" s="49">
        <v>1</v>
      </c>
      <c r="H234" s="47">
        <v>1</v>
      </c>
      <c r="I234" s="48">
        <v>9.44</v>
      </c>
      <c r="J234" s="56">
        <v>28.75</v>
      </c>
      <c r="K234" s="52">
        <v>13.64</v>
      </c>
      <c r="L234" s="49">
        <v>6.53</v>
      </c>
      <c r="M234" s="72">
        <f t="shared" si="7"/>
        <v>4.9000000000000004</v>
      </c>
      <c r="N234" s="36">
        <v>4.9000000000000002E-2</v>
      </c>
      <c r="O234" s="68">
        <v>-24.121250000000003</v>
      </c>
      <c r="P234" s="73">
        <v>5.8</v>
      </c>
      <c r="Q234" s="74">
        <f>'Trade Data'!B17</f>
        <v>0.20459335150255525</v>
      </c>
      <c r="R234" s="35">
        <v>1</v>
      </c>
    </row>
    <row r="235" spans="1:18" ht="20.100000000000001" customHeight="1">
      <c r="A235" s="44" t="s">
        <v>1705</v>
      </c>
      <c r="B235" s="44" t="s">
        <v>650</v>
      </c>
      <c r="C235" s="59">
        <v>0</v>
      </c>
      <c r="D235" s="47">
        <f>'Sectors % GDP'!C22</f>
        <v>49229.774999999994</v>
      </c>
      <c r="E235" s="47">
        <f t="shared" si="6"/>
        <v>0</v>
      </c>
      <c r="F235" s="47">
        <v>0</v>
      </c>
      <c r="G235" s="49">
        <v>0</v>
      </c>
      <c r="H235" s="47">
        <v>0</v>
      </c>
      <c r="I235" s="48">
        <v>9.44</v>
      </c>
      <c r="J235" s="56">
        <v>28.75</v>
      </c>
      <c r="K235" s="52">
        <v>13.64</v>
      </c>
      <c r="L235" s="49">
        <v>6.53</v>
      </c>
      <c r="M235" s="72">
        <f t="shared" si="7"/>
        <v>4.9000000000000004</v>
      </c>
      <c r="N235" s="36">
        <v>4.9000000000000002E-2</v>
      </c>
      <c r="O235" s="68">
        <v>-24.121250000000003</v>
      </c>
      <c r="P235" s="73">
        <v>5.8</v>
      </c>
      <c r="Q235" s="74">
        <f>'Trade Data'!B17</f>
        <v>0.20459335150255525</v>
      </c>
      <c r="R235" s="35">
        <v>1</v>
      </c>
    </row>
    <row r="236" spans="1:18" ht="20.100000000000001" customHeight="1">
      <c r="A236" s="44" t="s">
        <v>81</v>
      </c>
      <c r="B236" s="44" t="s">
        <v>649</v>
      </c>
      <c r="C236" s="59">
        <v>0</v>
      </c>
      <c r="D236" s="47">
        <f>'Sectors % GDP'!C20</f>
        <v>8761.473</v>
      </c>
      <c r="E236" s="47">
        <f t="shared" si="6"/>
        <v>0</v>
      </c>
      <c r="F236" s="47">
        <v>0</v>
      </c>
      <c r="G236" s="49">
        <v>0</v>
      </c>
      <c r="H236" s="47">
        <v>0</v>
      </c>
      <c r="I236" s="48">
        <v>19.28</v>
      </c>
      <c r="J236" s="56">
        <v>42.11</v>
      </c>
      <c r="K236" s="52">
        <v>30.85</v>
      </c>
      <c r="L236" s="49">
        <v>6.53</v>
      </c>
      <c r="M236" s="72">
        <f t="shared" si="7"/>
        <v>4.9000000000000004</v>
      </c>
      <c r="N236" s="36">
        <v>4.9000000000000002E-2</v>
      </c>
      <c r="O236" s="68">
        <v>-21.876249999999999</v>
      </c>
      <c r="P236" s="73">
        <v>5.8</v>
      </c>
      <c r="Q236" s="74">
        <f>'Trade Data'!B17</f>
        <v>0.20459335150255525</v>
      </c>
      <c r="R236" s="37">
        <v>0</v>
      </c>
    </row>
    <row r="237" spans="1:18" ht="20.100000000000001" customHeight="1">
      <c r="A237" s="44" t="s">
        <v>81</v>
      </c>
      <c r="B237" s="44" t="s">
        <v>648</v>
      </c>
      <c r="C237" s="59">
        <v>0</v>
      </c>
      <c r="D237" s="47">
        <f>'Sectors % GDP'!C21</f>
        <v>37129.239000000001</v>
      </c>
      <c r="E237" s="47">
        <f t="shared" si="6"/>
        <v>0</v>
      </c>
      <c r="F237" s="47">
        <v>0</v>
      </c>
      <c r="G237" s="49">
        <v>1</v>
      </c>
      <c r="H237" s="47">
        <v>1</v>
      </c>
      <c r="I237" s="48">
        <v>19.28</v>
      </c>
      <c r="J237" s="56">
        <v>42.11</v>
      </c>
      <c r="K237" s="52">
        <v>30.85</v>
      </c>
      <c r="L237" s="49">
        <v>6.53</v>
      </c>
      <c r="M237" s="72">
        <f t="shared" si="7"/>
        <v>4.9000000000000004</v>
      </c>
      <c r="N237" s="36">
        <v>4.9000000000000002E-2</v>
      </c>
      <c r="O237" s="68">
        <v>-21.876249999999999</v>
      </c>
      <c r="P237" s="73">
        <v>5.8</v>
      </c>
      <c r="Q237" s="74">
        <f>'Trade Data'!B17</f>
        <v>0.20459335150255525</v>
      </c>
      <c r="R237" s="37">
        <v>1</v>
      </c>
    </row>
    <row r="238" spans="1:18" ht="20.100000000000001" customHeight="1">
      <c r="A238" s="44" t="s">
        <v>81</v>
      </c>
      <c r="B238" s="44" t="s">
        <v>647</v>
      </c>
      <c r="C238" s="59">
        <v>0</v>
      </c>
      <c r="D238" s="47">
        <f>'Sectors % GDP'!C22</f>
        <v>49229.774999999994</v>
      </c>
      <c r="E238" s="47">
        <f t="shared" si="6"/>
        <v>0</v>
      </c>
      <c r="F238" s="47">
        <v>0</v>
      </c>
      <c r="G238" s="49">
        <v>0</v>
      </c>
      <c r="H238" s="47">
        <v>0</v>
      </c>
      <c r="I238" s="48">
        <v>19.28</v>
      </c>
      <c r="J238" s="56">
        <v>42.11</v>
      </c>
      <c r="K238" s="52">
        <v>30.85</v>
      </c>
      <c r="L238" s="49">
        <v>6.53</v>
      </c>
      <c r="M238" s="72">
        <f t="shared" si="7"/>
        <v>4.9000000000000004</v>
      </c>
      <c r="N238" s="36">
        <v>4.9000000000000002E-2</v>
      </c>
      <c r="O238" s="68">
        <v>-21.876249999999999</v>
      </c>
      <c r="P238" s="73">
        <v>5.8</v>
      </c>
      <c r="Q238" s="74">
        <f>'Trade Data'!B17</f>
        <v>0.20459335150255525</v>
      </c>
      <c r="R238" s="37">
        <v>1</v>
      </c>
    </row>
    <row r="239" spans="1:18" ht="20.100000000000001" customHeight="1">
      <c r="A239" s="44" t="s">
        <v>82</v>
      </c>
      <c r="B239" s="44" t="s">
        <v>646</v>
      </c>
      <c r="C239" s="59">
        <v>0</v>
      </c>
      <c r="D239" s="47">
        <f>'Sectors % GDP'!E20</f>
        <v>9697.0919999999987</v>
      </c>
      <c r="E239" s="47">
        <f t="shared" si="6"/>
        <v>0</v>
      </c>
      <c r="F239" s="47">
        <v>0</v>
      </c>
      <c r="G239" s="49">
        <v>0</v>
      </c>
      <c r="H239" s="47">
        <v>0</v>
      </c>
      <c r="I239" s="48">
        <v>18.91</v>
      </c>
      <c r="J239" s="56">
        <v>50.66</v>
      </c>
      <c r="K239" s="52">
        <v>25.41</v>
      </c>
      <c r="L239" s="49">
        <v>6.53</v>
      </c>
      <c r="M239" s="72">
        <f t="shared" si="7"/>
        <v>4.9000000000000004</v>
      </c>
      <c r="N239" s="36">
        <v>4.9000000000000002E-2</v>
      </c>
      <c r="O239" s="68">
        <v>-17.4575</v>
      </c>
      <c r="P239" s="73">
        <v>5.8</v>
      </c>
      <c r="Q239" s="74">
        <f>'Trade Data'!B17</f>
        <v>0.20459335150255525</v>
      </c>
      <c r="R239" s="35">
        <v>0</v>
      </c>
    </row>
    <row r="240" spans="1:18" ht="20.100000000000001" customHeight="1">
      <c r="A240" s="44" t="s">
        <v>82</v>
      </c>
      <c r="B240" s="44" t="s">
        <v>645</v>
      </c>
      <c r="C240" s="59">
        <v>0</v>
      </c>
      <c r="D240" s="47">
        <f>'Sectors % GDP'!E21</f>
        <v>39483.94</v>
      </c>
      <c r="E240" s="47">
        <f t="shared" si="6"/>
        <v>0</v>
      </c>
      <c r="F240" s="47">
        <v>0</v>
      </c>
      <c r="G240" s="49">
        <v>0</v>
      </c>
      <c r="H240" s="47">
        <v>0</v>
      </c>
      <c r="I240" s="48">
        <v>18.91</v>
      </c>
      <c r="J240" s="56">
        <v>50.66</v>
      </c>
      <c r="K240" s="52">
        <v>25.41</v>
      </c>
      <c r="L240" s="49">
        <v>6.53</v>
      </c>
      <c r="M240" s="72">
        <f t="shared" si="7"/>
        <v>4.9000000000000004</v>
      </c>
      <c r="N240" s="36">
        <v>4.9000000000000002E-2</v>
      </c>
      <c r="O240" s="68">
        <v>-17.4575</v>
      </c>
      <c r="P240" s="73">
        <v>5.8</v>
      </c>
      <c r="Q240" s="74">
        <f>'Trade Data'!B17</f>
        <v>0.20459335150255525</v>
      </c>
      <c r="R240" s="35">
        <v>1</v>
      </c>
    </row>
    <row r="241" spans="1:18" ht="20.100000000000001" customHeight="1">
      <c r="A241" s="44" t="s">
        <v>82</v>
      </c>
      <c r="B241" s="44" t="s">
        <v>644</v>
      </c>
      <c r="C241" s="59">
        <v>0</v>
      </c>
      <c r="D241" s="47">
        <f>'Sectors % GDP'!E22</f>
        <v>53108.968000000001</v>
      </c>
      <c r="E241" s="47">
        <f t="shared" si="6"/>
        <v>0</v>
      </c>
      <c r="F241" s="47">
        <v>0</v>
      </c>
      <c r="G241" s="49">
        <v>0</v>
      </c>
      <c r="H241" s="47">
        <v>0</v>
      </c>
      <c r="I241" s="48">
        <v>18.91</v>
      </c>
      <c r="J241" s="56">
        <v>50.66</v>
      </c>
      <c r="K241" s="52">
        <v>25.41</v>
      </c>
      <c r="L241" s="49">
        <v>6.53</v>
      </c>
      <c r="M241" s="72">
        <f t="shared" si="7"/>
        <v>4.9000000000000004</v>
      </c>
      <c r="N241" s="36">
        <v>4.9000000000000002E-2</v>
      </c>
      <c r="O241" s="68">
        <v>-17.4575</v>
      </c>
      <c r="P241" s="73">
        <v>5.8</v>
      </c>
      <c r="Q241" s="74">
        <f>'Trade Data'!B17</f>
        <v>0.20459335150255525</v>
      </c>
      <c r="R241" s="35">
        <v>1</v>
      </c>
    </row>
    <row r="242" spans="1:18" ht="20.100000000000001" customHeight="1">
      <c r="A242" s="44" t="s">
        <v>83</v>
      </c>
      <c r="B242" s="44" t="s">
        <v>643</v>
      </c>
      <c r="C242" s="59">
        <v>0</v>
      </c>
      <c r="D242" s="47">
        <f>'Sectors % GDP'!E20</f>
        <v>9697.0919999999987</v>
      </c>
      <c r="E242" s="47">
        <f t="shared" si="6"/>
        <v>0</v>
      </c>
      <c r="F242" s="47">
        <v>0</v>
      </c>
      <c r="G242" s="49">
        <v>0</v>
      </c>
      <c r="H242" s="47">
        <v>0</v>
      </c>
      <c r="I242" s="48">
        <v>13.76</v>
      </c>
      <c r="J242" s="56">
        <v>45.69</v>
      </c>
      <c r="K242" s="52">
        <v>13.92</v>
      </c>
      <c r="L242" s="49">
        <v>6.53</v>
      </c>
      <c r="M242" s="72">
        <f t="shared" si="7"/>
        <v>3.8</v>
      </c>
      <c r="N242" s="36">
        <v>3.7999999999999999E-2</v>
      </c>
      <c r="O242" s="68">
        <v>-22.822500000000005</v>
      </c>
      <c r="P242" s="73">
        <v>5</v>
      </c>
      <c r="Q242" s="74">
        <f>'Trade Data'!D17</f>
        <v>0.21478515098898887</v>
      </c>
      <c r="R242" s="37">
        <v>0</v>
      </c>
    </row>
    <row r="243" spans="1:18" ht="20.100000000000001" customHeight="1">
      <c r="A243" s="44" t="s">
        <v>83</v>
      </c>
      <c r="B243" s="44" t="s">
        <v>642</v>
      </c>
      <c r="C243" s="59">
        <v>0</v>
      </c>
      <c r="D243" s="47">
        <f>'Sectors % GDP'!E21</f>
        <v>39483.94</v>
      </c>
      <c r="E243" s="47">
        <f t="shared" si="6"/>
        <v>0</v>
      </c>
      <c r="F243" s="47">
        <v>0</v>
      </c>
      <c r="G243" s="49">
        <v>0</v>
      </c>
      <c r="H243" s="47">
        <v>0</v>
      </c>
      <c r="I243" s="48">
        <v>13.76</v>
      </c>
      <c r="J243" s="56">
        <v>45.69</v>
      </c>
      <c r="K243" s="52">
        <v>13.92</v>
      </c>
      <c r="L243" s="49">
        <v>6.53</v>
      </c>
      <c r="M243" s="72">
        <f t="shared" si="7"/>
        <v>3.8</v>
      </c>
      <c r="N243" s="36">
        <v>3.7999999999999999E-2</v>
      </c>
      <c r="O243" s="68">
        <v>-22.822500000000005</v>
      </c>
      <c r="P243" s="73">
        <v>5</v>
      </c>
      <c r="Q243" s="74">
        <f>'Trade Data'!D17</f>
        <v>0.21478515098898887</v>
      </c>
      <c r="R243" s="37">
        <v>1</v>
      </c>
    </row>
    <row r="244" spans="1:18" ht="20.100000000000001" customHeight="1">
      <c r="A244" s="44" t="s">
        <v>83</v>
      </c>
      <c r="B244" s="44" t="s">
        <v>641</v>
      </c>
      <c r="C244" s="59">
        <v>0</v>
      </c>
      <c r="D244" s="47">
        <f>'Sectors % GDP'!E22</f>
        <v>53108.968000000001</v>
      </c>
      <c r="E244" s="47">
        <f t="shared" si="6"/>
        <v>0</v>
      </c>
      <c r="F244" s="47">
        <v>0</v>
      </c>
      <c r="G244" s="49">
        <v>1</v>
      </c>
      <c r="H244" s="47">
        <v>1</v>
      </c>
      <c r="I244" s="48">
        <v>13.76</v>
      </c>
      <c r="J244" s="56">
        <v>45.69</v>
      </c>
      <c r="K244" s="52">
        <v>13.92</v>
      </c>
      <c r="L244" s="49">
        <v>6.53</v>
      </c>
      <c r="M244" s="72">
        <f t="shared" si="7"/>
        <v>3.8</v>
      </c>
      <c r="N244" s="36">
        <v>3.7999999999999999E-2</v>
      </c>
      <c r="O244" s="68">
        <v>-22.822500000000005</v>
      </c>
      <c r="P244" s="73">
        <v>5</v>
      </c>
      <c r="Q244" s="74">
        <f>'Trade Data'!D17</f>
        <v>0.21478515098898887</v>
      </c>
      <c r="R244" s="37">
        <v>1</v>
      </c>
    </row>
    <row r="245" spans="1:18" ht="20.100000000000001" customHeight="1">
      <c r="A245" s="44" t="s">
        <v>84</v>
      </c>
      <c r="B245" s="44" t="s">
        <v>640</v>
      </c>
      <c r="C245" s="59">
        <v>0</v>
      </c>
      <c r="D245" s="47">
        <f>'Sectors % GDP'!E20</f>
        <v>9697.0919999999987</v>
      </c>
      <c r="E245" s="47">
        <f t="shared" si="6"/>
        <v>0</v>
      </c>
      <c r="F245" s="47">
        <v>0</v>
      </c>
      <c r="G245" s="49">
        <v>0</v>
      </c>
      <c r="H245" s="47">
        <v>0</v>
      </c>
      <c r="I245" s="48">
        <v>19.22</v>
      </c>
      <c r="J245" s="56">
        <v>43.15</v>
      </c>
      <c r="K245" s="52">
        <v>32.31</v>
      </c>
      <c r="L245" s="49">
        <v>6.53</v>
      </c>
      <c r="M245" s="72">
        <f t="shared" si="7"/>
        <v>3.8</v>
      </c>
      <c r="N245" s="36">
        <v>3.7999999999999999E-2</v>
      </c>
      <c r="O245" s="68">
        <v>-22.726249999999993</v>
      </c>
      <c r="P245" s="73">
        <v>5</v>
      </c>
      <c r="Q245" s="74">
        <f>'Trade Data'!D17</f>
        <v>0.21478515098898887</v>
      </c>
      <c r="R245" s="35">
        <v>0</v>
      </c>
    </row>
    <row r="246" spans="1:18" ht="20.100000000000001" customHeight="1">
      <c r="A246" s="44" t="s">
        <v>84</v>
      </c>
      <c r="B246" s="44" t="s">
        <v>639</v>
      </c>
      <c r="C246" s="59">
        <v>0</v>
      </c>
      <c r="D246" s="47">
        <f>'Sectors % GDP'!E21</f>
        <v>39483.94</v>
      </c>
      <c r="E246" s="47">
        <f t="shared" si="6"/>
        <v>0</v>
      </c>
      <c r="F246" s="47">
        <v>0</v>
      </c>
      <c r="G246" s="49">
        <v>1</v>
      </c>
      <c r="H246" s="47">
        <v>3</v>
      </c>
      <c r="I246" s="48">
        <v>19.22</v>
      </c>
      <c r="J246" s="56">
        <v>43.15</v>
      </c>
      <c r="K246" s="52">
        <v>32.31</v>
      </c>
      <c r="L246" s="49">
        <v>6.53</v>
      </c>
      <c r="M246" s="72">
        <f t="shared" si="7"/>
        <v>3.8</v>
      </c>
      <c r="N246" s="36">
        <v>3.7999999999999999E-2</v>
      </c>
      <c r="O246" s="68">
        <v>-22.726249999999993</v>
      </c>
      <c r="P246" s="73">
        <v>5</v>
      </c>
      <c r="Q246" s="74">
        <f>'Trade Data'!D17</f>
        <v>0.21478515098898887</v>
      </c>
      <c r="R246" s="35">
        <v>1</v>
      </c>
    </row>
    <row r="247" spans="1:18" ht="20.100000000000001" customHeight="1">
      <c r="A247" s="44" t="s">
        <v>84</v>
      </c>
      <c r="B247" s="44" t="s">
        <v>638</v>
      </c>
      <c r="C247" s="59">
        <v>0</v>
      </c>
      <c r="D247" s="47">
        <f>'Sectors % GDP'!E22</f>
        <v>53108.968000000001</v>
      </c>
      <c r="E247" s="47">
        <f t="shared" si="6"/>
        <v>0</v>
      </c>
      <c r="F247" s="47">
        <v>0</v>
      </c>
      <c r="G247" s="49">
        <v>1</v>
      </c>
      <c r="H247" s="47">
        <v>1</v>
      </c>
      <c r="I247" s="48">
        <v>19.22</v>
      </c>
      <c r="J247" s="56">
        <v>43.15</v>
      </c>
      <c r="K247" s="52">
        <v>32.31</v>
      </c>
      <c r="L247" s="49">
        <v>6.53</v>
      </c>
      <c r="M247" s="72">
        <f t="shared" si="7"/>
        <v>3.8</v>
      </c>
      <c r="N247" s="36">
        <v>3.7999999999999999E-2</v>
      </c>
      <c r="O247" s="68">
        <v>-22.726249999999993</v>
      </c>
      <c r="P247" s="73">
        <v>5</v>
      </c>
      <c r="Q247" s="74">
        <f>'Trade Data'!D17</f>
        <v>0.21478515098898887</v>
      </c>
      <c r="R247" s="35">
        <v>1</v>
      </c>
    </row>
    <row r="248" spans="1:18" ht="20.100000000000001" customHeight="1">
      <c r="A248" s="44" t="s">
        <v>85</v>
      </c>
      <c r="B248" s="44" t="s">
        <v>637</v>
      </c>
      <c r="C248" s="59">
        <v>0</v>
      </c>
      <c r="D248" s="47">
        <f>'Sectors % GDP'!E20</f>
        <v>9697.0919999999987</v>
      </c>
      <c r="E248" s="47">
        <f t="shared" si="6"/>
        <v>0</v>
      </c>
      <c r="F248" s="47">
        <v>0</v>
      </c>
      <c r="G248" s="49">
        <v>0</v>
      </c>
      <c r="H248" s="47">
        <v>0</v>
      </c>
      <c r="I248" s="48">
        <v>17.05</v>
      </c>
      <c r="J248" s="56">
        <v>40.270000000000003</v>
      </c>
      <c r="K248" s="48">
        <v>29.76</v>
      </c>
      <c r="L248" s="49">
        <v>6.53</v>
      </c>
      <c r="M248" s="72">
        <f t="shared" si="7"/>
        <v>3.8</v>
      </c>
      <c r="N248" s="36">
        <v>3.7999999999999999E-2</v>
      </c>
      <c r="O248" s="68">
        <v>-20.708749999999998</v>
      </c>
      <c r="P248" s="73">
        <v>5</v>
      </c>
      <c r="Q248" s="74">
        <f>'Trade Data'!D17</f>
        <v>0.21478515098898887</v>
      </c>
      <c r="R248" s="37">
        <v>0</v>
      </c>
    </row>
    <row r="249" spans="1:18" ht="20.100000000000001" customHeight="1">
      <c r="A249" s="44" t="s">
        <v>85</v>
      </c>
      <c r="B249" s="44" t="s">
        <v>636</v>
      </c>
      <c r="C249" s="59">
        <f>'Thomson Reuters IMA  ($)'!I510</f>
        <v>213.846</v>
      </c>
      <c r="D249" s="47">
        <f>'Sectors % GDP'!E21</f>
        <v>39483.94</v>
      </c>
      <c r="E249" s="47">
        <f t="shared" si="6"/>
        <v>5.416024844531726E-3</v>
      </c>
      <c r="F249" s="47">
        <v>1</v>
      </c>
      <c r="G249" s="49">
        <v>1</v>
      </c>
      <c r="H249" s="47">
        <v>2</v>
      </c>
      <c r="I249" s="48">
        <v>17.05</v>
      </c>
      <c r="J249" s="56">
        <v>40.270000000000003</v>
      </c>
      <c r="K249" s="48">
        <v>29.76</v>
      </c>
      <c r="L249" s="49">
        <v>6.53</v>
      </c>
      <c r="M249" s="72">
        <f t="shared" si="7"/>
        <v>3.8</v>
      </c>
      <c r="N249" s="36">
        <v>3.7999999999999999E-2</v>
      </c>
      <c r="O249" s="68">
        <v>-20.708749999999998</v>
      </c>
      <c r="P249" s="73">
        <v>5</v>
      </c>
      <c r="Q249" s="74">
        <f>'Trade Data'!D17</f>
        <v>0.21478515098898887</v>
      </c>
      <c r="R249" s="37">
        <v>1</v>
      </c>
    </row>
    <row r="250" spans="1:18" ht="20.100000000000001" customHeight="1">
      <c r="A250" s="44" t="s">
        <v>85</v>
      </c>
      <c r="B250" s="44" t="s">
        <v>635</v>
      </c>
      <c r="C250" s="59">
        <v>0</v>
      </c>
      <c r="D250" s="47">
        <f>'Sectors % GDP'!E22</f>
        <v>53108.968000000001</v>
      </c>
      <c r="E250" s="47">
        <f t="shared" si="6"/>
        <v>0</v>
      </c>
      <c r="F250" s="47">
        <v>0</v>
      </c>
      <c r="G250" s="49">
        <v>1</v>
      </c>
      <c r="H250" s="47">
        <v>1</v>
      </c>
      <c r="I250" s="48">
        <v>17.05</v>
      </c>
      <c r="J250" s="56">
        <v>40.270000000000003</v>
      </c>
      <c r="K250" s="48">
        <v>29.76</v>
      </c>
      <c r="L250" s="49">
        <v>6.53</v>
      </c>
      <c r="M250" s="72">
        <f t="shared" si="7"/>
        <v>3.8</v>
      </c>
      <c r="N250" s="36">
        <v>3.7999999999999999E-2</v>
      </c>
      <c r="O250" s="68">
        <v>-20.708749999999998</v>
      </c>
      <c r="P250" s="73">
        <v>5</v>
      </c>
      <c r="Q250" s="74">
        <f>'Trade Data'!D17</f>
        <v>0.21478515098898887</v>
      </c>
      <c r="R250" s="37">
        <v>1</v>
      </c>
    </row>
    <row r="251" spans="1:18" ht="20.100000000000001" customHeight="1">
      <c r="A251" s="44" t="s">
        <v>86</v>
      </c>
      <c r="B251" s="44" t="s">
        <v>634</v>
      </c>
      <c r="C251" s="59">
        <v>0</v>
      </c>
      <c r="D251" s="47">
        <f>'Sectors % GDP'!G20</f>
        <v>10128.198</v>
      </c>
      <c r="E251" s="47">
        <f t="shared" si="6"/>
        <v>0</v>
      </c>
      <c r="F251" s="47">
        <v>0</v>
      </c>
      <c r="G251" s="49">
        <v>0</v>
      </c>
      <c r="H251" s="47">
        <v>0</v>
      </c>
      <c r="I251" s="48">
        <v>12.74</v>
      </c>
      <c r="J251" s="48">
        <v>46.24</v>
      </c>
      <c r="K251" s="48">
        <v>8.36</v>
      </c>
      <c r="L251" s="49">
        <v>6.46</v>
      </c>
      <c r="M251" s="72">
        <f t="shared" si="7"/>
        <v>3.8</v>
      </c>
      <c r="N251" s="36">
        <v>3.7999999999999999E-2</v>
      </c>
      <c r="O251" s="68">
        <v>-20.966250000000002</v>
      </c>
      <c r="P251" s="73">
        <v>5</v>
      </c>
      <c r="Q251" s="74">
        <f>'Trade Data'!D17</f>
        <v>0.21478515098898887</v>
      </c>
      <c r="R251" s="35">
        <v>0</v>
      </c>
    </row>
    <row r="252" spans="1:18" ht="20.100000000000001" customHeight="1">
      <c r="A252" s="44" t="s">
        <v>86</v>
      </c>
      <c r="B252" s="44" t="s">
        <v>633</v>
      </c>
      <c r="C252" s="59">
        <v>0</v>
      </c>
      <c r="D252" s="47">
        <f>'Sectors % GDP'!G21</f>
        <v>34141.343999999997</v>
      </c>
      <c r="E252" s="47">
        <f t="shared" si="6"/>
        <v>0</v>
      </c>
      <c r="F252" s="47">
        <v>0</v>
      </c>
      <c r="G252" s="49">
        <v>0</v>
      </c>
      <c r="H252" s="47">
        <v>0</v>
      </c>
      <c r="I252" s="48">
        <v>12.74</v>
      </c>
      <c r="J252" s="48">
        <v>46.24</v>
      </c>
      <c r="K252" s="48">
        <v>8.36</v>
      </c>
      <c r="L252" s="49">
        <v>6.46</v>
      </c>
      <c r="M252" s="72">
        <f t="shared" si="7"/>
        <v>3.8</v>
      </c>
      <c r="N252" s="36">
        <v>3.7999999999999999E-2</v>
      </c>
      <c r="O252" s="68">
        <v>-20.966250000000002</v>
      </c>
      <c r="P252" s="73">
        <v>5</v>
      </c>
      <c r="Q252" s="74">
        <f>'Trade Data'!D17</f>
        <v>0.21478515098898887</v>
      </c>
      <c r="R252" s="35">
        <v>1</v>
      </c>
    </row>
    <row r="253" spans="1:18" ht="20.100000000000001" customHeight="1">
      <c r="A253" s="44" t="s">
        <v>86</v>
      </c>
      <c r="B253" s="44" t="s">
        <v>632</v>
      </c>
      <c r="C253" s="59">
        <v>0</v>
      </c>
      <c r="D253" s="47">
        <f>'Sectors % GDP'!G22</f>
        <v>55910.458000000006</v>
      </c>
      <c r="E253" s="47">
        <f t="shared" si="6"/>
        <v>0</v>
      </c>
      <c r="F253" s="47">
        <v>0</v>
      </c>
      <c r="G253" s="49">
        <v>0</v>
      </c>
      <c r="H253" s="47">
        <v>0</v>
      </c>
      <c r="I253" s="48">
        <v>12.74</v>
      </c>
      <c r="J253" s="48">
        <v>46.24</v>
      </c>
      <c r="K253" s="48">
        <v>8.36</v>
      </c>
      <c r="L253" s="49">
        <v>6.46</v>
      </c>
      <c r="M253" s="72">
        <f t="shared" si="7"/>
        <v>3.8</v>
      </c>
      <c r="N253" s="36">
        <v>3.7999999999999999E-2</v>
      </c>
      <c r="O253" s="68">
        <v>-20.966250000000002</v>
      </c>
      <c r="P253" s="73">
        <v>5</v>
      </c>
      <c r="Q253" s="74">
        <f>'Trade Data'!D17</f>
        <v>0.21478515098898887</v>
      </c>
      <c r="R253" s="35">
        <v>1</v>
      </c>
    </row>
    <row r="254" spans="1:18" ht="20.100000000000001" customHeight="1">
      <c r="A254" s="44" t="s">
        <v>87</v>
      </c>
      <c r="B254" s="44" t="s">
        <v>631</v>
      </c>
      <c r="C254" s="59">
        <v>0</v>
      </c>
      <c r="D254" s="47">
        <f>'Sectors % GDP'!G20</f>
        <v>10128.198</v>
      </c>
      <c r="E254" s="47">
        <f t="shared" si="6"/>
        <v>0</v>
      </c>
      <c r="F254" s="47">
        <v>0</v>
      </c>
      <c r="G254" s="49">
        <v>0</v>
      </c>
      <c r="H254" s="47">
        <v>0</v>
      </c>
      <c r="I254" s="48">
        <v>12.69</v>
      </c>
      <c r="J254" s="48">
        <v>35.590000000000003</v>
      </c>
      <c r="K254" s="48">
        <v>13.46</v>
      </c>
      <c r="L254" s="49">
        <v>6.46</v>
      </c>
      <c r="M254" s="72">
        <f t="shared" si="7"/>
        <v>1</v>
      </c>
      <c r="N254" s="36">
        <v>0.01</v>
      </c>
      <c r="O254" s="68">
        <v>-20.597500000000004</v>
      </c>
      <c r="P254" s="73">
        <v>5.75</v>
      </c>
      <c r="Q254" s="74">
        <f>'Trade Data'!F17</f>
        <v>0.18924668917039178</v>
      </c>
      <c r="R254" s="37">
        <v>0</v>
      </c>
    </row>
    <row r="255" spans="1:18" ht="20.100000000000001" customHeight="1">
      <c r="A255" s="44" t="s">
        <v>87</v>
      </c>
      <c r="B255" s="44" t="s">
        <v>630</v>
      </c>
      <c r="C255" s="59">
        <v>0</v>
      </c>
      <c r="D255" s="47">
        <f>'Sectors % GDP'!G21</f>
        <v>34141.343999999997</v>
      </c>
      <c r="E255" s="47">
        <f t="shared" si="6"/>
        <v>0</v>
      </c>
      <c r="F255" s="47">
        <v>0</v>
      </c>
      <c r="G255" s="49">
        <v>0</v>
      </c>
      <c r="H255" s="47">
        <v>0</v>
      </c>
      <c r="I255" s="48">
        <v>12.69</v>
      </c>
      <c r="J255" s="48">
        <v>35.590000000000003</v>
      </c>
      <c r="K255" s="48">
        <v>13.46</v>
      </c>
      <c r="L255" s="49">
        <v>6.46</v>
      </c>
      <c r="M255" s="72">
        <f t="shared" si="7"/>
        <v>1</v>
      </c>
      <c r="N255" s="36">
        <v>0.01</v>
      </c>
      <c r="O255" s="68">
        <v>-20.597500000000004</v>
      </c>
      <c r="P255" s="73">
        <v>5.75</v>
      </c>
      <c r="Q255" s="74">
        <f>'Trade Data'!F17</f>
        <v>0.18924668917039178</v>
      </c>
      <c r="R255" s="37">
        <v>1</v>
      </c>
    </row>
    <row r="256" spans="1:18" ht="20.100000000000001" customHeight="1">
      <c r="A256" s="44" t="s">
        <v>87</v>
      </c>
      <c r="B256" s="44" t="s">
        <v>629</v>
      </c>
      <c r="C256" s="59">
        <v>0</v>
      </c>
      <c r="D256" s="47">
        <f>'Sectors % GDP'!G22</f>
        <v>55910.458000000006</v>
      </c>
      <c r="E256" s="47">
        <f t="shared" si="6"/>
        <v>0</v>
      </c>
      <c r="F256" s="47">
        <v>0</v>
      </c>
      <c r="G256" s="49">
        <v>0</v>
      </c>
      <c r="H256" s="47">
        <v>0</v>
      </c>
      <c r="I256" s="48">
        <v>12.69</v>
      </c>
      <c r="J256" s="48">
        <v>35.590000000000003</v>
      </c>
      <c r="K256" s="48">
        <v>13.46</v>
      </c>
      <c r="L256" s="49">
        <v>6.46</v>
      </c>
      <c r="M256" s="72">
        <f t="shared" si="7"/>
        <v>1</v>
      </c>
      <c r="N256" s="36">
        <v>0.01</v>
      </c>
      <c r="O256" s="68">
        <v>-20.597500000000004</v>
      </c>
      <c r="P256" s="73">
        <v>5.75</v>
      </c>
      <c r="Q256" s="74">
        <f>'Trade Data'!F17</f>
        <v>0.18924668917039178</v>
      </c>
      <c r="R256" s="37">
        <v>1</v>
      </c>
    </row>
    <row r="257" spans="1:18" ht="20.100000000000001" customHeight="1">
      <c r="A257" s="44" t="s">
        <v>88</v>
      </c>
      <c r="B257" s="44" t="s">
        <v>628</v>
      </c>
      <c r="C257" s="59">
        <v>0</v>
      </c>
      <c r="D257" s="47">
        <f>'Sectors % GDP'!G20</f>
        <v>10128.198</v>
      </c>
      <c r="E257" s="47">
        <f t="shared" si="6"/>
        <v>0</v>
      </c>
      <c r="F257" s="47">
        <v>0</v>
      </c>
      <c r="G257" s="49">
        <v>0</v>
      </c>
      <c r="H257" s="47">
        <v>0</v>
      </c>
      <c r="I257" s="48">
        <v>12.75</v>
      </c>
      <c r="J257" s="48">
        <v>34.380000000000003</v>
      </c>
      <c r="K257" s="48">
        <v>18.07</v>
      </c>
      <c r="L257" s="49">
        <v>6.46</v>
      </c>
      <c r="M257" s="72">
        <f t="shared" si="7"/>
        <v>1</v>
      </c>
      <c r="N257" s="36">
        <v>0.01</v>
      </c>
      <c r="O257" s="68">
        <v>-25.307499999999997</v>
      </c>
      <c r="P257" s="73">
        <v>5.75</v>
      </c>
      <c r="Q257" s="74">
        <f>'Trade Data'!F17</f>
        <v>0.18924668917039178</v>
      </c>
      <c r="R257" s="35">
        <v>0</v>
      </c>
    </row>
    <row r="258" spans="1:18" ht="20.100000000000001" customHeight="1">
      <c r="A258" s="44" t="s">
        <v>88</v>
      </c>
      <c r="B258" s="44" t="s">
        <v>627</v>
      </c>
      <c r="C258" s="59">
        <f>'Thomson Reuters IMA  ($)'!I511</f>
        <v>0.38100000000000001</v>
      </c>
      <c r="D258" s="47">
        <f>'Sectors % GDP'!G21</f>
        <v>34141.343999999997</v>
      </c>
      <c r="E258" s="47">
        <f t="shared" ref="E258:E321" si="8">C258/D258</f>
        <v>1.1159490382100952E-5</v>
      </c>
      <c r="F258" s="47">
        <v>1</v>
      </c>
      <c r="G258" s="49">
        <v>1</v>
      </c>
      <c r="H258" s="47">
        <v>1</v>
      </c>
      <c r="I258" s="48">
        <v>12.75</v>
      </c>
      <c r="J258" s="48">
        <v>34.380000000000003</v>
      </c>
      <c r="K258" s="48">
        <v>18.07</v>
      </c>
      <c r="L258" s="49">
        <v>6.46</v>
      </c>
      <c r="M258" s="72">
        <f t="shared" si="7"/>
        <v>1</v>
      </c>
      <c r="N258" s="36">
        <v>0.01</v>
      </c>
      <c r="O258" s="68">
        <v>-25.307499999999997</v>
      </c>
      <c r="P258" s="73">
        <v>5.75</v>
      </c>
      <c r="Q258" s="74">
        <f>'Trade Data'!F17</f>
        <v>0.18924668917039178</v>
      </c>
      <c r="R258" s="35">
        <v>1</v>
      </c>
    </row>
    <row r="259" spans="1:18" ht="20.100000000000001" customHeight="1">
      <c r="A259" s="44" t="s">
        <v>88</v>
      </c>
      <c r="B259" s="44" t="s">
        <v>626</v>
      </c>
      <c r="C259" s="59">
        <v>0</v>
      </c>
      <c r="D259" s="47">
        <f>'Sectors % GDP'!G22</f>
        <v>55910.458000000006</v>
      </c>
      <c r="E259" s="47">
        <f t="shared" si="8"/>
        <v>0</v>
      </c>
      <c r="F259" s="47">
        <v>0</v>
      </c>
      <c r="G259" s="49">
        <v>1</v>
      </c>
      <c r="H259" s="47">
        <v>1</v>
      </c>
      <c r="I259" s="48">
        <v>12.75</v>
      </c>
      <c r="J259" s="48">
        <v>34.380000000000003</v>
      </c>
      <c r="K259" s="48">
        <v>18.07</v>
      </c>
      <c r="L259" s="49">
        <v>6.46</v>
      </c>
      <c r="M259" s="72">
        <f t="shared" ref="M259:M322" si="9">N259*100</f>
        <v>1</v>
      </c>
      <c r="N259" s="36">
        <v>0.01</v>
      </c>
      <c r="O259" s="68">
        <v>-25.307499999999997</v>
      </c>
      <c r="P259" s="73">
        <v>5.75</v>
      </c>
      <c r="Q259" s="74">
        <f>'Trade Data'!F17</f>
        <v>0.18924668917039178</v>
      </c>
      <c r="R259" s="35">
        <v>1</v>
      </c>
    </row>
    <row r="260" spans="1:18" ht="20.100000000000001" customHeight="1">
      <c r="A260" s="44" t="s">
        <v>89</v>
      </c>
      <c r="B260" s="44" t="s">
        <v>625</v>
      </c>
      <c r="C260" s="59">
        <v>0</v>
      </c>
      <c r="D260" s="47">
        <f>'Sectors % GDP'!G20</f>
        <v>10128.198</v>
      </c>
      <c r="E260" s="47">
        <f t="shared" si="8"/>
        <v>0</v>
      </c>
      <c r="F260" s="47">
        <v>0</v>
      </c>
      <c r="G260" s="49">
        <v>0</v>
      </c>
      <c r="H260" s="47">
        <v>0</v>
      </c>
      <c r="I260" s="48">
        <v>9.73</v>
      </c>
      <c r="J260" s="48">
        <v>44.05</v>
      </c>
      <c r="K260" s="49">
        <v>5.41</v>
      </c>
      <c r="L260" s="49">
        <v>6.46</v>
      </c>
      <c r="M260" s="72">
        <f t="shared" si="9"/>
        <v>1</v>
      </c>
      <c r="N260" s="36">
        <v>0.01</v>
      </c>
      <c r="O260" s="68">
        <v>-21.217500000000001</v>
      </c>
      <c r="P260" s="73">
        <v>5.75</v>
      </c>
      <c r="Q260" s="74">
        <f>'Trade Data'!F17</f>
        <v>0.18924668917039178</v>
      </c>
      <c r="R260" s="37">
        <v>0</v>
      </c>
    </row>
    <row r="261" spans="1:18" ht="20.100000000000001" customHeight="1">
      <c r="A261" s="44" t="s">
        <v>89</v>
      </c>
      <c r="B261" s="44" t="s">
        <v>624</v>
      </c>
      <c r="C261" s="59">
        <v>0</v>
      </c>
      <c r="D261" s="47">
        <f>'Sectors % GDP'!G21</f>
        <v>34141.343999999997</v>
      </c>
      <c r="E261" s="47">
        <f t="shared" si="8"/>
        <v>0</v>
      </c>
      <c r="F261" s="47">
        <v>0</v>
      </c>
      <c r="G261" s="49">
        <v>1</v>
      </c>
      <c r="H261" s="47">
        <v>1</v>
      </c>
      <c r="I261" s="48">
        <v>9.73</v>
      </c>
      <c r="J261" s="48">
        <v>44.05</v>
      </c>
      <c r="K261" s="49">
        <v>5.41</v>
      </c>
      <c r="L261" s="49">
        <v>6.46</v>
      </c>
      <c r="M261" s="72">
        <f t="shared" si="9"/>
        <v>1</v>
      </c>
      <c r="N261" s="36">
        <v>0.01</v>
      </c>
      <c r="O261" s="68">
        <v>-21.217500000000001</v>
      </c>
      <c r="P261" s="73">
        <v>5.75</v>
      </c>
      <c r="Q261" s="74">
        <f>'Trade Data'!F17</f>
        <v>0.18924668917039178</v>
      </c>
      <c r="R261" s="37">
        <v>1</v>
      </c>
    </row>
    <row r="262" spans="1:18" ht="20.100000000000001" customHeight="1">
      <c r="A262" s="44" t="s">
        <v>89</v>
      </c>
      <c r="B262" s="44" t="s">
        <v>623</v>
      </c>
      <c r="C262" s="59">
        <v>0</v>
      </c>
      <c r="D262" s="47">
        <f>'Sectors % GDP'!G22</f>
        <v>55910.458000000006</v>
      </c>
      <c r="E262" s="47">
        <f t="shared" si="8"/>
        <v>0</v>
      </c>
      <c r="F262" s="47">
        <v>0</v>
      </c>
      <c r="G262" s="49">
        <v>0</v>
      </c>
      <c r="H262" s="47">
        <v>0</v>
      </c>
      <c r="I262" s="48">
        <v>9.73</v>
      </c>
      <c r="J262" s="48">
        <v>44.05</v>
      </c>
      <c r="K262" s="49">
        <v>5.41</v>
      </c>
      <c r="L262" s="49">
        <v>6.46</v>
      </c>
      <c r="M262" s="72">
        <f t="shared" si="9"/>
        <v>1</v>
      </c>
      <c r="N262" s="36">
        <v>0.01</v>
      </c>
      <c r="O262" s="68">
        <v>-21.217500000000001</v>
      </c>
      <c r="P262" s="73">
        <v>5.75</v>
      </c>
      <c r="Q262" s="74">
        <f>'Trade Data'!F17</f>
        <v>0.18924668917039178</v>
      </c>
      <c r="R262" s="37">
        <v>1</v>
      </c>
    </row>
    <row r="263" spans="1:18" ht="20.100000000000001" customHeight="1">
      <c r="A263" s="44" t="s">
        <v>90</v>
      </c>
      <c r="B263" s="44" t="s">
        <v>622</v>
      </c>
      <c r="C263" s="59">
        <v>0</v>
      </c>
      <c r="D263" s="47">
        <f>'Sectors % GDP'!I20</f>
        <v>10200.540000000001</v>
      </c>
      <c r="E263" s="47">
        <f t="shared" si="8"/>
        <v>0</v>
      </c>
      <c r="F263" s="47">
        <v>0</v>
      </c>
      <c r="G263" s="49">
        <v>0</v>
      </c>
      <c r="H263" s="47">
        <v>0</v>
      </c>
      <c r="I263" s="48">
        <v>8.09</v>
      </c>
      <c r="J263" s="48">
        <v>31.46</v>
      </c>
      <c r="K263" s="48">
        <v>4.5199999999999996</v>
      </c>
      <c r="L263" s="49">
        <v>6.82</v>
      </c>
      <c r="M263" s="72">
        <f t="shared" si="9"/>
        <v>1</v>
      </c>
      <c r="N263" s="36">
        <v>0.01</v>
      </c>
      <c r="O263" s="68">
        <v>-23.203750000000003</v>
      </c>
      <c r="P263" s="73">
        <v>5.75</v>
      </c>
      <c r="Q263" s="74">
        <f>'Trade Data'!F17</f>
        <v>0.18924668917039178</v>
      </c>
      <c r="R263" s="35">
        <v>0</v>
      </c>
    </row>
    <row r="264" spans="1:18" ht="20.100000000000001" customHeight="1">
      <c r="A264" s="44" t="s">
        <v>90</v>
      </c>
      <c r="B264" s="44" t="s">
        <v>621</v>
      </c>
      <c r="C264" s="59">
        <v>0</v>
      </c>
      <c r="D264" s="47">
        <f>'Sectors % GDP'!I21</f>
        <v>32694.539999999997</v>
      </c>
      <c r="E264" s="47">
        <f t="shared" si="8"/>
        <v>0</v>
      </c>
      <c r="F264" s="47">
        <v>0</v>
      </c>
      <c r="G264" s="49">
        <v>1</v>
      </c>
      <c r="H264" s="47">
        <v>2</v>
      </c>
      <c r="I264" s="48">
        <v>8.09</v>
      </c>
      <c r="J264" s="48">
        <v>31.46</v>
      </c>
      <c r="K264" s="48">
        <v>4.5199999999999996</v>
      </c>
      <c r="L264" s="49">
        <v>6.82</v>
      </c>
      <c r="M264" s="72">
        <f t="shared" si="9"/>
        <v>1</v>
      </c>
      <c r="N264" s="36">
        <v>0.01</v>
      </c>
      <c r="O264" s="68">
        <v>-23.203750000000003</v>
      </c>
      <c r="P264" s="73">
        <v>5.75</v>
      </c>
      <c r="Q264" s="74">
        <f>'Trade Data'!F17</f>
        <v>0.18924668917039178</v>
      </c>
      <c r="R264" s="35">
        <v>1</v>
      </c>
    </row>
    <row r="265" spans="1:18" ht="20.100000000000001" customHeight="1">
      <c r="A265" s="44" t="s">
        <v>90</v>
      </c>
      <c r="B265" s="44" t="s">
        <v>620</v>
      </c>
      <c r="C265" s="59">
        <v>0</v>
      </c>
      <c r="D265" s="47">
        <f>'Sectors % GDP'!I22</f>
        <v>54904.92</v>
      </c>
      <c r="E265" s="47">
        <f t="shared" si="8"/>
        <v>0</v>
      </c>
      <c r="F265" s="47">
        <v>0</v>
      </c>
      <c r="G265" s="49">
        <v>0</v>
      </c>
      <c r="H265" s="47">
        <v>0</v>
      </c>
      <c r="I265" s="48">
        <v>8.09</v>
      </c>
      <c r="J265" s="48">
        <v>31.46</v>
      </c>
      <c r="K265" s="48">
        <v>4.5199999999999996</v>
      </c>
      <c r="L265" s="49">
        <v>6.82</v>
      </c>
      <c r="M265" s="72">
        <f t="shared" si="9"/>
        <v>1</v>
      </c>
      <c r="N265" s="36">
        <v>0.01</v>
      </c>
      <c r="O265" s="68">
        <v>-23.203750000000003</v>
      </c>
      <c r="P265" s="73">
        <v>5.75</v>
      </c>
      <c r="Q265" s="74">
        <f>'Trade Data'!F17</f>
        <v>0.18924668917039178</v>
      </c>
      <c r="R265" s="35">
        <v>1</v>
      </c>
    </row>
    <row r="266" spans="1:18" ht="20.100000000000001" customHeight="1">
      <c r="A266" s="44" t="s">
        <v>91</v>
      </c>
      <c r="B266" s="44" t="s">
        <v>619</v>
      </c>
      <c r="C266" s="59">
        <v>0</v>
      </c>
      <c r="D266" s="47">
        <f>'Sectors % GDP'!I20</f>
        <v>10200.540000000001</v>
      </c>
      <c r="E266" s="47">
        <f t="shared" si="8"/>
        <v>0</v>
      </c>
      <c r="F266" s="47">
        <v>0</v>
      </c>
      <c r="G266" s="49">
        <v>0</v>
      </c>
      <c r="H266" s="47">
        <v>0</v>
      </c>
      <c r="I266" s="48">
        <v>7.99</v>
      </c>
      <c r="J266" s="48">
        <v>29.73</v>
      </c>
      <c r="K266" s="48">
        <v>7.12</v>
      </c>
      <c r="L266" s="49">
        <v>6.82</v>
      </c>
      <c r="M266" s="72">
        <f t="shared" si="9"/>
        <v>-1.6</v>
      </c>
      <c r="N266" s="36">
        <v>-1.6E-2</v>
      </c>
      <c r="O266" s="68">
        <v>-28.634999999999998</v>
      </c>
      <c r="P266" s="73">
        <v>6.25</v>
      </c>
      <c r="Q266" s="74">
        <f>'Trade Data'!H17</f>
        <v>0.1716585196910696</v>
      </c>
      <c r="R266" s="37">
        <v>0</v>
      </c>
    </row>
    <row r="267" spans="1:18" ht="20.100000000000001" customHeight="1">
      <c r="A267" s="44" t="s">
        <v>91</v>
      </c>
      <c r="B267" s="44" t="s">
        <v>618</v>
      </c>
      <c r="C267" s="59">
        <v>0</v>
      </c>
      <c r="D267" s="47">
        <f>'Sectors % GDP'!I21</f>
        <v>32694.539999999997</v>
      </c>
      <c r="E267" s="47">
        <f t="shared" si="8"/>
        <v>0</v>
      </c>
      <c r="F267" s="47">
        <v>0</v>
      </c>
      <c r="G267" s="49">
        <v>0</v>
      </c>
      <c r="H267" s="47">
        <v>0</v>
      </c>
      <c r="I267" s="48">
        <v>7.99</v>
      </c>
      <c r="J267" s="48">
        <v>29.73</v>
      </c>
      <c r="K267" s="48">
        <v>7.12</v>
      </c>
      <c r="L267" s="49">
        <v>6.82</v>
      </c>
      <c r="M267" s="72">
        <f t="shared" si="9"/>
        <v>-1.6</v>
      </c>
      <c r="N267" s="36">
        <v>-1.6E-2</v>
      </c>
      <c r="O267" s="68">
        <v>-28.634999999999998</v>
      </c>
      <c r="P267" s="73">
        <v>6.25</v>
      </c>
      <c r="Q267" s="74">
        <f>'Trade Data'!H17</f>
        <v>0.1716585196910696</v>
      </c>
      <c r="R267" s="37">
        <v>1</v>
      </c>
    </row>
    <row r="268" spans="1:18" ht="20.100000000000001" customHeight="1">
      <c r="A268" s="44" t="s">
        <v>91</v>
      </c>
      <c r="B268" s="44" t="s">
        <v>617</v>
      </c>
      <c r="C268" s="59">
        <v>0</v>
      </c>
      <c r="D268" s="47">
        <f>'Sectors % GDP'!I22</f>
        <v>54904.92</v>
      </c>
      <c r="E268" s="47">
        <f t="shared" si="8"/>
        <v>0</v>
      </c>
      <c r="F268" s="47">
        <v>0</v>
      </c>
      <c r="G268" s="49">
        <v>1</v>
      </c>
      <c r="H268" s="47">
        <v>1</v>
      </c>
      <c r="I268" s="48">
        <v>7.99</v>
      </c>
      <c r="J268" s="48">
        <v>29.73</v>
      </c>
      <c r="K268" s="52">
        <v>7.12</v>
      </c>
      <c r="L268" s="49">
        <v>6.82</v>
      </c>
      <c r="M268" s="72">
        <f t="shared" si="9"/>
        <v>-1.6</v>
      </c>
      <c r="N268" s="36">
        <v>-1.6E-2</v>
      </c>
      <c r="O268" s="68">
        <v>-28.634999999999998</v>
      </c>
      <c r="P268" s="73">
        <v>6.25</v>
      </c>
      <c r="Q268" s="74">
        <f>'Trade Data'!H17</f>
        <v>0.1716585196910696</v>
      </c>
      <c r="R268" s="37">
        <v>1</v>
      </c>
    </row>
    <row r="269" spans="1:18" ht="20.100000000000001" customHeight="1">
      <c r="A269" s="44" t="s">
        <v>92</v>
      </c>
      <c r="B269" s="44" t="s">
        <v>616</v>
      </c>
      <c r="C269" s="59">
        <v>0</v>
      </c>
      <c r="D269" s="47">
        <f>'Sectors % GDP'!I20</f>
        <v>10200.540000000001</v>
      </c>
      <c r="E269" s="47">
        <f t="shared" si="8"/>
        <v>0</v>
      </c>
      <c r="F269" s="47">
        <v>0</v>
      </c>
      <c r="G269" s="49">
        <v>0</v>
      </c>
      <c r="H269" s="47">
        <v>0</v>
      </c>
      <c r="I269" s="48">
        <v>11.56</v>
      </c>
      <c r="J269" s="48">
        <v>32.729999999999997</v>
      </c>
      <c r="K269" s="52">
        <v>15.25</v>
      </c>
      <c r="L269" s="49">
        <v>6.82</v>
      </c>
      <c r="M269" s="72">
        <f t="shared" si="9"/>
        <v>-1.6</v>
      </c>
      <c r="N269" s="36">
        <v>-1.6E-2</v>
      </c>
      <c r="O269" s="68">
        <v>-23.411249999999995</v>
      </c>
      <c r="P269" s="73">
        <v>6.25</v>
      </c>
      <c r="Q269" s="74">
        <f>'Trade Data'!H17</f>
        <v>0.1716585196910696</v>
      </c>
      <c r="R269" s="35">
        <v>0</v>
      </c>
    </row>
    <row r="270" spans="1:18" ht="20.100000000000001" customHeight="1">
      <c r="A270" s="44" t="s">
        <v>92</v>
      </c>
      <c r="B270" s="44" t="s">
        <v>615</v>
      </c>
      <c r="C270" s="59">
        <v>0</v>
      </c>
      <c r="D270" s="47">
        <f>'Sectors % GDP'!I21</f>
        <v>32694.539999999997</v>
      </c>
      <c r="E270" s="47">
        <f t="shared" si="8"/>
        <v>0</v>
      </c>
      <c r="F270" s="47">
        <v>0</v>
      </c>
      <c r="G270" s="49">
        <v>1</v>
      </c>
      <c r="H270" s="47">
        <v>1</v>
      </c>
      <c r="I270" s="48">
        <v>11.56</v>
      </c>
      <c r="J270" s="48">
        <v>32.729999999999997</v>
      </c>
      <c r="K270" s="52">
        <v>15.25</v>
      </c>
      <c r="L270" s="49">
        <v>6.82</v>
      </c>
      <c r="M270" s="72">
        <f t="shared" si="9"/>
        <v>-1.6</v>
      </c>
      <c r="N270" s="36">
        <v>-1.6E-2</v>
      </c>
      <c r="O270" s="68">
        <v>-23.411249999999995</v>
      </c>
      <c r="P270" s="73">
        <v>6.25</v>
      </c>
      <c r="Q270" s="74">
        <f>'Trade Data'!H17</f>
        <v>0.1716585196910696</v>
      </c>
      <c r="R270" s="35">
        <v>1</v>
      </c>
    </row>
    <row r="271" spans="1:18" ht="20.100000000000001" customHeight="1">
      <c r="A271" s="44" t="s">
        <v>92</v>
      </c>
      <c r="B271" s="44" t="s">
        <v>614</v>
      </c>
      <c r="C271" s="59">
        <v>0</v>
      </c>
      <c r="D271" s="47">
        <f>'Sectors % GDP'!I22</f>
        <v>54904.92</v>
      </c>
      <c r="E271" s="47">
        <f t="shared" si="8"/>
        <v>0</v>
      </c>
      <c r="F271" s="47">
        <v>0</v>
      </c>
      <c r="G271" s="49">
        <v>0</v>
      </c>
      <c r="H271" s="47">
        <v>0</v>
      </c>
      <c r="I271" s="48">
        <v>11.56</v>
      </c>
      <c r="J271" s="48">
        <v>32.729999999999997</v>
      </c>
      <c r="K271" s="52">
        <v>15.25</v>
      </c>
      <c r="L271" s="49">
        <v>6.82</v>
      </c>
      <c r="M271" s="72">
        <f t="shared" si="9"/>
        <v>-1.6</v>
      </c>
      <c r="N271" s="36">
        <v>-1.6E-2</v>
      </c>
      <c r="O271" s="68">
        <v>-23.411249999999995</v>
      </c>
      <c r="P271" s="73">
        <v>6.25</v>
      </c>
      <c r="Q271" s="74">
        <f>'Trade Data'!H17</f>
        <v>0.1716585196910696</v>
      </c>
      <c r="R271" s="35">
        <v>1</v>
      </c>
    </row>
    <row r="272" spans="1:18" ht="20.100000000000001" customHeight="1">
      <c r="A272" s="44" t="s">
        <v>94</v>
      </c>
      <c r="B272" s="44" t="s">
        <v>613</v>
      </c>
      <c r="C272" s="59">
        <v>0</v>
      </c>
      <c r="D272" s="47">
        <f>'Sectors % GDP'!I20</f>
        <v>10200.540000000001</v>
      </c>
      <c r="E272" s="47">
        <f t="shared" si="8"/>
        <v>0</v>
      </c>
      <c r="F272" s="47">
        <v>0</v>
      </c>
      <c r="G272" s="49">
        <v>0</v>
      </c>
      <c r="H272" s="47">
        <v>0</v>
      </c>
      <c r="I272" s="48">
        <v>9.7100000000000009</v>
      </c>
      <c r="J272" s="48">
        <v>22.85</v>
      </c>
      <c r="K272" s="52">
        <v>14.48</v>
      </c>
      <c r="L272" s="49">
        <v>6.82</v>
      </c>
      <c r="M272" s="72">
        <f t="shared" si="9"/>
        <v>-1.6</v>
      </c>
      <c r="N272" s="36">
        <v>-1.6E-2</v>
      </c>
      <c r="O272" s="68">
        <v>-23.627500000000005</v>
      </c>
      <c r="P272" s="73">
        <v>6.25</v>
      </c>
      <c r="Q272" s="74">
        <f>'Trade Data'!H17</f>
        <v>0.1716585196910696</v>
      </c>
      <c r="R272" s="37">
        <v>0</v>
      </c>
    </row>
    <row r="273" spans="1:18" ht="20.100000000000001" customHeight="1">
      <c r="A273" s="44" t="s">
        <v>94</v>
      </c>
      <c r="B273" s="44" t="s">
        <v>612</v>
      </c>
      <c r="C273" s="59">
        <f>'Thomson Reuters IMA  ($)'!I512+'Thomson Reuters IMA  ($)'!I513</f>
        <v>275.05</v>
      </c>
      <c r="D273" s="47">
        <f>'Sectors % GDP'!I21</f>
        <v>32694.539999999997</v>
      </c>
      <c r="E273" s="47">
        <f t="shared" si="8"/>
        <v>8.4127196773528552E-3</v>
      </c>
      <c r="F273" s="47">
        <v>1</v>
      </c>
      <c r="G273" s="49">
        <v>1</v>
      </c>
      <c r="H273" s="47">
        <v>3</v>
      </c>
      <c r="I273" s="48">
        <v>9.7100000000000009</v>
      </c>
      <c r="J273" s="48">
        <v>22.85</v>
      </c>
      <c r="K273" s="52">
        <v>14.48</v>
      </c>
      <c r="L273" s="49">
        <v>6.82</v>
      </c>
      <c r="M273" s="72">
        <f t="shared" si="9"/>
        <v>-1.6</v>
      </c>
      <c r="N273" s="36">
        <v>-1.6E-2</v>
      </c>
      <c r="O273" s="68">
        <v>-23.627500000000005</v>
      </c>
      <c r="P273" s="73">
        <v>6.25</v>
      </c>
      <c r="Q273" s="74">
        <f>'Trade Data'!H17</f>
        <v>0.1716585196910696</v>
      </c>
      <c r="R273" s="37">
        <v>1</v>
      </c>
    </row>
    <row r="274" spans="1:18" ht="20.100000000000001" customHeight="1">
      <c r="A274" s="44" t="s">
        <v>94</v>
      </c>
      <c r="B274" s="44" t="s">
        <v>611</v>
      </c>
      <c r="C274" s="59">
        <v>0</v>
      </c>
      <c r="D274" s="47">
        <f>'Sectors % GDP'!I22</f>
        <v>54904.92</v>
      </c>
      <c r="E274" s="47">
        <f t="shared" si="8"/>
        <v>0</v>
      </c>
      <c r="F274" s="47">
        <v>0</v>
      </c>
      <c r="G274" s="49">
        <v>0</v>
      </c>
      <c r="H274" s="47">
        <v>0</v>
      </c>
      <c r="I274" s="48">
        <v>9.7100000000000009</v>
      </c>
      <c r="J274" s="48">
        <v>22.85</v>
      </c>
      <c r="K274" s="52">
        <v>14.48</v>
      </c>
      <c r="L274" s="49">
        <v>6.82</v>
      </c>
      <c r="M274" s="72">
        <f t="shared" si="9"/>
        <v>-1.6</v>
      </c>
      <c r="N274" s="36">
        <v>-1.6E-2</v>
      </c>
      <c r="O274" s="68">
        <v>-23.627500000000005</v>
      </c>
      <c r="P274" s="73">
        <v>6.25</v>
      </c>
      <c r="Q274" s="74">
        <f>'Trade Data'!H17</f>
        <v>0.1716585196910696</v>
      </c>
      <c r="R274" s="37">
        <v>1</v>
      </c>
    </row>
    <row r="275" spans="1:18" ht="20.100000000000001" customHeight="1">
      <c r="A275" s="44" t="s">
        <v>95</v>
      </c>
      <c r="B275" s="44" t="s">
        <v>610</v>
      </c>
      <c r="C275" s="59">
        <v>0</v>
      </c>
      <c r="D275" s="47">
        <f>'Sectors % GDP'!K20</f>
        <v>64077</v>
      </c>
      <c r="E275" s="47">
        <f t="shared" si="8"/>
        <v>0</v>
      </c>
      <c r="F275" s="47">
        <v>0</v>
      </c>
      <c r="G275" s="49">
        <v>0</v>
      </c>
      <c r="H275" s="47">
        <v>0</v>
      </c>
      <c r="I275" s="48">
        <v>9.1999999999999993</v>
      </c>
      <c r="J275" s="48">
        <v>31.76</v>
      </c>
      <c r="K275" s="48">
        <v>7.19</v>
      </c>
      <c r="L275" s="49">
        <v>7.21</v>
      </c>
      <c r="M275" s="72">
        <f t="shared" si="9"/>
        <v>-1.6</v>
      </c>
      <c r="N275" s="36">
        <v>-1.6E-2</v>
      </c>
      <c r="O275" s="68">
        <v>-20.807500000000001</v>
      </c>
      <c r="P275" s="73">
        <v>6.25</v>
      </c>
      <c r="Q275" s="74">
        <f>'Trade Data'!H17</f>
        <v>0.1716585196910696</v>
      </c>
      <c r="R275" s="35">
        <v>0</v>
      </c>
    </row>
    <row r="276" spans="1:18" ht="20.100000000000001" customHeight="1">
      <c r="A276" s="44" t="s">
        <v>95</v>
      </c>
      <c r="B276" s="44" t="s">
        <v>609</v>
      </c>
      <c r="C276" s="59">
        <f>'Thomson Reuters IMA  ($)'!I514</f>
        <v>0.91500000000000004</v>
      </c>
      <c r="D276" s="47">
        <f>'Sectors % GDP'!K21</f>
        <v>333200.40000000002</v>
      </c>
      <c r="E276" s="47">
        <f t="shared" si="8"/>
        <v>2.7460951427429256E-6</v>
      </c>
      <c r="F276" s="47">
        <v>1</v>
      </c>
      <c r="G276" s="49">
        <v>1</v>
      </c>
      <c r="H276" s="47">
        <v>1</v>
      </c>
      <c r="I276" s="48">
        <v>9.1999999999999993</v>
      </c>
      <c r="J276" s="48">
        <v>31.76</v>
      </c>
      <c r="K276" s="48">
        <v>7.19</v>
      </c>
      <c r="L276" s="49">
        <v>7.21</v>
      </c>
      <c r="M276" s="72">
        <f t="shared" si="9"/>
        <v>-1.6</v>
      </c>
      <c r="N276" s="36">
        <v>-1.6E-2</v>
      </c>
      <c r="O276" s="68">
        <v>-20.807500000000001</v>
      </c>
      <c r="P276" s="73">
        <v>6.25</v>
      </c>
      <c r="Q276" s="74">
        <f>'Trade Data'!H17</f>
        <v>0.1716585196910696</v>
      </c>
      <c r="R276" s="35">
        <v>1</v>
      </c>
    </row>
    <row r="277" spans="1:18" ht="20.100000000000001" customHeight="1">
      <c r="A277" s="44" t="s">
        <v>95</v>
      </c>
      <c r="B277" s="44" t="s">
        <v>608</v>
      </c>
      <c r="C277" s="59">
        <v>0</v>
      </c>
      <c r="D277" s="47">
        <f>'Sectors % GDP'!K22</f>
        <v>588522.6</v>
      </c>
      <c r="E277" s="47">
        <f t="shared" si="8"/>
        <v>0</v>
      </c>
      <c r="F277" s="47">
        <v>0</v>
      </c>
      <c r="G277" s="49">
        <v>0</v>
      </c>
      <c r="H277" s="47">
        <v>0</v>
      </c>
      <c r="I277" s="48">
        <v>9.1999999999999993</v>
      </c>
      <c r="J277" s="48">
        <v>31.76</v>
      </c>
      <c r="K277" s="48">
        <v>7.19</v>
      </c>
      <c r="L277" s="49">
        <v>7.21</v>
      </c>
      <c r="M277" s="72">
        <f t="shared" si="9"/>
        <v>-1.6</v>
      </c>
      <c r="N277" s="36">
        <v>-1.6E-2</v>
      </c>
      <c r="O277" s="68">
        <v>-20.807500000000001</v>
      </c>
      <c r="P277" s="73">
        <v>6.25</v>
      </c>
      <c r="Q277" s="74">
        <f>'Trade Data'!H17</f>
        <v>0.1716585196910696</v>
      </c>
      <c r="R277" s="35">
        <v>1</v>
      </c>
    </row>
    <row r="278" spans="1:18" ht="20.100000000000001" customHeight="1">
      <c r="A278" s="44" t="s">
        <v>96</v>
      </c>
      <c r="B278" s="44" t="s">
        <v>607</v>
      </c>
      <c r="C278" s="59">
        <v>0</v>
      </c>
      <c r="D278" s="47">
        <f>'Sectors % GDP'!K20</f>
        <v>64077</v>
      </c>
      <c r="E278" s="47">
        <f t="shared" si="8"/>
        <v>0</v>
      </c>
      <c r="F278" s="47">
        <v>0</v>
      </c>
      <c r="G278" s="49">
        <v>0</v>
      </c>
      <c r="H278" s="47">
        <v>0</v>
      </c>
      <c r="I278" s="56">
        <v>11.61</v>
      </c>
      <c r="J278" s="56">
        <v>48.61</v>
      </c>
      <c r="K278" s="48">
        <v>6.47</v>
      </c>
      <c r="L278" s="49">
        <v>7.21</v>
      </c>
      <c r="M278" s="72">
        <f t="shared" si="9"/>
        <v>2.9000000000000004</v>
      </c>
      <c r="N278" s="36">
        <v>2.9000000000000001E-2</v>
      </c>
      <c r="O278" s="68">
        <v>-23.64</v>
      </c>
      <c r="P278" s="73">
        <v>5.69</v>
      </c>
      <c r="Q278" s="74">
        <f>'Trade Data'!J17</f>
        <v>0.17936201392434084</v>
      </c>
      <c r="R278" s="37">
        <v>0</v>
      </c>
    </row>
    <row r="279" spans="1:18" ht="20.100000000000001" customHeight="1">
      <c r="A279" s="44" t="s">
        <v>96</v>
      </c>
      <c r="B279" s="44" t="s">
        <v>606</v>
      </c>
      <c r="C279" s="59">
        <f>'Thomson Reuters IMA  ($)'!I515</f>
        <v>119</v>
      </c>
      <c r="D279" s="47">
        <f>'Sectors % GDP'!K21</f>
        <v>333200.40000000002</v>
      </c>
      <c r="E279" s="47">
        <f t="shared" si="8"/>
        <v>3.5714242840044605E-4</v>
      </c>
      <c r="F279" s="47">
        <v>1</v>
      </c>
      <c r="G279" s="49">
        <v>1</v>
      </c>
      <c r="H279" s="47">
        <v>1</v>
      </c>
      <c r="I279" s="56">
        <v>11.61</v>
      </c>
      <c r="J279" s="56">
        <v>48.61</v>
      </c>
      <c r="K279" s="48">
        <v>6.47</v>
      </c>
      <c r="L279" s="49">
        <v>7.21</v>
      </c>
      <c r="M279" s="72">
        <f t="shared" si="9"/>
        <v>2.9000000000000004</v>
      </c>
      <c r="N279" s="36">
        <v>2.9000000000000001E-2</v>
      </c>
      <c r="O279" s="68">
        <v>-23.64</v>
      </c>
      <c r="P279" s="73">
        <v>5.69</v>
      </c>
      <c r="Q279" s="74">
        <f>'Trade Data'!J17</f>
        <v>0.17936201392434084</v>
      </c>
      <c r="R279" s="37">
        <v>1</v>
      </c>
    </row>
    <row r="280" spans="1:18" ht="20.100000000000001" customHeight="1">
      <c r="A280" s="44" t="s">
        <v>96</v>
      </c>
      <c r="B280" s="44" t="s">
        <v>605</v>
      </c>
      <c r="C280" s="59">
        <v>0</v>
      </c>
      <c r="D280" s="47">
        <f>'Sectors % GDP'!K22</f>
        <v>588522.6</v>
      </c>
      <c r="E280" s="47">
        <f t="shared" si="8"/>
        <v>0</v>
      </c>
      <c r="F280" s="47">
        <v>0</v>
      </c>
      <c r="G280" s="49">
        <v>0</v>
      </c>
      <c r="H280" s="47">
        <v>0</v>
      </c>
      <c r="I280" s="56">
        <v>11.61</v>
      </c>
      <c r="J280" s="56">
        <v>48.61</v>
      </c>
      <c r="K280" s="48">
        <v>6.47</v>
      </c>
      <c r="L280" s="49">
        <v>7.21</v>
      </c>
      <c r="M280" s="72">
        <f t="shared" si="9"/>
        <v>2.9000000000000004</v>
      </c>
      <c r="N280" s="36">
        <v>2.9000000000000001E-2</v>
      </c>
      <c r="O280" s="68">
        <v>-23.64</v>
      </c>
      <c r="P280" s="73">
        <v>5.69</v>
      </c>
      <c r="Q280" s="74">
        <f>'Trade Data'!J17</f>
        <v>0.17936201392434084</v>
      </c>
      <c r="R280" s="37">
        <v>1</v>
      </c>
    </row>
    <row r="281" spans="1:18" ht="20.100000000000001" customHeight="1">
      <c r="A281" s="44" t="s">
        <v>97</v>
      </c>
      <c r="B281" s="44" t="s">
        <v>604</v>
      </c>
      <c r="C281" s="59">
        <v>0</v>
      </c>
      <c r="D281" s="47">
        <f>'Sectors % GDP'!K20</f>
        <v>64077</v>
      </c>
      <c r="E281" s="47">
        <f t="shared" si="8"/>
        <v>0</v>
      </c>
      <c r="F281" s="47">
        <v>0</v>
      </c>
      <c r="G281" s="49">
        <v>0</v>
      </c>
      <c r="H281" s="47">
        <v>0</v>
      </c>
      <c r="I281" s="48">
        <v>17.98</v>
      </c>
      <c r="J281" s="48">
        <v>51.35</v>
      </c>
      <c r="K281" s="48">
        <v>19.940000000000001</v>
      </c>
      <c r="L281" s="49">
        <v>7.21</v>
      </c>
      <c r="M281" s="72">
        <f t="shared" si="9"/>
        <v>2.9000000000000004</v>
      </c>
      <c r="N281" s="36">
        <v>2.9000000000000001E-2</v>
      </c>
      <c r="O281" s="68">
        <v>-13.66375</v>
      </c>
      <c r="P281" s="73">
        <v>5.69</v>
      </c>
      <c r="Q281" s="74">
        <f>'Trade Data'!J17</f>
        <v>0.17936201392434084</v>
      </c>
      <c r="R281" s="35">
        <v>0</v>
      </c>
    </row>
    <row r="282" spans="1:18" ht="20.100000000000001" customHeight="1">
      <c r="A282" s="44" t="s">
        <v>97</v>
      </c>
      <c r="B282" s="44" t="s">
        <v>603</v>
      </c>
      <c r="C282" s="59">
        <v>0</v>
      </c>
      <c r="D282" s="47">
        <f>'Sectors % GDP'!K21</f>
        <v>333200.40000000002</v>
      </c>
      <c r="E282" s="47">
        <f t="shared" si="8"/>
        <v>0</v>
      </c>
      <c r="F282" s="47">
        <v>0</v>
      </c>
      <c r="G282" s="49">
        <v>0</v>
      </c>
      <c r="H282" s="47">
        <v>0</v>
      </c>
      <c r="I282" s="48">
        <v>17.98</v>
      </c>
      <c r="J282" s="48">
        <v>51.35</v>
      </c>
      <c r="K282" s="48">
        <v>19.940000000000001</v>
      </c>
      <c r="L282" s="49">
        <v>7.21</v>
      </c>
      <c r="M282" s="72">
        <f t="shared" si="9"/>
        <v>2.9000000000000004</v>
      </c>
      <c r="N282" s="36">
        <v>2.9000000000000001E-2</v>
      </c>
      <c r="O282" s="68">
        <v>-13.66375</v>
      </c>
      <c r="P282" s="73">
        <v>5.69</v>
      </c>
      <c r="Q282" s="74">
        <f>'Trade Data'!J17</f>
        <v>0.17936201392434084</v>
      </c>
      <c r="R282" s="35">
        <v>1</v>
      </c>
    </row>
    <row r="283" spans="1:18" ht="20.100000000000001" customHeight="1">
      <c r="A283" s="44" t="s">
        <v>97</v>
      </c>
      <c r="B283" s="44" t="s">
        <v>602</v>
      </c>
      <c r="C283" s="59">
        <v>0</v>
      </c>
      <c r="D283" s="47">
        <f>'Sectors % GDP'!K22</f>
        <v>588522.6</v>
      </c>
      <c r="E283" s="47">
        <f t="shared" si="8"/>
        <v>0</v>
      </c>
      <c r="F283" s="47">
        <v>0</v>
      </c>
      <c r="G283" s="49">
        <v>0</v>
      </c>
      <c r="H283" s="47">
        <v>0</v>
      </c>
      <c r="I283" s="48">
        <v>17.98</v>
      </c>
      <c r="J283" s="48">
        <v>51.35</v>
      </c>
      <c r="K283" s="48">
        <v>19.940000000000001</v>
      </c>
      <c r="L283" s="49">
        <v>7.21</v>
      </c>
      <c r="M283" s="72">
        <f t="shared" si="9"/>
        <v>2.9000000000000004</v>
      </c>
      <c r="N283" s="36">
        <v>2.9000000000000001E-2</v>
      </c>
      <c r="O283" s="68">
        <v>-13.66375</v>
      </c>
      <c r="P283" s="73">
        <v>5.69</v>
      </c>
      <c r="Q283" s="74">
        <f>'Trade Data'!J17</f>
        <v>0.17936201392434084</v>
      </c>
      <c r="R283" s="35">
        <v>1</v>
      </c>
    </row>
    <row r="284" spans="1:18" ht="20.100000000000001" customHeight="1">
      <c r="A284" s="44" t="s">
        <v>98</v>
      </c>
      <c r="B284" s="44" t="s">
        <v>861</v>
      </c>
      <c r="C284" s="59">
        <v>0</v>
      </c>
      <c r="D284" s="47">
        <f>'Sectors % GDP'!K20</f>
        <v>64077</v>
      </c>
      <c r="E284" s="47">
        <f t="shared" si="8"/>
        <v>0</v>
      </c>
      <c r="F284" s="47">
        <v>0</v>
      </c>
      <c r="G284" s="49">
        <v>0</v>
      </c>
      <c r="H284" s="47">
        <v>0</v>
      </c>
      <c r="I284" s="48">
        <v>12.44</v>
      </c>
      <c r="J284" s="48">
        <v>55.37</v>
      </c>
      <c r="K284" s="48">
        <v>6.27</v>
      </c>
      <c r="L284" s="49">
        <v>7.21</v>
      </c>
      <c r="M284" s="72">
        <f t="shared" si="9"/>
        <v>2.9000000000000004</v>
      </c>
      <c r="N284" s="36">
        <v>2.9000000000000001E-2</v>
      </c>
      <c r="O284" s="68">
        <v>-24.950000000000003</v>
      </c>
      <c r="P284" s="73">
        <v>5.69</v>
      </c>
      <c r="Q284" s="74">
        <f>'Trade Data'!J17</f>
        <v>0.17936201392434084</v>
      </c>
      <c r="R284" s="37">
        <v>0</v>
      </c>
    </row>
    <row r="285" spans="1:18" ht="20.100000000000001" customHeight="1">
      <c r="A285" s="44" t="s">
        <v>98</v>
      </c>
      <c r="B285" s="44" t="s">
        <v>862</v>
      </c>
      <c r="C285" s="59">
        <f>'Thomson Reuters IMA  ($)'!I516</f>
        <v>42.2</v>
      </c>
      <c r="D285" s="47">
        <f>'Sectors % GDP'!K21</f>
        <v>333200.40000000002</v>
      </c>
      <c r="E285" s="47">
        <f t="shared" si="8"/>
        <v>1.2665050822267921E-4</v>
      </c>
      <c r="F285" s="47">
        <v>1</v>
      </c>
      <c r="G285" s="49">
        <v>1</v>
      </c>
      <c r="H285" s="47">
        <v>1</v>
      </c>
      <c r="I285" s="48">
        <v>12.44</v>
      </c>
      <c r="J285" s="48">
        <v>55.37</v>
      </c>
      <c r="K285" s="48">
        <v>6.27</v>
      </c>
      <c r="L285" s="49">
        <v>7.21</v>
      </c>
      <c r="M285" s="72">
        <f t="shared" si="9"/>
        <v>2.9000000000000004</v>
      </c>
      <c r="N285" s="36">
        <v>2.9000000000000001E-2</v>
      </c>
      <c r="O285" s="68">
        <v>-24.950000000000003</v>
      </c>
      <c r="P285" s="73">
        <v>5.69</v>
      </c>
      <c r="Q285" s="74">
        <f>'Trade Data'!J17</f>
        <v>0.17936201392434084</v>
      </c>
      <c r="R285" s="37">
        <v>1</v>
      </c>
    </row>
    <row r="286" spans="1:18" ht="20.100000000000001" customHeight="1">
      <c r="A286" s="44" t="s">
        <v>98</v>
      </c>
      <c r="B286" s="44" t="s">
        <v>863</v>
      </c>
      <c r="C286" s="59">
        <v>0</v>
      </c>
      <c r="D286" s="47">
        <f>'Sectors % GDP'!K22</f>
        <v>588522.6</v>
      </c>
      <c r="E286" s="47">
        <f t="shared" si="8"/>
        <v>0</v>
      </c>
      <c r="F286" s="47">
        <v>0</v>
      </c>
      <c r="G286" s="49">
        <v>0</v>
      </c>
      <c r="H286" s="47">
        <v>0</v>
      </c>
      <c r="I286" s="48">
        <v>12.44</v>
      </c>
      <c r="J286" s="48">
        <v>55.37</v>
      </c>
      <c r="K286" s="48">
        <v>6.27</v>
      </c>
      <c r="L286" s="49">
        <v>7.21</v>
      </c>
      <c r="M286" s="72">
        <f t="shared" si="9"/>
        <v>2.9000000000000004</v>
      </c>
      <c r="N286" s="36">
        <v>2.9000000000000001E-2</v>
      </c>
      <c r="O286" s="68">
        <v>-24.950000000000003</v>
      </c>
      <c r="P286" s="73">
        <v>5.69</v>
      </c>
      <c r="Q286" s="74">
        <f>'Trade Data'!J17</f>
        <v>0.17936201392434084</v>
      </c>
      <c r="R286" s="37">
        <v>1</v>
      </c>
    </row>
    <row r="287" spans="1:18" ht="20.100000000000001" customHeight="1">
      <c r="A287" s="44" t="s">
        <v>99</v>
      </c>
      <c r="B287" s="44" t="s">
        <v>601</v>
      </c>
      <c r="C287" s="59">
        <v>0</v>
      </c>
      <c r="D287" s="47">
        <f>'Sectors % GDP'!C24</f>
        <v>44352</v>
      </c>
      <c r="E287" s="47">
        <f t="shared" si="8"/>
        <v>0</v>
      </c>
      <c r="F287" s="47">
        <v>0</v>
      </c>
      <c r="G287" s="49">
        <v>0</v>
      </c>
      <c r="H287" s="47">
        <v>0</v>
      </c>
      <c r="I287" s="48">
        <v>61.99</v>
      </c>
      <c r="J287" s="52">
        <v>61.25</v>
      </c>
      <c r="K287" s="49">
        <v>77.8</v>
      </c>
      <c r="L287" s="49">
        <v>39.020000000000003</v>
      </c>
      <c r="M287" s="72">
        <f t="shared" si="9"/>
        <v>1.4000000000000001</v>
      </c>
      <c r="N287" s="36">
        <v>1.4E-2</v>
      </c>
      <c r="O287" s="68">
        <v>17.652499999999996</v>
      </c>
      <c r="P287" s="73">
        <v>5.8</v>
      </c>
      <c r="Q287" s="74">
        <f>'Trade Data'!B20</f>
        <v>2.906327899488228</v>
      </c>
      <c r="R287" s="35">
        <v>0</v>
      </c>
    </row>
    <row r="288" spans="1:18" ht="20.100000000000001" customHeight="1">
      <c r="A288" s="44" t="s">
        <v>99</v>
      </c>
      <c r="B288" s="44" t="s">
        <v>600</v>
      </c>
      <c r="C288" s="59">
        <f>SUM('Thomson Reuters IMA  ($)'!I517:I526)+'Thomson Reuters IMA  ($)'!I528</f>
        <v>922.55099999999993</v>
      </c>
      <c r="D288" s="47">
        <f>'Sectors % GDP'!C25</f>
        <v>433439.99999999994</v>
      </c>
      <c r="E288" s="47">
        <f t="shared" si="8"/>
        <v>2.1284399224806203E-3</v>
      </c>
      <c r="F288" s="47">
        <v>1</v>
      </c>
      <c r="G288" s="49">
        <v>1</v>
      </c>
      <c r="H288" s="47">
        <v>18</v>
      </c>
      <c r="I288" s="48">
        <v>61.99</v>
      </c>
      <c r="J288" s="52">
        <v>61.25</v>
      </c>
      <c r="K288" s="49">
        <v>77.8</v>
      </c>
      <c r="L288" s="49">
        <v>39.020000000000003</v>
      </c>
      <c r="M288" s="72">
        <f t="shared" si="9"/>
        <v>1.4000000000000001</v>
      </c>
      <c r="N288" s="36">
        <v>1.4E-2</v>
      </c>
      <c r="O288" s="68">
        <v>17.652499999999996</v>
      </c>
      <c r="P288" s="73">
        <v>5.8</v>
      </c>
      <c r="Q288" s="74">
        <f>'Trade Data'!B20</f>
        <v>2.906327899488228</v>
      </c>
      <c r="R288" s="35">
        <v>1</v>
      </c>
    </row>
    <row r="289" spans="1:18" ht="20.100000000000001" customHeight="1">
      <c r="A289" s="44" t="s">
        <v>99</v>
      </c>
      <c r="B289" s="44" t="s">
        <v>599</v>
      </c>
      <c r="C289" s="59">
        <f>'Thomson Reuters IMA  ($)'!I527</f>
        <v>379.714</v>
      </c>
      <c r="D289" s="47">
        <f>'Sectors % GDP'!C26</f>
        <v>782082</v>
      </c>
      <c r="E289" s="47">
        <f t="shared" si="8"/>
        <v>4.8551686396055654E-4</v>
      </c>
      <c r="F289" s="47">
        <v>1</v>
      </c>
      <c r="G289" s="49">
        <v>1</v>
      </c>
      <c r="H289" s="47">
        <v>5</v>
      </c>
      <c r="I289" s="48">
        <v>61.99</v>
      </c>
      <c r="J289" s="52">
        <v>61.25</v>
      </c>
      <c r="K289" s="49">
        <v>77.8</v>
      </c>
      <c r="L289" s="49">
        <v>39.020000000000003</v>
      </c>
      <c r="M289" s="72">
        <f t="shared" si="9"/>
        <v>1.4000000000000001</v>
      </c>
      <c r="N289" s="36">
        <v>1.4E-2</v>
      </c>
      <c r="O289" s="68">
        <v>17.652499999999996</v>
      </c>
      <c r="P289" s="73">
        <v>5.8</v>
      </c>
      <c r="Q289" s="74">
        <f>'Trade Data'!B20</f>
        <v>2.906327899488228</v>
      </c>
      <c r="R289" s="35">
        <v>1</v>
      </c>
    </row>
    <row r="290" spans="1:18" ht="20.100000000000001" customHeight="1">
      <c r="A290" s="44" t="s">
        <v>100</v>
      </c>
      <c r="B290" s="44" t="s">
        <v>598</v>
      </c>
      <c r="C290" s="59">
        <v>0</v>
      </c>
      <c r="D290" s="47">
        <f>'Sectors % GDP'!C24</f>
        <v>44352</v>
      </c>
      <c r="E290" s="47">
        <f t="shared" si="8"/>
        <v>0</v>
      </c>
      <c r="F290" s="47">
        <v>0</v>
      </c>
      <c r="G290" s="49">
        <v>0</v>
      </c>
      <c r="H290" s="47">
        <v>0</v>
      </c>
      <c r="I290" s="48">
        <v>49.44</v>
      </c>
      <c r="J290" s="48">
        <v>32.67</v>
      </c>
      <c r="K290" s="52">
        <v>75.099999999999994</v>
      </c>
      <c r="L290" s="49">
        <v>39.020000000000003</v>
      </c>
      <c r="M290" s="72">
        <f t="shared" si="9"/>
        <v>1.4000000000000001</v>
      </c>
      <c r="N290" s="36">
        <v>1.4E-2</v>
      </c>
      <c r="O290" s="68">
        <v>15.878749999999997</v>
      </c>
      <c r="P290" s="73">
        <v>5.8</v>
      </c>
      <c r="Q290" s="74">
        <f>'Trade Data'!B20</f>
        <v>2.906327899488228</v>
      </c>
      <c r="R290" s="37">
        <v>0</v>
      </c>
    </row>
    <row r="291" spans="1:18" ht="20.100000000000001" customHeight="1">
      <c r="A291" s="44" t="s">
        <v>100</v>
      </c>
      <c r="B291" s="44" t="s">
        <v>597</v>
      </c>
      <c r="C291" s="59">
        <f>'Thomson Reuters IMA  ($)'!I529+'Thomson Reuters IMA  ($)'!I530+'Thomson Reuters IMA  ($)'!I531</f>
        <v>9.5019999999999989</v>
      </c>
      <c r="D291" s="47">
        <f>'Sectors % GDP'!C25</f>
        <v>433439.99999999994</v>
      </c>
      <c r="E291" s="47">
        <f t="shared" si="8"/>
        <v>2.1922296050203027E-5</v>
      </c>
      <c r="F291" s="47">
        <v>1</v>
      </c>
      <c r="G291" s="49">
        <v>1</v>
      </c>
      <c r="H291" s="47">
        <v>8</v>
      </c>
      <c r="I291" s="48">
        <v>49.44</v>
      </c>
      <c r="J291" s="48">
        <v>32.67</v>
      </c>
      <c r="K291" s="52">
        <v>75.099999999999994</v>
      </c>
      <c r="L291" s="49">
        <v>39.020000000000003</v>
      </c>
      <c r="M291" s="72">
        <f t="shared" si="9"/>
        <v>1.4000000000000001</v>
      </c>
      <c r="N291" s="36">
        <v>1.4E-2</v>
      </c>
      <c r="O291" s="68">
        <v>15.878749999999997</v>
      </c>
      <c r="P291" s="73">
        <v>5.8</v>
      </c>
      <c r="Q291" s="74">
        <f>'Trade Data'!B20</f>
        <v>2.906327899488228</v>
      </c>
      <c r="R291" s="37">
        <v>1</v>
      </c>
    </row>
    <row r="292" spans="1:18" ht="20.100000000000001" customHeight="1">
      <c r="A292" s="44" t="s">
        <v>100</v>
      </c>
      <c r="B292" s="44" t="s">
        <v>596</v>
      </c>
      <c r="C292" s="59">
        <f>'Thomson Reuters IMA  ($)'!I532+'Thomson Reuters IMA  ($)'!I533+'Thomson Reuters IMA  ($)'!I535+'Thomson Reuters IMA  ($)'!I534</f>
        <v>1750.643</v>
      </c>
      <c r="D292" s="47">
        <f>'Sectors % GDP'!C26</f>
        <v>782082</v>
      </c>
      <c r="E292" s="47">
        <f t="shared" si="8"/>
        <v>2.2384391917983026E-3</v>
      </c>
      <c r="F292" s="47">
        <v>1</v>
      </c>
      <c r="G292" s="49">
        <v>1</v>
      </c>
      <c r="H292" s="47">
        <v>11</v>
      </c>
      <c r="I292" s="48">
        <v>49.44</v>
      </c>
      <c r="J292" s="48">
        <v>32.67</v>
      </c>
      <c r="K292" s="52">
        <v>75.099999999999994</v>
      </c>
      <c r="L292" s="49">
        <v>39.020000000000003</v>
      </c>
      <c r="M292" s="72">
        <f t="shared" si="9"/>
        <v>1.4000000000000001</v>
      </c>
      <c r="N292" s="36">
        <v>1.4E-2</v>
      </c>
      <c r="O292" s="68">
        <v>15.878749999999997</v>
      </c>
      <c r="P292" s="73">
        <v>5.8</v>
      </c>
      <c r="Q292" s="74">
        <f>'Trade Data'!B20</f>
        <v>2.906327899488228</v>
      </c>
      <c r="R292" s="37">
        <v>1</v>
      </c>
    </row>
    <row r="293" spans="1:18" ht="20.100000000000001" customHeight="1">
      <c r="A293" s="44" t="s">
        <v>101</v>
      </c>
      <c r="B293" s="44" t="s">
        <v>595</v>
      </c>
      <c r="C293" s="59">
        <v>0</v>
      </c>
      <c r="D293" s="47">
        <f>'Sectors % GDP'!C24</f>
        <v>44352</v>
      </c>
      <c r="E293" s="47">
        <f t="shared" si="8"/>
        <v>0</v>
      </c>
      <c r="F293" s="47">
        <v>0</v>
      </c>
      <c r="G293" s="49">
        <v>0</v>
      </c>
      <c r="H293" s="47">
        <v>0</v>
      </c>
      <c r="I293" s="48">
        <v>46.97</v>
      </c>
      <c r="J293" s="48">
        <v>30.92</v>
      </c>
      <c r="K293" s="52">
        <v>71.8</v>
      </c>
      <c r="L293" s="49">
        <v>39.020000000000003</v>
      </c>
      <c r="M293" s="72">
        <f t="shared" si="9"/>
        <v>1.4000000000000001</v>
      </c>
      <c r="N293" s="36">
        <v>1.4E-2</v>
      </c>
      <c r="O293" s="68">
        <v>5.8137499999999989</v>
      </c>
      <c r="P293" s="73">
        <v>5.8</v>
      </c>
      <c r="Q293" s="74">
        <f>'Trade Data'!B20</f>
        <v>2.906327899488228</v>
      </c>
      <c r="R293" s="35">
        <v>0</v>
      </c>
    </row>
    <row r="294" spans="1:18" ht="20.100000000000001" customHeight="1">
      <c r="A294" s="44" t="s">
        <v>101</v>
      </c>
      <c r="B294" s="44" t="s">
        <v>594</v>
      </c>
      <c r="C294" s="59">
        <f>SUM('Thomson Reuters IMA  ($)'!I536:I544)</f>
        <v>208.91000000000003</v>
      </c>
      <c r="D294" s="47">
        <f>'Sectors % GDP'!C25</f>
        <v>433439.99999999994</v>
      </c>
      <c r="E294" s="47">
        <f t="shared" si="8"/>
        <v>4.8198135843484694E-4</v>
      </c>
      <c r="F294" s="47">
        <v>1</v>
      </c>
      <c r="G294" s="49">
        <v>1</v>
      </c>
      <c r="H294" s="47">
        <v>18</v>
      </c>
      <c r="I294" s="48">
        <v>46.97</v>
      </c>
      <c r="J294" s="48">
        <v>30.92</v>
      </c>
      <c r="K294" s="52">
        <v>71.8</v>
      </c>
      <c r="L294" s="49">
        <v>39.020000000000003</v>
      </c>
      <c r="M294" s="72">
        <f t="shared" si="9"/>
        <v>1.4000000000000001</v>
      </c>
      <c r="N294" s="36">
        <v>1.4E-2</v>
      </c>
      <c r="O294" s="68">
        <v>5.8137499999999989</v>
      </c>
      <c r="P294" s="73">
        <v>5.8</v>
      </c>
      <c r="Q294" s="74">
        <f>'Trade Data'!B20</f>
        <v>2.906327899488228</v>
      </c>
      <c r="R294" s="35">
        <v>1</v>
      </c>
    </row>
    <row r="295" spans="1:18" ht="20.100000000000001" customHeight="1">
      <c r="A295" s="44" t="s">
        <v>101</v>
      </c>
      <c r="B295" s="44" t="s">
        <v>593</v>
      </c>
      <c r="C295" s="59">
        <f>'Thomson Reuters IMA  ($)'!I545+'Thomson Reuters IMA  ($)'!I546+'Thomson Reuters IMA  ($)'!I547</f>
        <v>679.221</v>
      </c>
      <c r="D295" s="47">
        <f>'Sectors % GDP'!C26</f>
        <v>782082</v>
      </c>
      <c r="E295" s="47">
        <f t="shared" si="8"/>
        <v>8.684779856843656E-4</v>
      </c>
      <c r="F295" s="47">
        <v>1</v>
      </c>
      <c r="G295" s="49">
        <v>1</v>
      </c>
      <c r="H295" s="47">
        <v>12</v>
      </c>
      <c r="I295" s="48">
        <v>46.97</v>
      </c>
      <c r="J295" s="48">
        <v>30.92</v>
      </c>
      <c r="K295" s="52">
        <v>71.8</v>
      </c>
      <c r="L295" s="49">
        <v>39.020000000000003</v>
      </c>
      <c r="M295" s="72">
        <f t="shared" si="9"/>
        <v>1.4000000000000001</v>
      </c>
      <c r="N295" s="36">
        <v>1.4E-2</v>
      </c>
      <c r="O295" s="68">
        <v>5.8137499999999989</v>
      </c>
      <c r="P295" s="73">
        <v>5.8</v>
      </c>
      <c r="Q295" s="74">
        <f>'Trade Data'!B20</f>
        <v>2.906327899488228</v>
      </c>
      <c r="R295" s="35">
        <v>1</v>
      </c>
    </row>
    <row r="296" spans="1:18" ht="20.100000000000001" customHeight="1">
      <c r="A296" s="44" t="s">
        <v>102</v>
      </c>
      <c r="B296" s="44" t="s">
        <v>592</v>
      </c>
      <c r="C296" s="59">
        <v>0</v>
      </c>
      <c r="D296" s="47">
        <f>'Sectors % GDP'!E24</f>
        <v>46020</v>
      </c>
      <c r="E296" s="47">
        <f t="shared" si="8"/>
        <v>0</v>
      </c>
      <c r="F296" s="47">
        <v>0</v>
      </c>
      <c r="G296" s="49">
        <v>0</v>
      </c>
      <c r="H296" s="47">
        <v>0</v>
      </c>
      <c r="I296" s="48">
        <v>52.53</v>
      </c>
      <c r="J296" s="48">
        <v>45.44</v>
      </c>
      <c r="K296" s="52">
        <v>71.56</v>
      </c>
      <c r="L296" s="49">
        <v>39.020000000000003</v>
      </c>
      <c r="M296" s="72">
        <f t="shared" si="9"/>
        <v>1.4000000000000001</v>
      </c>
      <c r="N296" s="36">
        <v>1.4E-2</v>
      </c>
      <c r="O296" s="68">
        <v>16.162500000000001</v>
      </c>
      <c r="P296" s="73">
        <v>5.8</v>
      </c>
      <c r="Q296" s="74">
        <f>'Trade Data'!B20</f>
        <v>2.906327899488228</v>
      </c>
      <c r="R296" s="37">
        <v>0</v>
      </c>
    </row>
    <row r="297" spans="1:18" ht="20.100000000000001" customHeight="1">
      <c r="A297" s="44" t="s">
        <v>102</v>
      </c>
      <c r="B297" s="44" t="s">
        <v>591</v>
      </c>
      <c r="C297" s="59">
        <f>SUM('Thomson Reuters IMA  ($)'!I548:I556)+'Thomson Reuters IMA  ($)'!I560</f>
        <v>781.58399999999995</v>
      </c>
      <c r="D297" s="47">
        <f>'Sectors % GDP'!E25</f>
        <v>446290</v>
      </c>
      <c r="E297" s="47">
        <f t="shared" si="8"/>
        <v>1.7512917609626027E-3</v>
      </c>
      <c r="F297" s="47">
        <v>1</v>
      </c>
      <c r="G297" s="49">
        <v>1</v>
      </c>
      <c r="H297" s="47">
        <v>15</v>
      </c>
      <c r="I297" s="48">
        <v>52.53</v>
      </c>
      <c r="J297" s="48">
        <v>45.44</v>
      </c>
      <c r="K297" s="52">
        <v>71.56</v>
      </c>
      <c r="L297" s="49">
        <v>39.020000000000003</v>
      </c>
      <c r="M297" s="72">
        <f t="shared" si="9"/>
        <v>1.4000000000000001</v>
      </c>
      <c r="N297" s="36">
        <v>1.4E-2</v>
      </c>
      <c r="O297" s="68">
        <v>16.162500000000001</v>
      </c>
      <c r="P297" s="73">
        <v>5.8</v>
      </c>
      <c r="Q297" s="74">
        <f>'Trade Data'!B20</f>
        <v>2.906327899488228</v>
      </c>
      <c r="R297" s="37">
        <v>1</v>
      </c>
    </row>
    <row r="298" spans="1:18" ht="20.100000000000001" customHeight="1">
      <c r="A298" s="44" t="s">
        <v>102</v>
      </c>
      <c r="B298" s="44" t="s">
        <v>590</v>
      </c>
      <c r="C298" s="59">
        <f>SUM('Thomson Reuters IMA  ($)'!I557:I559)</f>
        <v>364.98400000000004</v>
      </c>
      <c r="D298" s="47">
        <f>'Sectors % GDP'!E26</f>
        <v>807690</v>
      </c>
      <c r="E298" s="47">
        <f t="shared" si="8"/>
        <v>4.5188624348450527E-4</v>
      </c>
      <c r="F298" s="47">
        <v>1</v>
      </c>
      <c r="G298" s="49">
        <v>1</v>
      </c>
      <c r="H298" s="47">
        <v>7</v>
      </c>
      <c r="I298" s="48">
        <v>52.53</v>
      </c>
      <c r="J298" s="48">
        <v>45.44</v>
      </c>
      <c r="K298" s="52">
        <v>71.56</v>
      </c>
      <c r="L298" s="49">
        <v>39.020000000000003</v>
      </c>
      <c r="M298" s="72">
        <f t="shared" si="9"/>
        <v>1.4000000000000001</v>
      </c>
      <c r="N298" s="36">
        <v>1.4E-2</v>
      </c>
      <c r="O298" s="68">
        <v>16.162500000000001</v>
      </c>
      <c r="P298" s="73">
        <v>5.8</v>
      </c>
      <c r="Q298" s="74">
        <f>'Trade Data'!B20</f>
        <v>2.906327899488228</v>
      </c>
      <c r="R298" s="37">
        <v>1</v>
      </c>
    </row>
    <row r="299" spans="1:18" ht="20.100000000000001" customHeight="1">
      <c r="A299" s="44" t="s">
        <v>103</v>
      </c>
      <c r="B299" s="44" t="s">
        <v>589</v>
      </c>
      <c r="C299" s="59">
        <v>0</v>
      </c>
      <c r="D299" s="47">
        <f>'Sectors % GDP'!E24</f>
        <v>46020</v>
      </c>
      <c r="E299" s="47">
        <f t="shared" si="8"/>
        <v>0</v>
      </c>
      <c r="F299" s="47">
        <v>0</v>
      </c>
      <c r="G299" s="49">
        <v>0</v>
      </c>
      <c r="H299" s="47">
        <v>0</v>
      </c>
      <c r="I299" s="48">
        <v>49.65</v>
      </c>
      <c r="J299" s="48">
        <v>38.78</v>
      </c>
      <c r="K299" s="52">
        <v>70.64</v>
      </c>
      <c r="L299" s="49">
        <v>39.020000000000003</v>
      </c>
      <c r="M299" s="72">
        <f t="shared" si="9"/>
        <v>2.2999999999999998</v>
      </c>
      <c r="N299" s="36">
        <v>2.3E-2</v>
      </c>
      <c r="O299" s="68">
        <v>13.067499999999995</v>
      </c>
      <c r="P299" s="73">
        <v>5</v>
      </c>
      <c r="Q299" s="74">
        <f>'Trade Data'!D20</f>
        <v>3.1016734840790141</v>
      </c>
      <c r="R299" s="35">
        <v>0</v>
      </c>
    </row>
    <row r="300" spans="1:18" ht="20.100000000000001" customHeight="1">
      <c r="A300" s="44" t="s">
        <v>103</v>
      </c>
      <c r="B300" s="44" t="s">
        <v>588</v>
      </c>
      <c r="C300" s="59">
        <f>SUM('Thomson Reuters IMA  ($)'!I561:I565)+'Thomson Reuters IMA  ($)'!I567+'Thomson Reuters IMA  ($)'!I569+'Thomson Reuters IMA  ($)'!I571+'Thomson Reuters IMA  ($)'!I572</f>
        <v>2645.5909999999999</v>
      </c>
      <c r="D300" s="47">
        <f>'Sectors % GDP'!E25</f>
        <v>446290</v>
      </c>
      <c r="E300" s="47">
        <f t="shared" si="8"/>
        <v>5.9279638799883483E-3</v>
      </c>
      <c r="F300" s="47">
        <v>1</v>
      </c>
      <c r="G300" s="49">
        <v>1</v>
      </c>
      <c r="H300" s="47">
        <v>12</v>
      </c>
      <c r="I300" s="48">
        <v>49.65</v>
      </c>
      <c r="J300" s="48">
        <v>38.78</v>
      </c>
      <c r="K300" s="52">
        <v>70.64</v>
      </c>
      <c r="L300" s="49">
        <v>39.020000000000003</v>
      </c>
      <c r="M300" s="72">
        <f t="shared" si="9"/>
        <v>2.2999999999999998</v>
      </c>
      <c r="N300" s="36">
        <v>2.3E-2</v>
      </c>
      <c r="O300" s="68">
        <v>13.067499999999995</v>
      </c>
      <c r="P300" s="73">
        <v>5</v>
      </c>
      <c r="Q300" s="74">
        <f>'Trade Data'!D20</f>
        <v>3.1016734840790141</v>
      </c>
      <c r="R300" s="35">
        <v>1</v>
      </c>
    </row>
    <row r="301" spans="1:18" ht="20.100000000000001" customHeight="1">
      <c r="A301" s="44" t="s">
        <v>103</v>
      </c>
      <c r="B301" s="44" t="s">
        <v>587</v>
      </c>
      <c r="C301" s="59">
        <f>SUM('Thomson Reuters IMA  ($)'!I566,'Thomson Reuters IMA  ($)'!I568,'Thomson Reuters IMA  ($)'!I570)</f>
        <v>130.64099999999999</v>
      </c>
      <c r="D301" s="47">
        <f>'Sectors % GDP'!E26</f>
        <v>807690</v>
      </c>
      <c r="E301" s="47">
        <f t="shared" si="8"/>
        <v>1.6174646213274894E-4</v>
      </c>
      <c r="F301" s="47">
        <v>1</v>
      </c>
      <c r="G301" s="49">
        <v>1</v>
      </c>
      <c r="H301" s="47">
        <v>8</v>
      </c>
      <c r="I301" s="48">
        <v>49.65</v>
      </c>
      <c r="J301" s="48">
        <v>38.78</v>
      </c>
      <c r="K301" s="52">
        <v>70.64</v>
      </c>
      <c r="L301" s="49">
        <v>39.020000000000003</v>
      </c>
      <c r="M301" s="72">
        <f t="shared" si="9"/>
        <v>2.2999999999999998</v>
      </c>
      <c r="N301" s="36">
        <v>2.3E-2</v>
      </c>
      <c r="O301" s="68">
        <v>13.067499999999995</v>
      </c>
      <c r="P301" s="73">
        <v>5</v>
      </c>
      <c r="Q301" s="74">
        <f>'Trade Data'!D20</f>
        <v>3.1016734840790141</v>
      </c>
      <c r="R301" s="35">
        <v>1</v>
      </c>
    </row>
    <row r="302" spans="1:18" ht="20.100000000000001" customHeight="1">
      <c r="A302" s="44" t="s">
        <v>104</v>
      </c>
      <c r="B302" s="44" t="s">
        <v>586</v>
      </c>
      <c r="C302" s="59">
        <v>0</v>
      </c>
      <c r="D302" s="47">
        <f>'Sectors % GDP'!E24</f>
        <v>46020</v>
      </c>
      <c r="E302" s="47">
        <f t="shared" si="8"/>
        <v>0</v>
      </c>
      <c r="F302" s="47">
        <v>0</v>
      </c>
      <c r="G302" s="49">
        <v>0</v>
      </c>
      <c r="H302" s="47">
        <v>0</v>
      </c>
      <c r="I302" s="48">
        <v>62.69</v>
      </c>
      <c r="J302" s="48">
        <v>70.7</v>
      </c>
      <c r="K302" s="52">
        <v>72.37</v>
      </c>
      <c r="L302" s="49">
        <v>39.020000000000003</v>
      </c>
      <c r="M302" s="72">
        <f t="shared" si="9"/>
        <v>2.2999999999999998</v>
      </c>
      <c r="N302" s="36">
        <v>2.3E-2</v>
      </c>
      <c r="O302" s="68">
        <v>20.743750000000006</v>
      </c>
      <c r="P302" s="73">
        <v>5</v>
      </c>
      <c r="Q302" s="74">
        <f>'Trade Data'!D20</f>
        <v>3.1016734840790141</v>
      </c>
      <c r="R302" s="37">
        <v>0</v>
      </c>
    </row>
    <row r="303" spans="1:18" ht="20.100000000000001" customHeight="1">
      <c r="A303" s="44" t="s">
        <v>104</v>
      </c>
      <c r="B303" s="44" t="s">
        <v>585</v>
      </c>
      <c r="C303" s="59">
        <f>'Thomson Reuters IMA  ($)'!I573+'Thomson Reuters IMA  ($)'!I574+'Thomson Reuters IMA  ($)'!I575+'Thomson Reuters IMA  ($)'!I578+'Thomson Reuters IMA  ($)'!I579+'Thomson Reuters IMA  ($)'!I580</f>
        <v>2152.607</v>
      </c>
      <c r="D303" s="47">
        <f>'Sectors % GDP'!E25</f>
        <v>446290</v>
      </c>
      <c r="E303" s="47">
        <f t="shared" si="8"/>
        <v>4.8233368437563019E-3</v>
      </c>
      <c r="F303" s="47">
        <v>1</v>
      </c>
      <c r="G303" s="49">
        <v>1</v>
      </c>
      <c r="H303" s="47">
        <v>14</v>
      </c>
      <c r="I303" s="48">
        <v>62.69</v>
      </c>
      <c r="J303" s="48">
        <v>70.7</v>
      </c>
      <c r="K303" s="52">
        <v>72.37</v>
      </c>
      <c r="L303" s="49">
        <v>39.020000000000003</v>
      </c>
      <c r="M303" s="72">
        <f t="shared" si="9"/>
        <v>2.2999999999999998</v>
      </c>
      <c r="N303" s="36">
        <v>2.3E-2</v>
      </c>
      <c r="O303" s="68">
        <v>20.743750000000006</v>
      </c>
      <c r="P303" s="73">
        <v>5</v>
      </c>
      <c r="Q303" s="74">
        <f>'Trade Data'!D20</f>
        <v>3.1016734840790141</v>
      </c>
      <c r="R303" s="37">
        <v>1</v>
      </c>
    </row>
    <row r="304" spans="1:18" ht="20.100000000000001" customHeight="1">
      <c r="A304" s="44" t="s">
        <v>104</v>
      </c>
      <c r="B304" s="44" t="s">
        <v>584</v>
      </c>
      <c r="C304" s="59">
        <f>'Thomson Reuters IMA  ($)'!I576+'Thomson Reuters IMA  ($)'!I577</f>
        <v>43.5</v>
      </c>
      <c r="D304" s="47">
        <f>'Sectors % GDP'!E26</f>
        <v>807690</v>
      </c>
      <c r="E304" s="47">
        <f t="shared" si="8"/>
        <v>5.3857296735133531E-5</v>
      </c>
      <c r="F304" s="47">
        <v>1</v>
      </c>
      <c r="G304" s="49">
        <v>1</v>
      </c>
      <c r="H304" s="47">
        <v>10</v>
      </c>
      <c r="I304" s="48">
        <v>62.69</v>
      </c>
      <c r="J304" s="48">
        <v>70.7</v>
      </c>
      <c r="K304" s="52">
        <v>72.37</v>
      </c>
      <c r="L304" s="49">
        <v>39.020000000000003</v>
      </c>
      <c r="M304" s="72">
        <f t="shared" si="9"/>
        <v>2.2999999999999998</v>
      </c>
      <c r="N304" s="36">
        <v>2.3E-2</v>
      </c>
      <c r="O304" s="68">
        <v>20.743750000000006</v>
      </c>
      <c r="P304" s="73">
        <v>5</v>
      </c>
      <c r="Q304" s="74">
        <f>'Trade Data'!D20</f>
        <v>3.1016734840790141</v>
      </c>
      <c r="R304" s="37">
        <v>1</v>
      </c>
    </row>
    <row r="305" spans="1:18" ht="20.100000000000001" customHeight="1">
      <c r="A305" s="44" t="s">
        <v>105</v>
      </c>
      <c r="B305" s="44" t="s">
        <v>583</v>
      </c>
      <c r="C305" s="59">
        <v>0</v>
      </c>
      <c r="D305" s="47">
        <f>'Sectors % GDP'!E24</f>
        <v>46020</v>
      </c>
      <c r="E305" s="47">
        <f t="shared" si="8"/>
        <v>0</v>
      </c>
      <c r="F305" s="47">
        <v>0</v>
      </c>
      <c r="G305" s="49">
        <v>0</v>
      </c>
      <c r="H305" s="47">
        <v>0</v>
      </c>
      <c r="I305" s="48">
        <v>59.26</v>
      </c>
      <c r="J305" s="48">
        <v>57.59</v>
      </c>
      <c r="K305" s="52">
        <v>76.239999999999995</v>
      </c>
      <c r="L305" s="49">
        <v>39.020000000000003</v>
      </c>
      <c r="M305" s="72">
        <f t="shared" si="9"/>
        <v>2.2999999999999998</v>
      </c>
      <c r="N305" s="36">
        <v>2.3E-2</v>
      </c>
      <c r="O305" s="68">
        <v>21.501249999999999</v>
      </c>
      <c r="P305" s="73">
        <v>5</v>
      </c>
      <c r="Q305" s="74">
        <f>'Trade Data'!D20</f>
        <v>3.1016734840790141</v>
      </c>
      <c r="R305" s="35">
        <v>0</v>
      </c>
    </row>
    <row r="306" spans="1:18" ht="20.100000000000001" customHeight="1">
      <c r="A306" s="44" t="s">
        <v>105</v>
      </c>
      <c r="B306" s="44" t="s">
        <v>582</v>
      </c>
      <c r="C306" s="59">
        <f>'Thomson Reuters IMA  ($)'!I581+'Thomson Reuters IMA  ($)'!I582+'Thomson Reuters IMA  ($)'!I583+'Thomson Reuters IMA  ($)'!I584+'Thomson Reuters IMA  ($)'!I586+'Thomson Reuters IMA  ($)'!I587+'Thomson Reuters IMA  ($)'!I588</f>
        <v>441.04399999999998</v>
      </c>
      <c r="D306" s="47">
        <f>'Sectors % GDP'!E25</f>
        <v>446290</v>
      </c>
      <c r="E306" s="47">
        <f t="shared" si="8"/>
        <v>9.8824531134464127E-4</v>
      </c>
      <c r="F306" s="47">
        <v>1</v>
      </c>
      <c r="G306" s="49">
        <v>1</v>
      </c>
      <c r="H306" s="47">
        <v>16</v>
      </c>
      <c r="I306" s="48">
        <v>59.26</v>
      </c>
      <c r="J306" s="48">
        <v>57.59</v>
      </c>
      <c r="K306" s="52">
        <v>76.239999999999995</v>
      </c>
      <c r="L306" s="49">
        <v>39.020000000000003</v>
      </c>
      <c r="M306" s="72">
        <f t="shared" si="9"/>
        <v>2.2999999999999998</v>
      </c>
      <c r="N306" s="36">
        <v>2.3E-2</v>
      </c>
      <c r="O306" s="68">
        <v>21.501249999999999</v>
      </c>
      <c r="P306" s="73">
        <v>5</v>
      </c>
      <c r="Q306" s="74">
        <f>'Trade Data'!D20</f>
        <v>3.1016734840790141</v>
      </c>
      <c r="R306" s="35">
        <v>1</v>
      </c>
    </row>
    <row r="307" spans="1:18" ht="20.100000000000001" customHeight="1">
      <c r="A307" s="44" t="s">
        <v>105</v>
      </c>
      <c r="B307" s="44" t="s">
        <v>581</v>
      </c>
      <c r="C307" s="59">
        <f>SUM('Thomson Reuters IMA  ($)'!I585+'Thomson Reuters IMA  ($)'!I589)</f>
        <v>2516.9580000000001</v>
      </c>
      <c r="D307" s="47">
        <f>'Sectors % GDP'!E26</f>
        <v>807690</v>
      </c>
      <c r="E307" s="47">
        <f t="shared" si="8"/>
        <v>3.116242617836051E-3</v>
      </c>
      <c r="F307" s="47">
        <v>1</v>
      </c>
      <c r="G307" s="49">
        <v>1</v>
      </c>
      <c r="H307" s="47">
        <v>13</v>
      </c>
      <c r="I307" s="48">
        <v>59.26</v>
      </c>
      <c r="J307" s="48">
        <v>57.59</v>
      </c>
      <c r="K307" s="52">
        <v>76.239999999999995</v>
      </c>
      <c r="L307" s="49">
        <v>39.020000000000003</v>
      </c>
      <c r="M307" s="72">
        <f t="shared" si="9"/>
        <v>2.2999999999999998</v>
      </c>
      <c r="N307" s="36">
        <v>2.3E-2</v>
      </c>
      <c r="O307" s="68">
        <v>21.501249999999999</v>
      </c>
      <c r="P307" s="73">
        <v>5</v>
      </c>
      <c r="Q307" s="74">
        <f>'Trade Data'!D20</f>
        <v>3.1016734840790141</v>
      </c>
      <c r="R307" s="35">
        <v>1</v>
      </c>
    </row>
    <row r="308" spans="1:18" ht="20.100000000000001" customHeight="1">
      <c r="A308" s="44" t="s">
        <v>106</v>
      </c>
      <c r="B308" s="44" t="s">
        <v>580</v>
      </c>
      <c r="C308" s="59">
        <v>0</v>
      </c>
      <c r="D308" s="47">
        <f>'Sectors % GDP'!G24</f>
        <v>41515</v>
      </c>
      <c r="E308" s="47">
        <f t="shared" si="8"/>
        <v>0</v>
      </c>
      <c r="F308" s="47">
        <v>0</v>
      </c>
      <c r="G308" s="49">
        <v>0</v>
      </c>
      <c r="H308" s="47">
        <v>0</v>
      </c>
      <c r="I308" s="48">
        <v>56.36</v>
      </c>
      <c r="J308" s="48">
        <v>55.59</v>
      </c>
      <c r="K308" s="48">
        <v>77.510000000000005</v>
      </c>
      <c r="L308" s="49">
        <v>32.9</v>
      </c>
      <c r="M308" s="72">
        <f t="shared" si="9"/>
        <v>2.2999999999999998</v>
      </c>
      <c r="N308" s="36">
        <v>2.3E-2</v>
      </c>
      <c r="O308" s="68">
        <v>22.653749999999995</v>
      </c>
      <c r="P308" s="73">
        <v>5</v>
      </c>
      <c r="Q308" s="74">
        <f>'Trade Data'!D20</f>
        <v>3.1016734840790141</v>
      </c>
      <c r="R308" s="37">
        <v>0</v>
      </c>
    </row>
    <row r="309" spans="1:18" ht="20.100000000000001" customHeight="1">
      <c r="A309" s="44" t="s">
        <v>106</v>
      </c>
      <c r="B309" s="44" t="s">
        <v>579</v>
      </c>
      <c r="C309" s="59">
        <f>'Thomson Reuters IMA  ($)'!I590+'Thomson Reuters IMA  ($)'!I591+'Thomson Reuters IMA  ($)'!I593</f>
        <v>111.133</v>
      </c>
      <c r="D309" s="47">
        <f>'Sectors % GDP'!G25</f>
        <v>375935</v>
      </c>
      <c r="E309" s="47">
        <f t="shared" si="8"/>
        <v>2.9561759346695573E-4</v>
      </c>
      <c r="F309" s="47">
        <v>1</v>
      </c>
      <c r="G309" s="49">
        <v>1</v>
      </c>
      <c r="H309" s="47">
        <v>8</v>
      </c>
      <c r="I309" s="48">
        <v>56.36</v>
      </c>
      <c r="J309" s="48">
        <v>55.59</v>
      </c>
      <c r="K309" s="48">
        <v>77.510000000000005</v>
      </c>
      <c r="L309" s="49">
        <v>32.9</v>
      </c>
      <c r="M309" s="72">
        <f t="shared" si="9"/>
        <v>2.2999999999999998</v>
      </c>
      <c r="N309" s="36">
        <v>2.3E-2</v>
      </c>
      <c r="O309" s="68">
        <v>22.653749999999995</v>
      </c>
      <c r="P309" s="73">
        <v>5</v>
      </c>
      <c r="Q309" s="74">
        <f>'Trade Data'!D20</f>
        <v>3.1016734840790141</v>
      </c>
      <c r="R309" s="37">
        <v>1</v>
      </c>
    </row>
    <row r="310" spans="1:18" ht="20.100000000000001" customHeight="1">
      <c r="A310" s="44" t="s">
        <v>106</v>
      </c>
      <c r="B310" s="44" t="s">
        <v>578</v>
      </c>
      <c r="C310" s="59">
        <f>'Thomson Reuters IMA  ($)'!I592+'Thomson Reuters IMA  ($)'!I594+'Thomson Reuters IMA  ($)'!I595</f>
        <v>2533.1669999999999</v>
      </c>
      <c r="D310" s="47">
        <f>'Sectors % GDP'!G26</f>
        <v>732550</v>
      </c>
      <c r="E310" s="47">
        <f t="shared" si="8"/>
        <v>3.4580124223602482E-3</v>
      </c>
      <c r="F310" s="47">
        <v>1</v>
      </c>
      <c r="G310" s="49">
        <v>1</v>
      </c>
      <c r="H310" s="47">
        <v>6</v>
      </c>
      <c r="I310" s="48">
        <v>56.36</v>
      </c>
      <c r="J310" s="48">
        <v>55.59</v>
      </c>
      <c r="K310" s="48">
        <v>77.510000000000005</v>
      </c>
      <c r="L310" s="49">
        <v>32.9</v>
      </c>
      <c r="M310" s="72">
        <f t="shared" si="9"/>
        <v>2.2999999999999998</v>
      </c>
      <c r="N310" s="36">
        <v>2.3E-2</v>
      </c>
      <c r="O310" s="68">
        <v>22.653749999999995</v>
      </c>
      <c r="P310" s="73">
        <v>5</v>
      </c>
      <c r="Q310" s="74">
        <f>'Trade Data'!D20</f>
        <v>3.1016734840790141</v>
      </c>
      <c r="R310" s="37">
        <v>1</v>
      </c>
    </row>
    <row r="311" spans="1:18" ht="20.100000000000001" customHeight="1">
      <c r="A311" s="44" t="s">
        <v>107</v>
      </c>
      <c r="B311" s="44" t="s">
        <v>577</v>
      </c>
      <c r="C311" s="59">
        <v>0</v>
      </c>
      <c r="D311" s="47">
        <f>'Sectors % GDP'!G24</f>
        <v>41515</v>
      </c>
      <c r="E311" s="47">
        <f t="shared" si="8"/>
        <v>0</v>
      </c>
      <c r="F311" s="47">
        <v>0</v>
      </c>
      <c r="G311" s="49">
        <v>0</v>
      </c>
      <c r="H311" s="47">
        <v>0</v>
      </c>
      <c r="I311" s="48">
        <v>49.89</v>
      </c>
      <c r="J311" s="48">
        <v>43.32</v>
      </c>
      <c r="K311" s="48">
        <v>73.760000000000005</v>
      </c>
      <c r="L311" s="49">
        <v>32.9</v>
      </c>
      <c r="M311" s="72">
        <f t="shared" si="9"/>
        <v>2.6</v>
      </c>
      <c r="N311" s="36">
        <v>2.5999999999999999E-2</v>
      </c>
      <c r="O311" s="68">
        <v>16.602499999999999</v>
      </c>
      <c r="P311" s="73">
        <v>5.75</v>
      </c>
      <c r="Q311" s="74">
        <f>'Trade Data'!F20</f>
        <v>3.4735540112673915</v>
      </c>
      <c r="R311" s="35">
        <v>0</v>
      </c>
    </row>
    <row r="312" spans="1:18" ht="20.100000000000001" customHeight="1">
      <c r="A312" s="44" t="s">
        <v>107</v>
      </c>
      <c r="B312" s="44" t="s">
        <v>576</v>
      </c>
      <c r="C312" s="59">
        <f>SUM('Thomson Reuters IMA  ($)'!I596:I603)+'Thomson Reuters IMA  ($)'!I608</f>
        <v>2218.3329999999996</v>
      </c>
      <c r="D312" s="47">
        <f>'Sectors % GDP'!G25</f>
        <v>375935</v>
      </c>
      <c r="E312" s="47">
        <f t="shared" si="8"/>
        <v>5.9008419008605203E-3</v>
      </c>
      <c r="F312" s="47">
        <v>1</v>
      </c>
      <c r="G312" s="49">
        <v>1</v>
      </c>
      <c r="H312" s="47">
        <v>15</v>
      </c>
      <c r="I312" s="48">
        <v>49.89</v>
      </c>
      <c r="J312" s="48">
        <v>43.32</v>
      </c>
      <c r="K312" s="48">
        <v>73.760000000000005</v>
      </c>
      <c r="L312" s="49">
        <v>32.9</v>
      </c>
      <c r="M312" s="72">
        <f t="shared" si="9"/>
        <v>2.6</v>
      </c>
      <c r="N312" s="36">
        <v>2.5999999999999999E-2</v>
      </c>
      <c r="O312" s="68">
        <v>16.602499999999999</v>
      </c>
      <c r="P312" s="73">
        <v>5.75</v>
      </c>
      <c r="Q312" s="74">
        <f>'Trade Data'!F20</f>
        <v>3.4735540112673915</v>
      </c>
      <c r="R312" s="35">
        <v>1</v>
      </c>
    </row>
    <row r="313" spans="1:18" ht="20.100000000000001" customHeight="1">
      <c r="A313" s="44" t="s">
        <v>107</v>
      </c>
      <c r="B313" s="44" t="s">
        <v>575</v>
      </c>
      <c r="C313" s="59">
        <f>SUM('Thomson Reuters IMA  ($)'!I604:I607)</f>
        <v>463.98699999999997</v>
      </c>
      <c r="D313" s="47">
        <f>'Sectors % GDP'!G26</f>
        <v>732550</v>
      </c>
      <c r="E313" s="47">
        <f t="shared" si="8"/>
        <v>6.3338611698860142E-4</v>
      </c>
      <c r="F313" s="47">
        <v>1</v>
      </c>
      <c r="G313" s="49">
        <v>1</v>
      </c>
      <c r="H313" s="47">
        <v>20</v>
      </c>
      <c r="I313" s="48">
        <v>49.89</v>
      </c>
      <c r="J313" s="48">
        <v>43.32</v>
      </c>
      <c r="K313" s="48">
        <v>73.760000000000005</v>
      </c>
      <c r="L313" s="49">
        <v>32.9</v>
      </c>
      <c r="M313" s="72">
        <f t="shared" si="9"/>
        <v>2.6</v>
      </c>
      <c r="N313" s="36">
        <v>2.5999999999999999E-2</v>
      </c>
      <c r="O313" s="68">
        <v>16.602499999999999</v>
      </c>
      <c r="P313" s="73">
        <v>5.75</v>
      </c>
      <c r="Q313" s="74">
        <f>'Trade Data'!F20</f>
        <v>3.4735540112673915</v>
      </c>
      <c r="R313" s="35">
        <v>1</v>
      </c>
    </row>
    <row r="314" spans="1:18" ht="20.100000000000001" customHeight="1">
      <c r="A314" s="44" t="s">
        <v>108</v>
      </c>
      <c r="B314" s="44" t="s">
        <v>574</v>
      </c>
      <c r="C314" s="59">
        <v>0</v>
      </c>
      <c r="D314" s="47">
        <f>'Sectors % GDP'!G24</f>
        <v>41515</v>
      </c>
      <c r="E314" s="47">
        <f t="shared" si="8"/>
        <v>0</v>
      </c>
      <c r="F314" s="47">
        <v>0</v>
      </c>
      <c r="G314" s="49">
        <v>1</v>
      </c>
      <c r="H314" s="47">
        <v>1</v>
      </c>
      <c r="I314" s="48">
        <v>55.63</v>
      </c>
      <c r="J314" s="48">
        <v>64.19</v>
      </c>
      <c r="K314" s="49">
        <v>68.38</v>
      </c>
      <c r="L314" s="49">
        <v>32.9</v>
      </c>
      <c r="M314" s="72">
        <f t="shared" si="9"/>
        <v>2.6</v>
      </c>
      <c r="N314" s="36">
        <v>2.5999999999999999E-2</v>
      </c>
      <c r="O314" s="68">
        <v>17.572500000000005</v>
      </c>
      <c r="P314" s="73">
        <v>5.75</v>
      </c>
      <c r="Q314" s="74">
        <f>'Trade Data'!F20</f>
        <v>3.4735540112673915</v>
      </c>
      <c r="R314" s="37">
        <v>0</v>
      </c>
    </row>
    <row r="315" spans="1:18" ht="20.100000000000001" customHeight="1">
      <c r="A315" s="44" t="s">
        <v>108</v>
      </c>
      <c r="B315" s="44" t="s">
        <v>573</v>
      </c>
      <c r="C315" s="59">
        <f>SUM('Thomson Reuters IMA  ($)'!I609:I622)-'Thomson Reuters IMA  ($)'!I619-'Thomson Reuters IMA  ($)'!I615</f>
        <v>296.86799999999999</v>
      </c>
      <c r="D315" s="47">
        <f>'Sectors % GDP'!G25</f>
        <v>375935</v>
      </c>
      <c r="E315" s="47">
        <f t="shared" si="8"/>
        <v>7.896790668599625E-4</v>
      </c>
      <c r="F315" s="47">
        <v>1</v>
      </c>
      <c r="G315" s="49">
        <v>1</v>
      </c>
      <c r="H315" s="47">
        <v>16</v>
      </c>
      <c r="I315" s="48">
        <v>55.63</v>
      </c>
      <c r="J315" s="48">
        <v>64.19</v>
      </c>
      <c r="K315" s="49">
        <v>68.38</v>
      </c>
      <c r="L315" s="49">
        <v>32.9</v>
      </c>
      <c r="M315" s="72">
        <f t="shared" si="9"/>
        <v>2.6</v>
      </c>
      <c r="N315" s="36">
        <v>2.5999999999999999E-2</v>
      </c>
      <c r="O315" s="68">
        <v>17.572500000000005</v>
      </c>
      <c r="P315" s="73">
        <v>5.75</v>
      </c>
      <c r="Q315" s="74">
        <f>'Trade Data'!F20</f>
        <v>3.4735540112673915</v>
      </c>
      <c r="R315" s="37">
        <v>1</v>
      </c>
    </row>
    <row r="316" spans="1:18" ht="20.100000000000001" customHeight="1">
      <c r="A316" s="44" t="s">
        <v>108</v>
      </c>
      <c r="B316" s="44" t="s">
        <v>572</v>
      </c>
      <c r="C316" s="59">
        <f>'Thomson Reuters IMA  ($)'!I615+'Thomson Reuters IMA  ($)'!I619</f>
        <v>47</v>
      </c>
      <c r="D316" s="47">
        <f>'Sectors % GDP'!G26</f>
        <v>732550</v>
      </c>
      <c r="E316" s="47">
        <f t="shared" si="8"/>
        <v>6.4159443041430616E-5</v>
      </c>
      <c r="F316" s="47">
        <v>1</v>
      </c>
      <c r="G316" s="49">
        <v>1</v>
      </c>
      <c r="H316" s="47">
        <v>9</v>
      </c>
      <c r="I316" s="48">
        <v>55.63</v>
      </c>
      <c r="J316" s="48">
        <v>64.19</v>
      </c>
      <c r="K316" s="49">
        <v>68.38</v>
      </c>
      <c r="L316" s="49">
        <v>32.9</v>
      </c>
      <c r="M316" s="72">
        <f t="shared" si="9"/>
        <v>2.6</v>
      </c>
      <c r="N316" s="36">
        <v>2.5999999999999999E-2</v>
      </c>
      <c r="O316" s="68">
        <v>17.572500000000005</v>
      </c>
      <c r="P316" s="73">
        <v>5.75</v>
      </c>
      <c r="Q316" s="74">
        <f>'Trade Data'!F20</f>
        <v>3.4735540112673915</v>
      </c>
      <c r="R316" s="37">
        <v>1</v>
      </c>
    </row>
    <row r="317" spans="1:18" ht="20.100000000000001" customHeight="1">
      <c r="A317" s="44" t="s">
        <v>109</v>
      </c>
      <c r="B317" s="44" t="s">
        <v>571</v>
      </c>
      <c r="C317" s="59">
        <v>0</v>
      </c>
      <c r="D317" s="47">
        <f>'Sectors % GDP'!G24</f>
        <v>41515</v>
      </c>
      <c r="E317" s="47">
        <f t="shared" si="8"/>
        <v>0</v>
      </c>
      <c r="F317" s="47">
        <v>0</v>
      </c>
      <c r="G317" s="49">
        <v>0</v>
      </c>
      <c r="H317" s="47">
        <v>0</v>
      </c>
      <c r="I317" s="48">
        <v>51.9</v>
      </c>
      <c r="J317" s="48">
        <v>52.64</v>
      </c>
      <c r="K317" s="49">
        <v>69.47</v>
      </c>
      <c r="L317" s="49">
        <v>32.9</v>
      </c>
      <c r="M317" s="72">
        <f t="shared" si="9"/>
        <v>2.6</v>
      </c>
      <c r="N317" s="36">
        <v>2.5999999999999999E-2</v>
      </c>
      <c r="O317" s="68">
        <v>20.952499999999997</v>
      </c>
      <c r="P317" s="73">
        <v>5.75</v>
      </c>
      <c r="Q317" s="74">
        <f>'Trade Data'!F20</f>
        <v>3.4735540112673915</v>
      </c>
      <c r="R317" s="35">
        <v>0</v>
      </c>
    </row>
    <row r="318" spans="1:18" ht="20.100000000000001" customHeight="1">
      <c r="A318" s="44" t="s">
        <v>109</v>
      </c>
      <c r="B318" s="44" t="s">
        <v>570</v>
      </c>
      <c r="C318" s="59">
        <f>SUM('Thomson Reuters IMA  ($)'!I623:I625)+'Thomson Reuters IMA  ($)'!I628</f>
        <v>2733.5210000000002</v>
      </c>
      <c r="D318" s="47">
        <f>'Sectors % GDP'!G25</f>
        <v>375935</v>
      </c>
      <c r="E318" s="47">
        <f t="shared" si="8"/>
        <v>7.271259659249605E-3</v>
      </c>
      <c r="F318" s="47">
        <v>1</v>
      </c>
      <c r="G318" s="49">
        <v>1</v>
      </c>
      <c r="H318" s="47">
        <v>10</v>
      </c>
      <c r="I318" s="48">
        <v>51.9</v>
      </c>
      <c r="J318" s="48">
        <v>52.64</v>
      </c>
      <c r="K318" s="49">
        <v>69.47</v>
      </c>
      <c r="L318" s="49">
        <v>32.9</v>
      </c>
      <c r="M318" s="72">
        <f t="shared" si="9"/>
        <v>2.6</v>
      </c>
      <c r="N318" s="36">
        <v>2.5999999999999999E-2</v>
      </c>
      <c r="O318" s="68">
        <v>20.952499999999997</v>
      </c>
      <c r="P318" s="73">
        <v>5.75</v>
      </c>
      <c r="Q318" s="74">
        <f>'Trade Data'!F20</f>
        <v>3.4735540112673915</v>
      </c>
      <c r="R318" s="35">
        <v>1</v>
      </c>
    </row>
    <row r="319" spans="1:18" ht="20.100000000000001" customHeight="1">
      <c r="A319" s="44" t="s">
        <v>109</v>
      </c>
      <c r="B319" s="44" t="s">
        <v>569</v>
      </c>
      <c r="C319" s="59">
        <f>'Thomson Reuters IMA  ($)'!I626+'Thomson Reuters IMA  ($)'!I627</f>
        <v>1820.499</v>
      </c>
      <c r="D319" s="47">
        <f>'Sectors % GDP'!G26</f>
        <v>732550</v>
      </c>
      <c r="E319" s="47">
        <f t="shared" si="8"/>
        <v>2.4851532318613066E-3</v>
      </c>
      <c r="F319" s="47">
        <v>1</v>
      </c>
      <c r="G319" s="49">
        <v>1</v>
      </c>
      <c r="H319" s="47">
        <v>8</v>
      </c>
      <c r="I319" s="48">
        <v>51.9</v>
      </c>
      <c r="J319" s="48">
        <v>52.64</v>
      </c>
      <c r="K319" s="49">
        <v>69.47</v>
      </c>
      <c r="L319" s="49">
        <v>32.9</v>
      </c>
      <c r="M319" s="72">
        <f t="shared" si="9"/>
        <v>2.6</v>
      </c>
      <c r="N319" s="36">
        <v>2.5999999999999999E-2</v>
      </c>
      <c r="O319" s="68">
        <v>20.952499999999997</v>
      </c>
      <c r="P319" s="73">
        <v>5.75</v>
      </c>
      <c r="Q319" s="74">
        <f>'Trade Data'!F20</f>
        <v>3.4735540112673915</v>
      </c>
      <c r="R319" s="35">
        <v>1</v>
      </c>
    </row>
    <row r="320" spans="1:18" ht="20.100000000000001" customHeight="1">
      <c r="A320" s="44" t="s">
        <v>110</v>
      </c>
      <c r="B320" s="44" t="s">
        <v>568</v>
      </c>
      <c r="C320" s="59">
        <v>0</v>
      </c>
      <c r="D320" s="47">
        <f>'Sectors % GDP'!I24</f>
        <v>40425</v>
      </c>
      <c r="E320" s="47">
        <f t="shared" si="8"/>
        <v>0</v>
      </c>
      <c r="F320" s="47">
        <v>0</v>
      </c>
      <c r="G320" s="49">
        <v>1</v>
      </c>
      <c r="H320" s="47">
        <v>1</v>
      </c>
      <c r="I320" s="48">
        <v>51.92</v>
      </c>
      <c r="J320" s="48">
        <v>54.78</v>
      </c>
      <c r="K320" s="49">
        <v>68.47</v>
      </c>
      <c r="L320" s="49">
        <v>32.549999999999997</v>
      </c>
      <c r="M320" s="72">
        <f t="shared" si="9"/>
        <v>2.6</v>
      </c>
      <c r="N320" s="36">
        <v>2.5999999999999999E-2</v>
      </c>
      <c r="O320" s="68">
        <v>20.626249999999999</v>
      </c>
      <c r="P320" s="73">
        <v>5.75</v>
      </c>
      <c r="Q320" s="74">
        <f>'Trade Data'!F20</f>
        <v>3.4735540112673915</v>
      </c>
      <c r="R320" s="37">
        <v>0</v>
      </c>
    </row>
    <row r="321" spans="1:18" ht="20.100000000000001" customHeight="1">
      <c r="A321" s="44" t="s">
        <v>110</v>
      </c>
      <c r="B321" s="44" t="s">
        <v>567</v>
      </c>
      <c r="C321" s="59">
        <f>SUM('Thomson Reuters IMA  ($)'!I629:I635)-'Thomson Reuters IMA  ($)'!I631-'Thomson Reuters IMA  ($)'!I634</f>
        <v>131.73599999999999</v>
      </c>
      <c r="D321" s="47">
        <f>'Sectors % GDP'!I25</f>
        <v>343245</v>
      </c>
      <c r="E321" s="47">
        <f t="shared" si="8"/>
        <v>3.8379583096621943E-4</v>
      </c>
      <c r="F321" s="47">
        <v>1</v>
      </c>
      <c r="G321" s="49">
        <v>1</v>
      </c>
      <c r="H321" s="47">
        <v>10</v>
      </c>
      <c r="I321" s="48">
        <v>51.92</v>
      </c>
      <c r="J321" s="48">
        <v>54.78</v>
      </c>
      <c r="K321" s="49">
        <v>68.47</v>
      </c>
      <c r="L321" s="49">
        <v>32.549999999999997</v>
      </c>
      <c r="M321" s="72">
        <f t="shared" si="9"/>
        <v>2.6</v>
      </c>
      <c r="N321" s="36">
        <v>2.5999999999999999E-2</v>
      </c>
      <c r="O321" s="68">
        <v>20.626249999999999</v>
      </c>
      <c r="P321" s="73">
        <v>5.75</v>
      </c>
      <c r="Q321" s="74">
        <f>'Trade Data'!F20</f>
        <v>3.4735540112673915</v>
      </c>
      <c r="R321" s="37">
        <v>1</v>
      </c>
    </row>
    <row r="322" spans="1:18" ht="20.100000000000001" customHeight="1">
      <c r="A322" s="44" t="s">
        <v>110</v>
      </c>
      <c r="B322" s="44" t="s">
        <v>566</v>
      </c>
      <c r="C322" s="59">
        <f>'Thomson Reuters IMA  ($)'!I634+'Thomson Reuters IMA  ($)'!I631</f>
        <v>62.5</v>
      </c>
      <c r="D322" s="47">
        <f>'Sectors % GDP'!I26</f>
        <v>666330</v>
      </c>
      <c r="E322" s="47">
        <f t="shared" ref="E322:E385" si="10">C322/D322</f>
        <v>9.3797367670673688E-5</v>
      </c>
      <c r="F322" s="47">
        <v>1</v>
      </c>
      <c r="G322" s="49">
        <v>1</v>
      </c>
      <c r="H322" s="47">
        <v>4</v>
      </c>
      <c r="I322" s="48">
        <v>51.92</v>
      </c>
      <c r="J322" s="48">
        <v>54.78</v>
      </c>
      <c r="K322" s="49">
        <v>68.47</v>
      </c>
      <c r="L322" s="49">
        <v>32.549999999999997</v>
      </c>
      <c r="M322" s="72">
        <f t="shared" si="9"/>
        <v>2.6</v>
      </c>
      <c r="N322" s="36">
        <v>2.5999999999999999E-2</v>
      </c>
      <c r="O322" s="68">
        <v>20.626249999999999</v>
      </c>
      <c r="P322" s="73">
        <v>5.75</v>
      </c>
      <c r="Q322" s="74">
        <f>'Trade Data'!F20</f>
        <v>3.4735540112673915</v>
      </c>
      <c r="R322" s="37">
        <v>1</v>
      </c>
    </row>
    <row r="323" spans="1:18" ht="20.100000000000001" customHeight="1">
      <c r="A323" s="44" t="s">
        <v>111</v>
      </c>
      <c r="B323" s="44" t="s">
        <v>565</v>
      </c>
      <c r="C323" s="59">
        <f>0</f>
        <v>0</v>
      </c>
      <c r="D323" s="47">
        <f>'Sectors % GDP'!I24</f>
        <v>40425</v>
      </c>
      <c r="E323" s="47">
        <f t="shared" si="10"/>
        <v>0</v>
      </c>
      <c r="F323" s="47">
        <v>0</v>
      </c>
      <c r="G323" s="49">
        <v>0</v>
      </c>
      <c r="H323" s="47">
        <v>0</v>
      </c>
      <c r="I323" s="48">
        <v>55.45</v>
      </c>
      <c r="J323" s="48">
        <v>60.95</v>
      </c>
      <c r="K323" s="49">
        <v>70.89</v>
      </c>
      <c r="L323" s="49">
        <v>32.549999999999997</v>
      </c>
      <c r="M323" s="72">
        <f t="shared" ref="M323:M386" si="11">N323*100</f>
        <v>2.2999999999999998</v>
      </c>
      <c r="N323" s="36">
        <v>2.3E-2</v>
      </c>
      <c r="O323" s="68">
        <v>18.825000000000003</v>
      </c>
      <c r="P323" s="73">
        <v>6.25</v>
      </c>
      <c r="Q323" s="74">
        <f>'Trade Data'!H20</f>
        <v>3.6441271351698408</v>
      </c>
      <c r="R323" s="35">
        <v>0</v>
      </c>
    </row>
    <row r="324" spans="1:18" ht="20.100000000000001" customHeight="1">
      <c r="A324" s="44" t="s">
        <v>111</v>
      </c>
      <c r="B324" s="44" t="s">
        <v>564</v>
      </c>
      <c r="C324" s="59">
        <f>'Thomson Reuters IMA  ($)'!I636+'Thomson Reuters IMA  ($)'!I637+'Thomson Reuters IMA  ($)'!I639</f>
        <v>58.375999999999998</v>
      </c>
      <c r="D324" s="47">
        <f>'Sectors % GDP'!I25</f>
        <v>343245</v>
      </c>
      <c r="E324" s="47">
        <f t="shared" si="10"/>
        <v>1.7007094058180017E-4</v>
      </c>
      <c r="F324" s="47">
        <v>1</v>
      </c>
      <c r="G324" s="49">
        <v>1</v>
      </c>
      <c r="H324" s="47">
        <v>14</v>
      </c>
      <c r="I324" s="48">
        <v>55.45</v>
      </c>
      <c r="J324" s="48">
        <v>60.95</v>
      </c>
      <c r="K324" s="49">
        <v>70.89</v>
      </c>
      <c r="L324" s="49">
        <v>32.549999999999997</v>
      </c>
      <c r="M324" s="72">
        <f t="shared" si="11"/>
        <v>2.2999999999999998</v>
      </c>
      <c r="N324" s="36">
        <v>2.3E-2</v>
      </c>
      <c r="O324" s="68">
        <v>18.825000000000003</v>
      </c>
      <c r="P324" s="73">
        <v>6.25</v>
      </c>
      <c r="Q324" s="74">
        <f>'Trade Data'!H20</f>
        <v>3.6441271351698408</v>
      </c>
      <c r="R324" s="35">
        <v>1</v>
      </c>
    </row>
    <row r="325" spans="1:18" ht="20.100000000000001" customHeight="1">
      <c r="A325" s="44" t="s">
        <v>111</v>
      </c>
      <c r="B325" s="44" t="s">
        <v>563</v>
      </c>
      <c r="C325" s="59">
        <f>'Thomson Reuters IMA  ($)'!I638+'Thomson Reuters IMA  ($)'!I640+'Thomson Reuters IMA  ($)'!I641</f>
        <v>1116.492</v>
      </c>
      <c r="D325" s="47">
        <f>'Sectors % GDP'!I26</f>
        <v>666330</v>
      </c>
      <c r="E325" s="47">
        <f t="shared" si="10"/>
        <v>1.6755841700058529E-3</v>
      </c>
      <c r="F325" s="47">
        <v>1</v>
      </c>
      <c r="G325" s="49">
        <v>1</v>
      </c>
      <c r="H325" s="47">
        <v>14</v>
      </c>
      <c r="I325" s="48">
        <v>55.45</v>
      </c>
      <c r="J325" s="48">
        <v>60.95</v>
      </c>
      <c r="K325" s="49">
        <v>70.89</v>
      </c>
      <c r="L325" s="49">
        <v>32.549999999999997</v>
      </c>
      <c r="M325" s="72">
        <f t="shared" si="11"/>
        <v>2.2999999999999998</v>
      </c>
      <c r="N325" s="36">
        <v>2.3E-2</v>
      </c>
      <c r="O325" s="68">
        <v>18.825000000000003</v>
      </c>
      <c r="P325" s="73">
        <v>6.25</v>
      </c>
      <c r="Q325" s="74">
        <f>'Trade Data'!H20</f>
        <v>3.6441271351698408</v>
      </c>
      <c r="R325" s="35">
        <v>1</v>
      </c>
    </row>
    <row r="326" spans="1:18" ht="20.100000000000001" customHeight="1">
      <c r="A326" s="44" t="s">
        <v>113</v>
      </c>
      <c r="B326" s="44" t="s">
        <v>562</v>
      </c>
      <c r="C326" s="59">
        <v>0</v>
      </c>
      <c r="D326" s="47">
        <f>'Sectors % GDP'!I24</f>
        <v>40425</v>
      </c>
      <c r="E326" s="47">
        <f t="shared" si="10"/>
        <v>0</v>
      </c>
      <c r="F326" s="47">
        <v>0</v>
      </c>
      <c r="G326" s="49">
        <v>0</v>
      </c>
      <c r="H326" s="47">
        <v>0</v>
      </c>
      <c r="I326" s="48">
        <v>46.03</v>
      </c>
      <c r="J326" s="48">
        <v>33.020000000000003</v>
      </c>
      <c r="K326" s="49">
        <v>73.25</v>
      </c>
      <c r="L326" s="49">
        <v>32.549999999999997</v>
      </c>
      <c r="M326" s="72">
        <f t="shared" si="11"/>
        <v>2.2999999999999998</v>
      </c>
      <c r="N326" s="36">
        <v>2.3E-2</v>
      </c>
      <c r="O326" s="68">
        <v>11.058750000000003</v>
      </c>
      <c r="P326" s="73">
        <v>6.25</v>
      </c>
      <c r="Q326" s="74">
        <f>'Trade Data'!H20</f>
        <v>3.6441271351698408</v>
      </c>
      <c r="R326" s="37">
        <v>0</v>
      </c>
    </row>
    <row r="327" spans="1:18" ht="20.100000000000001" customHeight="1">
      <c r="A327" s="44" t="s">
        <v>113</v>
      </c>
      <c r="B327" s="44" t="s">
        <v>561</v>
      </c>
      <c r="C327" s="59">
        <f>'Thomson Reuters IMA  ($)'!I643+'Thomson Reuters IMA  ($)'!I644+'Thomson Reuters IMA  ($)'!I645</f>
        <v>150.36800000000002</v>
      </c>
      <c r="D327" s="47">
        <f>'Sectors % GDP'!I25</f>
        <v>343245</v>
      </c>
      <c r="E327" s="47">
        <f t="shared" si="10"/>
        <v>4.3807775786974324E-4</v>
      </c>
      <c r="F327" s="47">
        <v>1</v>
      </c>
      <c r="G327" s="49">
        <v>1</v>
      </c>
      <c r="H327" s="47">
        <v>10</v>
      </c>
      <c r="I327" s="48">
        <v>46.03</v>
      </c>
      <c r="J327" s="48">
        <v>33.020000000000003</v>
      </c>
      <c r="K327" s="49">
        <v>73.25</v>
      </c>
      <c r="L327" s="49">
        <v>32.549999999999997</v>
      </c>
      <c r="M327" s="72">
        <f t="shared" si="11"/>
        <v>2.2999999999999998</v>
      </c>
      <c r="N327" s="36">
        <v>2.3E-2</v>
      </c>
      <c r="O327" s="68">
        <v>11.058750000000003</v>
      </c>
      <c r="P327" s="73">
        <v>6.25</v>
      </c>
      <c r="Q327" s="74">
        <f>'Trade Data'!H20</f>
        <v>3.6441271351698408</v>
      </c>
      <c r="R327" s="37">
        <v>1</v>
      </c>
    </row>
    <row r="328" spans="1:18" ht="20.100000000000001" customHeight="1">
      <c r="A328" s="44" t="s">
        <v>113</v>
      </c>
      <c r="B328" s="44" t="s">
        <v>560</v>
      </c>
      <c r="C328" s="59">
        <f>'Thomson Reuters IMA  ($)'!I642</f>
        <v>1.333</v>
      </c>
      <c r="D328" s="47">
        <f>'Sectors % GDP'!I26</f>
        <v>666330</v>
      </c>
      <c r="E328" s="47">
        <f t="shared" si="10"/>
        <v>2.0005102576801285E-6</v>
      </c>
      <c r="F328" s="47">
        <v>1</v>
      </c>
      <c r="G328" s="49">
        <v>1</v>
      </c>
      <c r="H328" s="47">
        <v>7</v>
      </c>
      <c r="I328" s="48">
        <v>46.03</v>
      </c>
      <c r="J328" s="48">
        <v>33.020000000000003</v>
      </c>
      <c r="K328" s="49">
        <v>73.25</v>
      </c>
      <c r="L328" s="49">
        <v>32.549999999999997</v>
      </c>
      <c r="M328" s="72">
        <f t="shared" si="11"/>
        <v>2.2999999999999998</v>
      </c>
      <c r="N328" s="36">
        <v>2.3E-2</v>
      </c>
      <c r="O328" s="68">
        <v>11.058750000000003</v>
      </c>
      <c r="P328" s="73">
        <v>6.25</v>
      </c>
      <c r="Q328" s="74">
        <f>'Trade Data'!H20</f>
        <v>3.6441271351698408</v>
      </c>
      <c r="R328" s="37">
        <v>1</v>
      </c>
    </row>
    <row r="329" spans="1:18" ht="20.100000000000001" customHeight="1">
      <c r="A329" s="44" t="s">
        <v>114</v>
      </c>
      <c r="B329" s="44" t="s">
        <v>559</v>
      </c>
      <c r="C329" s="59">
        <v>0</v>
      </c>
      <c r="D329" s="47">
        <f>'Sectors % GDP'!I24</f>
        <v>40425</v>
      </c>
      <c r="E329" s="47">
        <f t="shared" si="10"/>
        <v>0</v>
      </c>
      <c r="F329" s="47">
        <v>0</v>
      </c>
      <c r="G329" s="49">
        <v>0</v>
      </c>
      <c r="H329" s="47">
        <v>0</v>
      </c>
      <c r="I329" s="48">
        <v>41.05</v>
      </c>
      <c r="J329" s="48">
        <v>28.19</v>
      </c>
      <c r="K329" s="49">
        <v>67.040000000000006</v>
      </c>
      <c r="L329" s="49">
        <v>32.549999999999997</v>
      </c>
      <c r="M329" s="72">
        <f t="shared" si="11"/>
        <v>2.2999999999999998</v>
      </c>
      <c r="N329" s="36">
        <v>2.3E-2</v>
      </c>
      <c r="O329" s="68">
        <v>7.7124999999999915</v>
      </c>
      <c r="P329" s="73">
        <v>6.25</v>
      </c>
      <c r="Q329" s="74">
        <f>'Trade Data'!H20</f>
        <v>3.6441271351698408</v>
      </c>
      <c r="R329" s="35">
        <v>0</v>
      </c>
    </row>
    <row r="330" spans="1:18" ht="20.100000000000001" customHeight="1">
      <c r="A330" s="44" t="s">
        <v>114</v>
      </c>
      <c r="B330" s="44" t="s">
        <v>558</v>
      </c>
      <c r="C330" s="59">
        <f>'Thomson Reuters IMA  ($)'!I646+'Thomson Reuters IMA  ($)'!I647+'Thomson Reuters IMA  ($)'!I648+'Thomson Reuters IMA  ($)'!I649+'Thomson Reuters IMA  ($)'!I650+'Thomson Reuters IMA  ($)'!I652</f>
        <v>1122.223</v>
      </c>
      <c r="D330" s="47">
        <f>'Sectors % GDP'!I25</f>
        <v>343245</v>
      </c>
      <c r="E330" s="47">
        <f t="shared" si="10"/>
        <v>3.2694518492621888E-3</v>
      </c>
      <c r="F330" s="47">
        <v>1</v>
      </c>
      <c r="G330" s="49">
        <v>1</v>
      </c>
      <c r="H330" s="47">
        <v>13</v>
      </c>
      <c r="I330" s="48">
        <v>41.05</v>
      </c>
      <c r="J330" s="48">
        <v>28.19</v>
      </c>
      <c r="K330" s="49">
        <v>67.040000000000006</v>
      </c>
      <c r="L330" s="49">
        <v>32.549999999999997</v>
      </c>
      <c r="M330" s="72">
        <f t="shared" si="11"/>
        <v>2.2999999999999998</v>
      </c>
      <c r="N330" s="36">
        <v>2.3E-2</v>
      </c>
      <c r="O330" s="68">
        <v>7.7124999999999915</v>
      </c>
      <c r="P330" s="73">
        <v>6.25</v>
      </c>
      <c r="Q330" s="74">
        <f>'Trade Data'!H20</f>
        <v>3.6441271351698408</v>
      </c>
      <c r="R330" s="35">
        <v>1</v>
      </c>
    </row>
    <row r="331" spans="1:18" ht="20.100000000000001" customHeight="1">
      <c r="A331" s="44" t="s">
        <v>114</v>
      </c>
      <c r="B331" s="44" t="s">
        <v>557</v>
      </c>
      <c r="C331" s="59">
        <f>'Thomson Reuters IMA  ($)'!I651</f>
        <v>472.47</v>
      </c>
      <c r="D331" s="47">
        <f>'Sectors % GDP'!I26</f>
        <v>666330</v>
      </c>
      <c r="E331" s="47">
        <f t="shared" si="10"/>
        <v>7.0906307685381119E-4</v>
      </c>
      <c r="F331" s="47">
        <v>1</v>
      </c>
      <c r="G331" s="49">
        <v>1</v>
      </c>
      <c r="H331" s="47">
        <v>5</v>
      </c>
      <c r="I331" s="48">
        <v>41.05</v>
      </c>
      <c r="J331" s="48">
        <v>28.19</v>
      </c>
      <c r="K331" s="49">
        <v>67.040000000000006</v>
      </c>
      <c r="L331" s="49">
        <v>32.549999999999997</v>
      </c>
      <c r="M331" s="72">
        <f t="shared" si="11"/>
        <v>2.2999999999999998</v>
      </c>
      <c r="N331" s="36">
        <v>2.3E-2</v>
      </c>
      <c r="O331" s="68">
        <v>7.7124999999999915</v>
      </c>
      <c r="P331" s="73">
        <v>6.25</v>
      </c>
      <c r="Q331" s="74">
        <f>'Trade Data'!H20</f>
        <v>3.6441271351698408</v>
      </c>
      <c r="R331" s="35">
        <v>1</v>
      </c>
    </row>
    <row r="332" spans="1:18" ht="20.100000000000001" customHeight="1">
      <c r="A332" s="44" t="s">
        <v>115</v>
      </c>
      <c r="B332" s="44" t="s">
        <v>556</v>
      </c>
      <c r="C332" s="59">
        <v>0</v>
      </c>
      <c r="D332" s="47">
        <f>'Sectors % GDP'!K24</f>
        <v>44460</v>
      </c>
      <c r="E332" s="47">
        <f t="shared" si="10"/>
        <v>0</v>
      </c>
      <c r="F332" s="47">
        <v>0</v>
      </c>
      <c r="G332" s="49">
        <v>0</v>
      </c>
      <c r="H332" s="47">
        <v>0</v>
      </c>
      <c r="I332" s="48">
        <v>34.68</v>
      </c>
      <c r="J332" s="48">
        <v>19.809999999999999</v>
      </c>
      <c r="K332" s="49">
        <v>64.87</v>
      </c>
      <c r="L332" s="49">
        <v>28.99</v>
      </c>
      <c r="M332" s="72">
        <f t="shared" si="11"/>
        <v>2.2999999999999998</v>
      </c>
      <c r="N332" s="36">
        <v>2.3E-2</v>
      </c>
      <c r="O332" s="68">
        <v>4.6724999999999994</v>
      </c>
      <c r="P332" s="73">
        <v>6.25</v>
      </c>
      <c r="Q332" s="74">
        <f>'Trade Data'!H20</f>
        <v>3.6441271351698408</v>
      </c>
      <c r="R332" s="37">
        <v>0</v>
      </c>
    </row>
    <row r="333" spans="1:18" ht="20.100000000000001" customHeight="1">
      <c r="A333" s="44" t="s">
        <v>115</v>
      </c>
      <c r="B333" s="44" t="s">
        <v>555</v>
      </c>
      <c r="C333" s="59">
        <f>SUM('Thomson Reuters IMA  ($)'!I653:I665)-'Thomson Reuters IMA  ($)'!I655-'Thomson Reuters IMA  ($)'!I662</f>
        <v>568.26899999999989</v>
      </c>
      <c r="D333" s="47">
        <f>'Sectors % GDP'!K25</f>
        <v>360240</v>
      </c>
      <c r="E333" s="47">
        <f t="shared" si="10"/>
        <v>1.5774733510992669E-3</v>
      </c>
      <c r="F333" s="47">
        <v>1</v>
      </c>
      <c r="G333" s="49">
        <v>1</v>
      </c>
      <c r="H333" s="47">
        <v>14</v>
      </c>
      <c r="I333" s="48">
        <v>34.68</v>
      </c>
      <c r="J333" s="48">
        <v>19.809999999999999</v>
      </c>
      <c r="K333" s="49">
        <v>64.87</v>
      </c>
      <c r="L333" s="49">
        <v>28.99</v>
      </c>
      <c r="M333" s="72">
        <f t="shared" si="11"/>
        <v>2.2999999999999998</v>
      </c>
      <c r="N333" s="36">
        <v>2.3E-2</v>
      </c>
      <c r="O333" s="68">
        <v>4.6724999999999994</v>
      </c>
      <c r="P333" s="73">
        <v>6.25</v>
      </c>
      <c r="Q333" s="74">
        <f>'Trade Data'!H20</f>
        <v>3.6441271351698408</v>
      </c>
      <c r="R333" s="37">
        <v>1</v>
      </c>
    </row>
    <row r="334" spans="1:18" ht="20.100000000000001" customHeight="1">
      <c r="A334" s="44" t="s">
        <v>115</v>
      </c>
      <c r="B334" s="44" t="s">
        <v>554</v>
      </c>
      <c r="C334" s="59">
        <f>'Thomson Reuters IMA  ($)'!I655+'Thomson Reuters IMA  ($)'!I662</f>
        <v>58.994</v>
      </c>
      <c r="D334" s="47">
        <f>'Sectors % GDP'!K26</f>
        <v>729600</v>
      </c>
      <c r="E334" s="47">
        <f t="shared" si="10"/>
        <v>8.0858004385964916E-5</v>
      </c>
      <c r="F334" s="47">
        <v>1</v>
      </c>
      <c r="G334" s="49">
        <v>1</v>
      </c>
      <c r="H334" s="47">
        <v>9</v>
      </c>
      <c r="I334" s="48">
        <v>34.68</v>
      </c>
      <c r="J334" s="48">
        <v>19.809999999999999</v>
      </c>
      <c r="K334" s="49">
        <v>64.87</v>
      </c>
      <c r="L334" s="49">
        <v>28.99</v>
      </c>
      <c r="M334" s="72">
        <f t="shared" si="11"/>
        <v>2.2999999999999998</v>
      </c>
      <c r="N334" s="36">
        <v>2.3E-2</v>
      </c>
      <c r="O334" s="68">
        <v>4.6724999999999994</v>
      </c>
      <c r="P334" s="73">
        <v>6.25</v>
      </c>
      <c r="Q334" s="74">
        <f>'Trade Data'!H20</f>
        <v>3.6441271351698408</v>
      </c>
      <c r="R334" s="37">
        <v>1</v>
      </c>
    </row>
    <row r="335" spans="1:18" ht="20.100000000000001" customHeight="1">
      <c r="A335" s="44" t="s">
        <v>116</v>
      </c>
      <c r="B335" s="44" t="s">
        <v>553</v>
      </c>
      <c r="C335" s="59">
        <v>0</v>
      </c>
      <c r="D335" s="47">
        <f>'Sectors % GDP'!K24</f>
        <v>44460</v>
      </c>
      <c r="E335" s="47">
        <f t="shared" si="10"/>
        <v>0</v>
      </c>
      <c r="F335" s="47">
        <v>0</v>
      </c>
      <c r="G335" s="49">
        <v>0</v>
      </c>
      <c r="H335" s="47">
        <v>0</v>
      </c>
      <c r="I335" s="48">
        <v>47.8</v>
      </c>
      <c r="J335" s="48">
        <v>49.99</v>
      </c>
      <c r="K335" s="49">
        <v>66.92</v>
      </c>
      <c r="L335" s="49">
        <v>28.99</v>
      </c>
      <c r="M335" s="72">
        <f t="shared" si="11"/>
        <v>1.7000000000000002</v>
      </c>
      <c r="N335" s="36">
        <v>1.7000000000000001E-2</v>
      </c>
      <c r="O335" s="68">
        <v>12.549999999999997</v>
      </c>
      <c r="P335" s="73">
        <v>5.69</v>
      </c>
      <c r="Q335" s="74">
        <f>'Trade Data'!J20</f>
        <v>3.6044694241089577</v>
      </c>
      <c r="R335" s="35">
        <v>0</v>
      </c>
    </row>
    <row r="336" spans="1:18" ht="20.100000000000001" customHeight="1">
      <c r="A336" s="44" t="s">
        <v>116</v>
      </c>
      <c r="B336" s="44" t="s">
        <v>552</v>
      </c>
      <c r="C336" s="59">
        <f>'Thomson Reuters IMA  ($)'!I669+'Thomson Reuters IMA  ($)'!I670+'Thomson Reuters IMA  ($)'!I671</f>
        <v>61.454000000000001</v>
      </c>
      <c r="D336" s="47">
        <f>'Sectors % GDP'!K25</f>
        <v>360240</v>
      </c>
      <c r="E336" s="47">
        <f t="shared" si="10"/>
        <v>1.7059182767044194E-4</v>
      </c>
      <c r="F336" s="47">
        <v>1</v>
      </c>
      <c r="G336" s="49">
        <v>1</v>
      </c>
      <c r="H336" s="47">
        <v>10</v>
      </c>
      <c r="I336" s="48">
        <v>47.8</v>
      </c>
      <c r="J336" s="48">
        <v>49.99</v>
      </c>
      <c r="K336" s="49">
        <v>66.92</v>
      </c>
      <c r="L336" s="49">
        <v>28.99</v>
      </c>
      <c r="M336" s="72">
        <f t="shared" si="11"/>
        <v>1.7000000000000002</v>
      </c>
      <c r="N336" s="36">
        <v>1.7000000000000001E-2</v>
      </c>
      <c r="O336" s="68">
        <v>12.549999999999997</v>
      </c>
      <c r="P336" s="73">
        <v>5.69</v>
      </c>
      <c r="Q336" s="74">
        <f>'Trade Data'!J20</f>
        <v>3.6044694241089577</v>
      </c>
      <c r="R336" s="35">
        <v>1</v>
      </c>
    </row>
    <row r="337" spans="1:18" ht="20.100000000000001" customHeight="1">
      <c r="A337" s="44" t="s">
        <v>116</v>
      </c>
      <c r="B337" s="44" t="s">
        <v>551</v>
      </c>
      <c r="C337" s="59">
        <f>'Thomson Reuters IMA  ($)'!I666+'Thomson Reuters IMA  ($)'!I667+'Thomson Reuters IMA  ($)'!I668+'Thomson Reuters IMA  ($)'!I672+'Thomson Reuters IMA  ($)'!I673</f>
        <v>767.29</v>
      </c>
      <c r="D337" s="47">
        <f>'Sectors % GDP'!K26</f>
        <v>729600</v>
      </c>
      <c r="E337" s="47">
        <f t="shared" si="10"/>
        <v>1.0516584429824561E-3</v>
      </c>
      <c r="F337" s="47">
        <v>1</v>
      </c>
      <c r="G337" s="49">
        <v>1</v>
      </c>
      <c r="H337" s="47">
        <v>13</v>
      </c>
      <c r="I337" s="48">
        <v>47.8</v>
      </c>
      <c r="J337" s="48">
        <v>49.99</v>
      </c>
      <c r="K337" s="49">
        <v>66.92</v>
      </c>
      <c r="L337" s="49">
        <v>28.99</v>
      </c>
      <c r="M337" s="72">
        <f t="shared" si="11"/>
        <v>1.7000000000000002</v>
      </c>
      <c r="N337" s="36">
        <v>1.7000000000000001E-2</v>
      </c>
      <c r="O337" s="68">
        <v>12.549999999999997</v>
      </c>
      <c r="P337" s="73">
        <v>5.69</v>
      </c>
      <c r="Q337" s="74">
        <f>'Trade Data'!J20</f>
        <v>3.6044694241089577</v>
      </c>
      <c r="R337" s="35">
        <v>1</v>
      </c>
    </row>
    <row r="338" spans="1:18" ht="20.100000000000001" customHeight="1">
      <c r="A338" s="44" t="s">
        <v>117</v>
      </c>
      <c r="B338" s="44" t="s">
        <v>550</v>
      </c>
      <c r="C338" s="59">
        <v>0</v>
      </c>
      <c r="D338" s="47">
        <f>'Sectors % GDP'!K24</f>
        <v>44460</v>
      </c>
      <c r="E338" s="47">
        <f t="shared" si="10"/>
        <v>0</v>
      </c>
      <c r="F338" s="47">
        <v>0</v>
      </c>
      <c r="G338" s="49">
        <v>0</v>
      </c>
      <c r="H338" s="47">
        <v>0</v>
      </c>
      <c r="I338" s="48">
        <v>47.46</v>
      </c>
      <c r="J338" s="48">
        <v>48.56</v>
      </c>
      <c r="K338" s="49">
        <v>66.98</v>
      </c>
      <c r="L338" s="49">
        <v>28.99</v>
      </c>
      <c r="M338" s="72">
        <f t="shared" si="11"/>
        <v>1.7000000000000002</v>
      </c>
      <c r="N338" s="36">
        <v>1.7000000000000001E-2</v>
      </c>
      <c r="O338" s="68">
        <v>15.81625</v>
      </c>
      <c r="P338" s="73">
        <v>5.69</v>
      </c>
      <c r="Q338" s="74">
        <f>'Trade Data'!J20</f>
        <v>3.6044694241089577</v>
      </c>
      <c r="R338" s="37">
        <v>0</v>
      </c>
    </row>
    <row r="339" spans="1:18" ht="20.100000000000001" customHeight="1">
      <c r="A339" s="44" t="s">
        <v>117</v>
      </c>
      <c r="B339" s="44" t="s">
        <v>549</v>
      </c>
      <c r="C339" s="59">
        <f>'Thomson Reuters IMA  ($)'!I674+'Thomson Reuters IMA  ($)'!I678+'Thomson Reuters IMA  ($)'!I679</f>
        <v>185.03100000000001</v>
      </c>
      <c r="D339" s="47">
        <f>'Sectors % GDP'!K25</f>
        <v>360240</v>
      </c>
      <c r="E339" s="47">
        <f t="shared" si="10"/>
        <v>5.1363257828114593E-4</v>
      </c>
      <c r="F339" s="47">
        <v>1</v>
      </c>
      <c r="G339" s="49">
        <v>1</v>
      </c>
      <c r="H339" s="47">
        <v>5</v>
      </c>
      <c r="I339" s="48">
        <v>47.46</v>
      </c>
      <c r="J339" s="48">
        <v>48.56</v>
      </c>
      <c r="K339" s="49">
        <v>66.98</v>
      </c>
      <c r="L339" s="49">
        <v>28.99</v>
      </c>
      <c r="M339" s="72">
        <f t="shared" si="11"/>
        <v>1.7000000000000002</v>
      </c>
      <c r="N339" s="36">
        <v>1.7000000000000001E-2</v>
      </c>
      <c r="O339" s="68">
        <v>15.81625</v>
      </c>
      <c r="P339" s="73">
        <v>5.69</v>
      </c>
      <c r="Q339" s="74">
        <f>'Trade Data'!J20</f>
        <v>3.6044694241089577</v>
      </c>
      <c r="R339" s="37">
        <v>1</v>
      </c>
    </row>
    <row r="340" spans="1:18" ht="20.100000000000001" customHeight="1">
      <c r="A340" s="44" t="s">
        <v>117</v>
      </c>
      <c r="B340" s="44" t="s">
        <v>548</v>
      </c>
      <c r="C340" s="59">
        <f>'Thomson Reuters IMA  ($)'!I675+'Thomson Reuters IMA  ($)'!I676+'Thomson Reuters IMA  ($)'!I677</f>
        <v>39.036999999999999</v>
      </c>
      <c r="D340" s="47">
        <f>'Sectors % GDP'!K26</f>
        <v>729600</v>
      </c>
      <c r="E340" s="47">
        <f t="shared" si="10"/>
        <v>5.3504660087719295E-5</v>
      </c>
      <c r="F340" s="47">
        <v>1</v>
      </c>
      <c r="G340" s="49">
        <v>1</v>
      </c>
      <c r="H340" s="47">
        <v>9</v>
      </c>
      <c r="I340" s="48">
        <v>47.46</v>
      </c>
      <c r="J340" s="48">
        <v>48.56</v>
      </c>
      <c r="K340" s="49">
        <v>66.98</v>
      </c>
      <c r="L340" s="49">
        <v>28.99</v>
      </c>
      <c r="M340" s="72">
        <f t="shared" si="11"/>
        <v>1.7000000000000002</v>
      </c>
      <c r="N340" s="36">
        <v>1.7000000000000001E-2</v>
      </c>
      <c r="O340" s="68">
        <v>15.81625</v>
      </c>
      <c r="P340" s="73">
        <v>5.69</v>
      </c>
      <c r="Q340" s="74">
        <f>'Trade Data'!J20</f>
        <v>3.6044694241089577</v>
      </c>
      <c r="R340" s="37">
        <v>1</v>
      </c>
    </row>
    <row r="341" spans="1:18" ht="20.100000000000001" customHeight="1">
      <c r="A341" s="44" t="s">
        <v>118</v>
      </c>
      <c r="B341" s="44" t="s">
        <v>864</v>
      </c>
      <c r="C341" s="59">
        <v>0</v>
      </c>
      <c r="D341" s="47">
        <f>'Sectors % GDP'!K24</f>
        <v>44460</v>
      </c>
      <c r="E341" s="47">
        <f t="shared" si="10"/>
        <v>0</v>
      </c>
      <c r="F341" s="47">
        <v>0</v>
      </c>
      <c r="G341" s="49">
        <v>0</v>
      </c>
      <c r="H341" s="47">
        <v>0</v>
      </c>
      <c r="I341" s="48">
        <v>48.57</v>
      </c>
      <c r="J341" s="48">
        <v>47.17</v>
      </c>
      <c r="K341" s="49">
        <v>70.67</v>
      </c>
      <c r="L341" s="49">
        <v>28.99</v>
      </c>
      <c r="M341" s="72">
        <f t="shared" si="11"/>
        <v>1.7000000000000002</v>
      </c>
      <c r="N341" s="36">
        <v>1.7000000000000001E-2</v>
      </c>
      <c r="O341" s="68">
        <v>11.18</v>
      </c>
      <c r="P341" s="73">
        <v>5.69</v>
      </c>
      <c r="Q341" s="74">
        <f>'Trade Data'!J20</f>
        <v>3.6044694241089577</v>
      </c>
      <c r="R341" s="35">
        <v>0</v>
      </c>
    </row>
    <row r="342" spans="1:18" ht="20.100000000000001" customHeight="1">
      <c r="A342" s="44" t="s">
        <v>118</v>
      </c>
      <c r="B342" s="44" t="s">
        <v>865</v>
      </c>
      <c r="C342" s="59">
        <f>SUM('Thomson Reuters IMA  ($)'!I680:I691)-'Thomson Reuters IMA  ($)'!I686-'Thomson Reuters IMA  ($)'!I689</f>
        <v>2850.22</v>
      </c>
      <c r="D342" s="47">
        <f>'Sectors % GDP'!K25</f>
        <v>360240</v>
      </c>
      <c r="E342" s="47">
        <f t="shared" si="10"/>
        <v>7.912003109038418E-3</v>
      </c>
      <c r="F342" s="47">
        <v>1</v>
      </c>
      <c r="G342" s="49">
        <v>1</v>
      </c>
      <c r="H342" s="47">
        <v>15</v>
      </c>
      <c r="I342" s="48">
        <v>48.57</v>
      </c>
      <c r="J342" s="48">
        <v>47.17</v>
      </c>
      <c r="K342" s="49">
        <v>70.67</v>
      </c>
      <c r="L342" s="49">
        <v>28.99</v>
      </c>
      <c r="M342" s="72">
        <f t="shared" si="11"/>
        <v>1.7000000000000002</v>
      </c>
      <c r="N342" s="36">
        <v>1.7000000000000001E-2</v>
      </c>
      <c r="O342" s="68">
        <v>11.18</v>
      </c>
      <c r="P342" s="73">
        <v>5.69</v>
      </c>
      <c r="Q342" s="74">
        <f>'Trade Data'!J20</f>
        <v>3.6044694241089577</v>
      </c>
      <c r="R342" s="35">
        <v>1</v>
      </c>
    </row>
    <row r="343" spans="1:18" ht="20.100000000000001" customHeight="1">
      <c r="A343" s="44" t="s">
        <v>118</v>
      </c>
      <c r="B343" s="44" t="s">
        <v>866</v>
      </c>
      <c r="C343" s="59">
        <f>'Thomson Reuters IMA  ($)'!I686+'Thomson Reuters IMA  ($)'!I689</f>
        <v>511.16300000000001</v>
      </c>
      <c r="D343" s="47">
        <f>'Sectors % GDP'!K26</f>
        <v>729600</v>
      </c>
      <c r="E343" s="47">
        <f t="shared" si="10"/>
        <v>7.0060718201754384E-4</v>
      </c>
      <c r="F343" s="47">
        <v>1</v>
      </c>
      <c r="G343" s="49">
        <v>1</v>
      </c>
      <c r="H343" s="47">
        <v>12</v>
      </c>
      <c r="I343" s="48">
        <v>48.57</v>
      </c>
      <c r="J343" s="48">
        <v>47.17</v>
      </c>
      <c r="K343" s="49">
        <v>70.67</v>
      </c>
      <c r="L343" s="49">
        <v>28.99</v>
      </c>
      <c r="M343" s="72">
        <f t="shared" si="11"/>
        <v>1.7000000000000002</v>
      </c>
      <c r="N343" s="36">
        <v>1.7000000000000001E-2</v>
      </c>
      <c r="O343" s="68">
        <v>11.18</v>
      </c>
      <c r="P343" s="73">
        <v>5.69</v>
      </c>
      <c r="Q343" s="74">
        <f>'Trade Data'!J20</f>
        <v>3.6044694241089577</v>
      </c>
      <c r="R343" s="35">
        <v>1</v>
      </c>
    </row>
    <row r="344" spans="1:18" ht="20.100000000000001" customHeight="1">
      <c r="A344" s="44" t="s">
        <v>119</v>
      </c>
      <c r="B344" s="44" t="s">
        <v>547</v>
      </c>
      <c r="C344" s="59">
        <v>0</v>
      </c>
      <c r="D344" s="47">
        <f>'Sectors % GDP'!C28</f>
        <v>14486.28</v>
      </c>
      <c r="E344" s="47">
        <f t="shared" si="10"/>
        <v>0</v>
      </c>
      <c r="F344" s="47">
        <v>0</v>
      </c>
      <c r="G344" s="49">
        <v>0</v>
      </c>
      <c r="H344" s="47">
        <v>0</v>
      </c>
      <c r="I344" s="48">
        <v>65.900000000000006</v>
      </c>
      <c r="J344" s="52">
        <v>72.86</v>
      </c>
      <c r="K344" s="49">
        <v>80.14</v>
      </c>
      <c r="L344" s="49">
        <v>34.54</v>
      </c>
      <c r="M344" s="72">
        <f t="shared" si="11"/>
        <v>5.8999999999999995</v>
      </c>
      <c r="N344" s="36">
        <v>5.8999999999999997E-2</v>
      </c>
      <c r="O344" s="68">
        <v>21.5625</v>
      </c>
      <c r="P344" s="73">
        <v>5.8</v>
      </c>
      <c r="Q344" s="74">
        <f>'Trade Data'!B23</f>
        <v>0.3489494176436016</v>
      </c>
      <c r="R344" s="37">
        <v>0</v>
      </c>
    </row>
    <row r="345" spans="1:18" ht="20.100000000000001" customHeight="1">
      <c r="A345" s="44" t="s">
        <v>119</v>
      </c>
      <c r="B345" s="44" t="s">
        <v>546</v>
      </c>
      <c r="C345" s="59">
        <f>SUM('Thomson Reuters IMA  ($)'!I692:I698)-'Thomson Reuters IMA  ($)'!I695</f>
        <v>1384.91</v>
      </c>
      <c r="D345" s="47">
        <f>'Sectors % GDP'!C29</f>
        <v>73579.22</v>
      </c>
      <c r="E345" s="47">
        <f t="shared" si="10"/>
        <v>1.8822026110089235E-2</v>
      </c>
      <c r="F345" s="47">
        <v>1</v>
      </c>
      <c r="G345" s="49">
        <v>1</v>
      </c>
      <c r="H345" s="47">
        <v>9</v>
      </c>
      <c r="I345" s="48">
        <v>65.900000000000006</v>
      </c>
      <c r="J345" s="52">
        <v>72.86</v>
      </c>
      <c r="K345" s="49">
        <v>80.14</v>
      </c>
      <c r="L345" s="49">
        <v>34.54</v>
      </c>
      <c r="M345" s="72">
        <f t="shared" si="11"/>
        <v>5.8999999999999995</v>
      </c>
      <c r="N345" s="36">
        <v>5.8999999999999997E-2</v>
      </c>
      <c r="O345" s="68">
        <v>21.5625</v>
      </c>
      <c r="P345" s="73">
        <v>5.8</v>
      </c>
      <c r="Q345" s="74">
        <f>'Trade Data'!B23</f>
        <v>0.3489494176436016</v>
      </c>
      <c r="R345" s="37">
        <v>1</v>
      </c>
    </row>
    <row r="346" spans="1:18" ht="20.100000000000001" customHeight="1">
      <c r="A346" s="44" t="s">
        <v>119</v>
      </c>
      <c r="B346" s="44" t="s">
        <v>545</v>
      </c>
      <c r="C346" s="59">
        <f>'Thomson Reuters IMA  ($)'!I695</f>
        <v>12.494</v>
      </c>
      <c r="D346" s="47">
        <f>'Sectors % GDP'!C30</f>
        <v>109834.50000000001</v>
      </c>
      <c r="E346" s="47">
        <f t="shared" si="10"/>
        <v>1.1375296468778024E-4</v>
      </c>
      <c r="F346" s="47">
        <v>1</v>
      </c>
      <c r="G346" s="49">
        <v>1</v>
      </c>
      <c r="H346" s="47">
        <v>5</v>
      </c>
      <c r="I346" s="48">
        <v>65.900000000000006</v>
      </c>
      <c r="J346" s="52">
        <v>72.86</v>
      </c>
      <c r="K346" s="49">
        <v>80.14</v>
      </c>
      <c r="L346" s="49">
        <v>34.54</v>
      </c>
      <c r="M346" s="72">
        <f t="shared" si="11"/>
        <v>5.8999999999999995</v>
      </c>
      <c r="N346" s="36">
        <v>5.8999999999999997E-2</v>
      </c>
      <c r="O346" s="68">
        <v>21.5625</v>
      </c>
      <c r="P346" s="73">
        <v>5.8</v>
      </c>
      <c r="Q346" s="74">
        <f>'Trade Data'!B23</f>
        <v>0.3489494176436016</v>
      </c>
      <c r="R346" s="37">
        <v>1</v>
      </c>
    </row>
    <row r="347" spans="1:18" ht="20.100000000000001" customHeight="1">
      <c r="A347" s="44" t="s">
        <v>120</v>
      </c>
      <c r="B347" s="44" t="s">
        <v>544</v>
      </c>
      <c r="C347" s="59">
        <f>'Thomson Reuters IMA  ($)'!I699</f>
        <v>0.19800000000000001</v>
      </c>
      <c r="D347" s="47">
        <f>'Sectors % GDP'!C28</f>
        <v>14486.28</v>
      </c>
      <c r="E347" s="47">
        <f t="shared" si="10"/>
        <v>1.3668105269261673E-5</v>
      </c>
      <c r="F347" s="47">
        <v>1</v>
      </c>
      <c r="G347" s="49">
        <v>1</v>
      </c>
      <c r="H347" s="47">
        <v>1</v>
      </c>
      <c r="I347" s="48">
        <v>48.81</v>
      </c>
      <c r="J347" s="48">
        <v>31.23</v>
      </c>
      <c r="K347" s="52">
        <v>78.84</v>
      </c>
      <c r="L347" s="49">
        <v>34.54</v>
      </c>
      <c r="M347" s="72">
        <f t="shared" si="11"/>
        <v>5.8999999999999995</v>
      </c>
      <c r="N347" s="36">
        <v>5.8999999999999997E-2</v>
      </c>
      <c r="O347" s="68">
        <v>15.248750000000001</v>
      </c>
      <c r="P347" s="73">
        <v>5.8</v>
      </c>
      <c r="Q347" s="74">
        <f>'Trade Data'!B23</f>
        <v>0.3489494176436016</v>
      </c>
      <c r="R347" s="35">
        <v>0</v>
      </c>
    </row>
    <row r="348" spans="1:18" ht="20.100000000000001" customHeight="1">
      <c r="A348" s="44" t="s">
        <v>120</v>
      </c>
      <c r="B348" s="44" t="s">
        <v>543</v>
      </c>
      <c r="C348" s="59">
        <f>'Thomson Reuters IMA  ($)'!I700+'Thomson Reuters IMA  ($)'!I701+'Thomson Reuters IMA  ($)'!I702</f>
        <v>11.202</v>
      </c>
      <c r="D348" s="47">
        <f>'Sectors % GDP'!C29</f>
        <v>73579.22</v>
      </c>
      <c r="E348" s="47">
        <f t="shared" si="10"/>
        <v>1.5224407108420013E-4</v>
      </c>
      <c r="F348" s="47">
        <v>1</v>
      </c>
      <c r="G348" s="49">
        <v>1</v>
      </c>
      <c r="H348" s="47">
        <v>5</v>
      </c>
      <c r="I348" s="48">
        <v>48.81</v>
      </c>
      <c r="J348" s="48">
        <v>31.23</v>
      </c>
      <c r="K348" s="52">
        <v>78.84</v>
      </c>
      <c r="L348" s="49">
        <v>34.54</v>
      </c>
      <c r="M348" s="72">
        <f t="shared" si="11"/>
        <v>5.8999999999999995</v>
      </c>
      <c r="N348" s="36">
        <v>5.8999999999999997E-2</v>
      </c>
      <c r="O348" s="68">
        <v>15.248750000000001</v>
      </c>
      <c r="P348" s="73">
        <v>5.8</v>
      </c>
      <c r="Q348" s="74">
        <f>'Trade Data'!B23</f>
        <v>0.3489494176436016</v>
      </c>
      <c r="R348" s="35">
        <v>1</v>
      </c>
    </row>
    <row r="349" spans="1:18" ht="20.100000000000001" customHeight="1">
      <c r="A349" s="44" t="s">
        <v>120</v>
      </c>
      <c r="B349" s="44" t="s">
        <v>542</v>
      </c>
      <c r="C349" s="59">
        <v>0</v>
      </c>
      <c r="D349" s="47">
        <f>'Sectors % GDP'!C30</f>
        <v>109834.50000000001</v>
      </c>
      <c r="E349" s="47">
        <f t="shared" si="10"/>
        <v>0</v>
      </c>
      <c r="F349" s="47">
        <v>0</v>
      </c>
      <c r="G349" s="49">
        <v>0</v>
      </c>
      <c r="H349" s="47">
        <v>0</v>
      </c>
      <c r="I349" s="48">
        <v>48.81</v>
      </c>
      <c r="J349" s="48">
        <v>31.23</v>
      </c>
      <c r="K349" s="52">
        <v>78.84</v>
      </c>
      <c r="L349" s="49">
        <v>34.54</v>
      </c>
      <c r="M349" s="72">
        <f t="shared" si="11"/>
        <v>5.8999999999999995</v>
      </c>
      <c r="N349" s="36">
        <v>5.8999999999999997E-2</v>
      </c>
      <c r="O349" s="68">
        <v>15.248750000000001</v>
      </c>
      <c r="P349" s="73">
        <v>5.8</v>
      </c>
      <c r="Q349" s="74">
        <f>'Trade Data'!B23</f>
        <v>0.3489494176436016</v>
      </c>
      <c r="R349" s="35">
        <v>1</v>
      </c>
    </row>
    <row r="350" spans="1:18" ht="20.100000000000001" customHeight="1">
      <c r="A350" s="44" t="s">
        <v>121</v>
      </c>
      <c r="B350" s="44" t="s">
        <v>541</v>
      </c>
      <c r="C350" s="59">
        <v>0</v>
      </c>
      <c r="D350" s="47">
        <f>'Sectors % GDP'!C28</f>
        <v>14486.28</v>
      </c>
      <c r="E350" s="47">
        <f t="shared" si="10"/>
        <v>0</v>
      </c>
      <c r="F350" s="47">
        <v>0</v>
      </c>
      <c r="G350" s="49">
        <v>0</v>
      </c>
      <c r="H350" s="47">
        <v>0</v>
      </c>
      <c r="I350" s="48">
        <v>60.1</v>
      </c>
      <c r="J350" s="48">
        <v>67.989999999999995</v>
      </c>
      <c r="K350" s="52">
        <v>72.400000000000006</v>
      </c>
      <c r="L350" s="49">
        <v>34.54</v>
      </c>
      <c r="M350" s="72">
        <f t="shared" si="11"/>
        <v>5.8999999999999995</v>
      </c>
      <c r="N350" s="36">
        <v>5.8999999999999997E-2</v>
      </c>
      <c r="O350" s="68">
        <v>18.943750000000001</v>
      </c>
      <c r="P350" s="73">
        <v>5.8</v>
      </c>
      <c r="Q350" s="74">
        <f>'Trade Data'!B23</f>
        <v>0.3489494176436016</v>
      </c>
      <c r="R350" s="37">
        <v>0</v>
      </c>
    </row>
    <row r="351" spans="1:18" ht="20.100000000000001" customHeight="1">
      <c r="A351" s="44" t="s">
        <v>121</v>
      </c>
      <c r="B351" s="44" t="s">
        <v>540</v>
      </c>
      <c r="C351" s="59">
        <f>'Thomson Reuters IMA  ($)'!I703+'Thomson Reuters IMA  ($)'!I704+'Thomson Reuters IMA  ($)'!I705+'Thomson Reuters IMA  ($)'!I706</f>
        <v>2611.395</v>
      </c>
      <c r="D351" s="47">
        <f>'Sectors % GDP'!C29</f>
        <v>73579.22</v>
      </c>
      <c r="E351" s="47">
        <f t="shared" si="10"/>
        <v>3.5490930727452671E-2</v>
      </c>
      <c r="F351" s="47">
        <v>1</v>
      </c>
      <c r="G351" s="49">
        <v>1</v>
      </c>
      <c r="H351" s="47">
        <v>5</v>
      </c>
      <c r="I351" s="48">
        <v>60.1</v>
      </c>
      <c r="J351" s="48">
        <v>67.989999999999995</v>
      </c>
      <c r="K351" s="52">
        <v>72.400000000000006</v>
      </c>
      <c r="L351" s="49">
        <v>34.54</v>
      </c>
      <c r="M351" s="72">
        <f t="shared" si="11"/>
        <v>5.8999999999999995</v>
      </c>
      <c r="N351" s="36">
        <v>5.8999999999999997E-2</v>
      </c>
      <c r="O351" s="68">
        <v>18.943750000000001</v>
      </c>
      <c r="P351" s="73">
        <v>5.8</v>
      </c>
      <c r="Q351" s="74">
        <f>'Trade Data'!B23</f>
        <v>0.3489494176436016</v>
      </c>
      <c r="R351" s="37">
        <v>1</v>
      </c>
    </row>
    <row r="352" spans="1:18" ht="20.100000000000001" customHeight="1">
      <c r="A352" s="44" t="s">
        <v>121</v>
      </c>
      <c r="B352" s="44" t="s">
        <v>539</v>
      </c>
      <c r="C352" s="59">
        <v>0</v>
      </c>
      <c r="D352" s="47">
        <f>'Sectors % GDP'!C30</f>
        <v>109834.50000000001</v>
      </c>
      <c r="E352" s="47">
        <f t="shared" si="10"/>
        <v>0</v>
      </c>
      <c r="F352" s="47">
        <v>0</v>
      </c>
      <c r="G352" s="49">
        <v>1</v>
      </c>
      <c r="H352" s="47">
        <v>1</v>
      </c>
      <c r="I352" s="48">
        <v>60.1</v>
      </c>
      <c r="J352" s="48">
        <v>67.989999999999995</v>
      </c>
      <c r="K352" s="52">
        <v>72.400000000000006</v>
      </c>
      <c r="L352" s="49">
        <v>34.54</v>
      </c>
      <c r="M352" s="72">
        <f t="shared" si="11"/>
        <v>5.8999999999999995</v>
      </c>
      <c r="N352" s="36">
        <v>5.8999999999999997E-2</v>
      </c>
      <c r="O352" s="68">
        <v>18.943750000000001</v>
      </c>
      <c r="P352" s="73">
        <v>5.8</v>
      </c>
      <c r="Q352" s="74">
        <f>'Trade Data'!B23</f>
        <v>0.3489494176436016</v>
      </c>
      <c r="R352" s="37">
        <v>1</v>
      </c>
    </row>
    <row r="353" spans="1:18" ht="20.100000000000001" customHeight="1">
      <c r="A353" s="44" t="s">
        <v>122</v>
      </c>
      <c r="B353" s="44" t="s">
        <v>538</v>
      </c>
      <c r="C353" s="59">
        <v>0</v>
      </c>
      <c r="D353" s="47">
        <f>'Sectors % GDP'!E28</f>
        <v>15171.57</v>
      </c>
      <c r="E353" s="47">
        <f t="shared" si="10"/>
        <v>0</v>
      </c>
      <c r="F353" s="47">
        <v>0</v>
      </c>
      <c r="G353" s="49">
        <v>0</v>
      </c>
      <c r="H353" s="47">
        <v>0</v>
      </c>
      <c r="I353" s="48">
        <v>56.92</v>
      </c>
      <c r="J353" s="48">
        <v>63.64</v>
      </c>
      <c r="K353" s="52">
        <v>69.930000000000007</v>
      </c>
      <c r="L353" s="49">
        <v>34.54</v>
      </c>
      <c r="M353" s="72">
        <f t="shared" si="11"/>
        <v>5.8999999999999995</v>
      </c>
      <c r="N353" s="36">
        <v>5.8999999999999997E-2</v>
      </c>
      <c r="O353" s="68">
        <v>20.552500000000002</v>
      </c>
      <c r="P353" s="73">
        <v>5.8</v>
      </c>
      <c r="Q353" s="74">
        <f>'Trade Data'!B23</f>
        <v>0.3489494176436016</v>
      </c>
      <c r="R353" s="35">
        <v>0</v>
      </c>
    </row>
    <row r="354" spans="1:18" ht="20.100000000000001" customHeight="1">
      <c r="A354" s="44" t="s">
        <v>122</v>
      </c>
      <c r="B354" s="44" t="s">
        <v>537</v>
      </c>
      <c r="C354" s="59">
        <f>SUM('Thomson Reuters IMA  ($)'!I707:I711)</f>
        <v>1345.135</v>
      </c>
      <c r="D354" s="47">
        <f>'Sectors % GDP'!E29</f>
        <v>70719.42</v>
      </c>
      <c r="E354" s="47">
        <f t="shared" si="10"/>
        <v>1.9020730090829364E-2</v>
      </c>
      <c r="F354" s="47">
        <v>1</v>
      </c>
      <c r="G354" s="49">
        <v>1</v>
      </c>
      <c r="H354" s="47">
        <v>6</v>
      </c>
      <c r="I354" s="48">
        <v>56.92</v>
      </c>
      <c r="J354" s="48">
        <v>63.64</v>
      </c>
      <c r="K354" s="52">
        <v>69.930000000000007</v>
      </c>
      <c r="L354" s="49">
        <v>34.54</v>
      </c>
      <c r="M354" s="72">
        <f t="shared" si="11"/>
        <v>5.8999999999999995</v>
      </c>
      <c r="N354" s="36">
        <v>5.8999999999999997E-2</v>
      </c>
      <c r="O354" s="68">
        <v>20.552500000000002</v>
      </c>
      <c r="P354" s="73">
        <v>5.8</v>
      </c>
      <c r="Q354" s="74">
        <f>'Trade Data'!B23</f>
        <v>0.3489494176436016</v>
      </c>
      <c r="R354" s="35">
        <v>1</v>
      </c>
    </row>
    <row r="355" spans="1:18" ht="20.100000000000001" customHeight="1">
      <c r="A355" s="44" t="s">
        <v>122</v>
      </c>
      <c r="B355" s="44" t="s">
        <v>536</v>
      </c>
      <c r="C355" s="59">
        <v>0</v>
      </c>
      <c r="D355" s="47">
        <f>'Sectors % GDP'!E30</f>
        <v>117209.01</v>
      </c>
      <c r="E355" s="47">
        <f t="shared" si="10"/>
        <v>0</v>
      </c>
      <c r="F355" s="47">
        <v>0</v>
      </c>
      <c r="G355" s="49">
        <v>1</v>
      </c>
      <c r="H355" s="47">
        <v>2</v>
      </c>
      <c r="I355" s="48">
        <v>56.92</v>
      </c>
      <c r="J355" s="48">
        <v>63.64</v>
      </c>
      <c r="K355" s="52">
        <v>69.930000000000007</v>
      </c>
      <c r="L355" s="49">
        <v>34.54</v>
      </c>
      <c r="M355" s="72">
        <f t="shared" si="11"/>
        <v>5.8999999999999995</v>
      </c>
      <c r="N355" s="36">
        <v>5.8999999999999997E-2</v>
      </c>
      <c r="O355" s="68">
        <v>20.552500000000002</v>
      </c>
      <c r="P355" s="73">
        <v>5.8</v>
      </c>
      <c r="Q355" s="74">
        <f>'Trade Data'!B23</f>
        <v>0.3489494176436016</v>
      </c>
      <c r="R355" s="35">
        <v>1</v>
      </c>
    </row>
    <row r="356" spans="1:18" ht="20.100000000000001" customHeight="1">
      <c r="A356" s="44" t="s">
        <v>123</v>
      </c>
      <c r="B356" s="44" t="s">
        <v>535</v>
      </c>
      <c r="C356" s="59">
        <v>0</v>
      </c>
      <c r="D356" s="47">
        <f>'Sectors % GDP'!E28</f>
        <v>15171.57</v>
      </c>
      <c r="E356" s="47">
        <f t="shared" si="10"/>
        <v>0</v>
      </c>
      <c r="F356" s="47">
        <v>0</v>
      </c>
      <c r="G356" s="49">
        <v>0</v>
      </c>
      <c r="H356" s="47">
        <v>0</v>
      </c>
      <c r="I356" s="48">
        <v>55.14</v>
      </c>
      <c r="J356" s="48">
        <v>60.46</v>
      </c>
      <c r="K356" s="52">
        <v>68.400000000000006</v>
      </c>
      <c r="L356" s="49">
        <v>34.54</v>
      </c>
      <c r="M356" s="72">
        <f t="shared" si="11"/>
        <v>2.4</v>
      </c>
      <c r="N356" s="71">
        <v>2.4E-2</v>
      </c>
      <c r="O356" s="68">
        <v>18.557499999999997</v>
      </c>
      <c r="P356" s="73">
        <v>5</v>
      </c>
      <c r="Q356" s="74">
        <f>'Trade Data'!D23</f>
        <v>0.34040677916778361</v>
      </c>
      <c r="R356" s="37">
        <v>0</v>
      </c>
    </row>
    <row r="357" spans="1:18" ht="20.100000000000001" customHeight="1">
      <c r="A357" s="44" t="s">
        <v>123</v>
      </c>
      <c r="B357" s="44" t="s">
        <v>534</v>
      </c>
      <c r="C357" s="59">
        <f>SUM('Thomson Reuters IMA  ($)'!I712:I717)</f>
        <v>7249.6310000000003</v>
      </c>
      <c r="D357" s="47">
        <f>'Sectors % GDP'!E29</f>
        <v>70719.42</v>
      </c>
      <c r="E357" s="47">
        <f t="shared" si="10"/>
        <v>0.10251259130801696</v>
      </c>
      <c r="F357" s="47">
        <v>1</v>
      </c>
      <c r="G357" s="49">
        <v>1</v>
      </c>
      <c r="H357" s="47">
        <v>8</v>
      </c>
      <c r="I357" s="48">
        <v>55.14</v>
      </c>
      <c r="J357" s="48">
        <v>60.46</v>
      </c>
      <c r="K357" s="52">
        <v>68.400000000000006</v>
      </c>
      <c r="L357" s="49">
        <v>34.54</v>
      </c>
      <c r="M357" s="72">
        <f t="shared" si="11"/>
        <v>2.4</v>
      </c>
      <c r="N357" s="71">
        <v>2.4E-2</v>
      </c>
      <c r="O357" s="68">
        <v>18.557499999999997</v>
      </c>
      <c r="P357" s="73">
        <v>5</v>
      </c>
      <c r="Q357" s="74">
        <f>'Trade Data'!D23</f>
        <v>0.34040677916778361</v>
      </c>
      <c r="R357" s="37">
        <v>1</v>
      </c>
    </row>
    <row r="358" spans="1:18" ht="20.100000000000001" customHeight="1">
      <c r="A358" s="44" t="s">
        <v>123</v>
      </c>
      <c r="B358" s="44" t="s">
        <v>533</v>
      </c>
      <c r="C358" s="59">
        <v>0</v>
      </c>
      <c r="D358" s="47">
        <f>'Sectors % GDP'!E30</f>
        <v>117209.01</v>
      </c>
      <c r="E358" s="47">
        <f t="shared" si="10"/>
        <v>0</v>
      </c>
      <c r="F358" s="47">
        <v>0</v>
      </c>
      <c r="G358" s="49">
        <v>1</v>
      </c>
      <c r="H358" s="47">
        <v>2</v>
      </c>
      <c r="I358" s="48">
        <v>55.14</v>
      </c>
      <c r="J358" s="48">
        <v>60.46</v>
      </c>
      <c r="K358" s="52">
        <v>68.400000000000006</v>
      </c>
      <c r="L358" s="49">
        <v>34.54</v>
      </c>
      <c r="M358" s="72">
        <f t="shared" si="11"/>
        <v>2.4</v>
      </c>
      <c r="N358" s="71">
        <v>2.4E-2</v>
      </c>
      <c r="O358" s="68">
        <v>18.557499999999997</v>
      </c>
      <c r="P358" s="73">
        <v>5</v>
      </c>
      <c r="Q358" s="74">
        <f>'Trade Data'!D23</f>
        <v>0.34040677916778361</v>
      </c>
      <c r="R358" s="37">
        <v>1</v>
      </c>
    </row>
    <row r="359" spans="1:18" ht="20.100000000000001" customHeight="1">
      <c r="A359" s="44" t="s">
        <v>124</v>
      </c>
      <c r="B359" s="44" t="s">
        <v>532</v>
      </c>
      <c r="C359" s="59">
        <v>0</v>
      </c>
      <c r="D359" s="47">
        <f>'Sectors % GDP'!E28</f>
        <v>15171.57</v>
      </c>
      <c r="E359" s="47">
        <f t="shared" si="10"/>
        <v>0</v>
      </c>
      <c r="F359" s="47">
        <v>0</v>
      </c>
      <c r="G359" s="49">
        <v>0</v>
      </c>
      <c r="H359" s="47">
        <v>0</v>
      </c>
      <c r="I359" s="48">
        <v>68.709999999999994</v>
      </c>
      <c r="J359" s="48">
        <v>91.43</v>
      </c>
      <c r="K359" s="52">
        <v>63.68</v>
      </c>
      <c r="L359" s="49">
        <v>34.54</v>
      </c>
      <c r="M359" s="72">
        <f t="shared" si="11"/>
        <v>2.4</v>
      </c>
      <c r="N359" s="71">
        <v>2.4E-2</v>
      </c>
      <c r="O359" s="68">
        <v>26.763750000000002</v>
      </c>
      <c r="P359" s="73">
        <v>5</v>
      </c>
      <c r="Q359" s="74">
        <f>'Trade Data'!D23</f>
        <v>0.34040677916778361</v>
      </c>
      <c r="R359" s="35">
        <v>0</v>
      </c>
    </row>
    <row r="360" spans="1:18" ht="20.100000000000001" customHeight="1">
      <c r="A360" s="44" t="s">
        <v>124</v>
      </c>
      <c r="B360" s="44" t="s">
        <v>531</v>
      </c>
      <c r="C360" s="59">
        <f>SUM('Thomson Reuters IMA  ($)'!I719:I720)</f>
        <v>40.5</v>
      </c>
      <c r="D360" s="47">
        <f>'Sectors % GDP'!E29</f>
        <v>70719.42</v>
      </c>
      <c r="E360" s="47">
        <f t="shared" si="10"/>
        <v>5.7268569227519113E-4</v>
      </c>
      <c r="F360" s="47">
        <v>1</v>
      </c>
      <c r="G360" s="49">
        <v>1</v>
      </c>
      <c r="H360" s="47">
        <v>4</v>
      </c>
      <c r="I360" s="48">
        <v>68.709999999999994</v>
      </c>
      <c r="J360" s="48">
        <v>91.43</v>
      </c>
      <c r="K360" s="52">
        <v>63.68</v>
      </c>
      <c r="L360" s="49">
        <v>34.54</v>
      </c>
      <c r="M360" s="72">
        <f t="shared" si="11"/>
        <v>2.4</v>
      </c>
      <c r="N360" s="71">
        <v>2.4E-2</v>
      </c>
      <c r="O360" s="68">
        <v>26.763750000000002</v>
      </c>
      <c r="P360" s="73">
        <v>5</v>
      </c>
      <c r="Q360" s="74">
        <f>'Trade Data'!D23</f>
        <v>0.34040677916778361</v>
      </c>
      <c r="R360" s="35">
        <v>1</v>
      </c>
    </row>
    <row r="361" spans="1:18" ht="20.100000000000001" customHeight="1">
      <c r="A361" s="44" t="s">
        <v>124</v>
      </c>
      <c r="B361" s="44" t="s">
        <v>530</v>
      </c>
      <c r="C361" s="59">
        <f>'Thomson Reuters IMA  ($)'!I718</f>
        <v>1.988</v>
      </c>
      <c r="D361" s="47">
        <f>'Sectors % GDP'!E30</f>
        <v>117209.01</v>
      </c>
      <c r="E361" s="47">
        <f t="shared" si="10"/>
        <v>1.6961153413035397E-5</v>
      </c>
      <c r="F361" s="47">
        <v>1</v>
      </c>
      <c r="G361" s="49">
        <v>1</v>
      </c>
      <c r="H361" s="47">
        <v>5</v>
      </c>
      <c r="I361" s="48">
        <v>68.709999999999994</v>
      </c>
      <c r="J361" s="48">
        <v>91.43</v>
      </c>
      <c r="K361" s="52">
        <v>63.68</v>
      </c>
      <c r="L361" s="49">
        <v>34.54</v>
      </c>
      <c r="M361" s="72">
        <f t="shared" si="11"/>
        <v>2.4</v>
      </c>
      <c r="N361" s="71">
        <v>2.4E-2</v>
      </c>
      <c r="O361" s="68">
        <v>26.763750000000002</v>
      </c>
      <c r="P361" s="73">
        <v>5</v>
      </c>
      <c r="Q361" s="74">
        <f>'Trade Data'!D23</f>
        <v>0.34040677916778361</v>
      </c>
      <c r="R361" s="35">
        <v>1</v>
      </c>
    </row>
    <row r="362" spans="1:18" ht="20.100000000000001" customHeight="1">
      <c r="A362" s="44" t="s">
        <v>125</v>
      </c>
      <c r="B362" s="44" t="s">
        <v>529</v>
      </c>
      <c r="C362" s="59">
        <v>0</v>
      </c>
      <c r="D362" s="47">
        <f>'Sectors % GDP'!E28</f>
        <v>15171.57</v>
      </c>
      <c r="E362" s="47">
        <f t="shared" si="10"/>
        <v>0</v>
      </c>
      <c r="F362" s="47">
        <v>0</v>
      </c>
      <c r="G362" s="49">
        <v>0</v>
      </c>
      <c r="H362" s="47">
        <v>0</v>
      </c>
      <c r="I362" s="48">
        <v>58.18</v>
      </c>
      <c r="J362" s="48">
        <v>68.44</v>
      </c>
      <c r="K362" s="52">
        <v>68.760000000000005</v>
      </c>
      <c r="L362" s="49">
        <v>34.54</v>
      </c>
      <c r="M362" s="72">
        <f t="shared" si="11"/>
        <v>2.4</v>
      </c>
      <c r="N362" s="71">
        <v>2.4E-2</v>
      </c>
      <c r="O362" s="68">
        <v>20.421250000000001</v>
      </c>
      <c r="P362" s="73">
        <v>5</v>
      </c>
      <c r="Q362" s="74">
        <f>'Trade Data'!D23</f>
        <v>0.34040677916778361</v>
      </c>
      <c r="R362" s="37">
        <v>0</v>
      </c>
    </row>
    <row r="363" spans="1:18" ht="20.100000000000001" customHeight="1">
      <c r="A363" s="44" t="s">
        <v>125</v>
      </c>
      <c r="B363" s="44" t="s">
        <v>528</v>
      </c>
      <c r="C363" s="59">
        <f>SUM('Thomson Reuters IMA  ($)'!I721:I722)</f>
        <v>8.5849999999999991</v>
      </c>
      <c r="D363" s="47">
        <f>'Sectors % GDP'!E29</f>
        <v>70719.42</v>
      </c>
      <c r="E363" s="47">
        <f t="shared" si="10"/>
        <v>1.2139522637487693E-4</v>
      </c>
      <c r="F363" s="47">
        <v>1</v>
      </c>
      <c r="G363" s="49">
        <v>1</v>
      </c>
      <c r="H363" s="47">
        <v>3</v>
      </c>
      <c r="I363" s="48">
        <v>58.18</v>
      </c>
      <c r="J363" s="48">
        <v>68.44</v>
      </c>
      <c r="K363" s="52">
        <v>68.760000000000005</v>
      </c>
      <c r="L363" s="49">
        <v>34.54</v>
      </c>
      <c r="M363" s="72">
        <f t="shared" si="11"/>
        <v>2.4</v>
      </c>
      <c r="N363" s="71">
        <v>2.4E-2</v>
      </c>
      <c r="O363" s="68">
        <v>20.421250000000001</v>
      </c>
      <c r="P363" s="73">
        <v>5</v>
      </c>
      <c r="Q363" s="74">
        <f>'Trade Data'!D23</f>
        <v>0.34040677916778361</v>
      </c>
      <c r="R363" s="37">
        <v>1</v>
      </c>
    </row>
    <row r="364" spans="1:18" ht="20.100000000000001" customHeight="1">
      <c r="A364" s="44" t="s">
        <v>125</v>
      </c>
      <c r="B364" s="44" t="s">
        <v>527</v>
      </c>
      <c r="C364" s="59">
        <v>0</v>
      </c>
      <c r="D364" s="47">
        <f>'Sectors % GDP'!E30</f>
        <v>117209.01</v>
      </c>
      <c r="E364" s="47">
        <f t="shared" si="10"/>
        <v>0</v>
      </c>
      <c r="F364" s="47">
        <v>0</v>
      </c>
      <c r="G364" s="49">
        <v>1</v>
      </c>
      <c r="H364" s="47">
        <v>2</v>
      </c>
      <c r="I364" s="48">
        <v>58.18</v>
      </c>
      <c r="J364" s="48">
        <v>68.44</v>
      </c>
      <c r="K364" s="52">
        <v>68.760000000000005</v>
      </c>
      <c r="L364" s="49">
        <v>34.54</v>
      </c>
      <c r="M364" s="72">
        <f t="shared" si="11"/>
        <v>2.4</v>
      </c>
      <c r="N364" s="71">
        <v>2.4E-2</v>
      </c>
      <c r="O364" s="68">
        <v>20.421250000000001</v>
      </c>
      <c r="P364" s="73">
        <v>5</v>
      </c>
      <c r="Q364" s="74">
        <f>'Trade Data'!D23</f>
        <v>0.34040677916778361</v>
      </c>
      <c r="R364" s="37">
        <v>1</v>
      </c>
    </row>
    <row r="365" spans="1:18" ht="20.100000000000001" customHeight="1">
      <c r="A365" s="44" t="s">
        <v>126</v>
      </c>
      <c r="B365" s="44" t="s">
        <v>526</v>
      </c>
      <c r="C365" s="59">
        <v>0</v>
      </c>
      <c r="D365" s="47">
        <f>'Sectors % GDP'!G28</f>
        <v>14923.256000000001</v>
      </c>
      <c r="E365" s="47">
        <f t="shared" si="10"/>
        <v>0</v>
      </c>
      <c r="F365" s="47">
        <v>0</v>
      </c>
      <c r="G365" s="49">
        <v>0</v>
      </c>
      <c r="H365" s="47">
        <v>0</v>
      </c>
      <c r="I365" s="48">
        <v>51.71</v>
      </c>
      <c r="J365" s="48">
        <v>65.58</v>
      </c>
      <c r="K365" s="52">
        <v>61.77</v>
      </c>
      <c r="L365" s="49">
        <v>28.33</v>
      </c>
      <c r="M365" s="72">
        <f t="shared" si="11"/>
        <v>2.4</v>
      </c>
      <c r="N365" s="71">
        <v>2.4E-2</v>
      </c>
      <c r="O365" s="68">
        <v>18.003749999999997</v>
      </c>
      <c r="P365" s="73">
        <v>5</v>
      </c>
      <c r="Q365" s="74">
        <f>'Trade Data'!D23</f>
        <v>0.34040677916778361</v>
      </c>
      <c r="R365" s="35">
        <v>0</v>
      </c>
    </row>
    <row r="366" spans="1:18" ht="20.100000000000001" customHeight="1">
      <c r="A366" s="44" t="s">
        <v>126</v>
      </c>
      <c r="B366" s="44" t="s">
        <v>525</v>
      </c>
      <c r="C366" s="59">
        <f>SUM('Thomson Reuters IMA  ($)'!I723:I724)</f>
        <v>4.28</v>
      </c>
      <c r="D366" s="47">
        <f>'Sectors % GDP'!G29</f>
        <v>63135.373</v>
      </c>
      <c r="E366" s="47">
        <f t="shared" si="10"/>
        <v>6.7790840484937032E-5</v>
      </c>
      <c r="F366" s="47">
        <v>1</v>
      </c>
      <c r="G366" s="49">
        <v>1</v>
      </c>
      <c r="H366" s="47">
        <v>5</v>
      </c>
      <c r="I366" s="48">
        <v>51.71</v>
      </c>
      <c r="J366" s="48">
        <v>65.58</v>
      </c>
      <c r="K366" s="52">
        <v>61.77</v>
      </c>
      <c r="L366" s="49">
        <v>28.33</v>
      </c>
      <c r="M366" s="72">
        <f t="shared" si="11"/>
        <v>2.4</v>
      </c>
      <c r="N366" s="71">
        <v>2.4E-2</v>
      </c>
      <c r="O366" s="68">
        <v>18.003749999999997</v>
      </c>
      <c r="P366" s="73">
        <v>5</v>
      </c>
      <c r="Q366" s="74">
        <f>'Trade Data'!D23</f>
        <v>0.34040677916778361</v>
      </c>
      <c r="R366" s="35">
        <v>1</v>
      </c>
    </row>
    <row r="367" spans="1:18" ht="20.100000000000001" customHeight="1">
      <c r="A367" s="44" t="s">
        <v>126</v>
      </c>
      <c r="B367" s="44" t="s">
        <v>524</v>
      </c>
      <c r="C367" s="59">
        <v>0</v>
      </c>
      <c r="D367" s="47">
        <f>'Sectors % GDP'!G30</f>
        <v>114251.371</v>
      </c>
      <c r="E367" s="47">
        <f t="shared" si="10"/>
        <v>0</v>
      </c>
      <c r="F367" s="47">
        <v>0</v>
      </c>
      <c r="G367" s="49">
        <v>1</v>
      </c>
      <c r="H367" s="47">
        <v>4</v>
      </c>
      <c r="I367" s="48">
        <v>51.71</v>
      </c>
      <c r="J367" s="48">
        <v>65.58</v>
      </c>
      <c r="K367" s="52">
        <v>61.77</v>
      </c>
      <c r="L367" s="49">
        <v>28.33</v>
      </c>
      <c r="M367" s="72">
        <f t="shared" si="11"/>
        <v>2.4</v>
      </c>
      <c r="N367" s="71">
        <v>2.4E-2</v>
      </c>
      <c r="O367" s="68">
        <v>18.003749999999997</v>
      </c>
      <c r="P367" s="73">
        <v>5</v>
      </c>
      <c r="Q367" s="74">
        <f>'Trade Data'!D23</f>
        <v>0.34040677916778361</v>
      </c>
      <c r="R367" s="35">
        <v>1</v>
      </c>
    </row>
    <row r="368" spans="1:18" ht="20.100000000000001" customHeight="1">
      <c r="A368" s="44" t="s">
        <v>127</v>
      </c>
      <c r="B368" s="44" t="s">
        <v>523</v>
      </c>
      <c r="C368" s="59">
        <v>0</v>
      </c>
      <c r="D368" s="47">
        <f>'Sectors % GDP'!G28</f>
        <v>14923.256000000001</v>
      </c>
      <c r="E368" s="47">
        <f t="shared" si="10"/>
        <v>0</v>
      </c>
      <c r="F368" s="47">
        <v>0</v>
      </c>
      <c r="G368" s="49">
        <v>0</v>
      </c>
      <c r="H368" s="47">
        <v>0</v>
      </c>
      <c r="I368" s="48">
        <v>46.32</v>
      </c>
      <c r="J368" s="48">
        <v>53.74</v>
      </c>
      <c r="K368" s="52">
        <v>59.69</v>
      </c>
      <c r="L368" s="49">
        <v>28.33</v>
      </c>
      <c r="M368" s="72">
        <f t="shared" si="11"/>
        <v>3.3000000000000003</v>
      </c>
      <c r="N368" s="36">
        <v>3.3000000000000002E-2</v>
      </c>
      <c r="O368" s="68">
        <v>13.032499999999999</v>
      </c>
      <c r="P368" s="73">
        <v>5.75</v>
      </c>
      <c r="Q368" s="74">
        <f>'Trade Data'!F23</f>
        <v>0.35702986979301843</v>
      </c>
      <c r="R368" s="37">
        <v>0</v>
      </c>
    </row>
    <row r="369" spans="1:18" ht="20.100000000000001" customHeight="1">
      <c r="A369" s="44" t="s">
        <v>127</v>
      </c>
      <c r="B369" s="44" t="s">
        <v>522</v>
      </c>
      <c r="C369" s="59">
        <f>SUM('Thomson Reuters IMA  ($)'!I725:I730)</f>
        <v>278.78800000000001</v>
      </c>
      <c r="D369" s="47">
        <f>'Sectors % GDP'!G29</f>
        <v>63135.373</v>
      </c>
      <c r="E369" s="47">
        <f t="shared" si="10"/>
        <v>4.4157179525968751E-3</v>
      </c>
      <c r="F369" s="47">
        <v>1</v>
      </c>
      <c r="G369" s="49">
        <v>1</v>
      </c>
      <c r="H369" s="47">
        <v>10</v>
      </c>
      <c r="I369" s="48">
        <v>46.32</v>
      </c>
      <c r="J369" s="48">
        <v>53.74</v>
      </c>
      <c r="K369" s="52">
        <v>59.69</v>
      </c>
      <c r="L369" s="49">
        <v>28.33</v>
      </c>
      <c r="M369" s="72">
        <f t="shared" si="11"/>
        <v>3.3000000000000003</v>
      </c>
      <c r="N369" s="36">
        <v>3.3000000000000002E-2</v>
      </c>
      <c r="O369" s="68">
        <v>13.032499999999999</v>
      </c>
      <c r="P369" s="73">
        <v>5.75</v>
      </c>
      <c r="Q369" s="74">
        <f>'Trade Data'!F23</f>
        <v>0.35702986979301843</v>
      </c>
      <c r="R369" s="37">
        <v>1</v>
      </c>
    </row>
    <row r="370" spans="1:18" ht="20.100000000000001" customHeight="1">
      <c r="A370" s="44" t="s">
        <v>127</v>
      </c>
      <c r="B370" s="44" t="s">
        <v>521</v>
      </c>
      <c r="C370" s="59">
        <v>0</v>
      </c>
      <c r="D370" s="47">
        <f>'Sectors % GDP'!G30</f>
        <v>114251.371</v>
      </c>
      <c r="E370" s="47">
        <f t="shared" si="10"/>
        <v>0</v>
      </c>
      <c r="F370" s="47">
        <v>0</v>
      </c>
      <c r="G370" s="49">
        <v>0</v>
      </c>
      <c r="H370" s="47">
        <v>0</v>
      </c>
      <c r="I370" s="48">
        <v>46.32</v>
      </c>
      <c r="J370" s="48">
        <v>53.74</v>
      </c>
      <c r="K370" s="52">
        <v>59.69</v>
      </c>
      <c r="L370" s="49">
        <v>28.33</v>
      </c>
      <c r="M370" s="72">
        <f t="shared" si="11"/>
        <v>3.3000000000000003</v>
      </c>
      <c r="N370" s="36">
        <v>3.3000000000000002E-2</v>
      </c>
      <c r="O370" s="68">
        <v>13.032499999999999</v>
      </c>
      <c r="P370" s="73">
        <v>5.75</v>
      </c>
      <c r="Q370" s="74">
        <f>'Trade Data'!F23</f>
        <v>0.35702986979301843</v>
      </c>
      <c r="R370" s="37">
        <v>1</v>
      </c>
    </row>
    <row r="371" spans="1:18" ht="20.100000000000001" customHeight="1">
      <c r="A371" s="44" t="s">
        <v>128</v>
      </c>
      <c r="B371" s="44" t="s">
        <v>520</v>
      </c>
      <c r="C371" s="59">
        <v>0</v>
      </c>
      <c r="D371" s="47">
        <f>'Sectors % GDP'!G28</f>
        <v>14923.256000000001</v>
      </c>
      <c r="E371" s="47">
        <f t="shared" si="10"/>
        <v>0</v>
      </c>
      <c r="F371" s="47">
        <v>0</v>
      </c>
      <c r="G371" s="49">
        <v>0</v>
      </c>
      <c r="H371" s="47">
        <v>0</v>
      </c>
      <c r="I371" s="48">
        <v>61.09</v>
      </c>
      <c r="J371" s="48">
        <v>86.41</v>
      </c>
      <c r="K371" s="52">
        <v>61.29</v>
      </c>
      <c r="L371" s="49">
        <v>28.33</v>
      </c>
      <c r="M371" s="72">
        <f t="shared" si="11"/>
        <v>3.3000000000000003</v>
      </c>
      <c r="N371" s="36">
        <v>3.3000000000000002E-2</v>
      </c>
      <c r="O371" s="68">
        <v>23.032500000000006</v>
      </c>
      <c r="P371" s="73">
        <v>5.75</v>
      </c>
      <c r="Q371" s="74">
        <f>'Trade Data'!F23</f>
        <v>0.35702986979301843</v>
      </c>
      <c r="R371" s="35">
        <v>0</v>
      </c>
    </row>
    <row r="372" spans="1:18" ht="20.100000000000001" customHeight="1">
      <c r="A372" s="44" t="s">
        <v>128</v>
      </c>
      <c r="B372" s="44" t="s">
        <v>519</v>
      </c>
      <c r="C372" s="59">
        <f>'Thomson Reuters IMA  ($)'!I731</f>
        <v>3.2109999999999999</v>
      </c>
      <c r="D372" s="47">
        <f>'Sectors % GDP'!G29</f>
        <v>63135.373</v>
      </c>
      <c r="E372" s="47">
        <f t="shared" si="10"/>
        <v>5.085896934512448E-5</v>
      </c>
      <c r="F372" s="47">
        <v>1</v>
      </c>
      <c r="G372" s="49">
        <v>1</v>
      </c>
      <c r="H372" s="47">
        <v>4</v>
      </c>
      <c r="I372" s="48">
        <v>61.09</v>
      </c>
      <c r="J372" s="48">
        <v>86.41</v>
      </c>
      <c r="K372" s="52">
        <v>61.29</v>
      </c>
      <c r="L372" s="49">
        <v>28.33</v>
      </c>
      <c r="M372" s="72">
        <f t="shared" si="11"/>
        <v>3.3000000000000003</v>
      </c>
      <c r="N372" s="36">
        <v>3.3000000000000002E-2</v>
      </c>
      <c r="O372" s="68">
        <v>23.032500000000006</v>
      </c>
      <c r="P372" s="73">
        <v>5.75</v>
      </c>
      <c r="Q372" s="74">
        <f>'Trade Data'!F23</f>
        <v>0.35702986979301843</v>
      </c>
      <c r="R372" s="35">
        <v>1</v>
      </c>
    </row>
    <row r="373" spans="1:18" ht="20.100000000000001" customHeight="1">
      <c r="A373" s="44" t="s">
        <v>128</v>
      </c>
      <c r="B373" s="44" t="s">
        <v>518</v>
      </c>
      <c r="C373" s="59">
        <v>0</v>
      </c>
      <c r="D373" s="47">
        <f>'Sectors % GDP'!G30</f>
        <v>114251.371</v>
      </c>
      <c r="E373" s="47">
        <f t="shared" si="10"/>
        <v>0</v>
      </c>
      <c r="F373" s="47">
        <v>0</v>
      </c>
      <c r="G373" s="49">
        <v>1</v>
      </c>
      <c r="H373" s="47">
        <v>5</v>
      </c>
      <c r="I373" s="48">
        <v>61.09</v>
      </c>
      <c r="J373" s="48">
        <v>86.41</v>
      </c>
      <c r="K373" s="52">
        <v>61.29</v>
      </c>
      <c r="L373" s="49">
        <v>28.33</v>
      </c>
      <c r="M373" s="72">
        <f t="shared" si="11"/>
        <v>3.3000000000000003</v>
      </c>
      <c r="N373" s="36">
        <v>3.3000000000000002E-2</v>
      </c>
      <c r="O373" s="68">
        <v>23.032500000000006</v>
      </c>
      <c r="P373" s="73">
        <v>5.75</v>
      </c>
      <c r="Q373" s="74">
        <f>'Trade Data'!F23</f>
        <v>0.35702986979301843</v>
      </c>
      <c r="R373" s="35">
        <v>1</v>
      </c>
    </row>
    <row r="374" spans="1:18" ht="20.100000000000001" customHeight="1">
      <c r="A374" s="44" t="s">
        <v>129</v>
      </c>
      <c r="B374" s="44" t="s">
        <v>517</v>
      </c>
      <c r="C374" s="59">
        <v>0</v>
      </c>
      <c r="D374" s="47">
        <f>'Sectors % GDP'!G28</f>
        <v>14923.256000000001</v>
      </c>
      <c r="E374" s="47">
        <f t="shared" si="10"/>
        <v>0</v>
      </c>
      <c r="F374" s="47">
        <v>0</v>
      </c>
      <c r="G374" s="49">
        <v>0</v>
      </c>
      <c r="H374" s="47">
        <v>0</v>
      </c>
      <c r="I374" s="48">
        <v>46.72</v>
      </c>
      <c r="J374" s="48">
        <v>53.75</v>
      </c>
      <c r="K374" s="52">
        <v>61.3</v>
      </c>
      <c r="L374" s="49">
        <v>28.33</v>
      </c>
      <c r="M374" s="72">
        <f t="shared" si="11"/>
        <v>3.3000000000000003</v>
      </c>
      <c r="N374" s="36">
        <v>3.3000000000000002E-2</v>
      </c>
      <c r="O374" s="68">
        <v>15.772499999999997</v>
      </c>
      <c r="P374" s="73">
        <v>5.75</v>
      </c>
      <c r="Q374" s="74">
        <f>'Trade Data'!F23</f>
        <v>0.35702986979301843</v>
      </c>
      <c r="R374" s="37">
        <v>0</v>
      </c>
    </row>
    <row r="375" spans="1:18" ht="20.100000000000001" customHeight="1">
      <c r="A375" s="44" t="s">
        <v>129</v>
      </c>
      <c r="B375" s="44" t="s">
        <v>516</v>
      </c>
      <c r="C375" s="59">
        <v>0</v>
      </c>
      <c r="D375" s="47">
        <f>'Sectors % GDP'!G29</f>
        <v>63135.373</v>
      </c>
      <c r="E375" s="47">
        <f t="shared" si="10"/>
        <v>0</v>
      </c>
      <c r="F375" s="47">
        <v>0</v>
      </c>
      <c r="G375" s="49">
        <v>0</v>
      </c>
      <c r="H375" s="47">
        <v>0</v>
      </c>
      <c r="I375" s="48">
        <v>46.72</v>
      </c>
      <c r="J375" s="48">
        <v>53.75</v>
      </c>
      <c r="K375" s="52">
        <v>61.3</v>
      </c>
      <c r="L375" s="49">
        <v>28.33</v>
      </c>
      <c r="M375" s="72">
        <f t="shared" si="11"/>
        <v>3.3000000000000003</v>
      </c>
      <c r="N375" s="36">
        <v>3.3000000000000002E-2</v>
      </c>
      <c r="O375" s="68">
        <v>15.772499999999997</v>
      </c>
      <c r="P375" s="73">
        <v>5.75</v>
      </c>
      <c r="Q375" s="74">
        <f>'Trade Data'!F23</f>
        <v>0.35702986979301843</v>
      </c>
      <c r="R375" s="37">
        <v>1</v>
      </c>
    </row>
    <row r="376" spans="1:18" ht="20.100000000000001" customHeight="1">
      <c r="A376" s="44" t="s">
        <v>129</v>
      </c>
      <c r="B376" s="44" t="s">
        <v>515</v>
      </c>
      <c r="C376" s="59">
        <v>0</v>
      </c>
      <c r="D376" s="47">
        <f>'Sectors % GDP'!G30</f>
        <v>114251.371</v>
      </c>
      <c r="E376" s="47">
        <f t="shared" si="10"/>
        <v>0</v>
      </c>
      <c r="F376" s="47">
        <v>0</v>
      </c>
      <c r="G376" s="49">
        <v>0</v>
      </c>
      <c r="H376" s="47">
        <v>0</v>
      </c>
      <c r="I376" s="48">
        <v>46.72</v>
      </c>
      <c r="J376" s="48">
        <v>53.75</v>
      </c>
      <c r="K376" s="52">
        <v>61.3</v>
      </c>
      <c r="L376" s="49">
        <v>28.33</v>
      </c>
      <c r="M376" s="72">
        <f t="shared" si="11"/>
        <v>3.3000000000000003</v>
      </c>
      <c r="N376" s="36">
        <v>3.3000000000000002E-2</v>
      </c>
      <c r="O376" s="68">
        <v>15.772499999999997</v>
      </c>
      <c r="P376" s="73">
        <v>5.75</v>
      </c>
      <c r="Q376" s="74">
        <f>'Trade Data'!F23</f>
        <v>0.35702986979301843</v>
      </c>
      <c r="R376" s="37">
        <v>1</v>
      </c>
    </row>
    <row r="377" spans="1:18" ht="20.100000000000001" customHeight="1">
      <c r="A377" s="44" t="s">
        <v>130</v>
      </c>
      <c r="B377" s="44" t="s">
        <v>514</v>
      </c>
      <c r="C377" s="59">
        <v>0</v>
      </c>
      <c r="D377" s="47">
        <f>'Sectors % GDP'!I28</f>
        <v>14647.5</v>
      </c>
      <c r="E377" s="47">
        <f t="shared" si="10"/>
        <v>0</v>
      </c>
      <c r="F377" s="47">
        <v>0</v>
      </c>
      <c r="G377" s="49">
        <v>0</v>
      </c>
      <c r="H377" s="47">
        <v>0</v>
      </c>
      <c r="I377" s="48">
        <v>53.62</v>
      </c>
      <c r="J377" s="48">
        <v>66.680000000000007</v>
      </c>
      <c r="K377" s="52">
        <v>67.8</v>
      </c>
      <c r="L377" s="49">
        <v>26.34</v>
      </c>
      <c r="M377" s="72">
        <f t="shared" si="11"/>
        <v>3.3000000000000003</v>
      </c>
      <c r="N377" s="36">
        <v>3.3000000000000002E-2</v>
      </c>
      <c r="O377" s="68">
        <v>22.326249999999995</v>
      </c>
      <c r="P377" s="73">
        <v>5.75</v>
      </c>
      <c r="Q377" s="74">
        <f>'Trade Data'!F23</f>
        <v>0.35702986979301843</v>
      </c>
      <c r="R377" s="35">
        <v>0</v>
      </c>
    </row>
    <row r="378" spans="1:18" ht="20.100000000000001" customHeight="1">
      <c r="A378" s="44" t="s">
        <v>130</v>
      </c>
      <c r="B378" s="44" t="s">
        <v>513</v>
      </c>
      <c r="C378" s="59">
        <f>'Thomson Reuters IMA  ($)'!I732</f>
        <v>8</v>
      </c>
      <c r="D378" s="47">
        <f>'Sectors % GDP'!I29</f>
        <v>70893.899999999994</v>
      </c>
      <c r="E378" s="47">
        <f t="shared" si="10"/>
        <v>1.1284468762474628E-4</v>
      </c>
      <c r="F378" s="47">
        <v>1</v>
      </c>
      <c r="G378" s="49">
        <v>1</v>
      </c>
      <c r="H378" s="47">
        <v>2</v>
      </c>
      <c r="I378" s="48">
        <v>53.62</v>
      </c>
      <c r="J378" s="48">
        <v>66.680000000000007</v>
      </c>
      <c r="K378" s="52">
        <v>67.8</v>
      </c>
      <c r="L378" s="49">
        <v>26.34</v>
      </c>
      <c r="M378" s="72">
        <f t="shared" si="11"/>
        <v>3.3000000000000003</v>
      </c>
      <c r="N378" s="36">
        <v>3.3000000000000002E-2</v>
      </c>
      <c r="O378" s="68">
        <v>22.326249999999995</v>
      </c>
      <c r="P378" s="73">
        <v>5.75</v>
      </c>
      <c r="Q378" s="74">
        <f>'Trade Data'!F23</f>
        <v>0.35702986979301843</v>
      </c>
      <c r="R378" s="35">
        <v>1</v>
      </c>
    </row>
    <row r="379" spans="1:18" ht="20.100000000000001" customHeight="1">
      <c r="A379" s="44" t="s">
        <v>130</v>
      </c>
      <c r="B379" s="44" t="s">
        <v>512</v>
      </c>
      <c r="C379" s="59">
        <v>0</v>
      </c>
      <c r="D379" s="47">
        <f>'Sectors % GDP'!I30</f>
        <v>109563.30000000002</v>
      </c>
      <c r="E379" s="47">
        <f t="shared" si="10"/>
        <v>0</v>
      </c>
      <c r="F379" s="47">
        <v>0</v>
      </c>
      <c r="G379" s="49">
        <v>1</v>
      </c>
      <c r="H379" s="47">
        <v>1</v>
      </c>
      <c r="I379" s="48">
        <v>53.62</v>
      </c>
      <c r="J379" s="48">
        <v>66.680000000000007</v>
      </c>
      <c r="K379" s="52">
        <v>67.8</v>
      </c>
      <c r="L379" s="49">
        <v>26.34</v>
      </c>
      <c r="M379" s="72">
        <f t="shared" si="11"/>
        <v>3.3000000000000003</v>
      </c>
      <c r="N379" s="36">
        <v>3.3000000000000002E-2</v>
      </c>
      <c r="O379" s="68">
        <v>22.326249999999995</v>
      </c>
      <c r="P379" s="73">
        <v>5.75</v>
      </c>
      <c r="Q379" s="74">
        <f>'Trade Data'!F23</f>
        <v>0.35702986979301843</v>
      </c>
      <c r="R379" s="35">
        <v>1</v>
      </c>
    </row>
    <row r="380" spans="1:18" ht="20.100000000000001" customHeight="1">
      <c r="A380" s="44" t="s">
        <v>132</v>
      </c>
      <c r="B380" s="44" t="s">
        <v>511</v>
      </c>
      <c r="C380" s="59">
        <v>0</v>
      </c>
      <c r="D380" s="47">
        <f>'Sectors % GDP'!I28</f>
        <v>14647.5</v>
      </c>
      <c r="E380" s="47">
        <f t="shared" si="10"/>
        <v>0</v>
      </c>
      <c r="F380" s="47">
        <v>0</v>
      </c>
      <c r="G380" s="49">
        <v>0</v>
      </c>
      <c r="H380" s="47">
        <v>0</v>
      </c>
      <c r="I380" s="48">
        <v>63.09</v>
      </c>
      <c r="J380" s="48">
        <v>89.76</v>
      </c>
      <c r="K380" s="52">
        <v>65.2</v>
      </c>
      <c r="L380" s="49">
        <v>26.34</v>
      </c>
      <c r="M380" s="72">
        <f t="shared" si="11"/>
        <v>3.9</v>
      </c>
      <c r="N380" s="36">
        <v>3.9E-2</v>
      </c>
      <c r="O380" s="68">
        <v>26.465000000000003</v>
      </c>
      <c r="P380" s="73">
        <v>6.25</v>
      </c>
      <c r="Q380" s="74">
        <f>'Trade Data'!H23</f>
        <v>0.38369501611034146</v>
      </c>
      <c r="R380" s="37">
        <v>0</v>
      </c>
    </row>
    <row r="381" spans="1:18" ht="20.100000000000001" customHeight="1">
      <c r="A381" s="44" t="s">
        <v>132</v>
      </c>
      <c r="B381" s="44" t="s">
        <v>510</v>
      </c>
      <c r="C381" s="59">
        <f>'Thomson Reuters IMA  ($)'!I733+'Thomson Reuters IMA  ($)'!I734</f>
        <v>0.90199999999999991</v>
      </c>
      <c r="D381" s="47">
        <f>'Sectors % GDP'!I29</f>
        <v>70893.899999999994</v>
      </c>
      <c r="E381" s="47">
        <f t="shared" si="10"/>
        <v>1.2723238529690142E-5</v>
      </c>
      <c r="F381" s="47">
        <v>1</v>
      </c>
      <c r="G381" s="49">
        <v>1</v>
      </c>
      <c r="H381" s="47">
        <v>3</v>
      </c>
      <c r="I381" s="48">
        <v>63.09</v>
      </c>
      <c r="J381" s="48">
        <v>89.76</v>
      </c>
      <c r="K381" s="52">
        <v>65.2</v>
      </c>
      <c r="L381" s="49">
        <v>26.34</v>
      </c>
      <c r="M381" s="72">
        <f t="shared" si="11"/>
        <v>3.9</v>
      </c>
      <c r="N381" s="36">
        <v>3.9E-2</v>
      </c>
      <c r="O381" s="68">
        <v>26.465000000000003</v>
      </c>
      <c r="P381" s="73">
        <v>6.25</v>
      </c>
      <c r="Q381" s="74">
        <f>'Trade Data'!H23</f>
        <v>0.38369501611034146</v>
      </c>
      <c r="R381" s="37">
        <v>1</v>
      </c>
    </row>
    <row r="382" spans="1:18" ht="20.100000000000001" customHeight="1">
      <c r="A382" s="44" t="s">
        <v>132</v>
      </c>
      <c r="B382" s="44" t="s">
        <v>509</v>
      </c>
      <c r="C382" s="59">
        <v>0</v>
      </c>
      <c r="D382" s="47">
        <f>'Sectors % GDP'!I30</f>
        <v>109563.30000000002</v>
      </c>
      <c r="E382" s="47">
        <f t="shared" si="10"/>
        <v>0</v>
      </c>
      <c r="F382" s="47">
        <v>0</v>
      </c>
      <c r="G382" s="49">
        <v>1</v>
      </c>
      <c r="H382" s="47">
        <v>1</v>
      </c>
      <c r="I382" s="48">
        <v>63.09</v>
      </c>
      <c r="J382" s="48">
        <v>89.76</v>
      </c>
      <c r="K382" s="52">
        <v>65.2</v>
      </c>
      <c r="L382" s="49">
        <v>26.34</v>
      </c>
      <c r="M382" s="72">
        <f t="shared" si="11"/>
        <v>3.9</v>
      </c>
      <c r="N382" s="36">
        <v>3.9E-2</v>
      </c>
      <c r="O382" s="68">
        <v>26.465000000000003</v>
      </c>
      <c r="P382" s="73">
        <v>6.25</v>
      </c>
      <c r="Q382" s="74">
        <f>'Trade Data'!H23</f>
        <v>0.38369501611034146</v>
      </c>
      <c r="R382" s="37">
        <v>1</v>
      </c>
    </row>
    <row r="383" spans="1:18" ht="20.100000000000001" customHeight="1">
      <c r="A383" s="44" t="s">
        <v>133</v>
      </c>
      <c r="B383" s="44" t="s">
        <v>508</v>
      </c>
      <c r="C383" s="59">
        <v>0</v>
      </c>
      <c r="D383" s="47">
        <f>'Sectors % GDP'!I28</f>
        <v>14647.5</v>
      </c>
      <c r="E383" s="47">
        <f t="shared" si="10"/>
        <v>0</v>
      </c>
      <c r="F383" s="47">
        <v>0</v>
      </c>
      <c r="G383" s="49">
        <v>0</v>
      </c>
      <c r="H383" s="47">
        <v>0</v>
      </c>
      <c r="I383" s="48">
        <v>62.44</v>
      </c>
      <c r="J383" s="48">
        <v>90.46</v>
      </c>
      <c r="K383" s="52">
        <v>60.35</v>
      </c>
      <c r="L383" s="49">
        <v>26.34</v>
      </c>
      <c r="M383" s="72">
        <f t="shared" si="11"/>
        <v>3.9</v>
      </c>
      <c r="N383" s="36">
        <v>3.9E-2</v>
      </c>
      <c r="O383" s="68">
        <v>27.46875</v>
      </c>
      <c r="P383" s="73">
        <v>6.25</v>
      </c>
      <c r="Q383" s="74">
        <f>'Trade Data'!H23</f>
        <v>0.38369501611034146</v>
      </c>
      <c r="R383" s="35">
        <v>0</v>
      </c>
    </row>
    <row r="384" spans="1:18" ht="20.100000000000001" customHeight="1">
      <c r="A384" s="44" t="s">
        <v>133</v>
      </c>
      <c r="B384" s="44" t="s">
        <v>507</v>
      </c>
      <c r="C384" s="59">
        <f>SUM('Thomson Reuters IMA  ($)'!I735:I738)</f>
        <v>7.18</v>
      </c>
      <c r="D384" s="47">
        <f>'Sectors % GDP'!I29</f>
        <v>70893.899999999994</v>
      </c>
      <c r="E384" s="47">
        <f t="shared" si="10"/>
        <v>1.0127810714320979E-4</v>
      </c>
      <c r="F384" s="47">
        <v>1</v>
      </c>
      <c r="G384" s="49">
        <v>1</v>
      </c>
      <c r="H384" s="47">
        <v>6</v>
      </c>
      <c r="I384" s="48">
        <v>62.44</v>
      </c>
      <c r="J384" s="48">
        <v>90.46</v>
      </c>
      <c r="K384" s="52">
        <v>60.35</v>
      </c>
      <c r="L384" s="49">
        <v>26.34</v>
      </c>
      <c r="M384" s="72">
        <f t="shared" si="11"/>
        <v>3.9</v>
      </c>
      <c r="N384" s="36">
        <v>3.9E-2</v>
      </c>
      <c r="O384" s="68">
        <v>27.46875</v>
      </c>
      <c r="P384" s="73">
        <v>6.25</v>
      </c>
      <c r="Q384" s="74">
        <f>'Trade Data'!H23</f>
        <v>0.38369501611034146</v>
      </c>
      <c r="R384" s="35">
        <v>1</v>
      </c>
    </row>
    <row r="385" spans="1:18" ht="20.100000000000001" customHeight="1">
      <c r="A385" s="44" t="s">
        <v>133</v>
      </c>
      <c r="B385" s="44" t="s">
        <v>506</v>
      </c>
      <c r="C385" s="59">
        <f>'Thomson Reuters IMA  ($)'!I739</f>
        <v>1651.155</v>
      </c>
      <c r="D385" s="47">
        <f>'Sectors % GDP'!I30</f>
        <v>109563.30000000002</v>
      </c>
      <c r="E385" s="47">
        <f t="shared" si="10"/>
        <v>1.5070329206951595E-2</v>
      </c>
      <c r="F385" s="47">
        <v>1</v>
      </c>
      <c r="G385" s="49">
        <v>1</v>
      </c>
      <c r="H385" s="47">
        <v>6</v>
      </c>
      <c r="I385" s="48">
        <v>62.44</v>
      </c>
      <c r="J385" s="48">
        <v>90.46</v>
      </c>
      <c r="K385" s="52">
        <v>60.35</v>
      </c>
      <c r="L385" s="49">
        <v>26.34</v>
      </c>
      <c r="M385" s="72">
        <f t="shared" si="11"/>
        <v>3.9</v>
      </c>
      <c r="N385" s="36">
        <v>3.9E-2</v>
      </c>
      <c r="O385" s="68">
        <v>27.46875</v>
      </c>
      <c r="P385" s="73">
        <v>6.25</v>
      </c>
      <c r="Q385" s="74">
        <f>'Trade Data'!H23</f>
        <v>0.38369501611034146</v>
      </c>
      <c r="R385" s="35">
        <v>1</v>
      </c>
    </row>
    <row r="386" spans="1:18" ht="20.100000000000001" customHeight="1">
      <c r="A386" s="44" t="s">
        <v>134</v>
      </c>
      <c r="B386" s="44" t="s">
        <v>505</v>
      </c>
      <c r="C386" s="59">
        <v>0</v>
      </c>
      <c r="D386" s="47">
        <f>'Sectors % GDP'!I28</f>
        <v>14647.5</v>
      </c>
      <c r="E386" s="47">
        <f t="shared" ref="E386:E449" si="12">C386/D386</f>
        <v>0</v>
      </c>
      <c r="F386" s="47">
        <v>0</v>
      </c>
      <c r="G386" s="49">
        <v>0</v>
      </c>
      <c r="H386" s="47">
        <v>0</v>
      </c>
      <c r="I386" s="48">
        <v>67</v>
      </c>
      <c r="J386" s="48">
        <v>88.99</v>
      </c>
      <c r="K386" s="52">
        <v>73.650000000000006</v>
      </c>
      <c r="L386" s="49">
        <v>26.34</v>
      </c>
      <c r="M386" s="72">
        <f t="shared" si="11"/>
        <v>3.9</v>
      </c>
      <c r="N386" s="36">
        <v>3.9E-2</v>
      </c>
      <c r="O386" s="68">
        <v>33.662499999999994</v>
      </c>
      <c r="P386" s="73">
        <v>6.25</v>
      </c>
      <c r="Q386" s="74">
        <f>'Trade Data'!H23</f>
        <v>0.38369501611034146</v>
      </c>
      <c r="R386" s="37">
        <v>0</v>
      </c>
    </row>
    <row r="387" spans="1:18" ht="20.100000000000001" customHeight="1">
      <c r="A387" s="44" t="s">
        <v>134</v>
      </c>
      <c r="B387" s="44" t="s">
        <v>504</v>
      </c>
      <c r="C387" s="59">
        <f>SUM('Thomson Reuters IMA  ($)'!I740:I743)</f>
        <v>1237.7919999999999</v>
      </c>
      <c r="D387" s="47">
        <f>'Sectors % GDP'!I29</f>
        <v>70893.899999999994</v>
      </c>
      <c r="E387" s="47">
        <f t="shared" si="12"/>
        <v>1.7459781448051243E-2</v>
      </c>
      <c r="F387" s="47">
        <v>1</v>
      </c>
      <c r="G387" s="49">
        <v>1</v>
      </c>
      <c r="H387" s="47">
        <v>6</v>
      </c>
      <c r="I387" s="48">
        <v>67</v>
      </c>
      <c r="J387" s="48">
        <v>88.99</v>
      </c>
      <c r="K387" s="52">
        <v>73.650000000000006</v>
      </c>
      <c r="L387" s="49">
        <v>26.34</v>
      </c>
      <c r="M387" s="72">
        <f t="shared" ref="M387:M450" si="13">N387*100</f>
        <v>3.9</v>
      </c>
      <c r="N387" s="36">
        <v>3.9E-2</v>
      </c>
      <c r="O387" s="68">
        <v>33.662499999999994</v>
      </c>
      <c r="P387" s="73">
        <v>6.25</v>
      </c>
      <c r="Q387" s="74">
        <f>'Trade Data'!H23</f>
        <v>0.38369501611034146</v>
      </c>
      <c r="R387" s="37">
        <v>1</v>
      </c>
    </row>
    <row r="388" spans="1:18" ht="20.100000000000001" customHeight="1">
      <c r="A388" s="44" t="s">
        <v>134</v>
      </c>
      <c r="B388" s="44" t="s">
        <v>503</v>
      </c>
      <c r="C388" s="59">
        <v>0</v>
      </c>
      <c r="D388" s="47">
        <f>'Sectors % GDP'!I30</f>
        <v>109563.30000000002</v>
      </c>
      <c r="E388" s="47">
        <f t="shared" si="12"/>
        <v>0</v>
      </c>
      <c r="F388" s="47">
        <v>0</v>
      </c>
      <c r="G388" s="49">
        <v>1</v>
      </c>
      <c r="H388" s="47">
        <v>3</v>
      </c>
      <c r="I388" s="48">
        <v>67</v>
      </c>
      <c r="J388" s="48">
        <v>88.99</v>
      </c>
      <c r="K388" s="52">
        <v>73.650000000000006</v>
      </c>
      <c r="L388" s="49">
        <v>26.34</v>
      </c>
      <c r="M388" s="72">
        <f t="shared" si="13"/>
        <v>3.9</v>
      </c>
      <c r="N388" s="36">
        <v>3.9E-2</v>
      </c>
      <c r="O388" s="68">
        <v>33.662499999999994</v>
      </c>
      <c r="P388" s="73">
        <v>6.25</v>
      </c>
      <c r="Q388" s="74">
        <f>'Trade Data'!H23</f>
        <v>0.38369501611034146</v>
      </c>
      <c r="R388" s="37">
        <v>1</v>
      </c>
    </row>
    <row r="389" spans="1:18" ht="20.100000000000001" customHeight="1">
      <c r="A389" s="44" t="s">
        <v>135</v>
      </c>
      <c r="B389" s="44" t="s">
        <v>502</v>
      </c>
      <c r="C389" s="59">
        <v>0</v>
      </c>
      <c r="D389" s="47">
        <f>'Sectors % GDP'!K28</f>
        <v>15750.75</v>
      </c>
      <c r="E389" s="47">
        <f t="shared" si="12"/>
        <v>0</v>
      </c>
      <c r="F389" s="47">
        <v>0</v>
      </c>
      <c r="G389" s="49">
        <v>1</v>
      </c>
      <c r="H389" s="47">
        <v>1</v>
      </c>
      <c r="I389" s="48">
        <v>52.66</v>
      </c>
      <c r="J389" s="48">
        <v>70.959999999999994</v>
      </c>
      <c r="K389" s="52">
        <v>63.54</v>
      </c>
      <c r="L389" s="49">
        <v>25.99</v>
      </c>
      <c r="M389" s="72">
        <f t="shared" si="13"/>
        <v>3.9</v>
      </c>
      <c r="N389" s="36">
        <v>3.9E-2</v>
      </c>
      <c r="O389" s="68">
        <v>22.652499999999996</v>
      </c>
      <c r="P389" s="73">
        <v>6.25</v>
      </c>
      <c r="Q389" s="74">
        <f>'Trade Data'!H23</f>
        <v>0.38369501611034146</v>
      </c>
      <c r="R389" s="35">
        <v>0</v>
      </c>
    </row>
    <row r="390" spans="1:18" ht="20.100000000000001" customHeight="1">
      <c r="A390" s="44" t="s">
        <v>135</v>
      </c>
      <c r="B390" s="44" t="s">
        <v>501</v>
      </c>
      <c r="C390" s="59">
        <f>SUM('Thomson Reuters IMA  ($)'!I744:I752)-'Thomson Reuters IMA  ($)'!I749</f>
        <v>25.866999999999997</v>
      </c>
      <c r="D390" s="47">
        <f>'Sectors % GDP'!K29</f>
        <v>76233.63</v>
      </c>
      <c r="E390" s="47">
        <f t="shared" si="12"/>
        <v>3.3931219069589097E-4</v>
      </c>
      <c r="F390" s="47">
        <v>1</v>
      </c>
      <c r="G390" s="49">
        <v>1</v>
      </c>
      <c r="H390" s="47">
        <v>10</v>
      </c>
      <c r="I390" s="48">
        <v>52.66</v>
      </c>
      <c r="J390" s="48">
        <v>70.959999999999994</v>
      </c>
      <c r="K390" s="52">
        <v>63.54</v>
      </c>
      <c r="L390" s="49">
        <v>25.99</v>
      </c>
      <c r="M390" s="72">
        <f t="shared" si="13"/>
        <v>3.9</v>
      </c>
      <c r="N390" s="36">
        <v>3.9E-2</v>
      </c>
      <c r="O390" s="68">
        <v>22.652499999999996</v>
      </c>
      <c r="P390" s="73">
        <v>6.25</v>
      </c>
      <c r="Q390" s="74">
        <f>'Trade Data'!H23</f>
        <v>0.38369501611034146</v>
      </c>
      <c r="R390" s="35">
        <v>1</v>
      </c>
    </row>
    <row r="391" spans="1:18" ht="20.100000000000001" customHeight="1">
      <c r="A391" s="44" t="s">
        <v>135</v>
      </c>
      <c r="B391" s="44" t="s">
        <v>500</v>
      </c>
      <c r="C391" s="59">
        <f>'Thomson Reuters IMA  ($)'!I749</f>
        <v>2.7589999999999999</v>
      </c>
      <c r="D391" s="47">
        <f>'Sectors % GDP'!K30</f>
        <v>117815.61000000002</v>
      </c>
      <c r="E391" s="47">
        <f t="shared" si="12"/>
        <v>2.3417949455084936E-5</v>
      </c>
      <c r="F391" s="47">
        <v>1</v>
      </c>
      <c r="G391" s="49">
        <v>1</v>
      </c>
      <c r="H391" s="47">
        <v>3</v>
      </c>
      <c r="I391" s="48">
        <v>52.66</v>
      </c>
      <c r="J391" s="48">
        <v>70.959999999999994</v>
      </c>
      <c r="K391" s="52">
        <v>63.54</v>
      </c>
      <c r="L391" s="49">
        <v>25.99</v>
      </c>
      <c r="M391" s="72">
        <f t="shared" si="13"/>
        <v>3.9</v>
      </c>
      <c r="N391" s="36">
        <v>3.9E-2</v>
      </c>
      <c r="O391" s="68">
        <v>22.652499999999996</v>
      </c>
      <c r="P391" s="73">
        <v>6.25</v>
      </c>
      <c r="Q391" s="74">
        <f>'Trade Data'!H23</f>
        <v>0.38369501611034146</v>
      </c>
      <c r="R391" s="35">
        <v>1</v>
      </c>
    </row>
    <row r="392" spans="1:18" ht="20.100000000000001" customHeight="1">
      <c r="A392" s="44" t="s">
        <v>149</v>
      </c>
      <c r="B392" s="44" t="s">
        <v>499</v>
      </c>
      <c r="C392" s="59">
        <f>'Thomson Reuters IMA  ($)'!I754</f>
        <v>15</v>
      </c>
      <c r="D392" s="47">
        <f>'Sectors % GDP'!K28</f>
        <v>15750.75</v>
      </c>
      <c r="E392" s="47">
        <f t="shared" si="12"/>
        <v>9.5233560306652067E-4</v>
      </c>
      <c r="F392" s="47">
        <v>1</v>
      </c>
      <c r="G392" s="49">
        <v>1</v>
      </c>
      <c r="H392" s="47">
        <v>1</v>
      </c>
      <c r="I392" s="48">
        <v>51</v>
      </c>
      <c r="J392" s="48">
        <v>74.89</v>
      </c>
      <c r="K392" s="52">
        <v>54.47</v>
      </c>
      <c r="L392" s="49">
        <v>25.99</v>
      </c>
      <c r="M392" s="72">
        <f t="shared" si="13"/>
        <v>3.5000000000000004</v>
      </c>
      <c r="N392" s="36">
        <v>3.5000000000000003E-2</v>
      </c>
      <c r="O392" s="68">
        <v>15.75</v>
      </c>
      <c r="P392" s="73">
        <v>5.69</v>
      </c>
      <c r="Q392" s="74">
        <f>'Trade Data'!J23</f>
        <v>0.40208861083365133</v>
      </c>
      <c r="R392" s="37">
        <v>0</v>
      </c>
    </row>
    <row r="393" spans="1:18" ht="20.100000000000001" customHeight="1">
      <c r="A393" s="44" t="s">
        <v>149</v>
      </c>
      <c r="B393" s="44" t="s">
        <v>498</v>
      </c>
      <c r="C393" s="59">
        <f>'Thomson Reuters IMA  ($)'!I753+'Thomson Reuters IMA  ($)'!I755</f>
        <v>24</v>
      </c>
      <c r="D393" s="47">
        <f>'Sectors % GDP'!K29</f>
        <v>76233.63</v>
      </c>
      <c r="E393" s="47">
        <f t="shared" si="12"/>
        <v>3.1482168696413902E-4</v>
      </c>
      <c r="F393" s="47">
        <v>1</v>
      </c>
      <c r="G393" s="49">
        <v>1</v>
      </c>
      <c r="H393" s="47">
        <v>2</v>
      </c>
      <c r="I393" s="48">
        <v>51</v>
      </c>
      <c r="J393" s="48">
        <v>74.89</v>
      </c>
      <c r="K393" s="52">
        <v>54.47</v>
      </c>
      <c r="L393" s="49">
        <v>25.99</v>
      </c>
      <c r="M393" s="72">
        <f t="shared" si="13"/>
        <v>3.5000000000000004</v>
      </c>
      <c r="N393" s="36">
        <v>3.5000000000000003E-2</v>
      </c>
      <c r="O393" s="68">
        <v>15.75</v>
      </c>
      <c r="P393" s="73">
        <v>5.69</v>
      </c>
      <c r="Q393" s="74">
        <f>'Trade Data'!J23</f>
        <v>0.40208861083365133</v>
      </c>
      <c r="R393" s="37">
        <v>1</v>
      </c>
    </row>
    <row r="394" spans="1:18" ht="20.100000000000001" customHeight="1">
      <c r="A394" s="44" t="s">
        <v>149</v>
      </c>
      <c r="B394" s="44" t="s">
        <v>497</v>
      </c>
      <c r="C394" s="59">
        <f>'Thomson Reuters IMA  ($)'!I756</f>
        <v>84.7</v>
      </c>
      <c r="D394" s="47">
        <f>'Sectors % GDP'!K30</f>
        <v>117815.61000000002</v>
      </c>
      <c r="E394" s="47">
        <f t="shared" si="12"/>
        <v>7.1892001407962826E-4</v>
      </c>
      <c r="F394" s="47">
        <v>1</v>
      </c>
      <c r="G394" s="49">
        <v>1</v>
      </c>
      <c r="H394" s="47">
        <v>2</v>
      </c>
      <c r="I394" s="48">
        <v>51</v>
      </c>
      <c r="J394" s="48">
        <v>74.89</v>
      </c>
      <c r="K394" s="52">
        <v>54.47</v>
      </c>
      <c r="L394" s="49">
        <v>25.99</v>
      </c>
      <c r="M394" s="72">
        <f t="shared" si="13"/>
        <v>3.5000000000000004</v>
      </c>
      <c r="N394" s="36">
        <v>3.5000000000000003E-2</v>
      </c>
      <c r="O394" s="68">
        <v>15.75</v>
      </c>
      <c r="P394" s="73">
        <v>5.69</v>
      </c>
      <c r="Q394" s="74">
        <f>'Trade Data'!J23</f>
        <v>0.40208861083365133</v>
      </c>
      <c r="R394" s="37">
        <v>1</v>
      </c>
    </row>
    <row r="395" spans="1:18" ht="20.100000000000001" customHeight="1">
      <c r="A395" s="44" t="s">
        <v>150</v>
      </c>
      <c r="B395" s="44" t="s">
        <v>496</v>
      </c>
      <c r="C395" s="59">
        <v>0</v>
      </c>
      <c r="D395" s="47">
        <f>'Sectors % GDP'!K28</f>
        <v>15750.75</v>
      </c>
      <c r="E395" s="47">
        <f t="shared" si="12"/>
        <v>0</v>
      </c>
      <c r="F395" s="47">
        <v>0</v>
      </c>
      <c r="G395" s="49">
        <v>0</v>
      </c>
      <c r="H395" s="47">
        <v>0</v>
      </c>
      <c r="I395" s="48">
        <v>52.4</v>
      </c>
      <c r="J395" s="48">
        <v>78.42</v>
      </c>
      <c r="K395" s="52">
        <v>53.96</v>
      </c>
      <c r="L395" s="49">
        <v>25.99</v>
      </c>
      <c r="M395" s="72">
        <f t="shared" si="13"/>
        <v>3.5000000000000004</v>
      </c>
      <c r="N395" s="36">
        <v>3.5000000000000003E-2</v>
      </c>
      <c r="O395" s="68">
        <v>20.756249999999998</v>
      </c>
      <c r="P395" s="73">
        <v>5.69</v>
      </c>
      <c r="Q395" s="74">
        <f>'Trade Data'!J23</f>
        <v>0.40208861083365133</v>
      </c>
      <c r="R395" s="35">
        <v>0</v>
      </c>
    </row>
    <row r="396" spans="1:18" ht="20.100000000000001" customHeight="1">
      <c r="A396" s="44" t="s">
        <v>150</v>
      </c>
      <c r="B396" s="44" t="s">
        <v>495</v>
      </c>
      <c r="C396" s="59">
        <f>'Thomson Reuters IMA  ($)'!I758+'Thomson Reuters IMA  ($)'!I759+'Thomson Reuters IMA  ($)'!I760</f>
        <v>45.439</v>
      </c>
      <c r="D396" s="47">
        <f>'Sectors % GDP'!K29</f>
        <v>76233.63</v>
      </c>
      <c r="E396" s="47">
        <f t="shared" si="12"/>
        <v>5.9604927641514639E-4</v>
      </c>
      <c r="F396" s="47">
        <v>1</v>
      </c>
      <c r="G396" s="49">
        <v>1</v>
      </c>
      <c r="H396" s="47">
        <v>3</v>
      </c>
      <c r="I396" s="48">
        <v>52.4</v>
      </c>
      <c r="J396" s="48">
        <v>78.42</v>
      </c>
      <c r="K396" s="52">
        <v>53.96</v>
      </c>
      <c r="L396" s="49">
        <v>25.99</v>
      </c>
      <c r="M396" s="72">
        <f t="shared" si="13"/>
        <v>3.5000000000000004</v>
      </c>
      <c r="N396" s="36">
        <v>3.5000000000000003E-2</v>
      </c>
      <c r="O396" s="68">
        <v>20.756249999999998</v>
      </c>
      <c r="P396" s="73">
        <v>5.69</v>
      </c>
      <c r="Q396" s="74">
        <f>'Trade Data'!J23</f>
        <v>0.40208861083365133</v>
      </c>
      <c r="R396" s="35">
        <v>1</v>
      </c>
    </row>
    <row r="397" spans="1:18" ht="20.100000000000001" customHeight="1">
      <c r="A397" s="44" t="s">
        <v>150</v>
      </c>
      <c r="B397" s="44" t="s">
        <v>494</v>
      </c>
      <c r="C397" s="59">
        <f>'Thomson Reuters IMA  ($)'!I757+'Thomson Reuters IMA  ($)'!I761</f>
        <v>1390.35</v>
      </c>
      <c r="D397" s="47">
        <f>'Sectors % GDP'!K30</f>
        <v>117815.61000000002</v>
      </c>
      <c r="E397" s="47">
        <f t="shared" si="12"/>
        <v>1.1801067787197297E-2</v>
      </c>
      <c r="F397" s="47">
        <v>1</v>
      </c>
      <c r="G397" s="49">
        <v>1</v>
      </c>
      <c r="H397" s="47">
        <v>9</v>
      </c>
      <c r="I397" s="48">
        <v>52.4</v>
      </c>
      <c r="J397" s="48">
        <v>78.42</v>
      </c>
      <c r="K397" s="52">
        <v>53.96</v>
      </c>
      <c r="L397" s="49">
        <v>25.99</v>
      </c>
      <c r="M397" s="72">
        <f t="shared" si="13"/>
        <v>3.5000000000000004</v>
      </c>
      <c r="N397" s="36">
        <v>3.5000000000000003E-2</v>
      </c>
      <c r="O397" s="68">
        <v>20.756249999999998</v>
      </c>
      <c r="P397" s="73">
        <v>5.69</v>
      </c>
      <c r="Q397" s="74">
        <f>'Trade Data'!J23</f>
        <v>0.40208861083365133</v>
      </c>
      <c r="R397" s="35">
        <v>1</v>
      </c>
    </row>
    <row r="398" spans="1:18" ht="20.100000000000001" customHeight="1">
      <c r="A398" s="44" t="s">
        <v>136</v>
      </c>
      <c r="B398" s="44" t="s">
        <v>867</v>
      </c>
      <c r="C398" s="59">
        <v>0</v>
      </c>
      <c r="D398" s="47">
        <f>'Sectors % GDP'!K28</f>
        <v>15750.75</v>
      </c>
      <c r="E398" s="47">
        <f t="shared" si="12"/>
        <v>0</v>
      </c>
      <c r="F398" s="47">
        <v>0</v>
      </c>
      <c r="G398" s="49">
        <v>1</v>
      </c>
      <c r="H398" s="47">
        <v>1</v>
      </c>
      <c r="I398" s="48">
        <v>66.83</v>
      </c>
      <c r="J398" s="48">
        <v>95.25</v>
      </c>
      <c r="K398" s="49">
        <v>60.56</v>
      </c>
      <c r="L398" s="49">
        <v>25.99</v>
      </c>
      <c r="M398" s="72">
        <f t="shared" si="13"/>
        <v>3.5000000000000004</v>
      </c>
      <c r="N398" s="36">
        <v>3.5000000000000003E-2</v>
      </c>
      <c r="O398" s="68">
        <v>29.439999999999998</v>
      </c>
      <c r="P398" s="73">
        <v>5.69</v>
      </c>
      <c r="Q398" s="74">
        <f>'Trade Data'!J23</f>
        <v>0.40208861083365133</v>
      </c>
      <c r="R398" s="37">
        <v>0</v>
      </c>
    </row>
    <row r="399" spans="1:18" ht="20.100000000000001" customHeight="1">
      <c r="A399" s="44" t="s">
        <v>136</v>
      </c>
      <c r="B399" s="44" t="s">
        <v>868</v>
      </c>
      <c r="C399" s="59">
        <f>'Thomson Reuters IMA  ($)'!I762+'Thomson Reuters IMA  ($)'!I763+'Thomson Reuters IMA  ($)'!I764</f>
        <v>2684.808</v>
      </c>
      <c r="D399" s="47">
        <f>'Sectors % GDP'!K29</f>
        <v>76233.63</v>
      </c>
      <c r="E399" s="47">
        <f t="shared" si="12"/>
        <v>3.5218157655617338E-2</v>
      </c>
      <c r="F399" s="47">
        <v>1</v>
      </c>
      <c r="G399" s="49">
        <v>1</v>
      </c>
      <c r="H399" s="47">
        <v>5</v>
      </c>
      <c r="I399" s="48">
        <v>66.83</v>
      </c>
      <c r="J399" s="48">
        <v>95.25</v>
      </c>
      <c r="K399" s="49">
        <v>60.56</v>
      </c>
      <c r="L399" s="49">
        <v>25.99</v>
      </c>
      <c r="M399" s="72">
        <f t="shared" si="13"/>
        <v>3.5000000000000004</v>
      </c>
      <c r="N399" s="36">
        <v>3.5000000000000003E-2</v>
      </c>
      <c r="O399" s="68">
        <v>29.439999999999998</v>
      </c>
      <c r="P399" s="73">
        <v>5.69</v>
      </c>
      <c r="Q399" s="74">
        <f>'Trade Data'!J23</f>
        <v>0.40208861083365133</v>
      </c>
      <c r="R399" s="37">
        <v>1</v>
      </c>
    </row>
    <row r="400" spans="1:18" ht="20.100000000000001" customHeight="1">
      <c r="A400" s="44" t="s">
        <v>136</v>
      </c>
      <c r="B400" s="44" t="s">
        <v>869</v>
      </c>
      <c r="C400" s="59">
        <f>0</f>
        <v>0</v>
      </c>
      <c r="D400" s="47">
        <f>'Sectors % GDP'!K30</f>
        <v>117815.61000000002</v>
      </c>
      <c r="E400" s="47">
        <f t="shared" si="12"/>
        <v>0</v>
      </c>
      <c r="F400" s="47">
        <v>0</v>
      </c>
      <c r="G400" s="49">
        <v>1</v>
      </c>
      <c r="H400" s="47">
        <v>2</v>
      </c>
      <c r="I400" s="48">
        <v>66.83</v>
      </c>
      <c r="J400" s="48">
        <v>95.25</v>
      </c>
      <c r="K400" s="49">
        <v>60.56</v>
      </c>
      <c r="L400" s="49">
        <v>25.99</v>
      </c>
      <c r="M400" s="72">
        <f t="shared" si="13"/>
        <v>3.5000000000000004</v>
      </c>
      <c r="N400" s="36">
        <v>3.5000000000000003E-2</v>
      </c>
      <c r="O400" s="68">
        <v>29.439999999999998</v>
      </c>
      <c r="P400" s="73">
        <v>5.69</v>
      </c>
      <c r="Q400" s="74">
        <f>'Trade Data'!J23</f>
        <v>0.40208861083365133</v>
      </c>
      <c r="R400" s="37">
        <v>1</v>
      </c>
    </row>
    <row r="401" spans="1:18" ht="20.100000000000001" customHeight="1">
      <c r="A401" s="44" t="s">
        <v>137</v>
      </c>
      <c r="B401" s="44" t="s">
        <v>493</v>
      </c>
      <c r="C401" s="59">
        <f>0</f>
        <v>0</v>
      </c>
      <c r="D401" s="47">
        <f>'Sectors % GDP'!C32</f>
        <v>12587.279999999999</v>
      </c>
      <c r="E401" s="47">
        <f t="shared" si="12"/>
        <v>0</v>
      </c>
      <c r="F401" s="47">
        <v>0</v>
      </c>
      <c r="G401" s="49">
        <v>0</v>
      </c>
      <c r="H401" s="47">
        <v>0</v>
      </c>
      <c r="I401" s="48">
        <v>4.99</v>
      </c>
      <c r="J401" s="60">
        <v>17.04</v>
      </c>
      <c r="K401" s="49">
        <v>7.6</v>
      </c>
      <c r="L401" s="49">
        <v>4.3899999999999997</v>
      </c>
      <c r="M401" s="72">
        <f t="shared" si="13"/>
        <v>1.3</v>
      </c>
      <c r="N401" s="36">
        <v>1.2999999999999999E-2</v>
      </c>
      <c r="O401" s="68">
        <v>-39.347500000000004</v>
      </c>
      <c r="P401" s="73">
        <v>5.8</v>
      </c>
      <c r="Q401" s="74">
        <f>'Trade Data'!B26</f>
        <v>0.59871477824404573</v>
      </c>
      <c r="R401" s="35">
        <v>0</v>
      </c>
    </row>
    <row r="402" spans="1:18" ht="20.100000000000001" customHeight="1">
      <c r="A402" s="44" t="s">
        <v>137</v>
      </c>
      <c r="B402" s="44" t="s">
        <v>492</v>
      </c>
      <c r="C402" s="59">
        <f>0</f>
        <v>0</v>
      </c>
      <c r="D402" s="47">
        <f>'Sectors % GDP'!C33</f>
        <v>114785.68000000001</v>
      </c>
      <c r="E402" s="47">
        <f t="shared" si="12"/>
        <v>0</v>
      </c>
      <c r="F402" s="47">
        <v>0</v>
      </c>
      <c r="G402" s="49">
        <v>0</v>
      </c>
      <c r="H402" s="47">
        <v>0</v>
      </c>
      <c r="I402" s="48">
        <v>4.99</v>
      </c>
      <c r="J402" s="60">
        <v>17.04</v>
      </c>
      <c r="K402" s="49">
        <v>7.6</v>
      </c>
      <c r="L402" s="52">
        <v>4.3899999999999997</v>
      </c>
      <c r="M402" s="72">
        <f t="shared" si="13"/>
        <v>1.3</v>
      </c>
      <c r="N402" s="36">
        <v>1.2999999999999999E-2</v>
      </c>
      <c r="O402" s="68">
        <v>-39.347500000000004</v>
      </c>
      <c r="P402" s="73">
        <v>5.8</v>
      </c>
      <c r="Q402" s="74">
        <f>'Trade Data'!B26</f>
        <v>0.59871477824404573</v>
      </c>
      <c r="R402" s="35">
        <v>1</v>
      </c>
    </row>
    <row r="403" spans="1:18" ht="20.100000000000001" customHeight="1">
      <c r="A403" s="44" t="s">
        <v>137</v>
      </c>
      <c r="B403" s="44" t="s">
        <v>491</v>
      </c>
      <c r="C403" s="59">
        <f>0</f>
        <v>0</v>
      </c>
      <c r="D403" s="47">
        <f>'Sectors % GDP'!C34</f>
        <v>107027.04000000001</v>
      </c>
      <c r="E403" s="47">
        <f t="shared" si="12"/>
        <v>0</v>
      </c>
      <c r="F403" s="47">
        <v>0</v>
      </c>
      <c r="G403" s="49">
        <v>0</v>
      </c>
      <c r="H403" s="47">
        <v>0</v>
      </c>
      <c r="I403" s="48">
        <v>4.99</v>
      </c>
      <c r="J403" s="60">
        <v>17.04</v>
      </c>
      <c r="K403" s="49">
        <v>7.6</v>
      </c>
      <c r="L403" s="52">
        <v>4.3899999999999997</v>
      </c>
      <c r="M403" s="72">
        <f t="shared" si="13"/>
        <v>1.3</v>
      </c>
      <c r="N403" s="36">
        <v>1.2999999999999999E-2</v>
      </c>
      <c r="O403" s="68">
        <v>-39.347500000000004</v>
      </c>
      <c r="P403" s="73">
        <v>5.8</v>
      </c>
      <c r="Q403" s="74">
        <f>'Trade Data'!B26</f>
        <v>0.59871477824404573</v>
      </c>
      <c r="R403" s="35">
        <v>1</v>
      </c>
    </row>
    <row r="404" spans="1:18" ht="20.100000000000001" customHeight="1">
      <c r="A404" s="44" t="s">
        <v>138</v>
      </c>
      <c r="B404" s="44" t="s">
        <v>490</v>
      </c>
      <c r="C404" s="59">
        <f>0</f>
        <v>0</v>
      </c>
      <c r="D404" s="47">
        <f>'Sectors % GDP'!C32</f>
        <v>12587.279999999999</v>
      </c>
      <c r="E404" s="47">
        <f t="shared" si="12"/>
        <v>0</v>
      </c>
      <c r="F404" s="47">
        <v>0</v>
      </c>
      <c r="G404" s="49">
        <v>0</v>
      </c>
      <c r="H404" s="47">
        <v>0</v>
      </c>
      <c r="I404" s="48">
        <v>5.78</v>
      </c>
      <c r="J404" s="60">
        <v>9.98</v>
      </c>
      <c r="K404" s="48">
        <v>19.760000000000002</v>
      </c>
      <c r="L404" s="52">
        <v>4.3899999999999997</v>
      </c>
      <c r="M404" s="72">
        <f t="shared" si="13"/>
        <v>1.3</v>
      </c>
      <c r="N404" s="36">
        <v>1.2999999999999999E-2</v>
      </c>
      <c r="O404" s="68">
        <v>-27.78125</v>
      </c>
      <c r="P404" s="73">
        <v>5.8</v>
      </c>
      <c r="Q404" s="74">
        <f>'Trade Data'!B26</f>
        <v>0.59871477824404573</v>
      </c>
      <c r="R404" s="37">
        <v>0</v>
      </c>
    </row>
    <row r="405" spans="1:18" ht="20.100000000000001" customHeight="1">
      <c r="A405" s="44" t="s">
        <v>138</v>
      </c>
      <c r="B405" s="44" t="s">
        <v>489</v>
      </c>
      <c r="C405" s="59">
        <f>0</f>
        <v>0</v>
      </c>
      <c r="D405" s="47">
        <f>'Sectors % GDP'!C33</f>
        <v>114785.68000000001</v>
      </c>
      <c r="E405" s="47">
        <f t="shared" si="12"/>
        <v>0</v>
      </c>
      <c r="F405" s="47">
        <v>0</v>
      </c>
      <c r="G405" s="49">
        <v>0</v>
      </c>
      <c r="H405" s="47">
        <v>0</v>
      </c>
      <c r="I405" s="48">
        <v>5.78</v>
      </c>
      <c r="J405" s="60">
        <v>9.98</v>
      </c>
      <c r="K405" s="48">
        <v>19.760000000000002</v>
      </c>
      <c r="L405" s="52">
        <v>4.3899999999999997</v>
      </c>
      <c r="M405" s="72">
        <f t="shared" si="13"/>
        <v>1.3</v>
      </c>
      <c r="N405" s="36">
        <v>1.2999999999999999E-2</v>
      </c>
      <c r="O405" s="68">
        <v>-27.78125</v>
      </c>
      <c r="P405" s="73">
        <v>5.8</v>
      </c>
      <c r="Q405" s="74">
        <f>'Trade Data'!B26</f>
        <v>0.59871477824404573</v>
      </c>
      <c r="R405" s="37">
        <v>1</v>
      </c>
    </row>
    <row r="406" spans="1:18" ht="20.100000000000001" customHeight="1">
      <c r="A406" s="44" t="s">
        <v>138</v>
      </c>
      <c r="B406" s="44" t="s">
        <v>488</v>
      </c>
      <c r="C406" s="59">
        <f>0</f>
        <v>0</v>
      </c>
      <c r="D406" s="47">
        <f>'Sectors % GDP'!C34</f>
        <v>107027.04000000001</v>
      </c>
      <c r="E406" s="47">
        <f t="shared" si="12"/>
        <v>0</v>
      </c>
      <c r="F406" s="47">
        <v>0</v>
      </c>
      <c r="G406" s="49">
        <v>0</v>
      </c>
      <c r="H406" s="47">
        <v>0</v>
      </c>
      <c r="I406" s="48">
        <v>5.78</v>
      </c>
      <c r="J406" s="60">
        <v>9.98</v>
      </c>
      <c r="K406" s="48">
        <v>19.760000000000002</v>
      </c>
      <c r="L406" s="52">
        <v>4.3899999999999997</v>
      </c>
      <c r="M406" s="72">
        <f t="shared" si="13"/>
        <v>1.3</v>
      </c>
      <c r="N406" s="36">
        <v>1.2999999999999999E-2</v>
      </c>
      <c r="O406" s="68">
        <v>-27.78125</v>
      </c>
      <c r="P406" s="73">
        <v>5.8</v>
      </c>
      <c r="Q406" s="74">
        <f>'Trade Data'!B26</f>
        <v>0.59871477824404573</v>
      </c>
      <c r="R406" s="37">
        <v>1</v>
      </c>
    </row>
    <row r="407" spans="1:18" ht="20.100000000000001" customHeight="1">
      <c r="A407" s="44" t="s">
        <v>139</v>
      </c>
      <c r="B407" s="44" t="s">
        <v>487</v>
      </c>
      <c r="C407" s="59">
        <f>0</f>
        <v>0</v>
      </c>
      <c r="D407" s="47">
        <f>'Sectors % GDP'!C32</f>
        <v>12587.279999999999</v>
      </c>
      <c r="E407" s="47">
        <f t="shared" si="12"/>
        <v>0</v>
      </c>
      <c r="F407" s="47">
        <v>0</v>
      </c>
      <c r="G407" s="49">
        <v>0</v>
      </c>
      <c r="H407" s="47">
        <v>0</v>
      </c>
      <c r="I407" s="48">
        <v>3.28</v>
      </c>
      <c r="J407" s="60">
        <v>12.63</v>
      </c>
      <c r="K407" s="48">
        <v>3.14</v>
      </c>
      <c r="L407" s="52">
        <v>4.3899999999999997</v>
      </c>
      <c r="M407" s="72">
        <f t="shared" si="13"/>
        <v>1.3</v>
      </c>
      <c r="N407" s="36">
        <v>1.2999999999999999E-2</v>
      </c>
      <c r="O407" s="68">
        <v>-37.876249999999999</v>
      </c>
      <c r="P407" s="73">
        <v>5.8</v>
      </c>
      <c r="Q407" s="74">
        <f>'Trade Data'!B26</f>
        <v>0.59871477824404573</v>
      </c>
      <c r="R407" s="35">
        <v>0</v>
      </c>
    </row>
    <row r="408" spans="1:18" ht="20.100000000000001" customHeight="1">
      <c r="A408" s="44" t="s">
        <v>139</v>
      </c>
      <c r="B408" s="44" t="s">
        <v>486</v>
      </c>
      <c r="C408" s="59">
        <f>0</f>
        <v>0</v>
      </c>
      <c r="D408" s="47">
        <f>'Sectors % GDP'!C33</f>
        <v>114785.68000000001</v>
      </c>
      <c r="E408" s="47">
        <f t="shared" si="12"/>
        <v>0</v>
      </c>
      <c r="F408" s="47">
        <v>0</v>
      </c>
      <c r="G408" s="49">
        <v>0</v>
      </c>
      <c r="H408" s="47">
        <v>0</v>
      </c>
      <c r="I408" s="48">
        <v>3.28</v>
      </c>
      <c r="J408" s="60">
        <v>12.63</v>
      </c>
      <c r="K408" s="48">
        <v>3.14</v>
      </c>
      <c r="L408" s="52">
        <v>4.3899999999999997</v>
      </c>
      <c r="M408" s="72">
        <f t="shared" si="13"/>
        <v>1.3</v>
      </c>
      <c r="N408" s="36">
        <v>1.2999999999999999E-2</v>
      </c>
      <c r="O408" s="68">
        <v>-37.876249999999999</v>
      </c>
      <c r="P408" s="73">
        <v>5.8</v>
      </c>
      <c r="Q408" s="74">
        <f>'Trade Data'!B26</f>
        <v>0.59871477824404573</v>
      </c>
      <c r="R408" s="35">
        <v>1</v>
      </c>
    </row>
    <row r="409" spans="1:18" ht="20.100000000000001" customHeight="1">
      <c r="A409" s="44" t="s">
        <v>139</v>
      </c>
      <c r="B409" s="44" t="s">
        <v>485</v>
      </c>
      <c r="C409" s="59">
        <f>0</f>
        <v>0</v>
      </c>
      <c r="D409" s="47">
        <f>'Sectors % GDP'!C34</f>
        <v>107027.04000000001</v>
      </c>
      <c r="E409" s="47">
        <f t="shared" si="12"/>
        <v>0</v>
      </c>
      <c r="F409" s="47">
        <v>0</v>
      </c>
      <c r="G409" s="49">
        <v>0</v>
      </c>
      <c r="H409" s="47">
        <v>0</v>
      </c>
      <c r="I409" s="48">
        <v>3.28</v>
      </c>
      <c r="J409" s="60">
        <v>12.63</v>
      </c>
      <c r="K409" s="48">
        <v>3.14</v>
      </c>
      <c r="L409" s="52">
        <v>4.3899999999999997</v>
      </c>
      <c r="M409" s="72">
        <f t="shared" si="13"/>
        <v>1.3</v>
      </c>
      <c r="N409" s="36">
        <v>1.2999999999999999E-2</v>
      </c>
      <c r="O409" s="68">
        <v>-37.876249999999999</v>
      </c>
      <c r="P409" s="73">
        <v>5.8</v>
      </c>
      <c r="Q409" s="74">
        <f>'Trade Data'!B26</f>
        <v>0.59871477824404573</v>
      </c>
      <c r="R409" s="35">
        <v>1</v>
      </c>
    </row>
    <row r="410" spans="1:18" ht="20.100000000000001" customHeight="1">
      <c r="A410" s="44" t="s">
        <v>140</v>
      </c>
      <c r="B410" s="44" t="s">
        <v>484</v>
      </c>
      <c r="C410" s="59">
        <f>0</f>
        <v>0</v>
      </c>
      <c r="D410" s="47">
        <f>'Sectors % GDP'!E32</f>
        <v>11976.539999999999</v>
      </c>
      <c r="E410" s="47">
        <f t="shared" si="12"/>
        <v>0</v>
      </c>
      <c r="F410" s="47">
        <v>0</v>
      </c>
      <c r="G410" s="49">
        <v>0</v>
      </c>
      <c r="H410" s="47">
        <v>0</v>
      </c>
      <c r="I410" s="48">
        <v>2.71</v>
      </c>
      <c r="J410" s="60">
        <v>5.48</v>
      </c>
      <c r="K410" s="48">
        <v>6.37</v>
      </c>
      <c r="L410" s="52">
        <v>4.3899999999999997</v>
      </c>
      <c r="M410" s="72">
        <f t="shared" si="13"/>
        <v>1.3</v>
      </c>
      <c r="N410" s="36">
        <v>1.2999999999999999E-2</v>
      </c>
      <c r="O410" s="68">
        <v>-33.657499999999999</v>
      </c>
      <c r="P410" s="73">
        <v>5.8</v>
      </c>
      <c r="Q410" s="74">
        <f>'Trade Data'!B26</f>
        <v>0.59871477824404573</v>
      </c>
      <c r="R410" s="37">
        <v>0</v>
      </c>
    </row>
    <row r="411" spans="1:18" ht="20.100000000000001" customHeight="1">
      <c r="A411" s="44" t="s">
        <v>140</v>
      </c>
      <c r="B411" s="44" t="s">
        <v>483</v>
      </c>
      <c r="C411" s="59">
        <f>'Thomson Reuters IMA  ($)'!I765</f>
        <v>71.528999999999996</v>
      </c>
      <c r="D411" s="47">
        <f>'Sectors % GDP'!E33</f>
        <v>88762.3</v>
      </c>
      <c r="E411" s="47">
        <f t="shared" si="12"/>
        <v>8.0584887953556858E-4</v>
      </c>
      <c r="F411" s="47">
        <v>1</v>
      </c>
      <c r="G411" s="49">
        <v>1</v>
      </c>
      <c r="H411" s="47">
        <v>2</v>
      </c>
      <c r="I411" s="48">
        <v>2.71</v>
      </c>
      <c r="J411" s="60">
        <v>5.48</v>
      </c>
      <c r="K411" s="48">
        <v>6.37</v>
      </c>
      <c r="L411" s="52">
        <v>4.3899999999999997</v>
      </c>
      <c r="M411" s="72">
        <f t="shared" si="13"/>
        <v>1.3</v>
      </c>
      <c r="N411" s="36">
        <v>1.2999999999999999E-2</v>
      </c>
      <c r="O411" s="68">
        <v>-33.657499999999999</v>
      </c>
      <c r="P411" s="73">
        <v>5.8</v>
      </c>
      <c r="Q411" s="74">
        <f>'Trade Data'!B26</f>
        <v>0.59871477824404573</v>
      </c>
      <c r="R411" s="37">
        <v>1</v>
      </c>
    </row>
    <row r="412" spans="1:18" ht="20.100000000000001" customHeight="1">
      <c r="A412" s="44" t="s">
        <v>140</v>
      </c>
      <c r="B412" s="44" t="s">
        <v>482</v>
      </c>
      <c r="C412" s="59">
        <v>0</v>
      </c>
      <c r="D412" s="47">
        <f>'Sectors % GDP'!E34</f>
        <v>111589.92499999999</v>
      </c>
      <c r="E412" s="47">
        <f t="shared" si="12"/>
        <v>0</v>
      </c>
      <c r="F412" s="47">
        <v>0</v>
      </c>
      <c r="G412" s="49">
        <v>0</v>
      </c>
      <c r="H412" s="47">
        <v>0</v>
      </c>
      <c r="I412" s="48">
        <v>2.71</v>
      </c>
      <c r="J412" s="60">
        <v>5.48</v>
      </c>
      <c r="K412" s="48">
        <v>6.37</v>
      </c>
      <c r="L412" s="52">
        <v>4.3899999999999997</v>
      </c>
      <c r="M412" s="72">
        <f t="shared" si="13"/>
        <v>1.3</v>
      </c>
      <c r="N412" s="36">
        <v>1.2999999999999999E-2</v>
      </c>
      <c r="O412" s="68">
        <v>-33.657499999999999</v>
      </c>
      <c r="P412" s="73">
        <v>5.8</v>
      </c>
      <c r="Q412" s="74">
        <f>'Trade Data'!B26</f>
        <v>0.59871477824404573</v>
      </c>
      <c r="R412" s="37">
        <v>1</v>
      </c>
    </row>
    <row r="413" spans="1:18" ht="20.100000000000001" customHeight="1">
      <c r="A413" s="44" t="s">
        <v>141</v>
      </c>
      <c r="B413" s="44" t="s">
        <v>481</v>
      </c>
      <c r="C413" s="59">
        <v>0</v>
      </c>
      <c r="D413" s="47">
        <f>'Sectors % GDP'!E32</f>
        <v>11976.539999999999</v>
      </c>
      <c r="E413" s="47">
        <f t="shared" si="12"/>
        <v>0</v>
      </c>
      <c r="F413" s="47">
        <v>0</v>
      </c>
      <c r="G413" s="49">
        <v>0</v>
      </c>
      <c r="H413" s="47">
        <v>0</v>
      </c>
      <c r="I413" s="48">
        <v>3.92</v>
      </c>
      <c r="J413" s="60">
        <v>5.65</v>
      </c>
      <c r="K413" s="48">
        <v>12.82</v>
      </c>
      <c r="L413" s="52">
        <v>4.3899999999999997</v>
      </c>
      <c r="M413" s="72">
        <f t="shared" si="13"/>
        <v>-3.9</v>
      </c>
      <c r="N413" s="36">
        <v>-3.9E-2</v>
      </c>
      <c r="O413" s="68">
        <v>-32.662500000000001</v>
      </c>
      <c r="P413" s="73">
        <v>5</v>
      </c>
      <c r="Q413" s="74">
        <f>'Trade Data'!D26</f>
        <v>0.51245329015399177</v>
      </c>
      <c r="R413" s="35">
        <v>0</v>
      </c>
    </row>
    <row r="414" spans="1:18" ht="20.100000000000001" customHeight="1">
      <c r="A414" s="44" t="s">
        <v>141</v>
      </c>
      <c r="B414" s="44" t="s">
        <v>480</v>
      </c>
      <c r="C414" s="59">
        <v>0</v>
      </c>
      <c r="D414" s="47">
        <f>'Sectors % GDP'!E33</f>
        <v>88762.3</v>
      </c>
      <c r="E414" s="47">
        <f t="shared" si="12"/>
        <v>0</v>
      </c>
      <c r="F414" s="47">
        <v>0</v>
      </c>
      <c r="G414" s="49">
        <v>0</v>
      </c>
      <c r="H414" s="47">
        <v>0</v>
      </c>
      <c r="I414" s="48">
        <v>3.92</v>
      </c>
      <c r="J414" s="60">
        <v>5.65</v>
      </c>
      <c r="K414" s="48">
        <v>12.82</v>
      </c>
      <c r="L414" s="52">
        <v>4.3899999999999997</v>
      </c>
      <c r="M414" s="72">
        <f t="shared" si="13"/>
        <v>-3.9</v>
      </c>
      <c r="N414" s="36">
        <v>-3.9E-2</v>
      </c>
      <c r="O414" s="68">
        <v>-32.662500000000001</v>
      </c>
      <c r="P414" s="73">
        <v>5</v>
      </c>
      <c r="Q414" s="74">
        <f>'Trade Data'!D26</f>
        <v>0.51245329015399177</v>
      </c>
      <c r="R414" s="35">
        <v>1</v>
      </c>
    </row>
    <row r="415" spans="1:18" ht="20.100000000000001" customHeight="1">
      <c r="A415" s="44" t="s">
        <v>141</v>
      </c>
      <c r="B415" s="44" t="s">
        <v>479</v>
      </c>
      <c r="C415" s="59">
        <v>0</v>
      </c>
      <c r="D415" s="47">
        <f>'Sectors % GDP'!E34</f>
        <v>111589.92499999999</v>
      </c>
      <c r="E415" s="47">
        <f t="shared" si="12"/>
        <v>0</v>
      </c>
      <c r="F415" s="47">
        <v>0</v>
      </c>
      <c r="G415" s="49">
        <v>0</v>
      </c>
      <c r="H415" s="47">
        <v>0</v>
      </c>
      <c r="I415" s="48">
        <v>3.92</v>
      </c>
      <c r="J415" s="60">
        <v>5.65</v>
      </c>
      <c r="K415" s="48">
        <v>12.82</v>
      </c>
      <c r="L415" s="52">
        <v>4.3899999999999997</v>
      </c>
      <c r="M415" s="72">
        <f t="shared" si="13"/>
        <v>-3.9</v>
      </c>
      <c r="N415" s="36">
        <v>-3.9E-2</v>
      </c>
      <c r="O415" s="68">
        <v>-32.662500000000001</v>
      </c>
      <c r="P415" s="73">
        <v>5</v>
      </c>
      <c r="Q415" s="74">
        <f>'Trade Data'!D26</f>
        <v>0.51245329015399177</v>
      </c>
      <c r="R415" s="35">
        <v>1</v>
      </c>
    </row>
    <row r="416" spans="1:18" ht="20.100000000000001" customHeight="1">
      <c r="A416" s="44" t="s">
        <v>142</v>
      </c>
      <c r="B416" s="44" t="s">
        <v>478</v>
      </c>
      <c r="C416" s="59">
        <v>0</v>
      </c>
      <c r="D416" s="47">
        <f>'Sectors % GDP'!E32</f>
        <v>11976.539999999999</v>
      </c>
      <c r="E416" s="47">
        <f t="shared" si="12"/>
        <v>0</v>
      </c>
      <c r="F416" s="47">
        <v>0</v>
      </c>
      <c r="G416" s="49">
        <v>0</v>
      </c>
      <c r="H416" s="47">
        <v>0</v>
      </c>
      <c r="I416" s="48">
        <v>5.32</v>
      </c>
      <c r="J416" s="60">
        <v>16.739999999999998</v>
      </c>
      <c r="K416" s="48">
        <v>8.27</v>
      </c>
      <c r="L416" s="52">
        <v>4.3899999999999997</v>
      </c>
      <c r="M416" s="72">
        <f t="shared" si="13"/>
        <v>-3.9</v>
      </c>
      <c r="N416" s="36">
        <v>-3.9E-2</v>
      </c>
      <c r="O416" s="68">
        <v>-36.626249999999992</v>
      </c>
      <c r="P416" s="73">
        <v>5</v>
      </c>
      <c r="Q416" s="74">
        <f>'Trade Data'!D26</f>
        <v>0.51245329015399177</v>
      </c>
      <c r="R416" s="37">
        <v>0</v>
      </c>
    </row>
    <row r="417" spans="1:18" ht="20.100000000000001" customHeight="1">
      <c r="A417" s="44" t="s">
        <v>142</v>
      </c>
      <c r="B417" s="44" t="s">
        <v>477</v>
      </c>
      <c r="C417" s="59">
        <f>'Thomson Reuters IMA  ($)'!I766</f>
        <v>500</v>
      </c>
      <c r="D417" s="47">
        <f>'Sectors % GDP'!E33</f>
        <v>88762.3</v>
      </c>
      <c r="E417" s="47">
        <f t="shared" si="12"/>
        <v>5.6330221276375218E-3</v>
      </c>
      <c r="F417" s="47">
        <v>1</v>
      </c>
      <c r="G417" s="61">
        <v>1</v>
      </c>
      <c r="H417" s="47">
        <v>1</v>
      </c>
      <c r="I417" s="48">
        <v>5.32</v>
      </c>
      <c r="J417" s="60">
        <v>16.739999999999998</v>
      </c>
      <c r="K417" s="48">
        <v>8.27</v>
      </c>
      <c r="L417" s="52">
        <v>4.3899999999999997</v>
      </c>
      <c r="M417" s="72">
        <f t="shared" si="13"/>
        <v>-3.9</v>
      </c>
      <c r="N417" s="36">
        <v>-3.9E-2</v>
      </c>
      <c r="O417" s="68">
        <v>-36.626249999999992</v>
      </c>
      <c r="P417" s="73">
        <v>5</v>
      </c>
      <c r="Q417" s="74">
        <f>'Trade Data'!D26</f>
        <v>0.51245329015399177</v>
      </c>
      <c r="R417" s="37">
        <v>1</v>
      </c>
    </row>
    <row r="418" spans="1:18" ht="20.100000000000001" customHeight="1">
      <c r="A418" s="44" t="s">
        <v>142</v>
      </c>
      <c r="B418" s="44" t="s">
        <v>476</v>
      </c>
      <c r="C418" s="59">
        <v>0</v>
      </c>
      <c r="D418" s="47">
        <f>'Sectors % GDP'!E34</f>
        <v>111589.92499999999</v>
      </c>
      <c r="E418" s="47">
        <f t="shared" si="12"/>
        <v>0</v>
      </c>
      <c r="F418" s="47">
        <v>0</v>
      </c>
      <c r="G418" s="49">
        <v>1</v>
      </c>
      <c r="H418" s="47">
        <v>1</v>
      </c>
      <c r="I418" s="48">
        <v>5.32</v>
      </c>
      <c r="J418" s="60">
        <v>16.739999999999998</v>
      </c>
      <c r="K418" s="48">
        <v>8.27</v>
      </c>
      <c r="L418" s="52">
        <v>4.3899999999999997</v>
      </c>
      <c r="M418" s="72">
        <f t="shared" si="13"/>
        <v>-3.9</v>
      </c>
      <c r="N418" s="36">
        <v>-3.9E-2</v>
      </c>
      <c r="O418" s="68">
        <v>-36.626249999999992</v>
      </c>
      <c r="P418" s="73">
        <v>5</v>
      </c>
      <c r="Q418" s="74">
        <f>'Trade Data'!D26</f>
        <v>0.51245329015399177</v>
      </c>
      <c r="R418" s="37">
        <v>1</v>
      </c>
    </row>
    <row r="419" spans="1:18" ht="20.100000000000001" customHeight="1">
      <c r="A419" s="44" t="s">
        <v>143</v>
      </c>
      <c r="B419" s="44" t="s">
        <v>475</v>
      </c>
      <c r="C419" s="59">
        <v>0</v>
      </c>
      <c r="D419" s="47">
        <f>'Sectors % GDP'!E32</f>
        <v>11976.539999999999</v>
      </c>
      <c r="E419" s="47">
        <f t="shared" si="12"/>
        <v>0</v>
      </c>
      <c r="F419" s="47">
        <v>0</v>
      </c>
      <c r="G419" s="49">
        <v>0</v>
      </c>
      <c r="H419" s="47">
        <v>0</v>
      </c>
      <c r="I419" s="48">
        <v>4.9800000000000004</v>
      </c>
      <c r="J419" s="52">
        <v>14.81</v>
      </c>
      <c r="K419" s="52">
        <v>9.61</v>
      </c>
      <c r="L419" s="52">
        <v>4.3899999999999997</v>
      </c>
      <c r="M419" s="72">
        <f t="shared" si="13"/>
        <v>-3.9</v>
      </c>
      <c r="N419" s="36">
        <v>-3.9E-2</v>
      </c>
      <c r="O419" s="68">
        <v>-32.778750000000002</v>
      </c>
      <c r="P419" s="73">
        <v>5</v>
      </c>
      <c r="Q419" s="74">
        <f>'Trade Data'!D26</f>
        <v>0.51245329015399177</v>
      </c>
      <c r="R419" s="35">
        <v>0</v>
      </c>
    </row>
    <row r="420" spans="1:18" ht="20.100000000000001" customHeight="1">
      <c r="A420" s="44" t="s">
        <v>143</v>
      </c>
      <c r="B420" s="44" t="s">
        <v>474</v>
      </c>
      <c r="C420" s="59">
        <v>0</v>
      </c>
      <c r="D420" s="47">
        <f>'Sectors % GDP'!E33</f>
        <v>88762.3</v>
      </c>
      <c r="E420" s="47">
        <f t="shared" si="12"/>
        <v>0</v>
      </c>
      <c r="F420" s="47">
        <v>0</v>
      </c>
      <c r="G420" s="49">
        <v>0</v>
      </c>
      <c r="H420" s="47">
        <v>0</v>
      </c>
      <c r="I420" s="48">
        <v>4.9800000000000004</v>
      </c>
      <c r="J420" s="52">
        <v>14.81</v>
      </c>
      <c r="K420" s="52">
        <v>9.61</v>
      </c>
      <c r="L420" s="52">
        <v>4.3899999999999997</v>
      </c>
      <c r="M420" s="72">
        <f t="shared" si="13"/>
        <v>-3.9</v>
      </c>
      <c r="N420" s="36">
        <v>-3.9E-2</v>
      </c>
      <c r="O420" s="68">
        <v>-32.778750000000002</v>
      </c>
      <c r="P420" s="73">
        <v>5</v>
      </c>
      <c r="Q420" s="74">
        <f>'Trade Data'!D26</f>
        <v>0.51245329015399177</v>
      </c>
      <c r="R420" s="35">
        <v>1</v>
      </c>
    </row>
    <row r="421" spans="1:18" ht="20.100000000000001" customHeight="1">
      <c r="A421" s="44" t="s">
        <v>143</v>
      </c>
      <c r="B421" s="44" t="s">
        <v>473</v>
      </c>
      <c r="C421" s="59">
        <v>0</v>
      </c>
      <c r="D421" s="47">
        <f>'Sectors % GDP'!E34</f>
        <v>111589.92499999999</v>
      </c>
      <c r="E421" s="47">
        <f t="shared" si="12"/>
        <v>0</v>
      </c>
      <c r="F421" s="47">
        <v>0</v>
      </c>
      <c r="G421" s="49">
        <v>0</v>
      </c>
      <c r="H421" s="47">
        <v>0</v>
      </c>
      <c r="I421" s="48">
        <v>4.9800000000000004</v>
      </c>
      <c r="J421" s="52">
        <v>14.81</v>
      </c>
      <c r="K421" s="52">
        <v>9.61</v>
      </c>
      <c r="L421" s="52">
        <v>4.3899999999999997</v>
      </c>
      <c r="M421" s="72">
        <f t="shared" si="13"/>
        <v>-3.9</v>
      </c>
      <c r="N421" s="36">
        <v>-3.9E-2</v>
      </c>
      <c r="O421" s="68">
        <v>-32.778750000000002</v>
      </c>
      <c r="P421" s="73">
        <v>5</v>
      </c>
      <c r="Q421" s="74">
        <f>'Trade Data'!D26</f>
        <v>0.51245329015399177</v>
      </c>
      <c r="R421" s="35">
        <v>1</v>
      </c>
    </row>
    <row r="422" spans="1:18" ht="20.100000000000001" customHeight="1">
      <c r="A422" s="44" t="s">
        <v>144</v>
      </c>
      <c r="B422" s="44" t="s">
        <v>472</v>
      </c>
      <c r="C422" s="59">
        <v>0</v>
      </c>
      <c r="D422" s="47">
        <f>'Sectors % GDP'!G32</f>
        <v>10674.4</v>
      </c>
      <c r="E422" s="47">
        <f t="shared" si="12"/>
        <v>0</v>
      </c>
      <c r="F422" s="47">
        <v>0</v>
      </c>
      <c r="G422" s="49">
        <v>0</v>
      </c>
      <c r="H422" s="47">
        <v>0</v>
      </c>
      <c r="I422" s="48">
        <v>3.41</v>
      </c>
      <c r="J422" s="48">
        <v>3.87</v>
      </c>
      <c r="K422" s="52">
        <v>11.02</v>
      </c>
      <c r="L422" s="48">
        <v>4.07</v>
      </c>
      <c r="M422" s="72">
        <f t="shared" si="13"/>
        <v>-3.9</v>
      </c>
      <c r="N422" s="36">
        <v>-3.9E-2</v>
      </c>
      <c r="O422" s="68">
        <v>-30.296250000000004</v>
      </c>
      <c r="P422" s="73">
        <v>5</v>
      </c>
      <c r="Q422" s="74">
        <f>'Trade Data'!D26</f>
        <v>0.51245329015399177</v>
      </c>
      <c r="R422" s="37">
        <v>0</v>
      </c>
    </row>
    <row r="423" spans="1:18" ht="20.100000000000001" customHeight="1">
      <c r="A423" s="44" t="s">
        <v>144</v>
      </c>
      <c r="B423" s="44" t="s">
        <v>471</v>
      </c>
      <c r="C423" s="59">
        <v>0</v>
      </c>
      <c r="D423" s="47">
        <f>'Sectors % GDP'!G33</f>
        <v>92673.2</v>
      </c>
      <c r="E423" s="47">
        <f t="shared" si="12"/>
        <v>0</v>
      </c>
      <c r="F423" s="47">
        <v>0</v>
      </c>
      <c r="G423" s="49">
        <v>0</v>
      </c>
      <c r="H423" s="47">
        <v>0</v>
      </c>
      <c r="I423" s="48">
        <v>3.41</v>
      </c>
      <c r="J423" s="48">
        <v>3.87</v>
      </c>
      <c r="K423" s="52">
        <v>11.02</v>
      </c>
      <c r="L423" s="48">
        <v>4.07</v>
      </c>
      <c r="M423" s="72">
        <f t="shared" si="13"/>
        <v>-3.9</v>
      </c>
      <c r="N423" s="36">
        <v>-3.9E-2</v>
      </c>
      <c r="O423" s="68">
        <v>-30.296250000000004</v>
      </c>
      <c r="P423" s="73">
        <v>5</v>
      </c>
      <c r="Q423" s="74">
        <f>'Trade Data'!D26</f>
        <v>0.51245329015399177</v>
      </c>
      <c r="R423" s="37">
        <v>1</v>
      </c>
    </row>
    <row r="424" spans="1:18" ht="20.100000000000001" customHeight="1">
      <c r="A424" s="44" t="s">
        <v>144</v>
      </c>
      <c r="B424" s="44" t="s">
        <v>470</v>
      </c>
      <c r="C424" s="59">
        <v>0</v>
      </c>
      <c r="D424" s="47">
        <f>'Sectors % GDP'!G34</f>
        <v>139252.4</v>
      </c>
      <c r="E424" s="47">
        <f t="shared" si="12"/>
        <v>0</v>
      </c>
      <c r="F424" s="47">
        <v>0</v>
      </c>
      <c r="G424" s="49">
        <v>0</v>
      </c>
      <c r="H424" s="47">
        <v>0</v>
      </c>
      <c r="I424" s="48">
        <v>3.41</v>
      </c>
      <c r="J424" s="48">
        <v>3.87</v>
      </c>
      <c r="K424" s="52">
        <v>11.02</v>
      </c>
      <c r="L424" s="48">
        <v>4.07</v>
      </c>
      <c r="M424" s="72">
        <f t="shared" si="13"/>
        <v>-3.9</v>
      </c>
      <c r="N424" s="36">
        <v>-3.9E-2</v>
      </c>
      <c r="O424" s="68">
        <v>-30.296250000000004</v>
      </c>
      <c r="P424" s="73">
        <v>5</v>
      </c>
      <c r="Q424" s="74">
        <f>'Trade Data'!D26</f>
        <v>0.51245329015399177</v>
      </c>
      <c r="R424" s="37">
        <v>1</v>
      </c>
    </row>
    <row r="425" spans="1:18" ht="20.100000000000001" customHeight="1">
      <c r="A425" s="44" t="s">
        <v>145</v>
      </c>
      <c r="B425" s="44" t="s">
        <v>833</v>
      </c>
      <c r="C425" s="59">
        <v>0</v>
      </c>
      <c r="D425" s="47">
        <f>'Sectors % GDP'!G32</f>
        <v>10674.4</v>
      </c>
      <c r="E425" s="47">
        <f t="shared" si="12"/>
        <v>0</v>
      </c>
      <c r="F425" s="47">
        <v>0</v>
      </c>
      <c r="G425" s="49">
        <v>0</v>
      </c>
      <c r="H425" s="47">
        <v>0</v>
      </c>
      <c r="I425" s="48">
        <v>4.42</v>
      </c>
      <c r="J425" s="48">
        <v>7.75</v>
      </c>
      <c r="K425" s="52">
        <v>10.06</v>
      </c>
      <c r="L425" s="48">
        <v>4.07</v>
      </c>
      <c r="M425" s="72">
        <f t="shared" si="13"/>
        <v>-6.2</v>
      </c>
      <c r="N425" s="36">
        <v>-6.2E-2</v>
      </c>
      <c r="O425" s="68">
        <v>-28.8675</v>
      </c>
      <c r="P425" s="73">
        <v>5.75</v>
      </c>
      <c r="Q425" s="74">
        <f>'Trade Data'!F26</f>
        <v>0.35886822989682643</v>
      </c>
      <c r="R425" s="35">
        <v>0</v>
      </c>
    </row>
    <row r="426" spans="1:18" ht="20.100000000000001" customHeight="1">
      <c r="A426" s="44" t="s">
        <v>145</v>
      </c>
      <c r="B426" s="44" t="s">
        <v>469</v>
      </c>
      <c r="C426" s="59">
        <f>'Thomson Reuters IMA  ($)'!I767</f>
        <v>500</v>
      </c>
      <c r="D426" s="47">
        <f>'Sectors % GDP'!G33</f>
        <v>92673.2</v>
      </c>
      <c r="E426" s="47">
        <f t="shared" si="12"/>
        <v>5.395303064963765E-3</v>
      </c>
      <c r="F426" s="47">
        <v>1</v>
      </c>
      <c r="G426" s="49">
        <v>1</v>
      </c>
      <c r="H426" s="47">
        <v>1</v>
      </c>
      <c r="I426" s="48">
        <v>4.42</v>
      </c>
      <c r="J426" s="48">
        <v>7.75</v>
      </c>
      <c r="K426" s="52">
        <v>10.06</v>
      </c>
      <c r="L426" s="48">
        <v>4.07</v>
      </c>
      <c r="M426" s="72">
        <f t="shared" si="13"/>
        <v>-6.2</v>
      </c>
      <c r="N426" s="36">
        <v>-6.2E-2</v>
      </c>
      <c r="O426" s="68">
        <v>-28.8675</v>
      </c>
      <c r="P426" s="73">
        <v>5.75</v>
      </c>
      <c r="Q426" s="74">
        <f>'Trade Data'!F26</f>
        <v>0.35886822989682643</v>
      </c>
      <c r="R426" s="35">
        <v>1</v>
      </c>
    </row>
    <row r="427" spans="1:18" ht="20.100000000000001" customHeight="1">
      <c r="A427" s="44" t="s">
        <v>145</v>
      </c>
      <c r="B427" s="44" t="s">
        <v>468</v>
      </c>
      <c r="C427" s="59">
        <v>0</v>
      </c>
      <c r="D427" s="47">
        <f>'Sectors % GDP'!G34</f>
        <v>139252.4</v>
      </c>
      <c r="E427" s="47">
        <f t="shared" si="12"/>
        <v>0</v>
      </c>
      <c r="F427" s="47">
        <v>0</v>
      </c>
      <c r="G427" s="49">
        <v>0</v>
      </c>
      <c r="H427" s="47">
        <v>0</v>
      </c>
      <c r="I427" s="48">
        <v>4.42</v>
      </c>
      <c r="J427" s="48">
        <v>7.75</v>
      </c>
      <c r="K427" s="52">
        <v>10.06</v>
      </c>
      <c r="L427" s="48">
        <v>4.07</v>
      </c>
      <c r="M427" s="72">
        <f t="shared" si="13"/>
        <v>-6.2</v>
      </c>
      <c r="N427" s="36">
        <v>-6.2E-2</v>
      </c>
      <c r="O427" s="68">
        <v>-28.8675</v>
      </c>
      <c r="P427" s="73">
        <v>5.75</v>
      </c>
      <c r="Q427" s="74">
        <f>'Trade Data'!F26</f>
        <v>0.35886822989682643</v>
      </c>
      <c r="R427" s="35">
        <v>1</v>
      </c>
    </row>
    <row r="428" spans="1:18" ht="20.100000000000001" customHeight="1">
      <c r="A428" s="44" t="s">
        <v>146</v>
      </c>
      <c r="B428" s="44" t="s">
        <v>467</v>
      </c>
      <c r="C428" s="59">
        <v>0</v>
      </c>
      <c r="D428" s="47">
        <f>'Sectors % GDP'!G32</f>
        <v>10674.4</v>
      </c>
      <c r="E428" s="47">
        <f t="shared" si="12"/>
        <v>0</v>
      </c>
      <c r="F428" s="47">
        <v>0</v>
      </c>
      <c r="G428" s="49">
        <v>0</v>
      </c>
      <c r="H428" s="47">
        <v>0</v>
      </c>
      <c r="I428" s="48">
        <v>1.89</v>
      </c>
      <c r="J428" s="48">
        <v>4.84</v>
      </c>
      <c r="K428" s="52">
        <v>3.07</v>
      </c>
      <c r="L428" s="48">
        <v>4.07</v>
      </c>
      <c r="M428" s="72">
        <f t="shared" si="13"/>
        <v>-6.2</v>
      </c>
      <c r="N428" s="36">
        <v>-6.2E-2</v>
      </c>
      <c r="O428" s="68">
        <v>-36.167499999999997</v>
      </c>
      <c r="P428" s="73">
        <v>5.75</v>
      </c>
      <c r="Q428" s="74">
        <f>'Trade Data'!F26</f>
        <v>0.35886822989682643</v>
      </c>
      <c r="R428" s="37">
        <v>0</v>
      </c>
    </row>
    <row r="429" spans="1:18" ht="20.100000000000001" customHeight="1">
      <c r="A429" s="44" t="s">
        <v>146</v>
      </c>
      <c r="B429" s="44" t="s">
        <v>466</v>
      </c>
      <c r="C429" s="59">
        <v>0</v>
      </c>
      <c r="D429" s="47">
        <f>'Sectors % GDP'!G33</f>
        <v>92673.2</v>
      </c>
      <c r="E429" s="47">
        <f t="shared" si="12"/>
        <v>0</v>
      </c>
      <c r="F429" s="47">
        <v>0</v>
      </c>
      <c r="G429" s="49">
        <v>0</v>
      </c>
      <c r="H429" s="47">
        <v>0</v>
      </c>
      <c r="I429" s="48">
        <v>1.89</v>
      </c>
      <c r="J429" s="48">
        <v>4.84</v>
      </c>
      <c r="K429" s="52">
        <v>3.07</v>
      </c>
      <c r="L429" s="48">
        <v>4.07</v>
      </c>
      <c r="M429" s="72">
        <f t="shared" si="13"/>
        <v>-6.2</v>
      </c>
      <c r="N429" s="36">
        <v>-6.2E-2</v>
      </c>
      <c r="O429" s="68">
        <v>-36.167499999999997</v>
      </c>
      <c r="P429" s="73">
        <v>5.75</v>
      </c>
      <c r="Q429" s="74">
        <f>'Trade Data'!F26</f>
        <v>0.35886822989682643</v>
      </c>
      <c r="R429" s="37">
        <v>1</v>
      </c>
    </row>
    <row r="430" spans="1:18" ht="20.100000000000001" customHeight="1">
      <c r="A430" s="44" t="s">
        <v>146</v>
      </c>
      <c r="B430" s="44" t="s">
        <v>465</v>
      </c>
      <c r="C430" s="59">
        <v>0</v>
      </c>
      <c r="D430" s="47">
        <f>'Sectors % GDP'!G34</f>
        <v>139252.4</v>
      </c>
      <c r="E430" s="47">
        <f t="shared" si="12"/>
        <v>0</v>
      </c>
      <c r="F430" s="47">
        <v>0</v>
      </c>
      <c r="G430" s="49">
        <v>0</v>
      </c>
      <c r="H430" s="47">
        <v>0</v>
      </c>
      <c r="I430" s="48">
        <v>1.89</v>
      </c>
      <c r="J430" s="48">
        <v>4.84</v>
      </c>
      <c r="K430" s="52">
        <v>3.07</v>
      </c>
      <c r="L430" s="48">
        <v>4.07</v>
      </c>
      <c r="M430" s="72">
        <f t="shared" si="13"/>
        <v>-6.2</v>
      </c>
      <c r="N430" s="36">
        <v>-6.2E-2</v>
      </c>
      <c r="O430" s="68">
        <v>-36.167499999999997</v>
      </c>
      <c r="P430" s="73">
        <v>5.75</v>
      </c>
      <c r="Q430" s="74">
        <f>'Trade Data'!F26</f>
        <v>0.35886822989682643</v>
      </c>
      <c r="R430" s="37">
        <v>1</v>
      </c>
    </row>
    <row r="431" spans="1:18" ht="20.100000000000001" customHeight="1">
      <c r="A431" s="44" t="s">
        <v>147</v>
      </c>
      <c r="B431" s="44" t="s">
        <v>464</v>
      </c>
      <c r="C431" s="59">
        <v>0</v>
      </c>
      <c r="D431" s="47">
        <f>'Sectors % GDP'!G32</f>
        <v>10674.4</v>
      </c>
      <c r="E431" s="47">
        <f t="shared" si="12"/>
        <v>0</v>
      </c>
      <c r="F431" s="47">
        <v>0</v>
      </c>
      <c r="G431" s="49">
        <v>0</v>
      </c>
      <c r="H431" s="47">
        <v>0</v>
      </c>
      <c r="I431" s="48">
        <v>4.43</v>
      </c>
      <c r="J431" s="60">
        <v>8.64</v>
      </c>
      <c r="K431" s="48">
        <v>9.73</v>
      </c>
      <c r="L431" s="48">
        <v>4.07</v>
      </c>
      <c r="M431" s="72">
        <f t="shared" si="13"/>
        <v>-6.2</v>
      </c>
      <c r="N431" s="36">
        <v>-6.2E-2</v>
      </c>
      <c r="O431" s="68">
        <v>-26.517500000000002</v>
      </c>
      <c r="P431" s="73">
        <v>5.75</v>
      </c>
      <c r="Q431" s="74">
        <f>'Trade Data'!F26</f>
        <v>0.35886822989682643</v>
      </c>
      <c r="R431" s="35">
        <v>0</v>
      </c>
    </row>
    <row r="432" spans="1:18" ht="20.100000000000001" customHeight="1">
      <c r="A432" s="44" t="s">
        <v>147</v>
      </c>
      <c r="B432" s="44" t="s">
        <v>463</v>
      </c>
      <c r="C432" s="59">
        <v>0</v>
      </c>
      <c r="D432" s="47">
        <f>'Sectors % GDP'!G33</f>
        <v>92673.2</v>
      </c>
      <c r="E432" s="47">
        <f t="shared" si="12"/>
        <v>0</v>
      </c>
      <c r="F432" s="47">
        <v>0</v>
      </c>
      <c r="G432" s="49">
        <v>0</v>
      </c>
      <c r="H432" s="47">
        <v>0</v>
      </c>
      <c r="I432" s="48">
        <v>4.43</v>
      </c>
      <c r="J432" s="60">
        <v>8.64</v>
      </c>
      <c r="K432" s="48">
        <v>9.73</v>
      </c>
      <c r="L432" s="48">
        <v>4.07</v>
      </c>
      <c r="M432" s="72">
        <f t="shared" si="13"/>
        <v>-6.2</v>
      </c>
      <c r="N432" s="36">
        <v>-6.2E-2</v>
      </c>
      <c r="O432" s="68">
        <v>-26.517500000000002</v>
      </c>
      <c r="P432" s="73">
        <v>5.75</v>
      </c>
      <c r="Q432" s="74">
        <f>'Trade Data'!F26</f>
        <v>0.35886822989682643</v>
      </c>
      <c r="R432" s="35">
        <v>1</v>
      </c>
    </row>
    <row r="433" spans="1:18" ht="20.100000000000001" customHeight="1">
      <c r="A433" s="44" t="s">
        <v>147</v>
      </c>
      <c r="B433" s="44" t="s">
        <v>462</v>
      </c>
      <c r="C433" s="59">
        <v>0</v>
      </c>
      <c r="D433" s="47">
        <f>'Sectors % GDP'!G34</f>
        <v>139252.4</v>
      </c>
      <c r="E433" s="47">
        <f t="shared" si="12"/>
        <v>0</v>
      </c>
      <c r="F433" s="47">
        <v>0</v>
      </c>
      <c r="G433" s="49">
        <v>0</v>
      </c>
      <c r="H433" s="47">
        <v>0</v>
      </c>
      <c r="I433" s="48">
        <v>4.43</v>
      </c>
      <c r="J433" s="60">
        <v>8.64</v>
      </c>
      <c r="K433" s="48">
        <v>9.73</v>
      </c>
      <c r="L433" s="48">
        <v>4.07</v>
      </c>
      <c r="M433" s="72">
        <f t="shared" si="13"/>
        <v>-6.2</v>
      </c>
      <c r="N433" s="36">
        <v>-6.2E-2</v>
      </c>
      <c r="O433" s="68">
        <v>-26.517500000000002</v>
      </c>
      <c r="P433" s="73">
        <v>5.75</v>
      </c>
      <c r="Q433" s="74">
        <f>'Trade Data'!F26</f>
        <v>0.35886822989682643</v>
      </c>
      <c r="R433" s="35">
        <v>1</v>
      </c>
    </row>
    <row r="434" spans="1:18" ht="20.100000000000001" customHeight="1">
      <c r="B434" s="44" t="s">
        <v>461</v>
      </c>
      <c r="C434" s="59">
        <v>0</v>
      </c>
      <c r="D434" s="47">
        <f>'Sectors % GDP'!I32</f>
        <v>10403.359999999999</v>
      </c>
      <c r="E434" s="47">
        <f t="shared" si="12"/>
        <v>0</v>
      </c>
      <c r="F434" s="47">
        <v>0</v>
      </c>
      <c r="G434" s="49">
        <v>0</v>
      </c>
      <c r="H434" s="47">
        <v>0</v>
      </c>
      <c r="I434" s="48">
        <v>3.94</v>
      </c>
      <c r="J434" s="60">
        <v>3.38</v>
      </c>
      <c r="K434" s="48">
        <v>15.69</v>
      </c>
      <c r="L434" s="52">
        <v>4.22</v>
      </c>
      <c r="M434" s="72">
        <f t="shared" si="13"/>
        <v>-6.2</v>
      </c>
      <c r="N434" s="36">
        <v>-6.2E-2</v>
      </c>
      <c r="O434" s="68">
        <v>-27.353750000000002</v>
      </c>
      <c r="P434" s="73">
        <v>5.75</v>
      </c>
      <c r="Q434" s="74">
        <f>'Trade Data'!F26</f>
        <v>0.35886822989682643</v>
      </c>
      <c r="R434" s="37">
        <v>0</v>
      </c>
    </row>
    <row r="435" spans="1:18" ht="20.100000000000001" customHeight="1">
      <c r="B435" s="44" t="s">
        <v>460</v>
      </c>
      <c r="C435" s="59">
        <v>0</v>
      </c>
      <c r="D435" s="47">
        <f>'Sectors % GDP'!I33</f>
        <v>90320.08</v>
      </c>
      <c r="E435" s="47">
        <f t="shared" si="12"/>
        <v>0</v>
      </c>
      <c r="F435" s="47">
        <v>0</v>
      </c>
      <c r="G435" s="49">
        <v>0</v>
      </c>
      <c r="H435" s="47">
        <v>0</v>
      </c>
      <c r="I435" s="48">
        <v>3.94</v>
      </c>
      <c r="J435" s="60">
        <v>3.38</v>
      </c>
      <c r="K435" s="48">
        <v>15.69</v>
      </c>
      <c r="L435" s="52">
        <v>4.22</v>
      </c>
      <c r="M435" s="72">
        <f t="shared" si="13"/>
        <v>-6.2</v>
      </c>
      <c r="N435" s="36">
        <v>-6.2E-2</v>
      </c>
      <c r="O435" s="68">
        <v>-27.353750000000002</v>
      </c>
      <c r="P435" s="73">
        <v>5.75</v>
      </c>
      <c r="Q435" s="74">
        <f>'Trade Data'!F26</f>
        <v>0.35886822989682643</v>
      </c>
      <c r="R435" s="37">
        <v>1</v>
      </c>
    </row>
    <row r="436" spans="1:18" ht="20.100000000000001" customHeight="1">
      <c r="B436" s="44" t="s">
        <v>459</v>
      </c>
      <c r="C436" s="59">
        <v>0</v>
      </c>
      <c r="D436" s="47">
        <f>'Sectors % GDP'!I34</f>
        <v>135716.56</v>
      </c>
      <c r="E436" s="47">
        <f t="shared" si="12"/>
        <v>0</v>
      </c>
      <c r="F436" s="47">
        <v>0</v>
      </c>
      <c r="G436" s="49">
        <v>0</v>
      </c>
      <c r="H436" s="47">
        <v>0</v>
      </c>
      <c r="I436" s="48">
        <v>3.94</v>
      </c>
      <c r="J436" s="60">
        <v>3.38</v>
      </c>
      <c r="K436" s="48">
        <v>15.69</v>
      </c>
      <c r="L436" s="52">
        <v>4.22</v>
      </c>
      <c r="M436" s="72">
        <f t="shared" si="13"/>
        <v>-6.2</v>
      </c>
      <c r="N436" s="36">
        <v>-6.2E-2</v>
      </c>
      <c r="O436" s="68">
        <v>-27.353750000000002</v>
      </c>
      <c r="P436" s="73">
        <v>5.75</v>
      </c>
      <c r="Q436" s="74">
        <f>'Trade Data'!F26</f>
        <v>0.35886822989682643</v>
      </c>
      <c r="R436" s="37">
        <v>1</v>
      </c>
    </row>
    <row r="437" spans="1:18" ht="20.100000000000001" customHeight="1">
      <c r="B437" s="44" t="s">
        <v>458</v>
      </c>
      <c r="C437" s="59">
        <v>0</v>
      </c>
      <c r="D437" s="47">
        <f>'Sectors % GDP'!I32</f>
        <v>10403.359999999999</v>
      </c>
      <c r="E437" s="47">
        <f t="shared" si="12"/>
        <v>0</v>
      </c>
      <c r="F437" s="47">
        <v>0</v>
      </c>
      <c r="G437" s="49">
        <v>0</v>
      </c>
      <c r="H437" s="47">
        <v>0</v>
      </c>
      <c r="I437" s="48">
        <v>2.85</v>
      </c>
      <c r="J437" s="60">
        <v>7.62</v>
      </c>
      <c r="K437" s="48">
        <v>4.54</v>
      </c>
      <c r="L437" s="52">
        <v>4.22</v>
      </c>
      <c r="M437" s="72">
        <f t="shared" si="13"/>
        <v>-18</v>
      </c>
      <c r="N437" s="36">
        <v>-0.18</v>
      </c>
      <c r="O437" s="68">
        <v>-33.774999999999999</v>
      </c>
      <c r="P437" s="73">
        <v>6.25</v>
      </c>
      <c r="Q437" s="74">
        <f>'Trade Data'!H26</f>
        <v>0.24223034387010769</v>
      </c>
      <c r="R437" s="35">
        <v>0</v>
      </c>
    </row>
    <row r="438" spans="1:18" ht="20.100000000000001" customHeight="1">
      <c r="B438" s="44" t="s">
        <v>457</v>
      </c>
      <c r="C438" s="59">
        <v>0</v>
      </c>
      <c r="D438" s="47">
        <f>'Sectors % GDP'!I33</f>
        <v>90320.08</v>
      </c>
      <c r="E438" s="47">
        <f t="shared" si="12"/>
        <v>0</v>
      </c>
      <c r="F438" s="47">
        <v>0</v>
      </c>
      <c r="G438" s="49">
        <v>0</v>
      </c>
      <c r="H438" s="47">
        <v>0</v>
      </c>
      <c r="I438" s="48">
        <v>2.85</v>
      </c>
      <c r="J438" s="60">
        <v>7.62</v>
      </c>
      <c r="K438" s="48">
        <v>4.54</v>
      </c>
      <c r="L438" s="52">
        <v>4.22</v>
      </c>
      <c r="M438" s="72">
        <f t="shared" si="13"/>
        <v>-18</v>
      </c>
      <c r="N438" s="36">
        <v>-0.18</v>
      </c>
      <c r="O438" s="68">
        <v>-33.774999999999999</v>
      </c>
      <c r="P438" s="73">
        <v>6.25</v>
      </c>
      <c r="Q438" s="74">
        <f>'Trade Data'!H26</f>
        <v>0.24223034387010769</v>
      </c>
      <c r="R438" s="35">
        <v>1</v>
      </c>
    </row>
    <row r="439" spans="1:18" ht="20.100000000000001" customHeight="1">
      <c r="B439" s="44" t="s">
        <v>456</v>
      </c>
      <c r="C439" s="59">
        <v>0</v>
      </c>
      <c r="D439" s="47">
        <f>'Sectors % GDP'!I34</f>
        <v>135716.56</v>
      </c>
      <c r="E439" s="47">
        <f t="shared" si="12"/>
        <v>0</v>
      </c>
      <c r="F439" s="47">
        <v>0</v>
      </c>
      <c r="G439" s="49">
        <v>0</v>
      </c>
      <c r="H439" s="47">
        <v>0</v>
      </c>
      <c r="I439" s="48">
        <v>2.85</v>
      </c>
      <c r="J439" s="60">
        <v>7.62</v>
      </c>
      <c r="K439" s="48">
        <v>4.54</v>
      </c>
      <c r="L439" s="52">
        <v>4.22</v>
      </c>
      <c r="M439" s="72">
        <f t="shared" si="13"/>
        <v>-18</v>
      </c>
      <c r="N439" s="36">
        <v>-0.18</v>
      </c>
      <c r="O439" s="68">
        <v>-33.774999999999999</v>
      </c>
      <c r="P439" s="73">
        <v>6.25</v>
      </c>
      <c r="Q439" s="74">
        <f>'Trade Data'!H26</f>
        <v>0.24223034387010769</v>
      </c>
      <c r="R439" s="35">
        <v>1</v>
      </c>
    </row>
    <row r="440" spans="1:18" ht="20.100000000000001" customHeight="1">
      <c r="B440" s="44" t="s">
        <v>455</v>
      </c>
      <c r="C440" s="59">
        <v>0</v>
      </c>
      <c r="D440" s="47">
        <f>'Sectors % GDP'!I32</f>
        <v>10403.359999999999</v>
      </c>
      <c r="E440" s="47">
        <f t="shared" si="12"/>
        <v>0</v>
      </c>
      <c r="F440" s="47">
        <v>0</v>
      </c>
      <c r="G440" s="49">
        <v>0</v>
      </c>
      <c r="H440" s="47">
        <v>0</v>
      </c>
      <c r="I440" s="48">
        <v>2.14</v>
      </c>
      <c r="J440" s="60">
        <v>2.7</v>
      </c>
      <c r="K440" s="48">
        <v>6.65</v>
      </c>
      <c r="L440" s="52">
        <v>4.22</v>
      </c>
      <c r="M440" s="72">
        <f t="shared" si="13"/>
        <v>-18</v>
      </c>
      <c r="N440" s="36">
        <v>-0.18</v>
      </c>
      <c r="O440" s="68">
        <v>-32.831249999999997</v>
      </c>
      <c r="P440" s="73">
        <v>6.25</v>
      </c>
      <c r="Q440" s="74">
        <f>'Trade Data'!H26</f>
        <v>0.24223034387010769</v>
      </c>
      <c r="R440" s="37">
        <v>0</v>
      </c>
    </row>
    <row r="441" spans="1:18" ht="20.100000000000001" customHeight="1">
      <c r="B441" s="44" t="s">
        <v>454</v>
      </c>
      <c r="C441" s="59">
        <v>0</v>
      </c>
      <c r="D441" s="47">
        <f>'Sectors % GDP'!I33</f>
        <v>90320.08</v>
      </c>
      <c r="E441" s="47">
        <f t="shared" si="12"/>
        <v>0</v>
      </c>
      <c r="F441" s="47">
        <v>0</v>
      </c>
      <c r="G441" s="49">
        <v>0</v>
      </c>
      <c r="H441" s="47">
        <v>0</v>
      </c>
      <c r="I441" s="48">
        <v>2.14</v>
      </c>
      <c r="J441" s="60">
        <v>2.7</v>
      </c>
      <c r="K441" s="48">
        <v>6.65</v>
      </c>
      <c r="L441" s="52">
        <v>4.22</v>
      </c>
      <c r="M441" s="72">
        <f t="shared" si="13"/>
        <v>-18</v>
      </c>
      <c r="N441" s="36">
        <v>-0.18</v>
      </c>
      <c r="O441" s="68">
        <v>-32.831249999999997</v>
      </c>
      <c r="P441" s="73">
        <v>6.25</v>
      </c>
      <c r="Q441" s="74">
        <f>'Trade Data'!H26</f>
        <v>0.24223034387010769</v>
      </c>
      <c r="R441" s="37">
        <v>1</v>
      </c>
    </row>
    <row r="442" spans="1:18" ht="20.100000000000001" customHeight="1">
      <c r="B442" s="44" t="s">
        <v>453</v>
      </c>
      <c r="C442" s="59">
        <v>0</v>
      </c>
      <c r="D442" s="47">
        <f>'Sectors % GDP'!I34</f>
        <v>135716.56</v>
      </c>
      <c r="E442" s="47">
        <f t="shared" si="12"/>
        <v>0</v>
      </c>
      <c r="F442" s="47">
        <v>0</v>
      </c>
      <c r="G442" s="49">
        <v>0</v>
      </c>
      <c r="H442" s="47">
        <v>0</v>
      </c>
      <c r="I442" s="48">
        <v>2.14</v>
      </c>
      <c r="J442" s="60">
        <v>2.7</v>
      </c>
      <c r="K442" s="48">
        <v>6.65</v>
      </c>
      <c r="L442" s="52">
        <v>4.22</v>
      </c>
      <c r="M442" s="72">
        <f t="shared" si="13"/>
        <v>-18</v>
      </c>
      <c r="N442" s="36">
        <v>-0.18</v>
      </c>
      <c r="O442" s="68">
        <v>-32.831249999999997</v>
      </c>
      <c r="P442" s="73">
        <v>6.25</v>
      </c>
      <c r="Q442" s="74">
        <f>'Trade Data'!H26</f>
        <v>0.24223034387010769</v>
      </c>
      <c r="R442" s="37">
        <v>1</v>
      </c>
    </row>
    <row r="443" spans="1:18" ht="20.100000000000001" customHeight="1">
      <c r="B443" s="44" t="s">
        <v>452</v>
      </c>
      <c r="C443" s="59">
        <v>0</v>
      </c>
      <c r="D443" s="47">
        <f>'Sectors % GDP'!I32</f>
        <v>10403.359999999999</v>
      </c>
      <c r="E443" s="47">
        <f t="shared" si="12"/>
        <v>0</v>
      </c>
      <c r="F443" s="47">
        <v>0</v>
      </c>
      <c r="G443" s="49">
        <v>0</v>
      </c>
      <c r="H443" s="47">
        <v>0</v>
      </c>
      <c r="I443" s="48">
        <v>2.72</v>
      </c>
      <c r="J443" s="60">
        <v>5.66</v>
      </c>
      <c r="K443" s="48">
        <v>5.3</v>
      </c>
      <c r="L443" s="52">
        <v>4.22</v>
      </c>
      <c r="M443" s="72">
        <f t="shared" si="13"/>
        <v>-18</v>
      </c>
      <c r="N443" s="36">
        <v>-0.18</v>
      </c>
      <c r="O443" s="68">
        <v>-30.617500000000007</v>
      </c>
      <c r="P443" s="73">
        <v>6.25</v>
      </c>
      <c r="Q443" s="74">
        <f>'Trade Data'!H26</f>
        <v>0.24223034387010769</v>
      </c>
      <c r="R443" s="35">
        <v>0</v>
      </c>
    </row>
    <row r="444" spans="1:18" ht="20.100000000000001" customHeight="1">
      <c r="B444" s="44" t="s">
        <v>451</v>
      </c>
      <c r="C444" s="59">
        <v>0</v>
      </c>
      <c r="D444" s="47">
        <f>'Sectors % GDP'!I33</f>
        <v>90320.08</v>
      </c>
      <c r="E444" s="47">
        <f t="shared" si="12"/>
        <v>0</v>
      </c>
      <c r="F444" s="47">
        <v>0</v>
      </c>
      <c r="G444" s="49">
        <v>0</v>
      </c>
      <c r="H444" s="47">
        <v>0</v>
      </c>
      <c r="I444" s="48">
        <v>2.72</v>
      </c>
      <c r="J444" s="60">
        <v>5.66</v>
      </c>
      <c r="K444" s="48">
        <v>5.3</v>
      </c>
      <c r="L444" s="52">
        <v>4.22</v>
      </c>
      <c r="M444" s="72">
        <f t="shared" si="13"/>
        <v>-18</v>
      </c>
      <c r="N444" s="36">
        <v>-0.18</v>
      </c>
      <c r="O444" s="68">
        <v>-30.617500000000007</v>
      </c>
      <c r="P444" s="73">
        <v>6.25</v>
      </c>
      <c r="Q444" s="74">
        <f>'Trade Data'!H26</f>
        <v>0.24223034387010769</v>
      </c>
      <c r="R444" s="35">
        <v>1</v>
      </c>
    </row>
    <row r="445" spans="1:18" ht="20.100000000000001" customHeight="1">
      <c r="B445" s="44" t="s">
        <v>450</v>
      </c>
      <c r="C445" s="59">
        <v>0</v>
      </c>
      <c r="D445" s="47">
        <f>'Sectors % GDP'!I34</f>
        <v>135716.56</v>
      </c>
      <c r="E445" s="47">
        <f t="shared" si="12"/>
        <v>0</v>
      </c>
      <c r="F445" s="47">
        <v>0</v>
      </c>
      <c r="G445" s="49">
        <v>0</v>
      </c>
      <c r="H445" s="47">
        <v>0</v>
      </c>
      <c r="I445" s="48">
        <v>2.72</v>
      </c>
      <c r="J445" s="60">
        <v>5.66</v>
      </c>
      <c r="K445" s="48">
        <v>5.3</v>
      </c>
      <c r="L445" s="52">
        <v>4.22</v>
      </c>
      <c r="M445" s="72">
        <f t="shared" si="13"/>
        <v>-18</v>
      </c>
      <c r="N445" s="36">
        <v>-0.18</v>
      </c>
      <c r="O445" s="68">
        <v>-30.617500000000007</v>
      </c>
      <c r="P445" s="73">
        <v>6.25</v>
      </c>
      <c r="Q445" s="74">
        <f>'Trade Data'!H26</f>
        <v>0.24223034387010769</v>
      </c>
      <c r="R445" s="35">
        <v>1</v>
      </c>
    </row>
    <row r="446" spans="1:18" ht="20.100000000000001" customHeight="1">
      <c r="B446" s="44" t="s">
        <v>449</v>
      </c>
      <c r="C446" s="59">
        <v>0</v>
      </c>
      <c r="D446" s="47">
        <f>'Sectors % GDP'!K32</f>
        <v>9473.64</v>
      </c>
      <c r="E446" s="47">
        <f t="shared" si="12"/>
        <v>0</v>
      </c>
      <c r="F446" s="47">
        <v>0</v>
      </c>
      <c r="G446" s="49">
        <v>0</v>
      </c>
      <c r="H446" s="47">
        <v>0</v>
      </c>
      <c r="I446" s="48">
        <v>2.56</v>
      </c>
      <c r="J446" s="60">
        <v>6.28</v>
      </c>
      <c r="K446" s="48">
        <v>3.74</v>
      </c>
      <c r="L446" s="52">
        <v>4.13</v>
      </c>
      <c r="M446" s="72">
        <f t="shared" si="13"/>
        <v>-18</v>
      </c>
      <c r="N446" s="36">
        <v>-0.18</v>
      </c>
      <c r="O446" s="68">
        <v>-27.447500000000002</v>
      </c>
      <c r="P446" s="73">
        <v>6.25</v>
      </c>
      <c r="Q446" s="74">
        <f>'Trade Data'!H26</f>
        <v>0.24223034387010769</v>
      </c>
      <c r="R446" s="37">
        <v>0</v>
      </c>
    </row>
    <row r="447" spans="1:18" ht="20.100000000000001" customHeight="1">
      <c r="B447" s="44" t="s">
        <v>448</v>
      </c>
      <c r="C447" s="59">
        <v>0</v>
      </c>
      <c r="D447" s="47">
        <f>'Sectors % GDP'!K33</f>
        <v>82248.42</v>
      </c>
      <c r="E447" s="47">
        <f t="shared" si="12"/>
        <v>0</v>
      </c>
      <c r="F447" s="47">
        <v>0</v>
      </c>
      <c r="G447" s="49">
        <v>1</v>
      </c>
      <c r="H447" s="47">
        <v>1</v>
      </c>
      <c r="I447" s="48">
        <v>2.56</v>
      </c>
      <c r="J447" s="60">
        <v>6.28</v>
      </c>
      <c r="K447" s="48">
        <v>3.74</v>
      </c>
      <c r="L447" s="52">
        <v>4.13</v>
      </c>
      <c r="M447" s="72">
        <f t="shared" si="13"/>
        <v>-18</v>
      </c>
      <c r="N447" s="36">
        <v>-0.18</v>
      </c>
      <c r="O447" s="68">
        <v>-27.447500000000002</v>
      </c>
      <c r="P447" s="73">
        <v>6.25</v>
      </c>
      <c r="Q447" s="74">
        <f>'Trade Data'!H26</f>
        <v>0.24223034387010769</v>
      </c>
      <c r="R447" s="37">
        <v>1</v>
      </c>
    </row>
    <row r="448" spans="1:18" ht="20.100000000000001" customHeight="1">
      <c r="B448" s="44" t="s">
        <v>447</v>
      </c>
      <c r="C448" s="59">
        <v>0</v>
      </c>
      <c r="D448" s="47">
        <f>'Sectors % GDP'!K34</f>
        <v>123587.93999999999</v>
      </c>
      <c r="E448" s="47">
        <f t="shared" si="12"/>
        <v>0</v>
      </c>
      <c r="F448" s="47">
        <v>0</v>
      </c>
      <c r="G448" s="49">
        <v>0</v>
      </c>
      <c r="H448" s="47">
        <v>0</v>
      </c>
      <c r="I448" s="48">
        <v>2.56</v>
      </c>
      <c r="J448" s="60">
        <v>6.28</v>
      </c>
      <c r="K448" s="48">
        <v>3.74</v>
      </c>
      <c r="L448" s="52">
        <v>4.13</v>
      </c>
      <c r="M448" s="72">
        <f t="shared" si="13"/>
        <v>-18</v>
      </c>
      <c r="N448" s="36">
        <v>-0.18</v>
      </c>
      <c r="O448" s="68">
        <v>-27.447500000000002</v>
      </c>
      <c r="P448" s="73">
        <v>6.25</v>
      </c>
      <c r="Q448" s="74">
        <f>'Trade Data'!H26</f>
        <v>0.24223034387010769</v>
      </c>
      <c r="R448" s="37">
        <v>1</v>
      </c>
    </row>
    <row r="449" spans="2:18" ht="20.100000000000001" customHeight="1">
      <c r="B449" s="44" t="s">
        <v>446</v>
      </c>
      <c r="C449" s="59">
        <v>0</v>
      </c>
      <c r="D449" s="47">
        <f>'Sectors % GDP'!K32</f>
        <v>9473.64</v>
      </c>
      <c r="E449" s="47">
        <f t="shared" si="12"/>
        <v>0</v>
      </c>
      <c r="F449" s="47">
        <v>0</v>
      </c>
      <c r="G449" s="49">
        <v>0</v>
      </c>
      <c r="H449" s="47">
        <v>0</v>
      </c>
      <c r="I449" s="48">
        <v>2.2999999999999998</v>
      </c>
      <c r="J449" s="48">
        <v>3.24</v>
      </c>
      <c r="K449" s="48">
        <v>5.51</v>
      </c>
      <c r="L449" s="52">
        <v>4.13</v>
      </c>
      <c r="M449" s="72">
        <f t="shared" si="13"/>
        <v>-7.3999999999999995</v>
      </c>
      <c r="N449" s="36">
        <v>-7.3999999999999996E-2</v>
      </c>
      <c r="O449" s="68">
        <v>-32.950000000000003</v>
      </c>
      <c r="P449" s="73">
        <v>5.69</v>
      </c>
      <c r="Q449" s="74">
        <f>'Trade Data'!J26</f>
        <v>0.21957087500770597</v>
      </c>
      <c r="R449" s="35">
        <v>0</v>
      </c>
    </row>
    <row r="450" spans="2:18" ht="20.100000000000001" customHeight="1">
      <c r="B450" s="44" t="s">
        <v>445</v>
      </c>
      <c r="C450" s="59">
        <v>0</v>
      </c>
      <c r="D450" s="47">
        <f>'Sectors % GDP'!K33</f>
        <v>82248.42</v>
      </c>
      <c r="E450" s="47">
        <f t="shared" ref="E450:E457" si="14">C450/D450</f>
        <v>0</v>
      </c>
      <c r="F450" s="47">
        <v>0</v>
      </c>
      <c r="G450" s="49">
        <v>0</v>
      </c>
      <c r="H450" s="47">
        <v>0</v>
      </c>
      <c r="I450" s="48">
        <v>2.2999999999999998</v>
      </c>
      <c r="J450" s="48">
        <v>3.24</v>
      </c>
      <c r="K450" s="48">
        <v>5.51</v>
      </c>
      <c r="L450" s="52">
        <v>4.13</v>
      </c>
      <c r="M450" s="72">
        <f t="shared" si="13"/>
        <v>-7.3999999999999995</v>
      </c>
      <c r="N450" s="36">
        <v>-7.3999999999999996E-2</v>
      </c>
      <c r="O450" s="68">
        <v>-32.950000000000003</v>
      </c>
      <c r="P450" s="73">
        <v>5.69</v>
      </c>
      <c r="Q450" s="74">
        <f>'Trade Data'!J26</f>
        <v>0.21957087500770597</v>
      </c>
      <c r="R450" s="35">
        <v>1</v>
      </c>
    </row>
    <row r="451" spans="2:18" ht="20.100000000000001" customHeight="1">
      <c r="B451" s="44" t="s">
        <v>444</v>
      </c>
      <c r="C451" s="59">
        <v>0</v>
      </c>
      <c r="D451" s="47">
        <f>'Sectors % GDP'!K34</f>
        <v>123587.93999999999</v>
      </c>
      <c r="E451" s="47">
        <f t="shared" si="14"/>
        <v>0</v>
      </c>
      <c r="F451" s="47">
        <v>0</v>
      </c>
      <c r="G451" s="49">
        <v>0</v>
      </c>
      <c r="H451" s="47">
        <v>0</v>
      </c>
      <c r="I451" s="48">
        <v>2.2999999999999998</v>
      </c>
      <c r="J451" s="48">
        <v>3.24</v>
      </c>
      <c r="K451" s="48">
        <v>5.51</v>
      </c>
      <c r="L451" s="52">
        <v>4.13</v>
      </c>
      <c r="M451" s="72">
        <f t="shared" ref="M451:M457" si="15">N451*100</f>
        <v>-7.3999999999999995</v>
      </c>
      <c r="N451" s="36">
        <v>-7.3999999999999996E-2</v>
      </c>
      <c r="O451" s="68">
        <v>-32.950000000000003</v>
      </c>
      <c r="P451" s="73">
        <v>5.69</v>
      </c>
      <c r="Q451" s="74">
        <f>'Trade Data'!J26</f>
        <v>0.21957087500770597</v>
      </c>
      <c r="R451" s="35">
        <v>1</v>
      </c>
    </row>
    <row r="452" spans="2:18" ht="20.100000000000001" customHeight="1">
      <c r="B452" s="44" t="s">
        <v>443</v>
      </c>
      <c r="C452" s="59">
        <v>0</v>
      </c>
      <c r="D452" s="47">
        <f>'Sectors % GDP'!K32</f>
        <v>9473.64</v>
      </c>
      <c r="E452" s="47">
        <f t="shared" si="14"/>
        <v>0</v>
      </c>
      <c r="F452" s="47">
        <v>0</v>
      </c>
      <c r="G452" s="49">
        <v>0</v>
      </c>
      <c r="H452" s="47">
        <v>0</v>
      </c>
      <c r="I452" s="48">
        <v>2.4300000000000002</v>
      </c>
      <c r="J452" s="48">
        <v>3.55</v>
      </c>
      <c r="K452" s="62">
        <v>5.99</v>
      </c>
      <c r="L452" s="52">
        <v>4.13</v>
      </c>
      <c r="M452" s="72">
        <f t="shared" si="15"/>
        <v>-7.3999999999999995</v>
      </c>
      <c r="N452" s="36">
        <v>-7.3999999999999996E-2</v>
      </c>
      <c r="O452" s="68">
        <v>-29.213750000000001</v>
      </c>
      <c r="P452" s="73">
        <v>5.69</v>
      </c>
      <c r="Q452" s="74">
        <f>'Trade Data'!J26</f>
        <v>0.21957087500770597</v>
      </c>
      <c r="R452" s="37">
        <v>0</v>
      </c>
    </row>
    <row r="453" spans="2:18" ht="20.100000000000001" customHeight="1">
      <c r="B453" s="44" t="s">
        <v>442</v>
      </c>
      <c r="C453" s="59">
        <v>0</v>
      </c>
      <c r="D453" s="47">
        <f>'Sectors % GDP'!K33</f>
        <v>82248.42</v>
      </c>
      <c r="E453" s="47">
        <f t="shared" si="14"/>
        <v>0</v>
      </c>
      <c r="F453" s="47">
        <v>0</v>
      </c>
      <c r="G453" s="49">
        <v>1</v>
      </c>
      <c r="H453" s="47">
        <v>1</v>
      </c>
      <c r="I453" s="48">
        <v>2.4300000000000002</v>
      </c>
      <c r="J453" s="48">
        <v>3.55</v>
      </c>
      <c r="K453" s="62">
        <v>5.99</v>
      </c>
      <c r="L453" s="52">
        <v>4.13</v>
      </c>
      <c r="M453" s="72">
        <f t="shared" si="15"/>
        <v>-7.3999999999999995</v>
      </c>
      <c r="N453" s="36">
        <v>-7.3999999999999996E-2</v>
      </c>
      <c r="O453" s="68">
        <v>-29.213750000000001</v>
      </c>
      <c r="P453" s="73">
        <v>5.69</v>
      </c>
      <c r="Q453" s="74">
        <f>'Trade Data'!J26</f>
        <v>0.21957087500770597</v>
      </c>
      <c r="R453" s="37">
        <v>1</v>
      </c>
    </row>
    <row r="454" spans="2:18" ht="20.100000000000001" customHeight="1">
      <c r="B454" s="44" t="s">
        <v>441</v>
      </c>
      <c r="C454" s="59">
        <v>0</v>
      </c>
      <c r="D454" s="47">
        <f>'Sectors % GDP'!K34</f>
        <v>123587.93999999999</v>
      </c>
      <c r="E454" s="47">
        <f t="shared" si="14"/>
        <v>0</v>
      </c>
      <c r="F454" s="47">
        <v>0</v>
      </c>
      <c r="G454" s="49">
        <v>0</v>
      </c>
      <c r="H454" s="47">
        <v>0</v>
      </c>
      <c r="I454" s="48">
        <v>2.4300000000000002</v>
      </c>
      <c r="J454" s="48">
        <v>3.55</v>
      </c>
      <c r="K454" s="62">
        <v>5.99</v>
      </c>
      <c r="L454" s="52">
        <v>4.13</v>
      </c>
      <c r="M454" s="72">
        <f t="shared" si="15"/>
        <v>-7.3999999999999995</v>
      </c>
      <c r="N454" s="36">
        <v>-7.3999999999999996E-2</v>
      </c>
      <c r="O454" s="68">
        <v>-29.213750000000001</v>
      </c>
      <c r="P454" s="73">
        <v>5.69</v>
      </c>
      <c r="Q454" s="74">
        <f>'Trade Data'!J26</f>
        <v>0.21957087500770597</v>
      </c>
      <c r="R454" s="37">
        <v>1</v>
      </c>
    </row>
    <row r="455" spans="2:18" ht="20.100000000000001" customHeight="1">
      <c r="B455" s="44" t="s">
        <v>870</v>
      </c>
      <c r="C455" s="59">
        <v>0</v>
      </c>
      <c r="D455" s="47">
        <f>'Sectors % GDP'!K32</f>
        <v>9473.64</v>
      </c>
      <c r="E455" s="47">
        <f t="shared" si="14"/>
        <v>0</v>
      </c>
      <c r="F455" s="47">
        <v>0</v>
      </c>
      <c r="G455" s="49">
        <v>0</v>
      </c>
      <c r="H455" s="47">
        <v>0</v>
      </c>
      <c r="I455" s="48">
        <v>2.65</v>
      </c>
      <c r="J455" s="52">
        <v>3.75</v>
      </c>
      <c r="K455" s="62">
        <v>6.6</v>
      </c>
      <c r="L455" s="52">
        <v>4.13</v>
      </c>
      <c r="M455" s="72">
        <f t="shared" si="15"/>
        <v>-7.3999999999999995</v>
      </c>
      <c r="N455" s="36">
        <v>-7.3999999999999996E-2</v>
      </c>
      <c r="O455" s="68">
        <v>-34.74</v>
      </c>
      <c r="P455" s="73">
        <v>5.69</v>
      </c>
      <c r="Q455" s="74">
        <f>'Trade Data'!J26</f>
        <v>0.21957087500770597</v>
      </c>
      <c r="R455" s="35">
        <v>0</v>
      </c>
    </row>
    <row r="456" spans="2:18" ht="20.100000000000001" customHeight="1">
      <c r="B456" s="44" t="s">
        <v>871</v>
      </c>
      <c r="C456" s="59">
        <v>0</v>
      </c>
      <c r="D456" s="47">
        <f>'Sectors % GDP'!K33</f>
        <v>82248.42</v>
      </c>
      <c r="E456" s="47">
        <f t="shared" si="14"/>
        <v>0</v>
      </c>
      <c r="F456" s="47">
        <v>0</v>
      </c>
      <c r="G456" s="49">
        <v>0</v>
      </c>
      <c r="H456" s="47">
        <v>0</v>
      </c>
      <c r="I456" s="48">
        <v>2.65</v>
      </c>
      <c r="J456" s="52">
        <v>3.75</v>
      </c>
      <c r="K456" s="62">
        <v>6.6</v>
      </c>
      <c r="L456" s="52">
        <v>4.13</v>
      </c>
      <c r="M456" s="72">
        <f t="shared" si="15"/>
        <v>-7.3999999999999995</v>
      </c>
      <c r="N456" s="36">
        <v>-7.3999999999999996E-2</v>
      </c>
      <c r="O456" s="68">
        <v>-34.74</v>
      </c>
      <c r="P456" s="73">
        <v>5.69</v>
      </c>
      <c r="Q456" s="74">
        <f>'Trade Data'!J26</f>
        <v>0.21957087500770597</v>
      </c>
      <c r="R456" s="35">
        <v>1</v>
      </c>
    </row>
    <row r="457" spans="2:18" ht="20.100000000000001" customHeight="1">
      <c r="B457" s="44" t="s">
        <v>872</v>
      </c>
      <c r="C457" s="59">
        <v>0</v>
      </c>
      <c r="D457" s="47">
        <f>'Sectors % GDP'!K34</f>
        <v>123587.93999999999</v>
      </c>
      <c r="E457" s="80">
        <f t="shared" si="14"/>
        <v>0</v>
      </c>
      <c r="F457" s="47">
        <v>0</v>
      </c>
      <c r="G457" s="49">
        <v>0</v>
      </c>
      <c r="H457" s="47">
        <v>0</v>
      </c>
      <c r="I457" s="48">
        <v>2.65</v>
      </c>
      <c r="J457" s="52">
        <v>3.75</v>
      </c>
      <c r="K457" s="69">
        <v>6.6</v>
      </c>
      <c r="L457" s="52">
        <v>4.13</v>
      </c>
      <c r="M457" s="72">
        <f t="shared" si="15"/>
        <v>-7.3999999999999995</v>
      </c>
      <c r="N457" s="36">
        <v>-7.3999999999999996E-2</v>
      </c>
      <c r="O457" s="68">
        <v>-34.74</v>
      </c>
      <c r="P457" s="73">
        <v>5.69</v>
      </c>
      <c r="Q457" s="74">
        <f>'Trade Data'!J26</f>
        <v>0.21957087500770597</v>
      </c>
      <c r="R457" s="35">
        <v>1</v>
      </c>
    </row>
    <row r="458" spans="2:18" ht="20.100000000000001" customHeight="1">
      <c r="E458" s="81">
        <f>AVERAGE(E2:E457)</f>
        <v>1.7180697093545484E-3</v>
      </c>
      <c r="R458" s="37"/>
    </row>
    <row r="459" spans="2:18" ht="20.100000000000001" customHeight="1">
      <c r="R459" s="37"/>
    </row>
    <row r="460" spans="2:18" ht="20.100000000000001" customHeight="1">
      <c r="R460" s="37"/>
    </row>
    <row r="461" spans="2:18" ht="20.100000000000001" customHeight="1">
      <c r="R461" s="35"/>
    </row>
    <row r="462" spans="2:18" ht="20.100000000000001" customHeight="1">
      <c r="R462" s="35"/>
    </row>
    <row r="463" spans="2:18" ht="20.100000000000001" customHeight="1">
      <c r="R463" s="35"/>
    </row>
    <row r="464" spans="2:18" ht="20.100000000000001" customHeight="1">
      <c r="R464" s="37"/>
    </row>
    <row r="465" spans="18:18" ht="20.100000000000001" customHeight="1">
      <c r="R465" s="37"/>
    </row>
    <row r="466" spans="18:18" ht="20.100000000000001" customHeight="1">
      <c r="R466" s="37"/>
    </row>
    <row r="467" spans="18:18" ht="20.100000000000001" customHeight="1">
      <c r="R467" s="35"/>
    </row>
    <row r="468" spans="18:18" ht="20.100000000000001" customHeight="1">
      <c r="R468" s="35"/>
    </row>
    <row r="469" spans="18:18" ht="20.100000000000001" customHeight="1">
      <c r="R469" s="35"/>
    </row>
    <row r="470" spans="18:18" ht="20.100000000000001" customHeight="1">
      <c r="R470" s="37"/>
    </row>
    <row r="471" spans="18:18" ht="20.100000000000001" customHeight="1">
      <c r="R471" s="37"/>
    </row>
    <row r="472" spans="18:18" ht="20.100000000000001" customHeight="1">
      <c r="R472" s="37"/>
    </row>
    <row r="473" spans="18:18" ht="20.100000000000001" customHeight="1">
      <c r="R473" s="35"/>
    </row>
    <row r="474" spans="18:18" ht="20.100000000000001" customHeight="1">
      <c r="R474" s="35"/>
    </row>
    <row r="475" spans="18:18" ht="20.100000000000001" customHeight="1">
      <c r="R475" s="35"/>
    </row>
    <row r="476" spans="18:18" ht="20.100000000000001" customHeight="1">
      <c r="R476" s="37"/>
    </row>
    <row r="477" spans="18:18" ht="20.100000000000001" customHeight="1">
      <c r="R477" s="37"/>
    </row>
    <row r="478" spans="18:18" ht="20.100000000000001" customHeight="1">
      <c r="R478" s="37"/>
    </row>
    <row r="479" spans="18:18" ht="20.100000000000001" customHeight="1">
      <c r="R479" s="35"/>
    </row>
    <row r="480" spans="18:18" ht="20.100000000000001" customHeight="1">
      <c r="R480" s="35"/>
    </row>
    <row r="481" spans="18:18" ht="20.100000000000001" customHeight="1">
      <c r="R481" s="35"/>
    </row>
    <row r="482" spans="18:18" ht="20.100000000000001" customHeight="1">
      <c r="R482" s="37"/>
    </row>
    <row r="483" spans="18:18" ht="20.100000000000001" customHeight="1">
      <c r="R483" s="37"/>
    </row>
    <row r="484" spans="18:18" ht="20.100000000000001" customHeight="1">
      <c r="R484" s="37"/>
    </row>
    <row r="485" spans="18:18" ht="20.100000000000001" customHeight="1">
      <c r="R485" s="35"/>
    </row>
    <row r="486" spans="18:18" ht="20.100000000000001" customHeight="1">
      <c r="R486" s="35"/>
    </row>
    <row r="487" spans="18:18" ht="20.100000000000001" customHeight="1">
      <c r="R487" s="35"/>
    </row>
    <row r="488" spans="18:18" ht="20.100000000000001" customHeight="1">
      <c r="R488" s="37"/>
    </row>
    <row r="489" spans="18:18" ht="20.100000000000001" customHeight="1">
      <c r="R489" s="37"/>
    </row>
    <row r="490" spans="18:18" ht="20.100000000000001" customHeight="1">
      <c r="R490" s="37"/>
    </row>
    <row r="491" spans="18:18" ht="20.100000000000001" customHeight="1">
      <c r="R491" s="35"/>
    </row>
    <row r="492" spans="18:18" ht="20.100000000000001" customHeight="1">
      <c r="R492" s="35"/>
    </row>
    <row r="493" spans="18:18" ht="20.100000000000001" customHeight="1">
      <c r="R493" s="35"/>
    </row>
    <row r="494" spans="18:18" ht="20.100000000000001" customHeight="1">
      <c r="R494" s="37"/>
    </row>
    <row r="495" spans="18:18" ht="20.100000000000001" customHeight="1">
      <c r="R495" s="37"/>
    </row>
    <row r="496" spans="18:18" ht="20.100000000000001" customHeight="1">
      <c r="R496" s="37"/>
    </row>
    <row r="497" spans="18:18" ht="20.100000000000001" customHeight="1">
      <c r="R497" s="35"/>
    </row>
    <row r="498" spans="18:18" ht="20.100000000000001" customHeight="1">
      <c r="R498" s="35"/>
    </row>
    <row r="499" spans="18:18" ht="20.100000000000001" customHeight="1">
      <c r="R499" s="35"/>
    </row>
    <row r="500" spans="18:18" ht="20.100000000000001" customHeight="1">
      <c r="R500" s="37"/>
    </row>
    <row r="501" spans="18:18" ht="20.100000000000001" customHeight="1">
      <c r="R501" s="37"/>
    </row>
    <row r="502" spans="18:18" ht="20.100000000000001" customHeight="1">
      <c r="R502" s="37"/>
    </row>
    <row r="503" spans="18:18" ht="20.100000000000001" customHeight="1">
      <c r="R503" s="35"/>
    </row>
    <row r="504" spans="18:18" ht="20.100000000000001" customHeight="1">
      <c r="R504" s="35"/>
    </row>
    <row r="505" spans="18:18" ht="20.100000000000001" customHeight="1">
      <c r="R505" s="35"/>
    </row>
  </sheetData>
  <pageMargins left="0.5" right="0.5" top="0.75" bottom="0.75" header="0.27777800000000002" footer="0.27777800000000002"/>
  <pageSetup orientation="portrait"/>
  <headerFooter>
    <oddFooter>&amp;C&amp;"Helvetica Neue,Regular"&amp;12&amp;K000000&amp;P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enableFormatConditionsCalculation="0"/>
  <dimension ref="A1:C70"/>
  <sheetViews>
    <sheetView workbookViewId="0"/>
  </sheetViews>
  <sheetFormatPr baseColWidth="10" defaultRowHeight="15.75"/>
  <sheetData>
    <row r="1" spans="1:3">
      <c r="A1" s="2">
        <v>1</v>
      </c>
      <c r="B1">
        <f t="shared" ref="B1:B32" si="0">0.0033329068+(A1-1)*0.0003972195</f>
        <v>3.3329067999999999E-3</v>
      </c>
      <c r="C1">
        <f t="shared" ref="C1:C32" si="1">0+1*B1-0.0484438348908049*(1.00657894736842+(B1-0.0103467566886897)^2/0.0871102311450554)^0.5</f>
        <v>-4.5283653820446766E-2</v>
      </c>
    </row>
    <row r="2" spans="1:3">
      <c r="A2" s="2">
        <v>2</v>
      </c>
      <c r="B2">
        <f t="shared" si="0"/>
        <v>3.7301262999999999E-3</v>
      </c>
      <c r="C2">
        <f t="shared" si="1"/>
        <v>-4.4884934144986399E-2</v>
      </c>
    </row>
    <row r="3" spans="1:3">
      <c r="A3" s="2">
        <v>3</v>
      </c>
      <c r="B3">
        <f t="shared" si="0"/>
        <v>4.1273457999999996E-3</v>
      </c>
      <c r="C3">
        <f t="shared" si="1"/>
        <v>-4.4486301863436752E-2</v>
      </c>
    </row>
    <row r="4" spans="1:3">
      <c r="A4" s="2">
        <v>4</v>
      </c>
      <c r="B4">
        <f t="shared" si="0"/>
        <v>4.5245653E-3</v>
      </c>
      <c r="C4">
        <f t="shared" si="1"/>
        <v>-4.4087756983417402E-2</v>
      </c>
    </row>
    <row r="5" spans="1:3">
      <c r="A5" s="2">
        <v>5</v>
      </c>
      <c r="B5">
        <f t="shared" si="0"/>
        <v>4.9217847999999996E-3</v>
      </c>
      <c r="C5">
        <f t="shared" si="1"/>
        <v>-4.3689299512077333E-2</v>
      </c>
    </row>
    <row r="6" spans="1:3">
      <c r="A6" s="2">
        <v>6</v>
      </c>
      <c r="B6">
        <f t="shared" si="0"/>
        <v>5.3190042999999992E-3</v>
      </c>
      <c r="C6">
        <f t="shared" si="1"/>
        <v>-4.3290929456094814E-2</v>
      </c>
    </row>
    <row r="7" spans="1:3">
      <c r="A7" s="2">
        <v>7</v>
      </c>
      <c r="B7">
        <f t="shared" si="0"/>
        <v>5.7162237999999997E-3</v>
      </c>
      <c r="C7">
        <f t="shared" si="1"/>
        <v>-4.2892646821677094E-2</v>
      </c>
    </row>
    <row r="8" spans="1:3">
      <c r="A8" s="2">
        <v>8</v>
      </c>
      <c r="B8">
        <f t="shared" si="0"/>
        <v>6.1134433000000002E-3</v>
      </c>
      <c r="C8">
        <f t="shared" si="1"/>
        <v>-4.2494451614560343E-2</v>
      </c>
    </row>
    <row r="9" spans="1:3">
      <c r="A9" s="2">
        <v>9</v>
      </c>
      <c r="B9">
        <f t="shared" si="0"/>
        <v>6.5106627999999998E-3</v>
      </c>
      <c r="C9">
        <f t="shared" si="1"/>
        <v>-4.2096343840009438E-2</v>
      </c>
    </row>
    <row r="10" spans="1:3">
      <c r="A10" s="2">
        <v>10</v>
      </c>
      <c r="B10">
        <f t="shared" si="0"/>
        <v>6.9078822999999994E-3</v>
      </c>
      <c r="C10">
        <f t="shared" si="1"/>
        <v>-4.1698323502817845E-2</v>
      </c>
    </row>
    <row r="11" spans="1:3">
      <c r="A11" s="2">
        <v>11</v>
      </c>
      <c r="B11">
        <f t="shared" si="0"/>
        <v>7.3051017999999999E-3</v>
      </c>
      <c r="C11">
        <f t="shared" si="1"/>
        <v>-4.1300390607307523E-2</v>
      </c>
    </row>
    <row r="12" spans="1:3">
      <c r="A12" s="2">
        <v>12</v>
      </c>
      <c r="B12">
        <f t="shared" si="0"/>
        <v>7.7023213000000004E-3</v>
      </c>
      <c r="C12">
        <f t="shared" si="1"/>
        <v>-4.0902545157328683E-2</v>
      </c>
    </row>
    <row r="13" spans="1:3">
      <c r="A13" s="2">
        <v>13</v>
      </c>
      <c r="B13">
        <f t="shared" si="0"/>
        <v>8.0995407999999991E-3</v>
      </c>
      <c r="C13">
        <f t="shared" si="1"/>
        <v>-4.050478715625986E-2</v>
      </c>
    </row>
    <row r="14" spans="1:3">
      <c r="A14" s="2">
        <v>14</v>
      </c>
      <c r="B14">
        <f t="shared" si="0"/>
        <v>8.4967602999999996E-3</v>
      </c>
      <c r="C14">
        <f t="shared" si="1"/>
        <v>-4.0107116607007678E-2</v>
      </c>
    </row>
    <row r="15" spans="1:3">
      <c r="A15" s="2">
        <v>15</v>
      </c>
      <c r="B15">
        <f t="shared" si="0"/>
        <v>8.8939798E-3</v>
      </c>
      <c r="C15">
        <f t="shared" si="1"/>
        <v>-3.9709533512006859E-2</v>
      </c>
    </row>
    <row r="16" spans="1:3">
      <c r="A16" s="2">
        <v>16</v>
      </c>
      <c r="B16">
        <f t="shared" si="0"/>
        <v>9.2911993000000005E-3</v>
      </c>
      <c r="C16">
        <f t="shared" si="1"/>
        <v>-3.9312037873220088E-2</v>
      </c>
    </row>
    <row r="17" spans="1:3">
      <c r="A17" s="2">
        <v>17</v>
      </c>
      <c r="B17">
        <f t="shared" si="0"/>
        <v>9.6884187999999993E-3</v>
      </c>
      <c r="C17">
        <f t="shared" si="1"/>
        <v>-3.8914629692138013E-2</v>
      </c>
    </row>
    <row r="18" spans="1:3">
      <c r="A18" s="2">
        <v>18</v>
      </c>
      <c r="B18">
        <f t="shared" si="0"/>
        <v>1.00856383E-2</v>
      </c>
      <c r="C18">
        <f t="shared" si="1"/>
        <v>-3.8517308969779215E-2</v>
      </c>
    </row>
    <row r="19" spans="1:3">
      <c r="A19" s="2">
        <v>19</v>
      </c>
      <c r="B19">
        <f t="shared" si="0"/>
        <v>1.04828578E-2</v>
      </c>
      <c r="C19">
        <f t="shared" si="1"/>
        <v>-3.8120075706690099E-2</v>
      </c>
    </row>
    <row r="20" spans="1:3">
      <c r="A20" s="2">
        <v>20</v>
      </c>
      <c r="B20">
        <f t="shared" si="0"/>
        <v>1.0880077299999999E-2</v>
      </c>
      <c r="C20">
        <f t="shared" si="1"/>
        <v>-3.7722929902944985E-2</v>
      </c>
    </row>
    <row r="21" spans="1:3">
      <c r="A21" s="2">
        <v>21</v>
      </c>
      <c r="B21">
        <f t="shared" si="0"/>
        <v>1.1277296799999999E-2</v>
      </c>
      <c r="C21">
        <f t="shared" si="1"/>
        <v>-3.7325871558146026E-2</v>
      </c>
    </row>
    <row r="22" spans="1:3">
      <c r="A22" s="2">
        <v>22</v>
      </c>
      <c r="B22">
        <f t="shared" si="0"/>
        <v>1.16745163E-2</v>
      </c>
      <c r="C22">
        <f t="shared" si="1"/>
        <v>-3.6928900671423258E-2</v>
      </c>
    </row>
    <row r="23" spans="1:3">
      <c r="A23" s="2">
        <v>23</v>
      </c>
      <c r="B23">
        <f t="shared" si="0"/>
        <v>1.20717358E-2</v>
      </c>
      <c r="C23">
        <f t="shared" si="1"/>
        <v>-3.6532017241434608E-2</v>
      </c>
    </row>
    <row r="24" spans="1:3">
      <c r="A24" s="2">
        <v>24</v>
      </c>
      <c r="B24">
        <f t="shared" si="0"/>
        <v>1.2468955300000001E-2</v>
      </c>
      <c r="C24">
        <f t="shared" si="1"/>
        <v>-3.6135221266365931E-2</v>
      </c>
    </row>
    <row r="25" spans="1:3">
      <c r="A25" s="2">
        <v>25</v>
      </c>
      <c r="B25">
        <f t="shared" si="0"/>
        <v>1.28661748E-2</v>
      </c>
      <c r="C25">
        <f t="shared" si="1"/>
        <v>-3.5738512743931077E-2</v>
      </c>
    </row>
    <row r="26" spans="1:3">
      <c r="A26" s="2">
        <v>26</v>
      </c>
      <c r="B26">
        <f t="shared" si="0"/>
        <v>1.32633943E-2</v>
      </c>
      <c r="C26">
        <f t="shared" si="1"/>
        <v>-3.5341891671371917E-2</v>
      </c>
    </row>
    <row r="27" spans="1:3">
      <c r="A27" s="2">
        <v>27</v>
      </c>
      <c r="B27">
        <f t="shared" si="0"/>
        <v>1.3660613800000001E-2</v>
      </c>
      <c r="C27">
        <f t="shared" si="1"/>
        <v>-3.4945358045458466E-2</v>
      </c>
    </row>
    <row r="28" spans="1:3">
      <c r="A28" s="2">
        <v>28</v>
      </c>
      <c r="B28">
        <f t="shared" si="0"/>
        <v>1.4057833299999999E-2</v>
      </c>
      <c r="C28">
        <f t="shared" si="1"/>
        <v>-3.4548911862488929E-2</v>
      </c>
    </row>
    <row r="29" spans="1:3">
      <c r="A29" s="2">
        <v>29</v>
      </c>
      <c r="B29">
        <f t="shared" si="0"/>
        <v>1.44550528E-2</v>
      </c>
      <c r="C29">
        <f t="shared" si="1"/>
        <v>-3.4152553118289804E-2</v>
      </c>
    </row>
    <row r="30" spans="1:3">
      <c r="A30" s="2">
        <v>30</v>
      </c>
      <c r="B30">
        <f t="shared" si="0"/>
        <v>1.48522723E-2</v>
      </c>
      <c r="C30">
        <f t="shared" si="1"/>
        <v>-3.3756281808216035E-2</v>
      </c>
    </row>
    <row r="31" spans="1:3">
      <c r="A31" s="2">
        <v>31</v>
      </c>
      <c r="B31">
        <f t="shared" si="0"/>
        <v>1.5249491800000001E-2</v>
      </c>
      <c r="C31">
        <f t="shared" si="1"/>
        <v>-3.3360097927151076E-2</v>
      </c>
    </row>
    <row r="32" spans="1:3">
      <c r="A32" s="2">
        <v>32</v>
      </c>
      <c r="B32">
        <f t="shared" si="0"/>
        <v>1.5646711299999998E-2</v>
      </c>
      <c r="C32">
        <f t="shared" si="1"/>
        <v>-3.2964001469507086E-2</v>
      </c>
    </row>
    <row r="33" spans="1:3">
      <c r="A33" s="2">
        <v>33</v>
      </c>
      <c r="B33">
        <f t="shared" ref="B33:B64" si="2">0.0033329068+(A33-1)*0.0003972195</f>
        <v>1.6043930799999998E-2</v>
      </c>
      <c r="C33">
        <f t="shared" ref="C33:C64" si="3">0+1*B33-0.0484438348908049*(1.00657894736842+(B33-0.0103467566886897)^2/0.0871102311450554)^0.5</f>
        <v>-3.2567992429225034E-2</v>
      </c>
    </row>
    <row r="34" spans="1:3">
      <c r="A34" s="2">
        <v>34</v>
      </c>
      <c r="B34">
        <f t="shared" si="2"/>
        <v>1.6441150299999999E-2</v>
      </c>
      <c r="C34">
        <f t="shared" si="3"/>
        <v>-3.2172070799774917E-2</v>
      </c>
    </row>
    <row r="35" spans="1:3">
      <c r="A35" s="2">
        <v>35</v>
      </c>
      <c r="B35">
        <f t="shared" si="2"/>
        <v>1.6838369799999999E-2</v>
      </c>
      <c r="C35">
        <f t="shared" si="3"/>
        <v>-3.1776236574155847E-2</v>
      </c>
    </row>
    <row r="36" spans="1:3">
      <c r="A36" s="2">
        <v>36</v>
      </c>
      <c r="B36">
        <f t="shared" si="2"/>
        <v>1.72355893E-2</v>
      </c>
      <c r="C36">
        <f t="shared" si="3"/>
        <v>-3.1380489744896357E-2</v>
      </c>
    </row>
    <row r="37" spans="1:3">
      <c r="A37" s="2">
        <v>37</v>
      </c>
      <c r="B37">
        <f t="shared" si="2"/>
        <v>1.76328088E-2</v>
      </c>
      <c r="C37">
        <f t="shared" si="3"/>
        <v>-3.0984830304054491E-2</v>
      </c>
    </row>
    <row r="38" spans="1:3">
      <c r="A38" s="2">
        <v>38</v>
      </c>
      <c r="B38">
        <f t="shared" si="2"/>
        <v>1.8030028300000001E-2</v>
      </c>
      <c r="C38">
        <f t="shared" si="3"/>
        <v>-3.05892582432181E-2</v>
      </c>
    </row>
    <row r="39" spans="1:3">
      <c r="A39" s="2">
        <v>39</v>
      </c>
      <c r="B39">
        <f t="shared" si="2"/>
        <v>1.8427247799999998E-2</v>
      </c>
      <c r="C39">
        <f t="shared" si="3"/>
        <v>-3.019377355350502E-2</v>
      </c>
    </row>
    <row r="40" spans="1:3">
      <c r="A40" s="2">
        <v>40</v>
      </c>
      <c r="B40">
        <f t="shared" si="2"/>
        <v>1.8824467299999998E-2</v>
      </c>
      <c r="C40">
        <f t="shared" si="3"/>
        <v>-2.9798376225563323E-2</v>
      </c>
    </row>
    <row r="41" spans="1:3">
      <c r="A41" s="2">
        <v>41</v>
      </c>
      <c r="B41">
        <f t="shared" si="2"/>
        <v>1.9221686799999999E-2</v>
      </c>
      <c r="C41">
        <f t="shared" si="3"/>
        <v>-2.9403066249571584E-2</v>
      </c>
    </row>
    <row r="42" spans="1:3">
      <c r="A42" s="2">
        <v>42</v>
      </c>
      <c r="B42">
        <f t="shared" si="2"/>
        <v>1.9618906299999999E-2</v>
      </c>
      <c r="C42">
        <f t="shared" si="3"/>
        <v>-2.9007843615239132E-2</v>
      </c>
    </row>
    <row r="43" spans="1:3">
      <c r="A43" s="2">
        <v>43</v>
      </c>
      <c r="B43">
        <f t="shared" si="2"/>
        <v>2.0016125799999999E-2</v>
      </c>
      <c r="C43">
        <f t="shared" si="3"/>
        <v>-2.8612708311806338E-2</v>
      </c>
    </row>
    <row r="44" spans="1:3">
      <c r="A44" s="2">
        <v>44</v>
      </c>
      <c r="B44">
        <f t="shared" si="2"/>
        <v>2.04133453E-2</v>
      </c>
      <c r="C44">
        <f t="shared" si="3"/>
        <v>-2.8217660328044871E-2</v>
      </c>
    </row>
    <row r="45" spans="1:3">
      <c r="A45" s="2">
        <v>45</v>
      </c>
      <c r="B45">
        <f t="shared" si="2"/>
        <v>2.08105648E-2</v>
      </c>
      <c r="C45">
        <f t="shared" si="3"/>
        <v>-2.7822699652258046E-2</v>
      </c>
    </row>
    <row r="46" spans="1:3">
      <c r="A46" s="2">
        <v>46</v>
      </c>
      <c r="B46">
        <f t="shared" si="2"/>
        <v>2.1207784300000001E-2</v>
      </c>
      <c r="C46">
        <f t="shared" si="3"/>
        <v>-2.7427826272281113E-2</v>
      </c>
    </row>
    <row r="47" spans="1:3">
      <c r="A47" s="2">
        <v>47</v>
      </c>
      <c r="B47">
        <f t="shared" si="2"/>
        <v>2.1605003800000001E-2</v>
      </c>
      <c r="C47">
        <f t="shared" si="3"/>
        <v>-2.7033040175481589E-2</v>
      </c>
    </row>
    <row r="48" spans="1:3">
      <c r="A48" s="2">
        <v>48</v>
      </c>
      <c r="B48">
        <f t="shared" si="2"/>
        <v>2.2002223299999998E-2</v>
      </c>
      <c r="C48">
        <f t="shared" si="3"/>
        <v>-2.6638341348759594E-2</v>
      </c>
    </row>
    <row r="49" spans="1:3">
      <c r="A49" s="2">
        <v>49</v>
      </c>
      <c r="B49">
        <f t="shared" si="2"/>
        <v>2.2399442799999999E-2</v>
      </c>
      <c r="C49">
        <f t="shared" si="3"/>
        <v>-2.6243729778548209E-2</v>
      </c>
    </row>
    <row r="50" spans="1:3">
      <c r="A50" s="2">
        <v>50</v>
      </c>
      <c r="B50">
        <f t="shared" si="2"/>
        <v>2.2796662299999999E-2</v>
      </c>
      <c r="C50">
        <f t="shared" si="3"/>
        <v>-2.5849205450813831E-2</v>
      </c>
    </row>
    <row r="51" spans="1:3">
      <c r="A51" s="2">
        <v>51</v>
      </c>
      <c r="B51">
        <f t="shared" si="2"/>
        <v>2.31938818E-2</v>
      </c>
      <c r="C51">
        <f t="shared" si="3"/>
        <v>-2.5454768351056565E-2</v>
      </c>
    </row>
    <row r="52" spans="1:3">
      <c r="A52" s="2">
        <v>52</v>
      </c>
      <c r="B52">
        <f t="shared" si="2"/>
        <v>2.35911013E-2</v>
      </c>
      <c r="C52">
        <f t="shared" si="3"/>
        <v>-2.5060418464310598E-2</v>
      </c>
    </row>
    <row r="53" spans="1:3">
      <c r="A53" s="2">
        <v>53</v>
      </c>
      <c r="B53">
        <f t="shared" si="2"/>
        <v>2.3988320800000001E-2</v>
      </c>
      <c r="C53">
        <f t="shared" si="3"/>
        <v>-2.4666155775144607E-2</v>
      </c>
    </row>
    <row r="54" spans="1:3">
      <c r="A54" s="2">
        <v>54</v>
      </c>
      <c r="B54">
        <f t="shared" si="2"/>
        <v>2.4385540300000001E-2</v>
      </c>
      <c r="C54">
        <f t="shared" si="3"/>
        <v>-2.4271980267662176E-2</v>
      </c>
    </row>
    <row r="55" spans="1:3">
      <c r="A55" s="2">
        <v>55</v>
      </c>
      <c r="B55">
        <f t="shared" si="2"/>
        <v>2.4782759799999998E-2</v>
      </c>
      <c r="C55">
        <f t="shared" si="3"/>
        <v>-2.3877891925502222E-2</v>
      </c>
    </row>
    <row r="56" spans="1:3">
      <c r="A56" s="2">
        <v>56</v>
      </c>
      <c r="B56">
        <f t="shared" si="2"/>
        <v>2.5179979299999999E-2</v>
      </c>
      <c r="C56">
        <f t="shared" si="3"/>
        <v>-2.3483890731839433E-2</v>
      </c>
    </row>
    <row r="57" spans="1:3">
      <c r="A57" s="2">
        <v>57</v>
      </c>
      <c r="B57">
        <f t="shared" si="2"/>
        <v>2.5577198799999999E-2</v>
      </c>
      <c r="C57">
        <f t="shared" si="3"/>
        <v>-2.3089976669384685E-2</v>
      </c>
    </row>
    <row r="58" spans="1:3">
      <c r="A58" s="2">
        <v>58</v>
      </c>
      <c r="B58">
        <f t="shared" si="2"/>
        <v>2.59744183E-2</v>
      </c>
      <c r="C58">
        <f t="shared" si="3"/>
        <v>-2.269614972038558E-2</v>
      </c>
    </row>
    <row r="59" spans="1:3">
      <c r="A59" s="2">
        <v>59</v>
      </c>
      <c r="B59">
        <f t="shared" si="2"/>
        <v>2.63716378E-2</v>
      </c>
      <c r="C59">
        <f t="shared" si="3"/>
        <v>-2.2302409866626863E-2</v>
      </c>
    </row>
    <row r="60" spans="1:3">
      <c r="A60" s="2">
        <v>60</v>
      </c>
      <c r="B60">
        <f t="shared" si="2"/>
        <v>2.6768857300000001E-2</v>
      </c>
      <c r="C60">
        <f t="shared" si="3"/>
        <v>-2.1908757089430884E-2</v>
      </c>
    </row>
    <row r="61" spans="1:3">
      <c r="A61" s="2">
        <v>61</v>
      </c>
      <c r="B61">
        <f t="shared" si="2"/>
        <v>2.7166076800000001E-2</v>
      </c>
      <c r="C61">
        <f t="shared" si="3"/>
        <v>-2.1515191369658182E-2</v>
      </c>
    </row>
    <row r="62" spans="1:3">
      <c r="A62" s="2">
        <v>62</v>
      </c>
      <c r="B62">
        <f t="shared" si="2"/>
        <v>2.7563296299999998E-2</v>
      </c>
      <c r="C62">
        <f t="shared" si="3"/>
        <v>-2.1121712687707968E-2</v>
      </c>
    </row>
    <row r="63" spans="1:3">
      <c r="A63" s="2">
        <v>63</v>
      </c>
      <c r="B63">
        <f t="shared" si="2"/>
        <v>2.7960515799999999E-2</v>
      </c>
      <c r="C63">
        <f t="shared" si="3"/>
        <v>-2.0728321023518553E-2</v>
      </c>
    </row>
    <row r="64" spans="1:3">
      <c r="A64" s="2">
        <v>64</v>
      </c>
      <c r="B64">
        <f t="shared" si="2"/>
        <v>2.8357735299999999E-2</v>
      </c>
      <c r="C64">
        <f t="shared" si="3"/>
        <v>-2.0335016356568043E-2</v>
      </c>
    </row>
    <row r="65" spans="1:3">
      <c r="A65" s="2">
        <v>65</v>
      </c>
      <c r="B65">
        <f t="shared" ref="B65:B70" si="4">0.0033329068+(A65-1)*0.0003972195</f>
        <v>2.87549548E-2</v>
      </c>
      <c r="C65">
        <f t="shared" ref="C65:C70" si="5">0+1*B65-0.0484438348908049*(1.00657894736842+(B65-0.0103467566886897)^2/0.0871102311450554)^0.5</f>
        <v>-1.9941798665874751E-2</v>
      </c>
    </row>
    <row r="66" spans="1:3">
      <c r="A66" s="2">
        <v>66</v>
      </c>
      <c r="B66">
        <f t="shared" si="4"/>
        <v>2.91521743E-2</v>
      </c>
      <c r="C66">
        <f t="shared" si="5"/>
        <v>-1.9548667929997862E-2</v>
      </c>
    </row>
    <row r="67" spans="1:3">
      <c r="A67" s="2">
        <v>67</v>
      </c>
      <c r="B67">
        <f t="shared" si="4"/>
        <v>2.95493938E-2</v>
      </c>
      <c r="C67">
        <f t="shared" si="5"/>
        <v>-1.9155624127037887E-2</v>
      </c>
    </row>
    <row r="68" spans="1:3">
      <c r="A68" s="2">
        <v>68</v>
      </c>
      <c r="B68">
        <f t="shared" si="4"/>
        <v>2.9946613300000001E-2</v>
      </c>
      <c r="C68">
        <f t="shared" si="5"/>
        <v>-1.8762667234637369E-2</v>
      </c>
    </row>
    <row r="69" spans="1:3">
      <c r="A69" s="2">
        <v>69</v>
      </c>
      <c r="B69">
        <f t="shared" si="4"/>
        <v>3.0343832799999998E-2</v>
      </c>
      <c r="C69">
        <f t="shared" si="5"/>
        <v>-1.8369797229981416E-2</v>
      </c>
    </row>
    <row r="70" spans="1:3">
      <c r="A70" s="2">
        <v>70</v>
      </c>
      <c r="B70">
        <f t="shared" si="4"/>
        <v>3.0741052299999998E-2</v>
      </c>
      <c r="C70">
        <f t="shared" si="5"/>
        <v>-1.7977014089798283E-2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enableFormatConditionsCalculation="0"/>
  <dimension ref="A1:C70"/>
  <sheetViews>
    <sheetView workbookViewId="0"/>
  </sheetViews>
  <sheetFormatPr baseColWidth="10" defaultRowHeight="15.75"/>
  <sheetData>
    <row r="1" spans="1:3">
      <c r="A1" s="2">
        <v>1</v>
      </c>
      <c r="B1">
        <f t="shared" ref="B1:B32" si="0">4.1058551241+(A1-1)*1.1417876716</f>
        <v>4.1058551240999996</v>
      </c>
      <c r="C1">
        <f t="shared" ref="C1:C32" si="1">0+1*B1-75.846578674157*(1.00625+(B1-36.06875)^2/230004.299521756)^0.5</f>
        <v>-72.145112676497689</v>
      </c>
    </row>
    <row r="2" spans="1:3">
      <c r="A2" s="2">
        <v>2</v>
      </c>
      <c r="B2">
        <f t="shared" si="0"/>
        <v>5.2476427956999991</v>
      </c>
      <c r="C2">
        <f t="shared" si="1"/>
        <v>-70.991567138786934</v>
      </c>
    </row>
    <row r="3" spans="1:3">
      <c r="A3" s="2">
        <v>3</v>
      </c>
      <c r="B3">
        <f t="shared" si="0"/>
        <v>6.3894304672999995</v>
      </c>
      <c r="C3">
        <f t="shared" si="1"/>
        <v>-69.838447541501935</v>
      </c>
    </row>
    <row r="4" spans="1:3">
      <c r="A4" s="2">
        <v>4</v>
      </c>
      <c r="B4">
        <f t="shared" si="0"/>
        <v>7.5312181388999999</v>
      </c>
      <c r="C4">
        <f t="shared" si="1"/>
        <v>-68.68575407462896</v>
      </c>
    </row>
    <row r="5" spans="1:3">
      <c r="A5" s="2">
        <v>5</v>
      </c>
      <c r="B5">
        <f t="shared" si="0"/>
        <v>8.6730058104999994</v>
      </c>
      <c r="C5">
        <f t="shared" si="1"/>
        <v>-67.533486921116605</v>
      </c>
    </row>
    <row r="6" spans="1:3">
      <c r="A6" s="2">
        <v>6</v>
      </c>
      <c r="B6">
        <f t="shared" si="0"/>
        <v>9.8147934820999989</v>
      </c>
      <c r="C6">
        <f t="shared" si="1"/>
        <v>-66.381646256860648</v>
      </c>
    </row>
    <row r="7" spans="1:3">
      <c r="A7" s="2">
        <v>7</v>
      </c>
      <c r="B7">
        <f t="shared" si="0"/>
        <v>10.9565811537</v>
      </c>
      <c r="C7">
        <f t="shared" si="1"/>
        <v>-65.230232250689269</v>
      </c>
    </row>
    <row r="8" spans="1:3">
      <c r="A8" s="2">
        <v>8</v>
      </c>
      <c r="B8">
        <f t="shared" si="0"/>
        <v>12.0983688253</v>
      </c>
      <c r="C8">
        <f t="shared" si="1"/>
        <v>-64.079245064348882</v>
      </c>
    </row>
    <row r="9" spans="1:3">
      <c r="A9" s="2">
        <v>9</v>
      </c>
      <c r="B9">
        <f t="shared" si="0"/>
        <v>13.240156496899999</v>
      </c>
      <c r="C9">
        <f t="shared" si="1"/>
        <v>-62.928684852490775</v>
      </c>
    </row>
    <row r="10" spans="1:3">
      <c r="A10" s="2">
        <v>10</v>
      </c>
      <c r="B10">
        <f t="shared" si="0"/>
        <v>14.381944168499999</v>
      </c>
      <c r="C10">
        <f t="shared" si="1"/>
        <v>-61.778551762657969</v>
      </c>
    </row>
    <row r="11" spans="1:3">
      <c r="A11" s="2">
        <v>11</v>
      </c>
      <c r="B11">
        <f t="shared" si="0"/>
        <v>15.523731840099998</v>
      </c>
      <c r="C11">
        <f t="shared" si="1"/>
        <v>-60.62884593527302</v>
      </c>
    </row>
    <row r="12" spans="1:3">
      <c r="A12" s="2">
        <v>12</v>
      </c>
      <c r="B12">
        <f t="shared" si="0"/>
        <v>16.665519511699998</v>
      </c>
      <c r="C12">
        <f t="shared" si="1"/>
        <v>-59.479567503626072</v>
      </c>
    </row>
    <row r="13" spans="1:3">
      <c r="A13" s="2">
        <v>13</v>
      </c>
      <c r="B13">
        <f t="shared" si="0"/>
        <v>17.807307183299997</v>
      </c>
      <c r="C13">
        <f t="shared" si="1"/>
        <v>-58.330716593863784</v>
      </c>
    </row>
    <row r="14" spans="1:3">
      <c r="A14" s="2">
        <v>14</v>
      </c>
      <c r="B14">
        <f t="shared" si="0"/>
        <v>18.949094854899997</v>
      </c>
      <c r="C14">
        <f t="shared" si="1"/>
        <v>-57.182293324978673</v>
      </c>
    </row>
    <row r="15" spans="1:3">
      <c r="A15" s="2">
        <v>15</v>
      </c>
      <c r="B15">
        <f t="shared" si="0"/>
        <v>20.0908825265</v>
      </c>
      <c r="C15">
        <f t="shared" si="1"/>
        <v>-56.034297808799181</v>
      </c>
    </row>
    <row r="16" spans="1:3">
      <c r="A16" s="2">
        <v>16</v>
      </c>
      <c r="B16">
        <f t="shared" si="0"/>
        <v>21.232670198099999</v>
      </c>
      <c r="C16">
        <f t="shared" si="1"/>
        <v>-54.886730149980167</v>
      </c>
    </row>
    <row r="17" spans="1:3">
      <c r="A17" s="2">
        <v>17</v>
      </c>
      <c r="B17">
        <f t="shared" si="0"/>
        <v>22.374457869699999</v>
      </c>
      <c r="C17">
        <f t="shared" si="1"/>
        <v>-53.739590445994168</v>
      </c>
    </row>
    <row r="18" spans="1:3">
      <c r="A18" s="2">
        <v>18</v>
      </c>
      <c r="B18">
        <f t="shared" si="0"/>
        <v>23.516245541299998</v>
      </c>
      <c r="C18">
        <f t="shared" si="1"/>
        <v>-52.59287878712324</v>
      </c>
    </row>
    <row r="19" spans="1:3">
      <c r="A19" s="2">
        <v>19</v>
      </c>
      <c r="B19">
        <f t="shared" si="0"/>
        <v>24.658033212899998</v>
      </c>
      <c r="C19">
        <f t="shared" si="1"/>
        <v>-51.446595256451175</v>
      </c>
    </row>
    <row r="20" spans="1:3">
      <c r="A20" s="2">
        <v>20</v>
      </c>
      <c r="B20">
        <f t="shared" si="0"/>
        <v>25.799820884499997</v>
      </c>
      <c r="C20">
        <f t="shared" si="1"/>
        <v>-50.300739929856732</v>
      </c>
    </row>
    <row r="21" spans="1:3">
      <c r="A21" s="2">
        <v>21</v>
      </c>
      <c r="B21">
        <f t="shared" si="0"/>
        <v>26.941608556099997</v>
      </c>
      <c r="C21">
        <f t="shared" si="1"/>
        <v>-49.155312876007031</v>
      </c>
    </row>
    <row r="22" spans="1:3">
      <c r="A22" s="2">
        <v>22</v>
      </c>
      <c r="B22">
        <f t="shared" si="0"/>
        <v>28.0833962277</v>
      </c>
      <c r="C22">
        <f t="shared" si="1"/>
        <v>-48.010314156351917</v>
      </c>
    </row>
    <row r="23" spans="1:3">
      <c r="A23" s="2">
        <v>23</v>
      </c>
      <c r="B23">
        <f t="shared" si="0"/>
        <v>29.225183899299999</v>
      </c>
      <c r="C23">
        <f t="shared" si="1"/>
        <v>-46.865743825118678</v>
      </c>
    </row>
    <row r="24" spans="1:3">
      <c r="A24" s="2">
        <v>24</v>
      </c>
      <c r="B24">
        <f t="shared" si="0"/>
        <v>30.366971570899999</v>
      </c>
      <c r="C24">
        <f t="shared" si="1"/>
        <v>-45.721601929307489</v>
      </c>
    </row>
    <row r="25" spans="1:3">
      <c r="A25" s="2">
        <v>25</v>
      </c>
      <c r="B25">
        <f t="shared" si="0"/>
        <v>31.508759242499998</v>
      </c>
      <c r="C25">
        <f t="shared" si="1"/>
        <v>-44.577888508687501</v>
      </c>
    </row>
    <row r="26" spans="1:3">
      <c r="A26" s="2">
        <v>26</v>
      </c>
      <c r="B26">
        <f t="shared" si="0"/>
        <v>32.650546914099998</v>
      </c>
      <c r="C26">
        <f t="shared" si="1"/>
        <v>-43.434603595793384</v>
      </c>
    </row>
    <row r="27" spans="1:3">
      <c r="A27" s="2">
        <v>27</v>
      </c>
      <c r="B27">
        <f t="shared" si="0"/>
        <v>33.792334585699997</v>
      </c>
      <c r="C27">
        <f t="shared" si="1"/>
        <v>-42.291747215922676</v>
      </c>
    </row>
    <row r="28" spans="1:3">
      <c r="A28" s="2">
        <v>28</v>
      </c>
      <c r="B28">
        <f t="shared" si="0"/>
        <v>34.934122257299997</v>
      </c>
      <c r="C28">
        <f t="shared" si="1"/>
        <v>-41.149319387133552</v>
      </c>
    </row>
    <row r="29" spans="1:3">
      <c r="A29" s="2">
        <v>29</v>
      </c>
      <c r="B29">
        <f t="shared" si="0"/>
        <v>36.075909928900003</v>
      </c>
      <c r="C29">
        <f t="shared" si="1"/>
        <v>-40.007320120243392</v>
      </c>
    </row>
    <row r="30" spans="1:3">
      <c r="A30" s="2">
        <v>30</v>
      </c>
      <c r="B30">
        <f t="shared" si="0"/>
        <v>37.217697600500003</v>
      </c>
      <c r="C30">
        <f t="shared" si="1"/>
        <v>-38.865749418827804</v>
      </c>
    </row>
    <row r="31" spans="1:3">
      <c r="A31" s="2">
        <v>31</v>
      </c>
      <c r="B31">
        <f t="shared" si="0"/>
        <v>38.359485272100002</v>
      </c>
      <c r="C31">
        <f t="shared" si="1"/>
        <v>-37.724607279220379</v>
      </c>
    </row>
    <row r="32" spans="1:3">
      <c r="A32" s="2">
        <v>32</v>
      </c>
      <c r="B32">
        <f t="shared" si="0"/>
        <v>39.501272943700002</v>
      </c>
      <c r="C32">
        <f t="shared" si="1"/>
        <v>-36.583893690512895</v>
      </c>
    </row>
    <row r="33" spans="1:3">
      <c r="A33" s="2">
        <v>33</v>
      </c>
      <c r="B33">
        <f t="shared" ref="B33:B64" si="2">4.1058551241+(A33-1)*1.1417876716</f>
        <v>40.643060615300001</v>
      </c>
      <c r="C33">
        <f t="shared" ref="C33:C64" si="3">0+1*B33-75.846578674157*(1.00625+(B33-36.06875)^2/230004.299521756)^0.5</f>
        <v>-35.443608634556369</v>
      </c>
    </row>
    <row r="34" spans="1:3">
      <c r="A34" s="2">
        <v>34</v>
      </c>
      <c r="B34">
        <f t="shared" si="2"/>
        <v>41.784848286900001</v>
      </c>
      <c r="C34">
        <f t="shared" si="3"/>
        <v>-34.303752085962472</v>
      </c>
    </row>
    <row r="35" spans="1:3">
      <c r="A35" s="2">
        <v>35</v>
      </c>
      <c r="B35">
        <f t="shared" si="2"/>
        <v>42.9266359585</v>
      </c>
      <c r="C35">
        <f t="shared" si="3"/>
        <v>-33.164324012105794</v>
      </c>
    </row>
    <row r="36" spans="1:3">
      <c r="A36" s="2">
        <v>36</v>
      </c>
      <c r="B36">
        <f t="shared" si="2"/>
        <v>44.0684236301</v>
      </c>
      <c r="C36">
        <f t="shared" si="3"/>
        <v>-32.025324373126494</v>
      </c>
    </row>
    <row r="37" spans="1:3">
      <c r="A37" s="2">
        <v>37</v>
      </c>
      <c r="B37">
        <f t="shared" si="2"/>
        <v>45.210211301699999</v>
      </c>
      <c r="C37">
        <f t="shared" si="3"/>
        <v>-30.886753121933694</v>
      </c>
    </row>
    <row r="38" spans="1:3">
      <c r="A38" s="2">
        <v>38</v>
      </c>
      <c r="B38">
        <f t="shared" si="2"/>
        <v>46.351998973299999</v>
      </c>
      <c r="C38">
        <f t="shared" si="3"/>
        <v>-29.748610204209527</v>
      </c>
    </row>
    <row r="39" spans="1:3">
      <c r="A39" s="2">
        <v>39</v>
      </c>
      <c r="B39">
        <f t="shared" si="2"/>
        <v>47.493786644899998</v>
      </c>
      <c r="C39">
        <f t="shared" si="3"/>
        <v>-28.610895558413588</v>
      </c>
    </row>
    <row r="40" spans="1:3">
      <c r="A40" s="2">
        <v>40</v>
      </c>
      <c r="B40">
        <f t="shared" si="2"/>
        <v>48.635574316499998</v>
      </c>
      <c r="C40">
        <f t="shared" si="3"/>
        <v>-27.473609115788264</v>
      </c>
    </row>
    <row r="41" spans="1:3">
      <c r="A41" s="2">
        <v>41</v>
      </c>
      <c r="B41">
        <f t="shared" si="2"/>
        <v>49.777361988099997</v>
      </c>
      <c r="C41">
        <f t="shared" si="3"/>
        <v>-26.336750800364413</v>
      </c>
    </row>
    <row r="42" spans="1:3">
      <c r="A42" s="2">
        <v>42</v>
      </c>
      <c r="B42">
        <f t="shared" si="2"/>
        <v>50.919149659699997</v>
      </c>
      <c r="C42">
        <f t="shared" si="3"/>
        <v>-25.200320528967893</v>
      </c>
    </row>
    <row r="43" spans="1:3">
      <c r="A43" s="2">
        <v>43</v>
      </c>
      <c r="B43">
        <f t="shared" si="2"/>
        <v>52.060937331299996</v>
      </c>
      <c r="C43">
        <f t="shared" si="3"/>
        <v>-24.064318211226436</v>
      </c>
    </row>
    <row r="44" spans="1:3">
      <c r="A44" s="2">
        <v>44</v>
      </c>
      <c r="B44">
        <f t="shared" si="2"/>
        <v>53.202725002899996</v>
      </c>
      <c r="C44">
        <f t="shared" si="3"/>
        <v>-22.928743749577393</v>
      </c>
    </row>
    <row r="45" spans="1:3">
      <c r="A45" s="2">
        <v>45</v>
      </c>
      <c r="B45">
        <f t="shared" si="2"/>
        <v>54.344512674499995</v>
      </c>
      <c r="C45">
        <f t="shared" si="3"/>
        <v>-21.793597039275809</v>
      </c>
    </row>
    <row r="46" spans="1:3">
      <c r="A46" s="2">
        <v>46</v>
      </c>
      <c r="B46">
        <f t="shared" si="2"/>
        <v>55.486300346099995</v>
      </c>
      <c r="C46">
        <f t="shared" si="3"/>
        <v>-20.658877968403431</v>
      </c>
    </row>
    <row r="47" spans="1:3">
      <c r="A47" s="2">
        <v>47</v>
      </c>
      <c r="B47">
        <f t="shared" si="2"/>
        <v>56.628088017699994</v>
      </c>
      <c r="C47">
        <f t="shared" si="3"/>
        <v>-19.524586417877913</v>
      </c>
    </row>
    <row r="48" spans="1:3">
      <c r="A48" s="2">
        <v>48</v>
      </c>
      <c r="B48">
        <f t="shared" si="2"/>
        <v>57.769875689299994</v>
      </c>
      <c r="C48">
        <f t="shared" si="3"/>
        <v>-18.390722261462898</v>
      </c>
    </row>
    <row r="49" spans="1:3">
      <c r="A49" s="2">
        <v>49</v>
      </c>
      <c r="B49">
        <f t="shared" si="2"/>
        <v>58.911663360899993</v>
      </c>
      <c r="C49">
        <f t="shared" si="3"/>
        <v>-17.25728536577877</v>
      </c>
    </row>
    <row r="50" spans="1:3">
      <c r="A50" s="2">
        <v>50</v>
      </c>
      <c r="B50">
        <f t="shared" si="2"/>
        <v>60.053451032499993</v>
      </c>
      <c r="C50">
        <f t="shared" si="3"/>
        <v>-16.124275590313601</v>
      </c>
    </row>
    <row r="51" spans="1:3">
      <c r="A51" s="2">
        <v>51</v>
      </c>
      <c r="B51">
        <f t="shared" si="2"/>
        <v>61.195238704099992</v>
      </c>
      <c r="C51">
        <f t="shared" si="3"/>
        <v>-14.991692787435099</v>
      </c>
    </row>
    <row r="52" spans="1:3">
      <c r="A52" s="2">
        <v>52</v>
      </c>
      <c r="B52">
        <f t="shared" si="2"/>
        <v>62.337026375699992</v>
      </c>
      <c r="C52">
        <f t="shared" si="3"/>
        <v>-13.859536802402971</v>
      </c>
    </row>
    <row r="53" spans="1:3">
      <c r="A53" s="2">
        <v>53</v>
      </c>
      <c r="B53">
        <f t="shared" si="2"/>
        <v>63.478814047299991</v>
      </c>
      <c r="C53">
        <f t="shared" si="3"/>
        <v>-12.72780747338183</v>
      </c>
    </row>
    <row r="54" spans="1:3">
      <c r="A54" s="2">
        <v>54</v>
      </c>
      <c r="B54">
        <f t="shared" si="2"/>
        <v>64.620601718899991</v>
      </c>
      <c r="C54">
        <f t="shared" si="3"/>
        <v>-11.596504631454806</v>
      </c>
    </row>
    <row r="55" spans="1:3">
      <c r="A55" s="2">
        <v>55</v>
      </c>
      <c r="B55">
        <f t="shared" si="2"/>
        <v>65.76238939049999</v>
      </c>
      <c r="C55">
        <f t="shared" si="3"/>
        <v>-10.465628100637588</v>
      </c>
    </row>
    <row r="56" spans="1:3">
      <c r="A56" s="2">
        <v>56</v>
      </c>
      <c r="B56">
        <f t="shared" si="2"/>
        <v>66.90417706209999</v>
      </c>
      <c r="C56">
        <f t="shared" si="3"/>
        <v>-9.3351776978931866</v>
      </c>
    </row>
    <row r="57" spans="1:3">
      <c r="A57" s="2">
        <v>57</v>
      </c>
      <c r="B57">
        <f t="shared" si="2"/>
        <v>68.045964733700004</v>
      </c>
      <c r="C57">
        <f t="shared" si="3"/>
        <v>-8.2051532331472004</v>
      </c>
    </row>
    <row r="58" spans="1:3">
      <c r="A58" s="2">
        <v>58</v>
      </c>
      <c r="B58">
        <f t="shared" si="2"/>
        <v>69.187752405300003</v>
      </c>
      <c r="C58">
        <f t="shared" si="3"/>
        <v>-7.0755545093036716</v>
      </c>
    </row>
    <row r="59" spans="1:3">
      <c r="A59" s="2">
        <v>59</v>
      </c>
      <c r="B59">
        <f t="shared" si="2"/>
        <v>70.329540076900003</v>
      </c>
      <c r="C59">
        <f t="shared" si="3"/>
        <v>-5.9463813222614874</v>
      </c>
    </row>
    <row r="60" spans="1:3">
      <c r="A60" s="2">
        <v>60</v>
      </c>
      <c r="B60">
        <f t="shared" si="2"/>
        <v>71.471327748500002</v>
      </c>
      <c r="C60">
        <f t="shared" si="3"/>
        <v>-4.8176334609313756</v>
      </c>
    </row>
    <row r="61" spans="1:3">
      <c r="A61" s="2">
        <v>61</v>
      </c>
      <c r="B61">
        <f t="shared" si="2"/>
        <v>72.613115420100002</v>
      </c>
      <c r="C61">
        <f t="shared" si="3"/>
        <v>-3.6893107072533979</v>
      </c>
    </row>
    <row r="62" spans="1:3">
      <c r="A62" s="2">
        <v>62</v>
      </c>
      <c r="B62">
        <f t="shared" si="2"/>
        <v>73.754903091700001</v>
      </c>
      <c r="C62">
        <f t="shared" si="3"/>
        <v>-2.5614128362151547</v>
      </c>
    </row>
    <row r="63" spans="1:3">
      <c r="A63" s="2">
        <v>63</v>
      </c>
      <c r="B63">
        <f t="shared" si="2"/>
        <v>74.896690763300001</v>
      </c>
      <c r="C63">
        <f t="shared" si="3"/>
        <v>-1.4339396158703437</v>
      </c>
    </row>
    <row r="64" spans="1:3">
      <c r="A64" s="2">
        <v>64</v>
      </c>
      <c r="B64">
        <f t="shared" si="2"/>
        <v>76.0384784349</v>
      </c>
      <c r="C64">
        <f t="shared" si="3"/>
        <v>-0.30689080735810137</v>
      </c>
    </row>
    <row r="65" spans="1:3">
      <c r="A65" s="2">
        <v>65</v>
      </c>
      <c r="B65">
        <f t="shared" ref="B65:B70" si="4">4.1058551241+(A65-1)*1.1417876716</f>
        <v>77.1802661065</v>
      </c>
      <c r="C65">
        <f t="shared" ref="C65:C70" si="5">0+1*B65-75.846578674157*(1.00625+(B65-36.06875)^2/230004.299521756)^0.5</f>
        <v>0.81973383507742881</v>
      </c>
    </row>
    <row r="66" spans="1:3">
      <c r="A66" s="2">
        <v>66</v>
      </c>
      <c r="B66">
        <f t="shared" si="4"/>
        <v>78.322053778099999</v>
      </c>
      <c r="C66">
        <f t="shared" si="5"/>
        <v>1.9459345640665759</v>
      </c>
    </row>
    <row r="67" spans="1:3">
      <c r="A67" s="2">
        <v>67</v>
      </c>
      <c r="B67">
        <f t="shared" si="4"/>
        <v>79.463841449699999</v>
      </c>
      <c r="C67">
        <f t="shared" si="5"/>
        <v>3.0717116390934791</v>
      </c>
    </row>
    <row r="68" spans="1:3">
      <c r="A68" s="2">
        <v>68</v>
      </c>
      <c r="B68">
        <f t="shared" si="4"/>
        <v>80.605629121299998</v>
      </c>
      <c r="C68">
        <f t="shared" si="5"/>
        <v>4.1970653264745863</v>
      </c>
    </row>
    <row r="69" spans="1:3">
      <c r="A69" s="2">
        <v>69</v>
      </c>
      <c r="B69">
        <f t="shared" si="4"/>
        <v>81.747416792899998</v>
      </c>
      <c r="C69">
        <f t="shared" si="5"/>
        <v>5.321995899336784</v>
      </c>
    </row>
    <row r="70" spans="1:3">
      <c r="A70" s="2">
        <v>70</v>
      </c>
      <c r="B70">
        <f t="shared" si="4"/>
        <v>82.889204464499997</v>
      </c>
      <c r="C70">
        <f t="shared" si="5"/>
        <v>6.446503637594958</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enableFormatConditionsCalculation="0"/>
  <dimension ref="A1:C70"/>
  <sheetViews>
    <sheetView workbookViewId="0"/>
  </sheetViews>
  <sheetFormatPr baseColWidth="10" defaultRowHeight="15.75"/>
  <sheetData>
    <row r="1" spans="1:3">
      <c r="A1" s="2">
        <v>1</v>
      </c>
      <c r="B1">
        <f t="shared" ref="B1:B32" si="0">0.0033520065+(A1-1)*0.0003969427</f>
        <v>3.3520065E-3</v>
      </c>
      <c r="C1">
        <f t="shared" ref="C1:C32" si="1">0+1*B1+0.0484438348908049*(1.00657894736842+(B1-0.0103467566886897)^2/0.0871102311450554)^0.5</f>
        <v>5.1968492986819291E-2</v>
      </c>
    </row>
    <row r="2" spans="1:3">
      <c r="A2" s="2">
        <v>2</v>
      </c>
      <c r="B2">
        <f t="shared" si="0"/>
        <v>3.7489491999999998E-3</v>
      </c>
      <c r="C2">
        <f t="shared" si="1"/>
        <v>5.2363940725413859E-2</v>
      </c>
    </row>
    <row r="3" spans="1:3">
      <c r="A3" s="2">
        <v>3</v>
      </c>
      <c r="B3">
        <f t="shared" si="0"/>
        <v>4.1458919000000004E-3</v>
      </c>
      <c r="C3">
        <f t="shared" si="1"/>
        <v>5.2759475736532974E-2</v>
      </c>
    </row>
    <row r="4" spans="1:3">
      <c r="A4" s="2">
        <v>4</v>
      </c>
      <c r="B4">
        <f t="shared" si="0"/>
        <v>4.5428346000000001E-3</v>
      </c>
      <c r="C4">
        <f t="shared" si="1"/>
        <v>5.315509802775821E-2</v>
      </c>
    </row>
    <row r="5" spans="1:3">
      <c r="A5" s="2">
        <v>5</v>
      </c>
      <c r="B5">
        <f t="shared" si="0"/>
        <v>4.9397772999999999E-3</v>
      </c>
      <c r="C5">
        <f t="shared" si="1"/>
        <v>5.3550807606201872E-2</v>
      </c>
    </row>
    <row r="6" spans="1:3">
      <c r="A6" s="2">
        <v>6</v>
      </c>
      <c r="B6">
        <f t="shared" si="0"/>
        <v>5.3367199999999997E-3</v>
      </c>
      <c r="C6">
        <f t="shared" si="1"/>
        <v>5.3946604478506771E-2</v>
      </c>
    </row>
    <row r="7" spans="1:3">
      <c r="A7" s="2">
        <v>7</v>
      </c>
      <c r="B7">
        <f t="shared" si="0"/>
        <v>5.7336626999999994E-3</v>
      </c>
      <c r="C7">
        <f t="shared" si="1"/>
        <v>5.4342488650846107E-2</v>
      </c>
    </row>
    <row r="8" spans="1:3">
      <c r="A8" s="2">
        <v>8</v>
      </c>
      <c r="B8">
        <f t="shared" si="0"/>
        <v>6.1306054E-3</v>
      </c>
      <c r="C8">
        <f t="shared" si="1"/>
        <v>5.4738460128923243E-2</v>
      </c>
    </row>
    <row r="9" spans="1:3">
      <c r="A9" s="2">
        <v>9</v>
      </c>
      <c r="B9">
        <f t="shared" si="0"/>
        <v>6.5275480999999998E-3</v>
      </c>
      <c r="C9">
        <f t="shared" si="1"/>
        <v>5.5134518917971588E-2</v>
      </c>
    </row>
    <row r="10" spans="1:3">
      <c r="A10" s="2">
        <v>10</v>
      </c>
      <c r="B10">
        <f t="shared" si="0"/>
        <v>6.9244907999999996E-3</v>
      </c>
      <c r="C10">
        <f t="shared" si="1"/>
        <v>5.553066502275443E-2</v>
      </c>
    </row>
    <row r="11" spans="1:3">
      <c r="A11" s="2">
        <v>11</v>
      </c>
      <c r="B11">
        <f t="shared" si="0"/>
        <v>7.3214334999999993E-3</v>
      </c>
      <c r="C11">
        <f t="shared" si="1"/>
        <v>5.5926898447564807E-2</v>
      </c>
    </row>
    <row r="12" spans="1:3">
      <c r="A12" s="2">
        <v>12</v>
      </c>
      <c r="B12">
        <f t="shared" si="0"/>
        <v>7.7183762E-3</v>
      </c>
      <c r="C12">
        <f t="shared" si="1"/>
        <v>5.6323219196225446E-2</v>
      </c>
    </row>
    <row r="13" spans="1:3">
      <c r="A13" s="2">
        <v>13</v>
      </c>
      <c r="B13">
        <f t="shared" si="0"/>
        <v>8.1153188999999997E-3</v>
      </c>
      <c r="C13">
        <f t="shared" si="1"/>
        <v>5.6719627272088582E-2</v>
      </c>
    </row>
    <row r="14" spans="1:3">
      <c r="A14" s="2">
        <v>14</v>
      </c>
      <c r="B14">
        <f t="shared" si="0"/>
        <v>8.5122615999999995E-3</v>
      </c>
      <c r="C14">
        <f t="shared" si="1"/>
        <v>5.711612267803591E-2</v>
      </c>
    </row>
    <row r="15" spans="1:3">
      <c r="A15" s="2">
        <v>15</v>
      </c>
      <c r="B15">
        <f t="shared" si="0"/>
        <v>8.909204300000001E-3</v>
      </c>
      <c r="C15">
        <f t="shared" si="1"/>
        <v>5.7512705416478502E-2</v>
      </c>
    </row>
    <row r="16" spans="1:3">
      <c r="A16" s="2">
        <v>16</v>
      </c>
      <c r="B16">
        <f t="shared" si="0"/>
        <v>9.3061470000000007E-3</v>
      </c>
      <c r="C16">
        <f t="shared" si="1"/>
        <v>5.7909375489356742E-2</v>
      </c>
    </row>
    <row r="17" spans="1:3">
      <c r="A17" s="2">
        <v>17</v>
      </c>
      <c r="B17">
        <f t="shared" si="0"/>
        <v>9.7030897000000005E-3</v>
      </c>
      <c r="C17">
        <f t="shared" si="1"/>
        <v>5.8306132898140288E-2</v>
      </c>
    </row>
    <row r="18" spans="1:3">
      <c r="A18" s="2">
        <v>18</v>
      </c>
      <c r="B18">
        <f t="shared" si="0"/>
        <v>1.01000324E-2</v>
      </c>
      <c r="C18">
        <f t="shared" si="1"/>
        <v>5.8702977643828001E-2</v>
      </c>
    </row>
    <row r="19" spans="1:3">
      <c r="A19" s="2">
        <v>19</v>
      </c>
      <c r="B19">
        <f t="shared" si="0"/>
        <v>1.04969751E-2</v>
      </c>
      <c r="C19">
        <f t="shared" si="1"/>
        <v>5.9099909726947925E-2</v>
      </c>
    </row>
    <row r="20" spans="1:3">
      <c r="A20" s="2">
        <v>20</v>
      </c>
      <c r="B20">
        <f t="shared" si="0"/>
        <v>1.08939178E-2</v>
      </c>
      <c r="C20">
        <f t="shared" si="1"/>
        <v>5.9496929147557304E-2</v>
      </c>
    </row>
    <row r="21" spans="1:3">
      <c r="A21" s="2">
        <v>21</v>
      </c>
      <c r="B21">
        <f t="shared" si="0"/>
        <v>1.12908605E-2</v>
      </c>
      <c r="C21">
        <f t="shared" si="1"/>
        <v>5.9894035905242553E-2</v>
      </c>
    </row>
    <row r="22" spans="1:3">
      <c r="A22" s="2">
        <v>22</v>
      </c>
      <c r="B22">
        <f t="shared" si="0"/>
        <v>1.1687803199999999E-2</v>
      </c>
      <c r="C22">
        <f t="shared" si="1"/>
        <v>6.0291229999119261E-2</v>
      </c>
    </row>
    <row r="23" spans="1:3">
      <c r="A23" s="2">
        <v>23</v>
      </c>
      <c r="B23">
        <f t="shared" si="0"/>
        <v>1.2084745899999999E-2</v>
      </c>
      <c r="C23">
        <f t="shared" si="1"/>
        <v>6.0688511427832235E-2</v>
      </c>
    </row>
    <row r="24" spans="1:3">
      <c r="A24" s="2">
        <v>24</v>
      </c>
      <c r="B24">
        <f t="shared" si="0"/>
        <v>1.2481688599999999E-2</v>
      </c>
      <c r="C24">
        <f t="shared" si="1"/>
        <v>6.1085880189555547E-2</v>
      </c>
    </row>
    <row r="25" spans="1:3">
      <c r="A25" s="2">
        <v>25</v>
      </c>
      <c r="B25">
        <f t="shared" si="0"/>
        <v>1.2878631299999999E-2</v>
      </c>
      <c r="C25">
        <f t="shared" si="1"/>
        <v>6.1483336281992547E-2</v>
      </c>
    </row>
    <row r="26" spans="1:3">
      <c r="A26" s="2">
        <v>26</v>
      </c>
      <c r="B26">
        <f t="shared" si="0"/>
        <v>1.3275573999999998E-2</v>
      </c>
      <c r="C26">
        <f t="shared" si="1"/>
        <v>6.1880879702375921E-2</v>
      </c>
    </row>
    <row r="27" spans="1:3">
      <c r="A27" s="2">
        <v>27</v>
      </c>
      <c r="B27">
        <f t="shared" si="0"/>
        <v>1.3672516699999998E-2</v>
      </c>
      <c r="C27">
        <f t="shared" si="1"/>
        <v>6.2278510447467871E-2</v>
      </c>
    </row>
    <row r="28" spans="1:3">
      <c r="A28" s="2">
        <v>28</v>
      </c>
      <c r="B28">
        <f t="shared" si="0"/>
        <v>1.4069459399999998E-2</v>
      </c>
      <c r="C28">
        <f t="shared" si="1"/>
        <v>6.2676228513560028E-2</v>
      </c>
    </row>
    <row r="29" spans="1:3">
      <c r="A29" s="2">
        <v>29</v>
      </c>
      <c r="B29">
        <f t="shared" si="0"/>
        <v>1.4466402100000001E-2</v>
      </c>
      <c r="C29">
        <f t="shared" si="1"/>
        <v>6.3074033896473689E-2</v>
      </c>
    </row>
    <row r="30" spans="1:3">
      <c r="A30" s="2">
        <v>30</v>
      </c>
      <c r="B30">
        <f t="shared" si="0"/>
        <v>1.4863344800000001E-2</v>
      </c>
      <c r="C30">
        <f t="shared" si="1"/>
        <v>6.3471926591559855E-2</v>
      </c>
    </row>
    <row r="31" spans="1:3">
      <c r="A31" s="2">
        <v>31</v>
      </c>
      <c r="B31">
        <f t="shared" si="0"/>
        <v>1.5260287500000001E-2</v>
      </c>
      <c r="C31">
        <f t="shared" si="1"/>
        <v>6.3869906593699455E-2</v>
      </c>
    </row>
    <row r="32" spans="1:3">
      <c r="A32" s="2">
        <v>32</v>
      </c>
      <c r="B32">
        <f t="shared" si="0"/>
        <v>1.56572302E-2</v>
      </c>
      <c r="C32">
        <f t="shared" si="1"/>
        <v>6.4267973897303335E-2</v>
      </c>
    </row>
    <row r="33" spans="1:3">
      <c r="A33" s="2">
        <v>33</v>
      </c>
      <c r="B33">
        <f t="shared" ref="B33:B64" si="2">0.0033520065+(A33-1)*0.0003969427</f>
        <v>1.60541729E-2</v>
      </c>
      <c r="C33">
        <f t="shared" ref="C33:C64" si="3">0+1*B33+0.0484438348908049*(1.00657894736842+(B33-0.0103467566886897)^2/0.0871102311450554)^0.5</f>
        <v>6.4666128496312522E-2</v>
      </c>
    </row>
    <row r="34" spans="1:3">
      <c r="A34" s="2">
        <v>34</v>
      </c>
      <c r="B34">
        <f t="shared" si="2"/>
        <v>1.64511156E-2</v>
      </c>
      <c r="C34">
        <f t="shared" si="3"/>
        <v>6.5064370384198364E-2</v>
      </c>
    </row>
    <row r="35" spans="1:3">
      <c r="A35" s="2">
        <v>35</v>
      </c>
      <c r="B35">
        <f t="shared" si="2"/>
        <v>1.68480583E-2</v>
      </c>
      <c r="C35">
        <f t="shared" si="3"/>
        <v>6.5462699553962667E-2</v>
      </c>
    </row>
    <row r="36" spans="1:3">
      <c r="A36" s="2">
        <v>36</v>
      </c>
      <c r="B36">
        <f t="shared" si="2"/>
        <v>1.7245000999999999E-2</v>
      </c>
      <c r="C36">
        <f t="shared" si="3"/>
        <v>6.5861115998137931E-2</v>
      </c>
    </row>
    <row r="37" spans="1:3">
      <c r="A37" s="2">
        <v>37</v>
      </c>
      <c r="B37">
        <f t="shared" si="2"/>
        <v>1.7641943699999999E-2</v>
      </c>
      <c r="C37">
        <f t="shared" si="3"/>
        <v>6.625961970878752E-2</v>
      </c>
    </row>
    <row r="38" spans="1:3">
      <c r="A38" s="2">
        <v>38</v>
      </c>
      <c r="B38">
        <f t="shared" si="2"/>
        <v>1.8038886399999999E-2</v>
      </c>
      <c r="C38">
        <f t="shared" si="3"/>
        <v>6.6658210677505922E-2</v>
      </c>
    </row>
    <row r="39" spans="1:3">
      <c r="A39" s="2">
        <v>39</v>
      </c>
      <c r="B39">
        <f t="shared" si="2"/>
        <v>1.8435829099999999E-2</v>
      </c>
      <c r="C39">
        <f t="shared" si="3"/>
        <v>6.7056888895418887E-2</v>
      </c>
    </row>
    <row r="40" spans="1:3">
      <c r="A40" s="2">
        <v>40</v>
      </c>
      <c r="B40">
        <f t="shared" si="2"/>
        <v>1.8832771799999998E-2</v>
      </c>
      <c r="C40">
        <f t="shared" si="3"/>
        <v>6.7455654353183736E-2</v>
      </c>
    </row>
    <row r="41" spans="1:3">
      <c r="A41" s="2">
        <v>41</v>
      </c>
      <c r="B41">
        <f t="shared" si="2"/>
        <v>1.9229714499999998E-2</v>
      </c>
      <c r="C41">
        <f t="shared" si="3"/>
        <v>6.7854507040989637E-2</v>
      </c>
    </row>
    <row r="42" spans="1:3">
      <c r="A42" s="2">
        <v>42</v>
      </c>
      <c r="B42">
        <f t="shared" si="2"/>
        <v>1.9626657200000001E-2</v>
      </c>
      <c r="C42">
        <f t="shared" si="3"/>
        <v>6.8253446948557756E-2</v>
      </c>
    </row>
    <row r="43" spans="1:3">
      <c r="A43" s="2">
        <v>43</v>
      </c>
      <c r="B43">
        <f t="shared" si="2"/>
        <v>2.0023599900000001E-2</v>
      </c>
      <c r="C43">
        <f t="shared" si="3"/>
        <v>6.8652474065141661E-2</v>
      </c>
    </row>
    <row r="44" spans="1:3">
      <c r="A44" s="2">
        <v>44</v>
      </c>
      <c r="B44">
        <f t="shared" si="2"/>
        <v>2.0420542600000001E-2</v>
      </c>
      <c r="C44">
        <f t="shared" si="3"/>
        <v>6.9051588379527518E-2</v>
      </c>
    </row>
    <row r="45" spans="1:3">
      <c r="A45" s="2">
        <v>45</v>
      </c>
      <c r="B45">
        <f t="shared" si="2"/>
        <v>2.0817485300000001E-2</v>
      </c>
      <c r="C45">
        <f t="shared" si="3"/>
        <v>6.9450789880034461E-2</v>
      </c>
    </row>
    <row r="46" spans="1:3">
      <c r="A46" s="2">
        <v>46</v>
      </c>
      <c r="B46">
        <f t="shared" si="2"/>
        <v>2.1214428E-2</v>
      </c>
      <c r="C46">
        <f t="shared" si="3"/>
        <v>6.9850078554514833E-2</v>
      </c>
    </row>
    <row r="47" spans="1:3">
      <c r="A47" s="2">
        <v>47</v>
      </c>
      <c r="B47">
        <f t="shared" si="2"/>
        <v>2.16113707E-2</v>
      </c>
      <c r="C47">
        <f t="shared" si="3"/>
        <v>7.0249454390354599E-2</v>
      </c>
    </row>
    <row r="48" spans="1:3">
      <c r="A48" s="2">
        <v>48</v>
      </c>
      <c r="B48">
        <f t="shared" si="2"/>
        <v>2.20083134E-2</v>
      </c>
      <c r="C48">
        <f t="shared" si="3"/>
        <v>7.0648917374473583E-2</v>
      </c>
    </row>
    <row r="49" spans="1:3">
      <c r="A49" s="2">
        <v>49</v>
      </c>
      <c r="B49">
        <f t="shared" si="2"/>
        <v>2.24052561E-2</v>
      </c>
      <c r="C49">
        <f t="shared" si="3"/>
        <v>7.1048467493325912E-2</v>
      </c>
    </row>
    <row r="50" spans="1:3">
      <c r="A50" s="2">
        <v>50</v>
      </c>
      <c r="B50">
        <f t="shared" si="2"/>
        <v>2.2802198799999999E-2</v>
      </c>
      <c r="C50">
        <f t="shared" si="3"/>
        <v>7.1448104732900336E-2</v>
      </c>
    </row>
    <row r="51" spans="1:3">
      <c r="A51" s="2">
        <v>51</v>
      </c>
      <c r="B51">
        <f t="shared" si="2"/>
        <v>2.3199141499999999E-2</v>
      </c>
      <c r="C51">
        <f t="shared" si="3"/>
        <v>7.1847829078720615E-2</v>
      </c>
    </row>
    <row r="52" spans="1:3">
      <c r="A52" s="2">
        <v>52</v>
      </c>
      <c r="B52">
        <f t="shared" si="2"/>
        <v>2.3596084199999999E-2</v>
      </c>
      <c r="C52">
        <f t="shared" si="3"/>
        <v>7.2247640515845868E-2</v>
      </c>
    </row>
    <row r="53" spans="1:3">
      <c r="A53" s="2">
        <v>53</v>
      </c>
      <c r="B53">
        <f t="shared" si="2"/>
        <v>2.3993026899999999E-2</v>
      </c>
      <c r="C53">
        <f t="shared" si="3"/>
        <v>7.2647539028871014E-2</v>
      </c>
    </row>
    <row r="54" spans="1:3">
      <c r="A54" s="2">
        <v>54</v>
      </c>
      <c r="B54">
        <f t="shared" si="2"/>
        <v>2.4389969599999999E-2</v>
      </c>
      <c r="C54">
        <f t="shared" si="3"/>
        <v>7.3047524601927205E-2</v>
      </c>
    </row>
    <row r="55" spans="1:3">
      <c r="A55" s="2">
        <v>55</v>
      </c>
      <c r="B55">
        <f t="shared" si="2"/>
        <v>2.4786912299999998E-2</v>
      </c>
      <c r="C55">
        <f t="shared" si="3"/>
        <v>7.3447597218682215E-2</v>
      </c>
    </row>
    <row r="56" spans="1:3">
      <c r="A56" s="2">
        <v>56</v>
      </c>
      <c r="B56">
        <f t="shared" si="2"/>
        <v>2.5183854999999998E-2</v>
      </c>
      <c r="C56">
        <f t="shared" si="3"/>
        <v>7.3847756862340838E-2</v>
      </c>
    </row>
    <row r="57" spans="1:3">
      <c r="A57" s="2">
        <v>57</v>
      </c>
      <c r="B57">
        <f t="shared" si="2"/>
        <v>2.5580797700000001E-2</v>
      </c>
      <c r="C57">
        <f t="shared" si="3"/>
        <v>7.424800351564545E-2</v>
      </c>
    </row>
    <row r="58" spans="1:3">
      <c r="A58" s="2">
        <v>58</v>
      </c>
      <c r="B58">
        <f t="shared" si="2"/>
        <v>2.5977740400000001E-2</v>
      </c>
      <c r="C58">
        <f t="shared" si="3"/>
        <v>7.4648337160876335E-2</v>
      </c>
    </row>
    <row r="59" spans="1:3">
      <c r="A59" s="2">
        <v>59</v>
      </c>
      <c r="B59">
        <f t="shared" si="2"/>
        <v>2.6374683100000001E-2</v>
      </c>
      <c r="C59">
        <f t="shared" si="3"/>
        <v>7.5048757779852301E-2</v>
      </c>
    </row>
    <row r="60" spans="1:3">
      <c r="A60" s="2">
        <v>60</v>
      </c>
      <c r="B60">
        <f t="shared" si="2"/>
        <v>2.6771625800000001E-2</v>
      </c>
      <c r="C60">
        <f t="shared" si="3"/>
        <v>7.5449265353931039E-2</v>
      </c>
    </row>
    <row r="61" spans="1:3">
      <c r="A61" s="2">
        <v>61</v>
      </c>
      <c r="B61">
        <f t="shared" si="2"/>
        <v>2.71685685E-2</v>
      </c>
      <c r="C61">
        <f t="shared" si="3"/>
        <v>7.5849859864009675E-2</v>
      </c>
    </row>
    <row r="62" spans="1:3">
      <c r="A62" s="2">
        <v>62</v>
      </c>
      <c r="B62">
        <f t="shared" si="2"/>
        <v>2.75655112E-2</v>
      </c>
      <c r="C62">
        <f t="shared" si="3"/>
        <v>7.6250541290525317E-2</v>
      </c>
    </row>
    <row r="63" spans="1:3">
      <c r="A63" s="2">
        <v>63</v>
      </c>
      <c r="B63">
        <f t="shared" si="2"/>
        <v>2.79624539E-2</v>
      </c>
      <c r="C63">
        <f t="shared" si="3"/>
        <v>7.6651309613455468E-2</v>
      </c>
    </row>
    <row r="64" spans="1:3">
      <c r="A64" s="2">
        <v>64</v>
      </c>
      <c r="B64">
        <f t="shared" si="2"/>
        <v>2.83593966E-2</v>
      </c>
      <c r="C64">
        <f t="shared" si="3"/>
        <v>7.7052164812318719E-2</v>
      </c>
    </row>
    <row r="65" spans="1:3">
      <c r="A65" s="2">
        <v>65</v>
      </c>
      <c r="B65">
        <f t="shared" ref="B65:B70" si="4">0.0033520065+(A65-1)*0.0003969427</f>
        <v>2.8756339299999999E-2</v>
      </c>
      <c r="C65">
        <f t="shared" ref="C65:C70" si="5">0+1*B65+0.0484438348908049*(1.00657894736842+(B65-0.0103467566886897)^2/0.0871102311450554)^0.5</f>
        <v>7.7453106866175125E-2</v>
      </c>
    </row>
    <row r="66" spans="1:3">
      <c r="A66" s="2">
        <v>66</v>
      </c>
      <c r="B66">
        <f t="shared" si="4"/>
        <v>2.9153281999999999E-2</v>
      </c>
      <c r="C66">
        <f t="shared" si="5"/>
        <v>7.7854135753626902E-2</v>
      </c>
    </row>
    <row r="67" spans="1:3">
      <c r="A67" s="2">
        <v>67</v>
      </c>
      <c r="B67">
        <f t="shared" si="4"/>
        <v>2.9550224699999999E-2</v>
      </c>
      <c r="C67">
        <f t="shared" si="5"/>
        <v>7.8255251452818891E-2</v>
      </c>
    </row>
    <row r="68" spans="1:3">
      <c r="A68" s="2">
        <v>68</v>
      </c>
      <c r="B68">
        <f t="shared" si="4"/>
        <v>2.9947167399999999E-2</v>
      </c>
      <c r="C68">
        <f t="shared" si="5"/>
        <v>7.8656453941439233E-2</v>
      </c>
    </row>
    <row r="69" spans="1:3">
      <c r="A69" s="2">
        <v>69</v>
      </c>
      <c r="B69">
        <f t="shared" si="4"/>
        <v>3.0344110099999998E-2</v>
      </c>
      <c r="C69">
        <f t="shared" si="5"/>
        <v>7.9057743196719862E-2</v>
      </c>
    </row>
    <row r="70" spans="1:3">
      <c r="A70" s="2">
        <v>70</v>
      </c>
      <c r="B70">
        <f t="shared" si="4"/>
        <v>3.0741052799999998E-2</v>
      </c>
      <c r="C70">
        <f t="shared" si="5"/>
        <v>7.9459119195437203E-2</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0" enableFormatConditionsCalculation="0">
    <tabColor rgb="FF007800"/>
  </sheetPr>
  <dimension ref="B1:M328"/>
  <sheetViews>
    <sheetView topLeftCell="A272" workbookViewId="0">
      <selection activeCell="C50" sqref="C50"/>
    </sheetView>
  </sheetViews>
  <sheetFormatPr baseColWidth="10" defaultRowHeight="15.75"/>
  <cols>
    <col min="1" max="1" width="5.875" customWidth="1"/>
  </cols>
  <sheetData>
    <row r="1" spans="2:9">
      <c r="B1" t="s">
        <v>838</v>
      </c>
    </row>
    <row r="2" spans="2:9">
      <c r="B2" t="s">
        <v>152</v>
      </c>
    </row>
    <row r="3" spans="2:9">
      <c r="B3" t="s">
        <v>439</v>
      </c>
    </row>
    <row r="4" spans="2:9">
      <c r="B4" t="s">
        <v>440</v>
      </c>
    </row>
    <row r="5" spans="2:9">
      <c r="B5" t="s">
        <v>153</v>
      </c>
    </row>
    <row r="6" spans="2:9">
      <c r="B6" t="s">
        <v>154</v>
      </c>
    </row>
    <row r="7" spans="2:9" ht="33.950000000000003" customHeight="1"/>
    <row r="8" spans="2:9" ht="21" customHeight="1"/>
    <row r="11" spans="2:9">
      <c r="B11" s="1" t="s">
        <v>155</v>
      </c>
    </row>
    <row r="12" spans="2:9" ht="16.5" thickBot="1"/>
    <row r="13" spans="2:9">
      <c r="B13" s="4" t="s">
        <v>156</v>
      </c>
      <c r="C13" s="5" t="s">
        <v>157</v>
      </c>
      <c r="D13" s="5" t="s">
        <v>158</v>
      </c>
      <c r="E13" s="5" t="s">
        <v>159</v>
      </c>
      <c r="F13" s="5" t="s">
        <v>160</v>
      </c>
      <c r="G13" s="5" t="s">
        <v>161</v>
      </c>
      <c r="H13" s="5" t="s">
        <v>162</v>
      </c>
      <c r="I13" s="5" t="s">
        <v>163</v>
      </c>
    </row>
    <row r="14" spans="2:9">
      <c r="B14" s="6" t="s">
        <v>270</v>
      </c>
      <c r="C14" s="8">
        <v>152</v>
      </c>
      <c r="D14" s="8">
        <v>0</v>
      </c>
      <c r="E14" s="8">
        <v>152</v>
      </c>
      <c r="F14" s="10">
        <v>0</v>
      </c>
      <c r="G14" s="10">
        <v>0.15369765826247869</v>
      </c>
      <c r="H14" s="10">
        <v>1.0346756688689691E-2</v>
      </c>
      <c r="I14" s="10">
        <v>2.4532793714436025E-2</v>
      </c>
    </row>
    <row r="15" spans="2:9">
      <c r="B15" s="3" t="s">
        <v>433</v>
      </c>
      <c r="C15" s="24">
        <v>152</v>
      </c>
      <c r="D15" s="24">
        <v>0</v>
      </c>
      <c r="E15" s="24">
        <v>152</v>
      </c>
      <c r="F15" s="22">
        <v>29</v>
      </c>
      <c r="G15" s="22">
        <v>79</v>
      </c>
      <c r="H15" s="22">
        <v>58.269736842105267</v>
      </c>
      <c r="I15" s="22">
        <v>19.200569250231567</v>
      </c>
    </row>
    <row r="16" spans="2:9">
      <c r="B16" s="3" t="s">
        <v>434</v>
      </c>
      <c r="C16" s="24">
        <v>152</v>
      </c>
      <c r="D16" s="24">
        <v>0</v>
      </c>
      <c r="E16" s="24">
        <v>152</v>
      </c>
      <c r="F16" s="22">
        <v>58</v>
      </c>
      <c r="G16" s="22">
        <v>80</v>
      </c>
      <c r="H16" s="22">
        <v>65.796052631578959</v>
      </c>
      <c r="I16" s="22">
        <v>5.3256082770318711</v>
      </c>
    </row>
    <row r="17" spans="2:9">
      <c r="B17" s="3" t="s">
        <v>435</v>
      </c>
      <c r="C17" s="24">
        <v>152</v>
      </c>
      <c r="D17" s="24">
        <v>0</v>
      </c>
      <c r="E17" s="24">
        <v>152</v>
      </c>
      <c r="F17" s="22">
        <v>25</v>
      </c>
      <c r="G17" s="22">
        <v>75</v>
      </c>
      <c r="H17" s="22">
        <v>55.065789473684227</v>
      </c>
      <c r="I17" s="22">
        <v>15.602543116123238</v>
      </c>
    </row>
    <row r="18" spans="2:9">
      <c r="B18" s="3" t="s">
        <v>436</v>
      </c>
      <c r="C18" s="24">
        <v>152</v>
      </c>
      <c r="D18" s="24">
        <v>0</v>
      </c>
      <c r="E18" s="24">
        <v>152</v>
      </c>
      <c r="F18" s="22">
        <v>27</v>
      </c>
      <c r="G18" s="22">
        <v>86</v>
      </c>
      <c r="H18" s="22">
        <v>58.80263157894737</v>
      </c>
      <c r="I18" s="22">
        <v>16.902149036011735</v>
      </c>
    </row>
    <row r="19" spans="2:9">
      <c r="B19" s="3" t="s">
        <v>437</v>
      </c>
      <c r="C19" s="24">
        <v>152</v>
      </c>
      <c r="D19" s="24">
        <v>0</v>
      </c>
      <c r="E19" s="24">
        <v>152</v>
      </c>
      <c r="F19" s="22">
        <v>17</v>
      </c>
      <c r="G19" s="22">
        <v>75</v>
      </c>
      <c r="H19" s="22">
        <v>38.5</v>
      </c>
      <c r="I19" s="22">
        <v>16.683258849152185</v>
      </c>
    </row>
    <row r="20" spans="2:9" ht="16.5" thickBot="1">
      <c r="B20" s="7" t="s">
        <v>438</v>
      </c>
      <c r="C20" s="9">
        <v>152</v>
      </c>
      <c r="D20" s="9">
        <v>0</v>
      </c>
      <c r="E20" s="9">
        <v>152</v>
      </c>
      <c r="F20" s="11">
        <v>17</v>
      </c>
      <c r="G20" s="11">
        <v>75</v>
      </c>
      <c r="H20" s="11">
        <v>37.605263157894733</v>
      </c>
      <c r="I20" s="11">
        <v>16.276240309290898</v>
      </c>
    </row>
    <row r="23" spans="2:9">
      <c r="B23" s="1" t="s">
        <v>164</v>
      </c>
    </row>
    <row r="24" spans="2:9" ht="16.5" thickBot="1"/>
    <row r="25" spans="2:9">
      <c r="B25" s="4"/>
      <c r="C25" s="5" t="s">
        <v>433</v>
      </c>
      <c r="D25" s="5" t="s">
        <v>434</v>
      </c>
      <c r="E25" s="5" t="s">
        <v>435</v>
      </c>
      <c r="F25" s="5" t="s">
        <v>436</v>
      </c>
      <c r="G25" s="5" t="s">
        <v>437</v>
      </c>
      <c r="H25" s="5" t="s">
        <v>438</v>
      </c>
      <c r="I25" s="12" t="s">
        <v>270</v>
      </c>
    </row>
    <row r="26" spans="2:9">
      <c r="B26" s="13" t="s">
        <v>433</v>
      </c>
      <c r="C26" s="17">
        <v>1</v>
      </c>
      <c r="D26" s="15">
        <v>0.25707534042065733</v>
      </c>
      <c r="E26" s="15">
        <v>0.53535187197587053</v>
      </c>
      <c r="F26" s="15">
        <v>0.68782098924294066</v>
      </c>
      <c r="G26" s="15">
        <v>0.65676666040861875</v>
      </c>
      <c r="H26" s="15">
        <v>0.62039648113467172</v>
      </c>
      <c r="I26" s="10">
        <v>6.6079005334463689E-2</v>
      </c>
    </row>
    <row r="27" spans="2:9">
      <c r="B27" s="3" t="s">
        <v>434</v>
      </c>
      <c r="C27" s="22">
        <v>0.25707534042065733</v>
      </c>
      <c r="D27" s="27">
        <v>1</v>
      </c>
      <c r="E27" s="22">
        <v>0.51956759081428738</v>
      </c>
      <c r="F27" s="22">
        <v>0.22563627111803974</v>
      </c>
      <c r="G27" s="22">
        <v>9.0078179494595914E-2</v>
      </c>
      <c r="H27" s="22">
        <v>0.29489023858604396</v>
      </c>
      <c r="I27" s="26">
        <v>0.16738576372484101</v>
      </c>
    </row>
    <row r="28" spans="2:9">
      <c r="B28" s="3" t="s">
        <v>435</v>
      </c>
      <c r="C28" s="22">
        <v>0.53535187197587053</v>
      </c>
      <c r="D28" s="22">
        <v>0.51956759081428738</v>
      </c>
      <c r="E28" s="27">
        <v>1</v>
      </c>
      <c r="F28" s="22">
        <v>0.7221273801683884</v>
      </c>
      <c r="G28" s="22">
        <v>0.53313161641559303</v>
      </c>
      <c r="H28" s="22">
        <v>0.58529229856548859</v>
      </c>
      <c r="I28" s="26">
        <v>0.12938375744900002</v>
      </c>
    </row>
    <row r="29" spans="2:9">
      <c r="B29" s="3" t="s">
        <v>436</v>
      </c>
      <c r="C29" s="22">
        <v>0.68782098924294066</v>
      </c>
      <c r="D29" s="22">
        <v>0.22563627111803974</v>
      </c>
      <c r="E29" s="22">
        <v>0.7221273801683884</v>
      </c>
      <c r="F29" s="27">
        <v>1</v>
      </c>
      <c r="G29" s="22">
        <v>0.74660477926759972</v>
      </c>
      <c r="H29" s="22">
        <v>0.80319355875758824</v>
      </c>
      <c r="I29" s="26">
        <v>3.3300573910937901E-2</v>
      </c>
    </row>
    <row r="30" spans="2:9">
      <c r="B30" s="3" t="s">
        <v>437</v>
      </c>
      <c r="C30" s="22">
        <v>0.65676666040861875</v>
      </c>
      <c r="D30" s="22">
        <v>9.0078179494595914E-2</v>
      </c>
      <c r="E30" s="22">
        <v>0.53313161641559303</v>
      </c>
      <c r="F30" s="22">
        <v>0.74660477926759972</v>
      </c>
      <c r="G30" s="27">
        <v>1</v>
      </c>
      <c r="H30" s="22">
        <v>0.92279400877609685</v>
      </c>
      <c r="I30" s="26">
        <v>-6.3693306337031796E-3</v>
      </c>
    </row>
    <row r="31" spans="2:9">
      <c r="B31" s="3" t="s">
        <v>438</v>
      </c>
      <c r="C31" s="22">
        <v>0.62039648113467172</v>
      </c>
      <c r="D31" s="22">
        <v>0.29489023858604396</v>
      </c>
      <c r="E31" s="22">
        <v>0.58529229856548859</v>
      </c>
      <c r="F31" s="22">
        <v>0.80319355875758824</v>
      </c>
      <c r="G31" s="22">
        <v>0.92279400877609685</v>
      </c>
      <c r="H31" s="27">
        <v>1</v>
      </c>
      <c r="I31" s="26">
        <v>3.3143824344792731E-3</v>
      </c>
    </row>
    <row r="32" spans="2:9" ht="16.5" thickBot="1">
      <c r="B32" s="14" t="s">
        <v>270</v>
      </c>
      <c r="C32" s="16">
        <v>6.6079005334463689E-2</v>
      </c>
      <c r="D32" s="16">
        <v>0.16738576372484101</v>
      </c>
      <c r="E32" s="16">
        <v>0.12938375744900002</v>
      </c>
      <c r="F32" s="16">
        <v>3.3300573910937901E-2</v>
      </c>
      <c r="G32" s="16">
        <v>-6.3693306337031796E-3</v>
      </c>
      <c r="H32" s="16">
        <v>3.3143824344792731E-3</v>
      </c>
      <c r="I32" s="18">
        <v>1</v>
      </c>
    </row>
    <row r="35" spans="2:8">
      <c r="B35" s="1" t="s">
        <v>204</v>
      </c>
    </row>
    <row r="36" spans="2:8" ht="16.5" thickBot="1"/>
    <row r="37" spans="2:8">
      <c r="B37" s="4"/>
      <c r="C37" s="5" t="s">
        <v>433</v>
      </c>
      <c r="D37" s="5" t="s">
        <v>434</v>
      </c>
      <c r="E37" s="5" t="s">
        <v>435</v>
      </c>
      <c r="F37" s="5" t="s">
        <v>436</v>
      </c>
      <c r="G37" s="5" t="s">
        <v>437</v>
      </c>
      <c r="H37" s="5" t="s">
        <v>438</v>
      </c>
    </row>
    <row r="38" spans="2:8">
      <c r="B38" s="13" t="s">
        <v>205</v>
      </c>
      <c r="C38" s="15">
        <v>0.41564417067622883</v>
      </c>
      <c r="D38" s="15">
        <v>0.39782994412153072</v>
      </c>
      <c r="E38" s="15">
        <v>0.30350972295622031</v>
      </c>
      <c r="F38" s="15">
        <v>0.18316515236953806</v>
      </c>
      <c r="G38" s="15">
        <v>8.3322757760173782E-2</v>
      </c>
      <c r="H38" s="15">
        <v>7.0762302337320726E-2</v>
      </c>
    </row>
    <row r="39" spans="2:8" ht="16.5" thickBot="1">
      <c r="B39" s="7" t="s">
        <v>206</v>
      </c>
      <c r="C39" s="11">
        <v>2.4059040654246595</v>
      </c>
      <c r="D39" s="11">
        <v>2.5136368309533683</v>
      </c>
      <c r="E39" s="11">
        <v>3.2947873638441716</v>
      </c>
      <c r="F39" s="11">
        <v>5.4595537800906966</v>
      </c>
      <c r="G39" s="11">
        <v>12.001523075823773</v>
      </c>
      <c r="H39" s="11">
        <v>14.131818312426365</v>
      </c>
    </row>
    <row r="42" spans="2:8">
      <c r="B42" s="19" t="s">
        <v>271</v>
      </c>
    </row>
    <row r="44" spans="2:8">
      <c r="B44" s="1" t="s">
        <v>272</v>
      </c>
    </row>
    <row r="45" spans="2:8" ht="16.5" thickBot="1"/>
    <row r="46" spans="2:8">
      <c r="B46" s="20" t="s">
        <v>157</v>
      </c>
      <c r="C46" s="21">
        <v>152</v>
      </c>
    </row>
    <row r="47" spans="2:8">
      <c r="B47" s="3" t="s">
        <v>165</v>
      </c>
      <c r="C47" s="22">
        <v>152</v>
      </c>
    </row>
    <row r="48" spans="2:8">
      <c r="B48" s="3" t="s">
        <v>166</v>
      </c>
      <c r="C48" s="22">
        <v>145</v>
      </c>
    </row>
    <row r="49" spans="2:7">
      <c r="B49" s="3" t="s">
        <v>167</v>
      </c>
      <c r="C49" s="22">
        <v>4.1486564614210075E-2</v>
      </c>
    </row>
    <row r="50" spans="2:7">
      <c r="B50" s="3" t="s">
        <v>168</v>
      </c>
      <c r="C50" s="22" t="s">
        <v>193</v>
      </c>
    </row>
    <row r="51" spans="2:7">
      <c r="B51" s="3" t="s">
        <v>169</v>
      </c>
      <c r="C51" s="22">
        <v>6.0076021479348572E-4</v>
      </c>
    </row>
    <row r="52" spans="2:7">
      <c r="B52" s="3" t="s">
        <v>170</v>
      </c>
      <c r="C52" s="22">
        <v>2.451041033506958E-2</v>
      </c>
    </row>
    <row r="53" spans="2:7">
      <c r="B53" s="3" t="s">
        <v>171</v>
      </c>
      <c r="C53" s="22">
        <v>15620.292209479054</v>
      </c>
    </row>
    <row r="54" spans="2:7">
      <c r="B54" s="3" t="s">
        <v>172</v>
      </c>
      <c r="C54" s="22">
        <v>1.5568701984495734</v>
      </c>
    </row>
    <row r="55" spans="2:7">
      <c r="B55" s="3" t="s">
        <v>173</v>
      </c>
      <c r="C55" s="22">
        <v>7</v>
      </c>
    </row>
    <row r="56" spans="2:7">
      <c r="B56" s="3" t="s">
        <v>174</v>
      </c>
      <c r="C56" s="22">
        <v>-1120.5981416944924</v>
      </c>
    </row>
    <row r="57" spans="2:7">
      <c r="B57" s="3" t="s">
        <v>175</v>
      </c>
      <c r="C57" s="22">
        <v>-1099.4309780485685</v>
      </c>
    </row>
    <row r="58" spans="2:7" ht="16.5" thickBot="1">
      <c r="B58" s="7" t="s">
        <v>176</v>
      </c>
      <c r="C58" s="11">
        <v>1.0510595601816595</v>
      </c>
    </row>
    <row r="61" spans="2:7">
      <c r="B61" s="1" t="s">
        <v>273</v>
      </c>
    </row>
    <row r="62" spans="2:7" ht="16.5" thickBot="1"/>
    <row r="63" spans="2:7">
      <c r="B63" s="4" t="s">
        <v>177</v>
      </c>
      <c r="C63" s="5" t="s">
        <v>166</v>
      </c>
      <c r="D63" s="5" t="s">
        <v>178</v>
      </c>
      <c r="E63" s="5" t="s">
        <v>179</v>
      </c>
      <c r="F63" s="5" t="s">
        <v>180</v>
      </c>
      <c r="G63" s="5" t="s">
        <v>181</v>
      </c>
    </row>
    <row r="64" spans="2:7">
      <c r="B64" s="13" t="s">
        <v>182</v>
      </c>
      <c r="C64" s="23">
        <v>6</v>
      </c>
      <c r="D64" s="15">
        <v>3.7703219376404029E-3</v>
      </c>
      <c r="E64" s="15">
        <v>6.2838698960673378E-4</v>
      </c>
      <c r="F64" s="15">
        <v>1.0459863588382678</v>
      </c>
      <c r="G64" s="15">
        <v>0.39814493268850354</v>
      </c>
    </row>
    <row r="65" spans="2:7">
      <c r="B65" s="3" t="s">
        <v>183</v>
      </c>
      <c r="C65" s="24">
        <v>145</v>
      </c>
      <c r="D65" s="22">
        <v>8.7110231145055436E-2</v>
      </c>
      <c r="E65" s="22">
        <v>6.0076021479348572E-4</v>
      </c>
      <c r="F65" s="22"/>
      <c r="G65" s="22"/>
    </row>
    <row r="66" spans="2:7" ht="16.5" thickBot="1">
      <c r="B66" s="7" t="s">
        <v>184</v>
      </c>
      <c r="C66" s="9">
        <v>151</v>
      </c>
      <c r="D66" s="11">
        <v>9.0880553082695839E-2</v>
      </c>
      <c r="E66" s="11"/>
      <c r="F66" s="11"/>
      <c r="G66" s="11"/>
    </row>
    <row r="67" spans="2:7">
      <c r="B67" s="25" t="s">
        <v>185</v>
      </c>
    </row>
    <row r="70" spans="2:7">
      <c r="B70" s="1" t="s">
        <v>274</v>
      </c>
    </row>
    <row r="71" spans="2:7" ht="16.5" thickBot="1"/>
    <row r="72" spans="2:7">
      <c r="B72" s="4" t="s">
        <v>177</v>
      </c>
      <c r="C72" s="5" t="s">
        <v>166</v>
      </c>
      <c r="D72" s="5" t="s">
        <v>178</v>
      </c>
      <c r="E72" s="5" t="s">
        <v>179</v>
      </c>
      <c r="F72" s="5" t="s">
        <v>180</v>
      </c>
      <c r="G72" s="5" t="s">
        <v>181</v>
      </c>
    </row>
    <row r="73" spans="2:7">
      <c r="B73" s="13" t="s">
        <v>433</v>
      </c>
      <c r="C73" s="23">
        <v>1</v>
      </c>
      <c r="D73" s="15">
        <v>3.9682402289137938E-4</v>
      </c>
      <c r="E73" s="15">
        <v>3.9682402289137938E-4</v>
      </c>
      <c r="F73" s="15">
        <v>0.66053645551043949</v>
      </c>
      <c r="G73" s="15">
        <v>0.41770301908190133</v>
      </c>
    </row>
    <row r="74" spans="2:7">
      <c r="B74" s="3" t="s">
        <v>434</v>
      </c>
      <c r="C74" s="24">
        <v>1</v>
      </c>
      <c r="D74" s="22">
        <v>2.2011608507399799E-3</v>
      </c>
      <c r="E74" s="22">
        <v>2.2011608507399799E-3</v>
      </c>
      <c r="F74" s="22">
        <v>3.6639590913932936</v>
      </c>
      <c r="G74" s="22">
        <v>5.7571334583604493E-2</v>
      </c>
    </row>
    <row r="75" spans="2:7">
      <c r="B75" s="3" t="s">
        <v>435</v>
      </c>
      <c r="C75" s="24">
        <v>1</v>
      </c>
      <c r="D75" s="22">
        <v>1.7227607707141334E-4</v>
      </c>
      <c r="E75" s="22">
        <v>1.7227607707141334E-4</v>
      </c>
      <c r="F75" s="22">
        <v>0.2867634587464053</v>
      </c>
      <c r="G75" s="22">
        <v>0.59312247769079018</v>
      </c>
    </row>
    <row r="76" spans="2:7">
      <c r="B76" s="3" t="s">
        <v>436</v>
      </c>
      <c r="C76" s="24">
        <v>1</v>
      </c>
      <c r="D76" s="22">
        <v>4.371041455980126E-4</v>
      </c>
      <c r="E76" s="22">
        <v>4.371041455980126E-4</v>
      </c>
      <c r="F76" s="22">
        <v>0.72758504114369371</v>
      </c>
      <c r="G76" s="22">
        <v>0.3950738997311285</v>
      </c>
    </row>
    <row r="77" spans="2:7">
      <c r="B77" s="3" t="s">
        <v>437</v>
      </c>
      <c r="C77" s="24">
        <v>1</v>
      </c>
      <c r="D77" s="22">
        <v>1.9246866361862739E-4</v>
      </c>
      <c r="E77" s="22">
        <v>1.9246866361862739E-4</v>
      </c>
      <c r="F77" s="22">
        <v>0.32037518277535976</v>
      </c>
      <c r="G77" s="22">
        <v>0.57225719246816242</v>
      </c>
    </row>
    <row r="78" spans="2:7" ht="16.5" thickBot="1">
      <c r="B78" s="7" t="s">
        <v>438</v>
      </c>
      <c r="C78" s="9">
        <v>1</v>
      </c>
      <c r="D78" s="11">
        <v>3.7048817772100413E-4</v>
      </c>
      <c r="E78" s="11">
        <v>3.7048817772100413E-4</v>
      </c>
      <c r="F78" s="11">
        <v>0.61669892346043798</v>
      </c>
      <c r="G78" s="11">
        <v>0.43355790759299573</v>
      </c>
    </row>
    <row r="81" spans="2:8">
      <c r="B81" s="1" t="s">
        <v>275</v>
      </c>
    </row>
    <row r="82" spans="2:8" ht="16.5" thickBot="1"/>
    <row r="83" spans="2:8">
      <c r="B83" s="4" t="s">
        <v>177</v>
      </c>
      <c r="C83" s="5" t="s">
        <v>166</v>
      </c>
      <c r="D83" s="5" t="s">
        <v>178</v>
      </c>
      <c r="E83" s="5" t="s">
        <v>179</v>
      </c>
      <c r="F83" s="5" t="s">
        <v>180</v>
      </c>
      <c r="G83" s="5" t="s">
        <v>181</v>
      </c>
    </row>
    <row r="84" spans="2:8">
      <c r="B84" s="13" t="s">
        <v>433</v>
      </c>
      <c r="C84" s="23">
        <v>1</v>
      </c>
      <c r="D84" s="15">
        <v>6.1309157630583776E-5</v>
      </c>
      <c r="E84" s="15">
        <v>6.1309157630583776E-5</v>
      </c>
      <c r="F84" s="15">
        <v>0.10205262619073252</v>
      </c>
      <c r="G84" s="15">
        <v>0.74983995770833789</v>
      </c>
    </row>
    <row r="85" spans="2:8">
      <c r="B85" s="3" t="s">
        <v>434</v>
      </c>
      <c r="C85" s="24">
        <v>1</v>
      </c>
      <c r="D85" s="22">
        <v>1.0029978323989304E-3</v>
      </c>
      <c r="E85" s="22">
        <v>1.0029978323989304E-3</v>
      </c>
      <c r="F85" s="22">
        <v>1.6695476959034576</v>
      </c>
      <c r="G85" s="22">
        <v>0.19837463947239611</v>
      </c>
    </row>
    <row r="86" spans="2:8">
      <c r="B86" s="3" t="s">
        <v>435</v>
      </c>
      <c r="C86" s="24">
        <v>1</v>
      </c>
      <c r="D86" s="22">
        <v>2.591548590056671E-4</v>
      </c>
      <c r="E86" s="22">
        <v>2.591548590056671E-4</v>
      </c>
      <c r="F86" s="22">
        <v>0.4313781981963517</v>
      </c>
      <c r="G86" s="22">
        <v>0.51235452722623687</v>
      </c>
    </row>
    <row r="87" spans="2:8">
      <c r="B87" s="3" t="s">
        <v>436</v>
      </c>
      <c r="C87" s="24">
        <v>1</v>
      </c>
      <c r="D87" s="22">
        <v>6.4630954529215634E-9</v>
      </c>
      <c r="E87" s="22">
        <v>6.4630954529215634E-9</v>
      </c>
      <c r="F87" s="22">
        <v>1.0758194856733787E-5</v>
      </c>
      <c r="G87" s="22">
        <v>0.9973874765166284</v>
      </c>
    </row>
    <row r="88" spans="2:8">
      <c r="B88" s="3" t="s">
        <v>437</v>
      </c>
      <c r="C88" s="24">
        <v>1</v>
      </c>
      <c r="D88" s="22">
        <v>1.135365452396204E-4</v>
      </c>
      <c r="E88" s="22">
        <v>1.135365452396204E-4</v>
      </c>
      <c r="F88" s="22">
        <v>0.18898812278813959</v>
      </c>
      <c r="G88" s="22">
        <v>0.66440642172109354</v>
      </c>
    </row>
    <row r="89" spans="2:8" ht="16.5" thickBot="1">
      <c r="B89" s="7" t="s">
        <v>438</v>
      </c>
      <c r="C89" s="9">
        <v>1</v>
      </c>
      <c r="D89" s="11">
        <v>3.7048817772100413E-4</v>
      </c>
      <c r="E89" s="11">
        <v>3.7048817772100413E-4</v>
      </c>
      <c r="F89" s="11">
        <v>0.61669892346043798</v>
      </c>
      <c r="G89" s="11">
        <v>0.43355790759299573</v>
      </c>
    </row>
    <row r="92" spans="2:8">
      <c r="B92" s="1" t="s">
        <v>276</v>
      </c>
    </row>
    <row r="93" spans="2:8" ht="16.5" thickBot="1"/>
    <row r="94" spans="2:8">
      <c r="B94" s="4" t="s">
        <v>177</v>
      </c>
      <c r="C94" s="5" t="s">
        <v>186</v>
      </c>
      <c r="D94" s="5" t="s">
        <v>187</v>
      </c>
      <c r="E94" s="5" t="s">
        <v>188</v>
      </c>
      <c r="F94" s="5" t="s">
        <v>189</v>
      </c>
      <c r="G94" s="5" t="s">
        <v>190</v>
      </c>
      <c r="H94" s="5" t="s">
        <v>191</v>
      </c>
    </row>
    <row r="95" spans="2:8">
      <c r="B95" s="13" t="s">
        <v>192</v>
      </c>
      <c r="C95" s="15">
        <v>-4.4802310950222045E-2</v>
      </c>
      <c r="D95" s="15">
        <v>3.5707293210561791E-2</v>
      </c>
      <c r="E95" s="15">
        <v>-1.2547103664796988</v>
      </c>
      <c r="F95" s="15">
        <v>0.21160255645009732</v>
      </c>
      <c r="G95" s="15">
        <v>-0.11537633207197426</v>
      </c>
      <c r="H95" s="15">
        <v>2.5771710171530175E-2</v>
      </c>
    </row>
    <row r="96" spans="2:8">
      <c r="B96" s="3" t="s">
        <v>433</v>
      </c>
      <c r="C96" s="22">
        <v>5.1475343007476119E-5</v>
      </c>
      <c r="D96" s="22">
        <v>1.6113398829600381E-4</v>
      </c>
      <c r="E96" s="22">
        <v>0.3194567673265537</v>
      </c>
      <c r="F96" s="22">
        <v>0.74983995770833789</v>
      </c>
      <c r="G96" s="22">
        <v>-2.6699946902534078E-4</v>
      </c>
      <c r="H96" s="22">
        <v>3.6995015504029307E-4</v>
      </c>
    </row>
    <row r="97" spans="2:8">
      <c r="B97" s="3" t="s">
        <v>434</v>
      </c>
      <c r="C97" s="22">
        <v>7.6726178929876284E-4</v>
      </c>
      <c r="D97" s="22">
        <v>5.938054168006877E-4</v>
      </c>
      <c r="E97" s="22">
        <v>1.2921097847719638</v>
      </c>
      <c r="F97" s="22">
        <v>0.1983746394723962</v>
      </c>
      <c r="G97" s="22">
        <v>-4.0637060508018027E-4</v>
      </c>
      <c r="H97" s="22">
        <v>1.9408941836777059E-3</v>
      </c>
    </row>
    <row r="98" spans="2:8">
      <c r="B98" s="3" t="s">
        <v>435</v>
      </c>
      <c r="C98" s="22">
        <v>1.5240861231507577E-4</v>
      </c>
      <c r="D98" s="22">
        <v>2.3204938020430821E-4</v>
      </c>
      <c r="E98" s="22">
        <v>0.65679387801375455</v>
      </c>
      <c r="F98" s="22">
        <v>0.51235452722623687</v>
      </c>
      <c r="G98" s="22">
        <v>-3.0622760419277031E-4</v>
      </c>
      <c r="H98" s="22">
        <v>6.1104482882292179E-4</v>
      </c>
    </row>
    <row r="99" spans="2:8">
      <c r="B99" s="3" t="s">
        <v>436</v>
      </c>
      <c r="C99" s="22">
        <v>-9.0441646146783363E-7</v>
      </c>
      <c r="D99" s="22">
        <v>2.7573935521272604E-4</v>
      </c>
      <c r="E99" s="22">
        <v>-3.2799687254294872E-3</v>
      </c>
      <c r="F99" s="22">
        <v>0.99738747652053772</v>
      </c>
      <c r="G99" s="22">
        <v>-5.4589210186589438E-4</v>
      </c>
      <c r="H99" s="22">
        <v>5.4408326894295862E-4</v>
      </c>
    </row>
    <row r="100" spans="2:8">
      <c r="B100" s="3" t="s">
        <v>437</v>
      </c>
      <c r="C100" s="22">
        <v>1.8005975629793348E-4</v>
      </c>
      <c r="D100" s="22">
        <v>4.1418980269248716E-4</v>
      </c>
      <c r="E100" s="22">
        <v>0.43472764207963327</v>
      </c>
      <c r="F100" s="22">
        <v>0.66440642172112052</v>
      </c>
      <c r="G100" s="22">
        <v>-6.385696399786731E-4</v>
      </c>
      <c r="H100" s="22">
        <v>9.9868915257454011E-4</v>
      </c>
    </row>
    <row r="101" spans="2:8" ht="16.5" thickBot="1">
      <c r="B101" s="7" t="s">
        <v>438</v>
      </c>
      <c r="C101" s="11">
        <v>-3.6177923220427762E-4</v>
      </c>
      <c r="D101" s="11">
        <v>4.6068814605254506E-4</v>
      </c>
      <c r="E101" s="11">
        <v>-0.78530180406034122</v>
      </c>
      <c r="F101" s="11">
        <v>0.43355790759299584</v>
      </c>
      <c r="G101" s="11">
        <v>-1.2723107238614595E-3</v>
      </c>
      <c r="H101" s="11">
        <v>5.4875225945290416E-4</v>
      </c>
    </row>
    <row r="104" spans="2:8">
      <c r="B104" s="1" t="s">
        <v>277</v>
      </c>
    </row>
    <row r="106" spans="2:8">
      <c r="B106" s="1" t="s">
        <v>837</v>
      </c>
    </row>
    <row r="109" spans="2:8">
      <c r="B109" s="1" t="s">
        <v>278</v>
      </c>
    </row>
    <row r="110" spans="2:8" ht="16.5" thickBot="1"/>
    <row r="111" spans="2:8">
      <c r="B111" s="4" t="s">
        <v>177</v>
      </c>
      <c r="C111" s="5" t="s">
        <v>186</v>
      </c>
      <c r="D111" s="5" t="s">
        <v>187</v>
      </c>
      <c r="E111" s="5" t="s">
        <v>188</v>
      </c>
      <c r="F111" s="5" t="s">
        <v>189</v>
      </c>
      <c r="G111" s="5" t="s">
        <v>190</v>
      </c>
      <c r="H111" s="5" t="s">
        <v>191</v>
      </c>
    </row>
    <row r="112" spans="2:8">
      <c r="B112" s="13" t="s">
        <v>433</v>
      </c>
      <c r="C112" s="15">
        <v>4.0287131567607909E-2</v>
      </c>
      <c r="D112" s="15">
        <v>0.12611137308112111</v>
      </c>
      <c r="E112" s="15">
        <v>0.31945676732655365</v>
      </c>
      <c r="F112" s="15">
        <v>0.74983995770833789</v>
      </c>
      <c r="G112" s="15">
        <v>-0.2089668977153411</v>
      </c>
      <c r="H112" s="15">
        <v>0.28954116085055692</v>
      </c>
    </row>
    <row r="113" spans="2:8">
      <c r="B113" s="3" t="s">
        <v>434</v>
      </c>
      <c r="C113" s="22">
        <v>0.16655810925175382</v>
      </c>
      <c r="D113" s="22">
        <v>0.12890399191671517</v>
      </c>
      <c r="E113" s="22">
        <v>1.292109784771964</v>
      </c>
      <c r="F113" s="22">
        <v>0.1983746394723962</v>
      </c>
      <c r="G113" s="22">
        <v>-8.8215418233593884E-2</v>
      </c>
      <c r="H113" s="22">
        <v>0.4213316367371015</v>
      </c>
    </row>
    <row r="114" spans="2:8">
      <c r="B114" s="3" t="s">
        <v>435</v>
      </c>
      <c r="C114" s="22">
        <v>9.6929928674009846E-2</v>
      </c>
      <c r="D114" s="22">
        <v>0.14758043873237797</v>
      </c>
      <c r="E114" s="22">
        <v>0.65679387801375466</v>
      </c>
      <c r="F114" s="22">
        <v>0.51235452722623687</v>
      </c>
      <c r="G114" s="22">
        <v>-0.19475684071615962</v>
      </c>
      <c r="H114" s="22">
        <v>0.38861669806417931</v>
      </c>
    </row>
    <row r="115" spans="2:8">
      <c r="B115" s="3" t="s">
        <v>436</v>
      </c>
      <c r="C115" s="22">
        <v>-6.2310807323001638E-4</v>
      </c>
      <c r="D115" s="22">
        <v>0.18997378493248443</v>
      </c>
      <c r="E115" s="22">
        <v>-3.2799687254294867E-3</v>
      </c>
      <c r="F115" s="22">
        <v>0.99738747652053772</v>
      </c>
      <c r="G115" s="22">
        <v>-0.37609861195260769</v>
      </c>
      <c r="H115" s="22">
        <v>0.37485239580614765</v>
      </c>
    </row>
    <row r="116" spans="2:8">
      <c r="B116" s="3" t="s">
        <v>437</v>
      </c>
      <c r="C116" s="22">
        <v>0.12244767381979929</v>
      </c>
      <c r="D116" s="22">
        <v>0.28166525881363069</v>
      </c>
      <c r="E116" s="22">
        <v>0.43472764207963321</v>
      </c>
      <c r="F116" s="22">
        <v>0.66440642172112052</v>
      </c>
      <c r="G116" s="22">
        <v>-0.43425232042387607</v>
      </c>
      <c r="H116" s="22">
        <v>0.6791476680634746</v>
      </c>
    </row>
    <row r="117" spans="2:8" ht="16.5" thickBot="1">
      <c r="B117" s="7" t="s">
        <v>438</v>
      </c>
      <c r="C117" s="11">
        <v>-0.24002181695281669</v>
      </c>
      <c r="D117" s="11">
        <v>0.30564276780188554</v>
      </c>
      <c r="E117" s="11">
        <v>-0.78530180406034122</v>
      </c>
      <c r="F117" s="11">
        <v>0.43355790759299584</v>
      </c>
      <c r="G117" s="11">
        <v>-0.844112388124445</v>
      </c>
      <c r="H117" s="11">
        <v>0.36406875421881169</v>
      </c>
    </row>
    <row r="135" spans="2:13">
      <c r="F135" t="s">
        <v>193</v>
      </c>
    </row>
    <row r="138" spans="2:13">
      <c r="B138" s="1" t="s">
        <v>279</v>
      </c>
    </row>
    <row r="139" spans="2:13" ht="16.5" thickBot="1"/>
    <row r="140" spans="2:13">
      <c r="B140" s="4" t="s">
        <v>194</v>
      </c>
      <c r="C140" s="5" t="s">
        <v>195</v>
      </c>
      <c r="D140" s="5" t="s">
        <v>270</v>
      </c>
      <c r="E140" s="5" t="s">
        <v>280</v>
      </c>
      <c r="F140" s="5" t="s">
        <v>196</v>
      </c>
      <c r="G140" s="5" t="s">
        <v>197</v>
      </c>
      <c r="H140" s="5" t="s">
        <v>198</v>
      </c>
      <c r="I140" s="5" t="s">
        <v>199</v>
      </c>
      <c r="J140" s="5" t="s">
        <v>200</v>
      </c>
      <c r="K140" s="5" t="s">
        <v>201</v>
      </c>
      <c r="L140" s="5" t="s">
        <v>202</v>
      </c>
      <c r="M140" s="5" t="s">
        <v>203</v>
      </c>
    </row>
    <row r="141" spans="2:13">
      <c r="B141" s="13" t="s">
        <v>281</v>
      </c>
      <c r="C141" s="23">
        <v>1</v>
      </c>
      <c r="D141" s="15">
        <v>1.5537521628958431E-2</v>
      </c>
      <c r="E141" s="15">
        <v>1.9483969628467615E-2</v>
      </c>
      <c r="F141" s="15">
        <v>-3.9464479995091842E-3</v>
      </c>
      <c r="G141" s="15">
        <v>-0.16101109469646835</v>
      </c>
      <c r="H141" s="15">
        <v>5.9547516828161E-3</v>
      </c>
      <c r="I141" s="15">
        <v>7.7146437218612914E-3</v>
      </c>
      <c r="J141" s="15">
        <v>3.1253295535073937E-2</v>
      </c>
      <c r="K141" s="15">
        <v>2.5223387607486169E-2</v>
      </c>
      <c r="L141" s="15">
        <v>-3.0369036010344991E-2</v>
      </c>
      <c r="M141" s="15">
        <v>6.9336975267280221E-2</v>
      </c>
    </row>
    <row r="142" spans="2:13">
      <c r="B142" s="3" t="s">
        <v>282</v>
      </c>
      <c r="C142" s="24">
        <v>1</v>
      </c>
      <c r="D142" s="22">
        <v>1.7479711832578234E-2</v>
      </c>
      <c r="E142" s="22">
        <v>1.9483969628467615E-2</v>
      </c>
      <c r="F142" s="22">
        <v>-2.004257795889381E-3</v>
      </c>
      <c r="G142" s="22">
        <v>-8.1771694903927494E-2</v>
      </c>
      <c r="H142" s="22">
        <v>5.9547516828161E-3</v>
      </c>
      <c r="I142" s="22">
        <v>7.7146437218612914E-3</v>
      </c>
      <c r="J142" s="22">
        <v>3.1253295535073937E-2</v>
      </c>
      <c r="K142" s="22">
        <v>2.5223387607486169E-2</v>
      </c>
      <c r="L142" s="22">
        <v>-3.0369036010344991E-2</v>
      </c>
      <c r="M142" s="22">
        <v>6.9336975267280221E-2</v>
      </c>
    </row>
    <row r="143" spans="2:13">
      <c r="B143" s="3" t="s">
        <v>283</v>
      </c>
      <c r="C143" s="24">
        <v>1</v>
      </c>
      <c r="D143" s="22">
        <v>1.1653141221718823E-2</v>
      </c>
      <c r="E143" s="22">
        <v>1.9483969628467615E-2</v>
      </c>
      <c r="F143" s="22">
        <v>-7.8308284067487924E-3</v>
      </c>
      <c r="G143" s="22">
        <v>-0.31948989428155006</v>
      </c>
      <c r="H143" s="22">
        <v>5.9547516828161E-3</v>
      </c>
      <c r="I143" s="22">
        <v>7.7146437218612914E-3</v>
      </c>
      <c r="J143" s="22">
        <v>3.1253295535073937E-2</v>
      </c>
      <c r="K143" s="22">
        <v>2.5223387607486169E-2</v>
      </c>
      <c r="L143" s="22">
        <v>-3.0369036010344991E-2</v>
      </c>
      <c r="M143" s="22">
        <v>6.9336975267280221E-2</v>
      </c>
    </row>
    <row r="144" spans="2:13">
      <c r="B144" s="3" t="s">
        <v>284</v>
      </c>
      <c r="C144" s="24">
        <v>1</v>
      </c>
      <c r="D144" s="22">
        <v>1.9421902036198039E-2</v>
      </c>
      <c r="E144" s="22">
        <v>1.9483969628467615E-2</v>
      </c>
      <c r="F144" s="22">
        <v>-6.2067592269576116E-5</v>
      </c>
      <c r="G144" s="22">
        <v>-2.5322951113865926E-3</v>
      </c>
      <c r="H144" s="22">
        <v>5.9547516828161E-3</v>
      </c>
      <c r="I144" s="22">
        <v>7.7146437218612914E-3</v>
      </c>
      <c r="J144" s="22">
        <v>3.1253295535073937E-2</v>
      </c>
      <c r="K144" s="22">
        <v>2.5223387607486169E-2</v>
      </c>
      <c r="L144" s="22">
        <v>-3.0369036010344991E-2</v>
      </c>
      <c r="M144" s="22">
        <v>6.9336975267280221E-2</v>
      </c>
    </row>
    <row r="145" spans="2:13">
      <c r="B145" s="3" t="s">
        <v>285</v>
      </c>
      <c r="C145" s="24">
        <v>1</v>
      </c>
      <c r="D145" s="22">
        <v>1.9569331630569547E-2</v>
      </c>
      <c r="E145" s="22">
        <v>2.025575350007372E-2</v>
      </c>
      <c r="F145" s="22">
        <v>-6.8642186950417308E-4</v>
      </c>
      <c r="G145" s="22">
        <v>-2.8005319377376488E-2</v>
      </c>
      <c r="H145" s="22">
        <v>6.8400224290957358E-3</v>
      </c>
      <c r="I145" s="22">
        <v>6.7367257614638319E-3</v>
      </c>
      <c r="J145" s="22">
        <v>3.3774781238683604E-2</v>
      </c>
      <c r="K145" s="22">
        <v>2.5446927547820353E-2</v>
      </c>
      <c r="L145" s="22">
        <v>-3.0039069791442774E-2</v>
      </c>
      <c r="M145" s="22">
        <v>7.0550576791590214E-2</v>
      </c>
    </row>
    <row r="146" spans="2:13">
      <c r="B146" s="3" t="s">
        <v>286</v>
      </c>
      <c r="C146" s="24">
        <v>1</v>
      </c>
      <c r="D146" s="22">
        <v>2.3918071992918337E-2</v>
      </c>
      <c r="E146" s="22">
        <v>2.025575350007372E-2</v>
      </c>
      <c r="F146" s="22">
        <v>3.662318492844617E-3</v>
      </c>
      <c r="G146" s="22">
        <v>0.14941889763487798</v>
      </c>
      <c r="H146" s="22">
        <v>6.8400224290957358E-3</v>
      </c>
      <c r="I146" s="22">
        <v>6.7367257614638319E-3</v>
      </c>
      <c r="J146" s="22">
        <v>3.3774781238683604E-2</v>
      </c>
      <c r="K146" s="22">
        <v>2.5446927547820353E-2</v>
      </c>
      <c r="L146" s="22">
        <v>-3.0039069791442774E-2</v>
      </c>
      <c r="M146" s="22">
        <v>7.0550576791590214E-2</v>
      </c>
    </row>
    <row r="147" spans="2:13">
      <c r="B147" s="3" t="s">
        <v>287</v>
      </c>
      <c r="C147" s="24">
        <v>1</v>
      </c>
      <c r="D147" s="22">
        <v>1.3046221087046365E-2</v>
      </c>
      <c r="E147" s="22">
        <v>2.025575350007372E-2</v>
      </c>
      <c r="F147" s="22">
        <v>-7.2095324130273548E-3</v>
      </c>
      <c r="G147" s="22">
        <v>-0.29414164489575806</v>
      </c>
      <c r="H147" s="22">
        <v>6.8400224290957358E-3</v>
      </c>
      <c r="I147" s="22">
        <v>6.7367257614638319E-3</v>
      </c>
      <c r="J147" s="22">
        <v>3.3774781238683604E-2</v>
      </c>
      <c r="K147" s="22">
        <v>2.5446927547820353E-2</v>
      </c>
      <c r="L147" s="22">
        <v>-3.0039069791442774E-2</v>
      </c>
      <c r="M147" s="22">
        <v>7.0550576791590214E-2</v>
      </c>
    </row>
    <row r="148" spans="2:13">
      <c r="B148" s="3" t="s">
        <v>288</v>
      </c>
      <c r="C148" s="24">
        <v>1</v>
      </c>
      <c r="D148" s="22">
        <v>1.087185090587197E-2</v>
      </c>
      <c r="E148" s="22">
        <v>2.025575350007372E-2</v>
      </c>
      <c r="F148" s="22">
        <v>-9.3839025942017498E-3</v>
      </c>
      <c r="G148" s="22">
        <v>-0.38285375340188532</v>
      </c>
      <c r="H148" s="22">
        <v>6.8400224290957358E-3</v>
      </c>
      <c r="I148" s="22">
        <v>6.7367257614638319E-3</v>
      </c>
      <c r="J148" s="22">
        <v>3.3774781238683604E-2</v>
      </c>
      <c r="K148" s="22">
        <v>2.5446927547820353E-2</v>
      </c>
      <c r="L148" s="22">
        <v>-3.0039069791442774E-2</v>
      </c>
      <c r="M148" s="22">
        <v>7.0550576791590214E-2</v>
      </c>
    </row>
    <row r="149" spans="2:13">
      <c r="B149" s="3" t="s">
        <v>289</v>
      </c>
      <c r="C149" s="24">
        <v>1</v>
      </c>
      <c r="D149" s="22">
        <v>1.5727553478400092E-2</v>
      </c>
      <c r="E149" s="22">
        <v>2.5617541860550375E-2</v>
      </c>
      <c r="F149" s="22">
        <v>-9.8899883821502825E-3</v>
      </c>
      <c r="G149" s="22">
        <v>-0.40350154268937932</v>
      </c>
      <c r="H149" s="22">
        <v>6.7789081913383238E-3</v>
      </c>
      <c r="I149" s="22">
        <v>1.2219303941569146E-2</v>
      </c>
      <c r="J149" s="22">
        <v>3.9015779779531606E-2</v>
      </c>
      <c r="K149" s="22">
        <v>2.5430568437612232E-2</v>
      </c>
      <c r="L149" s="22">
        <v>-2.4644948311159112E-2</v>
      </c>
      <c r="M149" s="22">
        <v>7.5880032032259861E-2</v>
      </c>
    </row>
    <row r="150" spans="2:13">
      <c r="B150" s="3" t="s">
        <v>290</v>
      </c>
      <c r="C150" s="24">
        <v>1</v>
      </c>
      <c r="D150" s="22">
        <v>3.931888369600023E-3</v>
      </c>
      <c r="E150" s="22">
        <v>2.5617541860550375E-2</v>
      </c>
      <c r="F150" s="22">
        <v>-2.1685653490950352E-2</v>
      </c>
      <c r="G150" s="22">
        <v>-0.88475277216891157</v>
      </c>
      <c r="H150" s="22">
        <v>6.7789081913383238E-3</v>
      </c>
      <c r="I150" s="22">
        <v>1.2219303941569146E-2</v>
      </c>
      <c r="J150" s="22">
        <v>3.9015779779531606E-2</v>
      </c>
      <c r="K150" s="22">
        <v>2.5430568437612232E-2</v>
      </c>
      <c r="L150" s="22">
        <v>-2.4644948311159112E-2</v>
      </c>
      <c r="M150" s="22">
        <v>7.5880032032259861E-2</v>
      </c>
    </row>
    <row r="151" spans="2:13">
      <c r="B151" s="3" t="s">
        <v>291</v>
      </c>
      <c r="C151" s="24">
        <v>1</v>
      </c>
      <c r="D151" s="22">
        <v>2.3591330217600136E-2</v>
      </c>
      <c r="E151" s="22">
        <v>2.5617541860550375E-2</v>
      </c>
      <c r="F151" s="22">
        <v>-2.0262116429502382E-3</v>
      </c>
      <c r="G151" s="22">
        <v>-8.2667389703024577E-2</v>
      </c>
      <c r="H151" s="22">
        <v>6.7789081913383238E-3</v>
      </c>
      <c r="I151" s="22">
        <v>1.2219303941569146E-2</v>
      </c>
      <c r="J151" s="22">
        <v>3.9015779779531606E-2</v>
      </c>
      <c r="K151" s="22">
        <v>2.5430568437612232E-2</v>
      </c>
      <c r="L151" s="22">
        <v>-2.4644948311159112E-2</v>
      </c>
      <c r="M151" s="22">
        <v>7.5880032032259861E-2</v>
      </c>
    </row>
    <row r="152" spans="2:13">
      <c r="B152" s="3" t="s">
        <v>292</v>
      </c>
      <c r="C152" s="24">
        <v>1</v>
      </c>
      <c r="D152" s="22">
        <v>3.1455106956800184E-2</v>
      </c>
      <c r="E152" s="22">
        <v>2.5617541860550375E-2</v>
      </c>
      <c r="F152" s="22">
        <v>5.8375650962498096E-3</v>
      </c>
      <c r="G152" s="22">
        <v>0.23816676328333033</v>
      </c>
      <c r="H152" s="22">
        <v>6.7789081913383238E-3</v>
      </c>
      <c r="I152" s="22">
        <v>1.2219303941569146E-2</v>
      </c>
      <c r="J152" s="22">
        <v>3.9015779779531606E-2</v>
      </c>
      <c r="K152" s="22">
        <v>2.5430568437612232E-2</v>
      </c>
      <c r="L152" s="22">
        <v>-2.4644948311159112E-2</v>
      </c>
      <c r="M152" s="22">
        <v>7.5880032032259861E-2</v>
      </c>
    </row>
    <row r="153" spans="2:13">
      <c r="B153" s="3" t="s">
        <v>293</v>
      </c>
      <c r="C153" s="24">
        <v>1</v>
      </c>
      <c r="D153" s="22">
        <v>1.7537213968040182E-2</v>
      </c>
      <c r="E153" s="22">
        <v>2.1773093165903361E-2</v>
      </c>
      <c r="F153" s="22">
        <v>-4.2358791978631787E-3</v>
      </c>
      <c r="G153" s="22">
        <v>-0.17281959542727313</v>
      </c>
      <c r="H153" s="22">
        <v>5.0774929879088201E-3</v>
      </c>
      <c r="I153" s="22">
        <v>1.17376335957494E-2</v>
      </c>
      <c r="J153" s="22">
        <v>3.1808552736057323E-2</v>
      </c>
      <c r="K153" s="22">
        <v>2.5030804018963293E-2</v>
      </c>
      <c r="L153" s="22">
        <v>-2.7699278797767041E-2</v>
      </c>
      <c r="M153" s="22">
        <v>7.1245465129573762E-2</v>
      </c>
    </row>
    <row r="154" spans="2:13">
      <c r="B154" s="3" t="s">
        <v>294</v>
      </c>
      <c r="C154" s="24">
        <v>1</v>
      </c>
      <c r="D154" s="22">
        <v>3.8581870729688397E-2</v>
      </c>
      <c r="E154" s="22">
        <v>2.1773093165903361E-2</v>
      </c>
      <c r="F154" s="22">
        <v>1.6808777563785036E-2</v>
      </c>
      <c r="G154" s="22">
        <v>0.68578115723076982</v>
      </c>
      <c r="H154" s="22">
        <v>5.0774929879088201E-3</v>
      </c>
      <c r="I154" s="22">
        <v>1.17376335957494E-2</v>
      </c>
      <c r="J154" s="22">
        <v>3.1808552736057323E-2</v>
      </c>
      <c r="K154" s="22">
        <v>2.5030804018963293E-2</v>
      </c>
      <c r="L154" s="22">
        <v>-2.7699278797767041E-2</v>
      </c>
      <c r="M154" s="22">
        <v>7.1245465129573762E-2</v>
      </c>
    </row>
    <row r="155" spans="2:13">
      <c r="B155" s="3" t="s">
        <v>295</v>
      </c>
      <c r="C155" s="24">
        <v>1</v>
      </c>
      <c r="D155" s="22">
        <v>5.9626527491336616E-2</v>
      </c>
      <c r="E155" s="22">
        <v>2.1773093165903361E-2</v>
      </c>
      <c r="F155" s="22">
        <v>3.7853434325433255E-2</v>
      </c>
      <c r="G155" s="22">
        <v>1.544381909888813</v>
      </c>
      <c r="H155" s="22">
        <v>5.0774929879088201E-3</v>
      </c>
      <c r="I155" s="22">
        <v>1.17376335957494E-2</v>
      </c>
      <c r="J155" s="22">
        <v>3.1808552736057323E-2</v>
      </c>
      <c r="K155" s="22">
        <v>2.5030804018963293E-2</v>
      </c>
      <c r="L155" s="22">
        <v>-2.7699278797767041E-2</v>
      </c>
      <c r="M155" s="22">
        <v>7.1245465129573762E-2</v>
      </c>
    </row>
    <row r="156" spans="2:13">
      <c r="B156" s="3" t="s">
        <v>296</v>
      </c>
      <c r="C156" s="24">
        <v>1</v>
      </c>
      <c r="D156" s="22">
        <v>4.910419911051251E-2</v>
      </c>
      <c r="E156" s="22">
        <v>2.1773093165903361E-2</v>
      </c>
      <c r="F156" s="22">
        <v>2.7331105944609149E-2</v>
      </c>
      <c r="G156" s="22">
        <v>1.1150815335597914</v>
      </c>
      <c r="H156" s="22">
        <v>5.0774929879088201E-3</v>
      </c>
      <c r="I156" s="22">
        <v>1.17376335957494E-2</v>
      </c>
      <c r="J156" s="22">
        <v>3.1808552736057323E-2</v>
      </c>
      <c r="K156" s="22">
        <v>2.5030804018963293E-2</v>
      </c>
      <c r="L156" s="22">
        <v>-2.7699278797767041E-2</v>
      </c>
      <c r="M156" s="22">
        <v>7.1245465129573762E-2</v>
      </c>
    </row>
    <row r="157" spans="2:13">
      <c r="B157" s="3" t="s">
        <v>297</v>
      </c>
      <c r="C157" s="24">
        <v>1</v>
      </c>
      <c r="D157" s="22">
        <v>2.2292604598591299E-2</v>
      </c>
      <c r="E157" s="22">
        <v>2.1773093165903361E-2</v>
      </c>
      <c r="F157" s="22">
        <v>5.1951143268793784E-4</v>
      </c>
      <c r="G157" s="22">
        <v>2.1195542040543445E-2</v>
      </c>
      <c r="H157" s="22">
        <v>5.0774929879088201E-3</v>
      </c>
      <c r="I157" s="22">
        <v>1.17376335957494E-2</v>
      </c>
      <c r="J157" s="22">
        <v>3.1808552736057323E-2</v>
      </c>
      <c r="K157" s="22">
        <v>2.5030804018963293E-2</v>
      </c>
      <c r="L157" s="22">
        <v>-2.7699278797767041E-2</v>
      </c>
      <c r="M157" s="22">
        <v>7.1245465129573762E-2</v>
      </c>
    </row>
    <row r="158" spans="2:13">
      <c r="B158" s="3" t="s">
        <v>298</v>
      </c>
      <c r="C158" s="24">
        <v>1</v>
      </c>
      <c r="D158" s="22">
        <v>2.7246516731611586E-2</v>
      </c>
      <c r="E158" s="22">
        <v>2.1773093165903361E-2</v>
      </c>
      <c r="F158" s="22">
        <v>5.4734235657082249E-3</v>
      </c>
      <c r="G158" s="22">
        <v>0.2233101564145106</v>
      </c>
      <c r="H158" s="22">
        <v>5.0774929879088201E-3</v>
      </c>
      <c r="I158" s="22">
        <v>1.17376335957494E-2</v>
      </c>
      <c r="J158" s="22">
        <v>3.1808552736057323E-2</v>
      </c>
      <c r="K158" s="22">
        <v>2.5030804018963293E-2</v>
      </c>
      <c r="L158" s="22">
        <v>-2.7699278797767041E-2</v>
      </c>
      <c r="M158" s="22">
        <v>7.1245465129573762E-2</v>
      </c>
    </row>
    <row r="159" spans="2:13">
      <c r="B159" s="3" t="s">
        <v>299</v>
      </c>
      <c r="C159" s="24">
        <v>1</v>
      </c>
      <c r="D159" s="22">
        <v>3.2200428864631876E-2</v>
      </c>
      <c r="E159" s="22">
        <v>2.1773093165903361E-2</v>
      </c>
      <c r="F159" s="22">
        <v>1.0427335698728515E-2</v>
      </c>
      <c r="G159" s="22">
        <v>0.4254247707884779</v>
      </c>
      <c r="H159" s="22">
        <v>5.0774929879088201E-3</v>
      </c>
      <c r="I159" s="22">
        <v>1.17376335957494E-2</v>
      </c>
      <c r="J159" s="22">
        <v>3.1808552736057323E-2</v>
      </c>
      <c r="K159" s="22">
        <v>2.5030804018963293E-2</v>
      </c>
      <c r="L159" s="22">
        <v>-2.7699278797767041E-2</v>
      </c>
      <c r="M159" s="22">
        <v>7.1245465129573762E-2</v>
      </c>
    </row>
    <row r="160" spans="2:13">
      <c r="B160" s="3" t="s">
        <v>300</v>
      </c>
      <c r="C160" s="24">
        <v>1</v>
      </c>
      <c r="D160" s="22">
        <v>4.2999090393332808E-2</v>
      </c>
      <c r="E160" s="22">
        <v>9.733421630077314E-3</v>
      </c>
      <c r="F160" s="22">
        <v>3.3265668763255492E-2</v>
      </c>
      <c r="G160" s="22">
        <v>1.3572057060039855</v>
      </c>
      <c r="H160" s="22">
        <v>4.0059600256764898E-3</v>
      </c>
      <c r="I160" s="22">
        <v>1.815803629803818E-3</v>
      </c>
      <c r="J160" s="22">
        <v>1.765103963035081E-2</v>
      </c>
      <c r="K160" s="22">
        <v>2.483561818277942E-2</v>
      </c>
      <c r="L160" s="22">
        <v>-3.9353173421176973E-2</v>
      </c>
      <c r="M160" s="22">
        <v>5.8820016681331605E-2</v>
      </c>
    </row>
    <row r="161" spans="2:13">
      <c r="B161" s="3" t="s">
        <v>301</v>
      </c>
      <c r="C161" s="24">
        <v>1</v>
      </c>
      <c r="D161" s="22">
        <v>5.2771610937272086E-5</v>
      </c>
      <c r="E161" s="22">
        <v>9.733421630077314E-3</v>
      </c>
      <c r="F161" s="22">
        <v>-9.6806500191400427E-3</v>
      </c>
      <c r="G161" s="22">
        <v>-0.39496074879207288</v>
      </c>
      <c r="H161" s="22">
        <v>4.0059600256764898E-3</v>
      </c>
      <c r="I161" s="22">
        <v>1.815803629803818E-3</v>
      </c>
      <c r="J161" s="22">
        <v>1.765103963035081E-2</v>
      </c>
      <c r="K161" s="22">
        <v>2.483561818277942E-2</v>
      </c>
      <c r="L161" s="22">
        <v>-3.9353173421176973E-2</v>
      </c>
      <c r="M161" s="22">
        <v>5.8820016681331605E-2</v>
      </c>
    </row>
    <row r="162" spans="2:13">
      <c r="B162" s="3" t="s">
        <v>302</v>
      </c>
      <c r="C162" s="24">
        <v>1</v>
      </c>
      <c r="D162" s="22">
        <v>4.5930846556514595E-5</v>
      </c>
      <c r="E162" s="22">
        <v>9.733421630077314E-3</v>
      </c>
      <c r="F162" s="22">
        <v>-9.6874907835207986E-3</v>
      </c>
      <c r="G162" s="22">
        <v>-0.39523984507349935</v>
      </c>
      <c r="H162" s="22">
        <v>4.0059600256764898E-3</v>
      </c>
      <c r="I162" s="22">
        <v>1.815803629803818E-3</v>
      </c>
      <c r="J162" s="22">
        <v>1.765103963035081E-2</v>
      </c>
      <c r="K162" s="22">
        <v>2.483561818277942E-2</v>
      </c>
      <c r="L162" s="22">
        <v>-3.9353173421176973E-2</v>
      </c>
      <c r="M162" s="22">
        <v>5.8820016681331605E-2</v>
      </c>
    </row>
    <row r="163" spans="2:13">
      <c r="B163" s="3" t="s">
        <v>303</v>
      </c>
      <c r="C163" s="24">
        <v>1</v>
      </c>
      <c r="D163" s="22">
        <v>3.7135578066969248E-5</v>
      </c>
      <c r="E163" s="22">
        <v>9.733421630077314E-3</v>
      </c>
      <c r="F163" s="22">
        <v>-9.6962860520103441E-3</v>
      </c>
      <c r="G163" s="22">
        <v>-0.39559868314961927</v>
      </c>
      <c r="H163" s="22">
        <v>4.0059600256764898E-3</v>
      </c>
      <c r="I163" s="22">
        <v>1.815803629803818E-3</v>
      </c>
      <c r="J163" s="22">
        <v>1.765103963035081E-2</v>
      </c>
      <c r="K163" s="22">
        <v>2.483561818277942E-2</v>
      </c>
      <c r="L163" s="22">
        <v>-3.9353173421176973E-2</v>
      </c>
      <c r="M163" s="22">
        <v>5.8820016681331605E-2</v>
      </c>
    </row>
    <row r="164" spans="2:13">
      <c r="B164" s="3" t="s">
        <v>304</v>
      </c>
      <c r="C164" s="24">
        <v>1</v>
      </c>
      <c r="D164" s="22">
        <v>4.5029341355823991E-5</v>
      </c>
      <c r="E164" s="22">
        <v>1.1263423126367503E-2</v>
      </c>
      <c r="F164" s="22">
        <v>-1.1218393785011679E-2</v>
      </c>
      <c r="G164" s="22">
        <v>-0.45769914218695729</v>
      </c>
      <c r="H164" s="22">
        <v>4.0726525784307967E-3</v>
      </c>
      <c r="I164" s="22">
        <v>3.2139899924463564E-3</v>
      </c>
      <c r="J164" s="22">
        <v>1.9312856260288648E-2</v>
      </c>
      <c r="K164" s="22">
        <v>2.48464628029441E-2</v>
      </c>
      <c r="L164" s="22">
        <v>-3.784460587811439E-2</v>
      </c>
      <c r="M164" s="22">
        <v>6.0371452130849393E-2</v>
      </c>
    </row>
    <row r="165" spans="2:13">
      <c r="B165" s="3" t="s">
        <v>305</v>
      </c>
      <c r="C165" s="24">
        <v>1</v>
      </c>
      <c r="D165" s="22">
        <v>4.8584289357599568E-5</v>
      </c>
      <c r="E165" s="22">
        <v>1.1263423126367503E-2</v>
      </c>
      <c r="F165" s="22">
        <v>-1.1214838837009904E-2</v>
      </c>
      <c r="G165" s="22">
        <v>-0.45755410389697448</v>
      </c>
      <c r="H165" s="22">
        <v>4.0726525784307967E-3</v>
      </c>
      <c r="I165" s="22">
        <v>3.2139899924463564E-3</v>
      </c>
      <c r="J165" s="22">
        <v>1.9312856260288648E-2</v>
      </c>
      <c r="K165" s="22">
        <v>2.48464628029441E-2</v>
      </c>
      <c r="L165" s="22">
        <v>-3.784460587811439E-2</v>
      </c>
      <c r="M165" s="22">
        <v>6.0371452130849393E-2</v>
      </c>
    </row>
    <row r="166" spans="2:13">
      <c r="B166" s="3" t="s">
        <v>306</v>
      </c>
      <c r="C166" s="24">
        <v>1</v>
      </c>
      <c r="D166" s="22">
        <v>6.8728994700994515E-5</v>
      </c>
      <c r="E166" s="22">
        <v>1.1263423126367503E-2</v>
      </c>
      <c r="F166" s="22">
        <v>-1.1194694131666509E-2</v>
      </c>
      <c r="G166" s="22">
        <v>-0.45673222025373855</v>
      </c>
      <c r="H166" s="22">
        <v>4.0726525784307967E-3</v>
      </c>
      <c r="I166" s="22">
        <v>3.2139899924463564E-3</v>
      </c>
      <c r="J166" s="22">
        <v>1.9312856260288648E-2</v>
      </c>
      <c r="K166" s="22">
        <v>2.48464628029441E-2</v>
      </c>
      <c r="L166" s="22">
        <v>-3.784460587811439E-2</v>
      </c>
      <c r="M166" s="22">
        <v>6.0371452130849393E-2</v>
      </c>
    </row>
    <row r="167" spans="2:13">
      <c r="B167" s="3" t="s">
        <v>307</v>
      </c>
      <c r="C167" s="24">
        <v>1</v>
      </c>
      <c r="D167" s="22">
        <v>6.5174046699218938E-5</v>
      </c>
      <c r="E167" s="22">
        <v>1.1263423126367503E-2</v>
      </c>
      <c r="F167" s="22">
        <v>-1.1198249079668285E-2</v>
      </c>
      <c r="G167" s="22">
        <v>-0.45687725854372135</v>
      </c>
      <c r="H167" s="22">
        <v>4.0726525784307967E-3</v>
      </c>
      <c r="I167" s="22">
        <v>3.2139899924463564E-3</v>
      </c>
      <c r="J167" s="22">
        <v>1.9312856260288648E-2</v>
      </c>
      <c r="K167" s="22">
        <v>2.48464628029441E-2</v>
      </c>
      <c r="L167" s="22">
        <v>-3.784460587811439E-2</v>
      </c>
      <c r="M167" s="22">
        <v>6.0371452130849393E-2</v>
      </c>
    </row>
    <row r="168" spans="2:13">
      <c r="B168" s="3" t="s">
        <v>308</v>
      </c>
      <c r="C168" s="24">
        <v>1</v>
      </c>
      <c r="D168" s="22">
        <v>1.1067591346521794E-4</v>
      </c>
      <c r="E168" s="22">
        <v>5.1379906424379538E-3</v>
      </c>
      <c r="F168" s="22">
        <v>-5.0273147289727361E-3</v>
      </c>
      <c r="G168" s="22">
        <v>-0.2051093661936633</v>
      </c>
      <c r="H168" s="22">
        <v>7.3692475109174592E-3</v>
      </c>
      <c r="I168" s="22">
        <v>-9.4270290699236658E-3</v>
      </c>
      <c r="J168" s="22">
        <v>1.9703010354799572E-2</v>
      </c>
      <c r="K168" s="22">
        <v>2.5594257630778217E-2</v>
      </c>
      <c r="L168" s="22">
        <v>-4.5448024600404112E-2</v>
      </c>
      <c r="M168" s="22">
        <v>5.5724005885280016E-2</v>
      </c>
    </row>
    <row r="169" spans="2:13">
      <c r="B169" s="3" t="s">
        <v>309</v>
      </c>
      <c r="C169" s="24">
        <v>1</v>
      </c>
      <c r="D169" s="22">
        <v>9.6058339988679727E-5</v>
      </c>
      <c r="E169" s="22">
        <v>5.1379906424379538E-3</v>
      </c>
      <c r="F169" s="22">
        <v>-5.0419323024492738E-3</v>
      </c>
      <c r="G169" s="22">
        <v>-0.20570574843601291</v>
      </c>
      <c r="H169" s="22">
        <v>7.3692475109174592E-3</v>
      </c>
      <c r="I169" s="22">
        <v>-9.4270290699236658E-3</v>
      </c>
      <c r="J169" s="22">
        <v>1.9703010354799572E-2</v>
      </c>
      <c r="K169" s="22">
        <v>2.5594257630778217E-2</v>
      </c>
      <c r="L169" s="22">
        <v>-4.5448024600404112E-2</v>
      </c>
      <c r="M169" s="22">
        <v>5.5724005885280016E-2</v>
      </c>
    </row>
    <row r="170" spans="2:13">
      <c r="B170" s="3" t="s">
        <v>310</v>
      </c>
      <c r="C170" s="24">
        <v>1</v>
      </c>
      <c r="D170" s="22">
        <v>1.3364638607120657E-4</v>
      </c>
      <c r="E170" s="22">
        <v>5.1379906424379538E-3</v>
      </c>
      <c r="F170" s="22">
        <v>-5.0043442563667473E-3</v>
      </c>
      <c r="G170" s="22">
        <v>-0.20417219409854245</v>
      </c>
      <c r="H170" s="22">
        <v>7.3692475109174592E-3</v>
      </c>
      <c r="I170" s="22">
        <v>-9.4270290699236658E-3</v>
      </c>
      <c r="J170" s="22">
        <v>1.9703010354799572E-2</v>
      </c>
      <c r="K170" s="22">
        <v>2.5594257630778217E-2</v>
      </c>
      <c r="L170" s="22">
        <v>-4.5448024600404112E-2</v>
      </c>
      <c r="M170" s="22">
        <v>5.5724005885280016E-2</v>
      </c>
    </row>
    <row r="171" spans="2:13">
      <c r="B171" s="3" t="s">
        <v>311</v>
      </c>
      <c r="C171" s="24">
        <v>1</v>
      </c>
      <c r="D171" s="22">
        <v>8.5617216076866717E-5</v>
      </c>
      <c r="E171" s="22">
        <v>5.1379906424379538E-3</v>
      </c>
      <c r="F171" s="22">
        <v>-5.0523734263610868E-3</v>
      </c>
      <c r="G171" s="22">
        <v>-0.20613173575197694</v>
      </c>
      <c r="H171" s="22">
        <v>7.3692475109174592E-3</v>
      </c>
      <c r="I171" s="22">
        <v>-9.4270290699236658E-3</v>
      </c>
      <c r="J171" s="22">
        <v>1.9703010354799572E-2</v>
      </c>
      <c r="K171" s="22">
        <v>2.5594257630778217E-2</v>
      </c>
      <c r="L171" s="22">
        <v>-4.5448024600404112E-2</v>
      </c>
      <c r="M171" s="22">
        <v>5.5724005885280016E-2</v>
      </c>
    </row>
    <row r="172" spans="2:13">
      <c r="B172" s="3" t="s">
        <v>312</v>
      </c>
      <c r="C172" s="24">
        <v>1</v>
      </c>
      <c r="D172" s="22">
        <v>3.938976845512409E-5</v>
      </c>
      <c r="E172" s="22">
        <v>1.0500683419376078E-2</v>
      </c>
      <c r="F172" s="22">
        <v>-1.0461293650920954E-2</v>
      </c>
      <c r="G172" s="22">
        <v>-0.42681022095957732</v>
      </c>
      <c r="H172" s="22">
        <v>3.8539396209635859E-3</v>
      </c>
      <c r="I172" s="22">
        <v>2.883527601712726E-3</v>
      </c>
      <c r="J172" s="22">
        <v>1.811783923703943E-2</v>
      </c>
      <c r="K172" s="22">
        <v>2.4811551047758354E-2</v>
      </c>
      <c r="L172" s="22">
        <v>-3.8538343912720645E-2</v>
      </c>
      <c r="M172" s="22">
        <v>5.9539710751472803E-2</v>
      </c>
    </row>
    <row r="173" spans="2:13">
      <c r="B173" s="3" t="s">
        <v>313</v>
      </c>
      <c r="C173" s="24">
        <v>1</v>
      </c>
      <c r="D173" s="22">
        <v>6.8275598655548426E-5</v>
      </c>
      <c r="E173" s="22">
        <v>1.0500683419376078E-2</v>
      </c>
      <c r="F173" s="22">
        <v>-1.0432407820720529E-2</v>
      </c>
      <c r="G173" s="22">
        <v>-0.42563170824577362</v>
      </c>
      <c r="H173" s="22">
        <v>3.8539396209635859E-3</v>
      </c>
      <c r="I173" s="22">
        <v>2.883527601712726E-3</v>
      </c>
      <c r="J173" s="22">
        <v>1.811783923703943E-2</v>
      </c>
      <c r="K173" s="22">
        <v>2.4811551047758354E-2</v>
      </c>
      <c r="L173" s="22">
        <v>-3.8538343912720645E-2</v>
      </c>
      <c r="M173" s="22">
        <v>5.9539710751472803E-2</v>
      </c>
    </row>
    <row r="174" spans="2:13">
      <c r="B174" s="3" t="s">
        <v>314</v>
      </c>
      <c r="C174" s="24">
        <v>1</v>
      </c>
      <c r="D174" s="22">
        <v>9.1909459728622877E-5</v>
      </c>
      <c r="E174" s="22">
        <v>1.0500683419376078E-2</v>
      </c>
      <c r="F174" s="22">
        <v>-1.0408773959647455E-2</v>
      </c>
      <c r="G174" s="22">
        <v>-0.42466747057084331</v>
      </c>
      <c r="H174" s="22">
        <v>3.8539396209635859E-3</v>
      </c>
      <c r="I174" s="22">
        <v>2.883527601712726E-3</v>
      </c>
      <c r="J174" s="22">
        <v>1.811783923703943E-2</v>
      </c>
      <c r="K174" s="22">
        <v>2.4811551047758354E-2</v>
      </c>
      <c r="L174" s="22">
        <v>-3.8538343912720645E-2</v>
      </c>
      <c r="M174" s="22">
        <v>5.9539710751472803E-2</v>
      </c>
    </row>
    <row r="175" spans="2:13">
      <c r="B175" s="3" t="s">
        <v>315</v>
      </c>
      <c r="C175" s="24">
        <v>1</v>
      </c>
      <c r="D175" s="22">
        <v>5.7771660400848664E-5</v>
      </c>
      <c r="E175" s="22">
        <v>1.0500683419376078E-2</v>
      </c>
      <c r="F175" s="22">
        <v>-1.0442911758975229E-2</v>
      </c>
      <c r="G175" s="22">
        <v>-0.4260602583235204</v>
      </c>
      <c r="H175" s="22">
        <v>3.8539396209635859E-3</v>
      </c>
      <c r="I175" s="22">
        <v>2.883527601712726E-3</v>
      </c>
      <c r="J175" s="22">
        <v>1.811783923703943E-2</v>
      </c>
      <c r="K175" s="22">
        <v>2.4811551047758354E-2</v>
      </c>
      <c r="L175" s="22">
        <v>-3.8538343912720645E-2</v>
      </c>
      <c r="M175" s="22">
        <v>5.9539710751472803E-2</v>
      </c>
    </row>
    <row r="176" spans="2:13">
      <c r="B176" s="3" t="s">
        <v>316</v>
      </c>
      <c r="C176" s="24">
        <v>1</v>
      </c>
      <c r="D176" s="22">
        <v>5.1249511909410385E-2</v>
      </c>
      <c r="E176" s="22">
        <v>1.0500683419376078E-2</v>
      </c>
      <c r="F176" s="22">
        <v>4.0748828490034306E-2</v>
      </c>
      <c r="G176" s="22">
        <v>1.6625110690917622</v>
      </c>
      <c r="H176" s="22">
        <v>3.8539396209635859E-3</v>
      </c>
      <c r="I176" s="22">
        <v>2.883527601712726E-3</v>
      </c>
      <c r="J176" s="22">
        <v>1.811783923703943E-2</v>
      </c>
      <c r="K176" s="22">
        <v>2.4811551047758354E-2</v>
      </c>
      <c r="L176" s="22">
        <v>-3.8538343912720645E-2</v>
      </c>
      <c r="M176" s="22">
        <v>5.9539710751472803E-2</v>
      </c>
    </row>
    <row r="177" spans="2:13">
      <c r="B177" s="3" t="s">
        <v>317</v>
      </c>
      <c r="C177" s="24">
        <v>1</v>
      </c>
      <c r="D177" s="22">
        <v>6.3451776649746189E-2</v>
      </c>
      <c r="E177" s="22">
        <v>1.0500683419376078E-2</v>
      </c>
      <c r="F177" s="22">
        <v>5.295109323037011E-2</v>
      </c>
      <c r="G177" s="22">
        <v>2.1603511531019741</v>
      </c>
      <c r="H177" s="22">
        <v>3.8539396209635859E-3</v>
      </c>
      <c r="I177" s="22">
        <v>2.883527601712726E-3</v>
      </c>
      <c r="J177" s="22">
        <v>1.811783923703943E-2</v>
      </c>
      <c r="K177" s="22">
        <v>2.4811551047758354E-2</v>
      </c>
      <c r="L177" s="22">
        <v>-3.8538343912720645E-2</v>
      </c>
      <c r="M177" s="22">
        <v>5.9539710751472803E-2</v>
      </c>
    </row>
    <row r="178" spans="2:13">
      <c r="B178" s="3" t="s">
        <v>318</v>
      </c>
      <c r="C178" s="24">
        <v>1</v>
      </c>
      <c r="D178" s="22">
        <v>2.5624755954705192E-2</v>
      </c>
      <c r="E178" s="22">
        <v>1.0500683419376078E-2</v>
      </c>
      <c r="F178" s="22">
        <v>1.5124072535329115E-2</v>
      </c>
      <c r="G178" s="22">
        <v>0.61704689267031732</v>
      </c>
      <c r="H178" s="22">
        <v>3.8539396209635859E-3</v>
      </c>
      <c r="I178" s="22">
        <v>2.883527601712726E-3</v>
      </c>
      <c r="J178" s="22">
        <v>1.811783923703943E-2</v>
      </c>
      <c r="K178" s="22">
        <v>2.4811551047758354E-2</v>
      </c>
      <c r="L178" s="22">
        <v>-3.8538343912720645E-2</v>
      </c>
      <c r="M178" s="22">
        <v>5.9539710751472803E-2</v>
      </c>
    </row>
    <row r="179" spans="2:13">
      <c r="B179" s="3" t="s">
        <v>319</v>
      </c>
      <c r="C179" s="24">
        <v>1</v>
      </c>
      <c r="D179" s="22">
        <v>4.2360909014274356E-5</v>
      </c>
      <c r="E179" s="22">
        <v>1.0696471813250598E-2</v>
      </c>
      <c r="F179" s="22">
        <v>-1.0654110904236324E-2</v>
      </c>
      <c r="G179" s="22">
        <v>-0.43467697025832269</v>
      </c>
      <c r="H179" s="22">
        <v>5.1799112611878593E-3</v>
      </c>
      <c r="I179" s="22">
        <v>4.5858666748592979E-4</v>
      </c>
      <c r="J179" s="22">
        <v>2.0934356959015264E-2</v>
      </c>
      <c r="K179" s="22">
        <v>2.5051780285386238E-2</v>
      </c>
      <c r="L179" s="22">
        <v>-3.881735889277977E-2</v>
      </c>
      <c r="M179" s="22">
        <v>6.0210302519280966E-2</v>
      </c>
    </row>
    <row r="180" spans="2:13">
      <c r="B180" s="3" t="s">
        <v>320</v>
      </c>
      <c r="C180" s="24">
        <v>1</v>
      </c>
      <c r="D180" s="22">
        <v>2.1180454507137178E-5</v>
      </c>
      <c r="E180" s="22">
        <v>1.0696471813250598E-2</v>
      </c>
      <c r="F180" s="22">
        <v>-1.067529135874346E-2</v>
      </c>
      <c r="G180" s="22">
        <v>-0.43554111142191759</v>
      </c>
      <c r="H180" s="22">
        <v>5.1799112611878593E-3</v>
      </c>
      <c r="I180" s="22">
        <v>4.5858666748592979E-4</v>
      </c>
      <c r="J180" s="22">
        <v>2.0934356959015264E-2</v>
      </c>
      <c r="K180" s="22">
        <v>2.5051780285386238E-2</v>
      </c>
      <c r="L180" s="22">
        <v>-3.881735889277977E-2</v>
      </c>
      <c r="M180" s="22">
        <v>6.0210302519280966E-2</v>
      </c>
    </row>
    <row r="181" spans="2:13">
      <c r="B181" s="3" t="s">
        <v>321</v>
      </c>
      <c r="C181" s="24">
        <v>1</v>
      </c>
      <c r="D181" s="22">
        <v>4.2360909014274356E-5</v>
      </c>
      <c r="E181" s="22">
        <v>1.0696471813250598E-2</v>
      </c>
      <c r="F181" s="22">
        <v>-1.0654110904236324E-2</v>
      </c>
      <c r="G181" s="22">
        <v>-0.43467697025832269</v>
      </c>
      <c r="H181" s="22">
        <v>5.1799112611878593E-3</v>
      </c>
      <c r="I181" s="22">
        <v>4.5858666748592979E-4</v>
      </c>
      <c r="J181" s="22">
        <v>2.0934356959015264E-2</v>
      </c>
      <c r="K181" s="22">
        <v>2.5051780285386238E-2</v>
      </c>
      <c r="L181" s="22">
        <v>-3.881735889277977E-2</v>
      </c>
      <c r="M181" s="22">
        <v>6.0210302519280966E-2</v>
      </c>
    </row>
    <row r="182" spans="2:13">
      <c r="B182" s="3" t="s">
        <v>322</v>
      </c>
      <c r="C182" s="24">
        <v>1</v>
      </c>
      <c r="D182" s="22">
        <v>3.1770681760705767E-5</v>
      </c>
      <c r="E182" s="22">
        <v>1.0696471813250598E-2</v>
      </c>
      <c r="F182" s="22">
        <v>-1.0664701131489892E-2</v>
      </c>
      <c r="G182" s="22">
        <v>-0.43510904084012014</v>
      </c>
      <c r="H182" s="22">
        <v>5.1799112611878593E-3</v>
      </c>
      <c r="I182" s="22">
        <v>4.5858666748592979E-4</v>
      </c>
      <c r="J182" s="22">
        <v>2.0934356959015264E-2</v>
      </c>
      <c r="K182" s="22">
        <v>2.5051780285386238E-2</v>
      </c>
      <c r="L182" s="22">
        <v>-3.881735889277977E-2</v>
      </c>
      <c r="M182" s="22">
        <v>6.0210302519280966E-2</v>
      </c>
    </row>
    <row r="183" spans="2:13">
      <c r="B183" s="3" t="s">
        <v>323</v>
      </c>
      <c r="C183" s="24">
        <v>1</v>
      </c>
      <c r="D183" s="22">
        <v>3.8040921295320423E-5</v>
      </c>
      <c r="E183" s="22">
        <v>1.0696471813250598E-2</v>
      </c>
      <c r="F183" s="22">
        <v>-1.0658430891955277E-2</v>
      </c>
      <c r="G183" s="22">
        <v>-0.43485322139650828</v>
      </c>
      <c r="H183" s="22">
        <v>5.1799112611878593E-3</v>
      </c>
      <c r="I183" s="22">
        <v>4.5858666748592979E-4</v>
      </c>
      <c r="J183" s="22">
        <v>2.0934356959015264E-2</v>
      </c>
      <c r="K183" s="22">
        <v>2.5051780285386238E-2</v>
      </c>
      <c r="L183" s="22">
        <v>-3.881735889277977E-2</v>
      </c>
      <c r="M183" s="22">
        <v>6.0210302519280966E-2</v>
      </c>
    </row>
    <row r="184" spans="2:13">
      <c r="B184" s="3" t="s">
        <v>324</v>
      </c>
      <c r="C184" s="24">
        <v>1</v>
      </c>
      <c r="D184" s="22">
        <v>3.3814152262507045E-5</v>
      </c>
      <c r="E184" s="22">
        <v>1.0696471813250598E-2</v>
      </c>
      <c r="F184" s="22">
        <v>-1.0662657660988091E-2</v>
      </c>
      <c r="G184" s="22">
        <v>-0.43502566930639769</v>
      </c>
      <c r="H184" s="22">
        <v>5.1799112611878593E-3</v>
      </c>
      <c r="I184" s="22">
        <v>4.5858666748592979E-4</v>
      </c>
      <c r="J184" s="22">
        <v>2.0934356959015264E-2</v>
      </c>
      <c r="K184" s="22">
        <v>2.5051780285386238E-2</v>
      </c>
      <c r="L184" s="22">
        <v>-3.881735889277977E-2</v>
      </c>
      <c r="M184" s="22">
        <v>6.0210302519280966E-2</v>
      </c>
    </row>
    <row r="185" spans="2:13">
      <c r="B185" s="3" t="s">
        <v>325</v>
      </c>
      <c r="C185" s="24">
        <v>1</v>
      </c>
      <c r="D185" s="22">
        <v>3.8040921295320423E-5</v>
      </c>
      <c r="E185" s="22">
        <v>1.0696471813250598E-2</v>
      </c>
      <c r="F185" s="22">
        <v>-1.0658430891955277E-2</v>
      </c>
      <c r="G185" s="22">
        <v>-0.43485322139650828</v>
      </c>
      <c r="H185" s="22">
        <v>5.1799112611878593E-3</v>
      </c>
      <c r="I185" s="22">
        <v>4.5858666748592979E-4</v>
      </c>
      <c r="J185" s="22">
        <v>2.0934356959015264E-2</v>
      </c>
      <c r="K185" s="22">
        <v>2.5051780285386238E-2</v>
      </c>
      <c r="L185" s="22">
        <v>-3.881735889277977E-2</v>
      </c>
      <c r="M185" s="22">
        <v>6.0210302519280966E-2</v>
      </c>
    </row>
    <row r="186" spans="2:13">
      <c r="B186" s="3" t="s">
        <v>326</v>
      </c>
      <c r="C186" s="24">
        <v>1</v>
      </c>
      <c r="D186" s="22">
        <v>5.9174766459387325E-5</v>
      </c>
      <c r="E186" s="22">
        <v>1.0696471813250598E-2</v>
      </c>
      <c r="F186" s="22">
        <v>-1.063729704679121E-2</v>
      </c>
      <c r="G186" s="22">
        <v>-0.43399098184706147</v>
      </c>
      <c r="H186" s="22">
        <v>5.1799112611878593E-3</v>
      </c>
      <c r="I186" s="22">
        <v>4.5858666748592979E-4</v>
      </c>
      <c r="J186" s="22">
        <v>2.0934356959015264E-2</v>
      </c>
      <c r="K186" s="22">
        <v>2.5051780285386238E-2</v>
      </c>
      <c r="L186" s="22">
        <v>-3.881735889277977E-2</v>
      </c>
      <c r="M186" s="22">
        <v>6.0210302519280966E-2</v>
      </c>
    </row>
    <row r="187" spans="2:13">
      <c r="B187" s="3" t="s">
        <v>327</v>
      </c>
      <c r="C187" s="24">
        <v>1</v>
      </c>
      <c r="D187" s="22">
        <v>4.1355496708981264E-5</v>
      </c>
      <c r="E187" s="22">
        <v>7.6274246560555509E-3</v>
      </c>
      <c r="F187" s="22">
        <v>-7.5860691593465698E-3</v>
      </c>
      <c r="G187" s="22">
        <v>-0.30950396405613806</v>
      </c>
      <c r="H187" s="22">
        <v>5.4259805319241041E-3</v>
      </c>
      <c r="I187" s="22">
        <v>-3.0968064529258762E-3</v>
      </c>
      <c r="J187" s="22">
        <v>1.835165576503698E-2</v>
      </c>
      <c r="K187" s="22">
        <v>2.5103814043413903E-2</v>
      </c>
      <c r="L187" s="22">
        <v>-4.1989248668608321E-2</v>
      </c>
      <c r="M187" s="22">
        <v>5.7244097980719423E-2</v>
      </c>
    </row>
    <row r="188" spans="2:13">
      <c r="B188" s="3" t="s">
        <v>328</v>
      </c>
      <c r="C188" s="24">
        <v>1</v>
      </c>
      <c r="D188" s="22">
        <v>5.169437088622658E-5</v>
      </c>
      <c r="E188" s="22">
        <v>7.6274246560555509E-3</v>
      </c>
      <c r="F188" s="22">
        <v>-7.5757302851693241E-3</v>
      </c>
      <c r="G188" s="22">
        <v>-0.30908214842612991</v>
      </c>
      <c r="H188" s="22">
        <v>5.4259805319241041E-3</v>
      </c>
      <c r="I188" s="22">
        <v>-3.0968064529258762E-3</v>
      </c>
      <c r="J188" s="22">
        <v>1.835165576503698E-2</v>
      </c>
      <c r="K188" s="22">
        <v>2.5103814043413903E-2</v>
      </c>
      <c r="L188" s="22">
        <v>-4.1989248668608321E-2</v>
      </c>
      <c r="M188" s="22">
        <v>5.7244097980719423E-2</v>
      </c>
    </row>
    <row r="189" spans="2:13">
      <c r="B189" s="3" t="s">
        <v>329</v>
      </c>
      <c r="C189" s="24">
        <v>1</v>
      </c>
      <c r="D189" s="22">
        <v>5.169437088622658E-5</v>
      </c>
      <c r="E189" s="22">
        <v>7.6274246560555509E-3</v>
      </c>
      <c r="F189" s="22">
        <v>-7.5757302851693241E-3</v>
      </c>
      <c r="G189" s="22">
        <v>-0.30908214842612991</v>
      </c>
      <c r="H189" s="22">
        <v>5.4259805319241041E-3</v>
      </c>
      <c r="I189" s="22">
        <v>-3.0968064529258762E-3</v>
      </c>
      <c r="J189" s="22">
        <v>1.835165576503698E-2</v>
      </c>
      <c r="K189" s="22">
        <v>2.5103814043413903E-2</v>
      </c>
      <c r="L189" s="22">
        <v>-4.1989248668608321E-2</v>
      </c>
      <c r="M189" s="22">
        <v>5.7244097980719423E-2</v>
      </c>
    </row>
    <row r="190" spans="2:13">
      <c r="B190" s="3" t="s">
        <v>330</v>
      </c>
      <c r="C190" s="24">
        <v>1</v>
      </c>
      <c r="D190" s="22">
        <v>5.169437088622658E-5</v>
      </c>
      <c r="E190" s="22">
        <v>7.6274246560555509E-3</v>
      </c>
      <c r="F190" s="22">
        <v>-7.5757302851693241E-3</v>
      </c>
      <c r="G190" s="22">
        <v>-0.30908214842612991</v>
      </c>
      <c r="H190" s="22">
        <v>5.4259805319241041E-3</v>
      </c>
      <c r="I190" s="22">
        <v>-3.0968064529258762E-3</v>
      </c>
      <c r="J190" s="22">
        <v>1.835165576503698E-2</v>
      </c>
      <c r="K190" s="22">
        <v>2.5103814043413903E-2</v>
      </c>
      <c r="L190" s="22">
        <v>-4.1989248668608321E-2</v>
      </c>
      <c r="M190" s="22">
        <v>5.7244097980719423E-2</v>
      </c>
    </row>
    <row r="191" spans="2:13">
      <c r="B191" s="3" t="s">
        <v>331</v>
      </c>
      <c r="C191" s="24">
        <v>1</v>
      </c>
      <c r="D191" s="22">
        <v>5.6548436138861471E-5</v>
      </c>
      <c r="E191" s="22">
        <v>8.3946864453543144E-3</v>
      </c>
      <c r="F191" s="22">
        <v>-8.3381380092154532E-3</v>
      </c>
      <c r="G191" s="22">
        <v>-0.34018761396602232</v>
      </c>
      <c r="H191" s="22">
        <v>5.2660235566311534E-3</v>
      </c>
      <c r="I191" s="22">
        <v>-2.0133961701995235E-3</v>
      </c>
      <c r="J191" s="22">
        <v>1.880276906090815E-2</v>
      </c>
      <c r="K191" s="22">
        <v>2.506972714036752E-2</v>
      </c>
      <c r="L191" s="22">
        <v>-4.1154615493822995E-2</v>
      </c>
      <c r="M191" s="22">
        <v>5.7943988384531624E-2</v>
      </c>
    </row>
    <row r="192" spans="2:13">
      <c r="B192" s="3" t="s">
        <v>332</v>
      </c>
      <c r="C192" s="24">
        <v>1</v>
      </c>
      <c r="D192" s="22">
        <v>6.1260805817099929E-5</v>
      </c>
      <c r="E192" s="22">
        <v>8.3946864453543144E-3</v>
      </c>
      <c r="F192" s="22">
        <v>-8.3334256395372151E-3</v>
      </c>
      <c r="G192" s="22">
        <v>-0.33999535403998199</v>
      </c>
      <c r="H192" s="22">
        <v>5.2660235566311534E-3</v>
      </c>
      <c r="I192" s="22">
        <v>-2.0133961701995235E-3</v>
      </c>
      <c r="J192" s="22">
        <v>1.880276906090815E-2</v>
      </c>
      <c r="K192" s="22">
        <v>2.506972714036752E-2</v>
      </c>
      <c r="L192" s="22">
        <v>-4.1154615493822995E-2</v>
      </c>
      <c r="M192" s="22">
        <v>5.7943988384531624E-2</v>
      </c>
    </row>
    <row r="193" spans="2:13">
      <c r="B193" s="3" t="s">
        <v>333</v>
      </c>
      <c r="C193" s="24">
        <v>1</v>
      </c>
      <c r="D193" s="22">
        <v>8.0110284530053751E-5</v>
      </c>
      <c r="E193" s="22">
        <v>8.3946864453543144E-3</v>
      </c>
      <c r="F193" s="22">
        <v>-8.3145761608242608E-3</v>
      </c>
      <c r="G193" s="22">
        <v>-0.33922631433582068</v>
      </c>
      <c r="H193" s="22">
        <v>5.2660235566311534E-3</v>
      </c>
      <c r="I193" s="22">
        <v>-2.0133961701995235E-3</v>
      </c>
      <c r="J193" s="22">
        <v>1.880276906090815E-2</v>
      </c>
      <c r="K193" s="22">
        <v>2.506972714036752E-2</v>
      </c>
      <c r="L193" s="22">
        <v>-4.1154615493822995E-2</v>
      </c>
      <c r="M193" s="22">
        <v>5.7943988384531624E-2</v>
      </c>
    </row>
    <row r="194" spans="2:13">
      <c r="B194" s="3" t="s">
        <v>334</v>
      </c>
      <c r="C194" s="24">
        <v>1</v>
      </c>
      <c r="D194" s="22">
        <v>4.712369678238456E-5</v>
      </c>
      <c r="E194" s="22">
        <v>8.3946864453543144E-3</v>
      </c>
      <c r="F194" s="22">
        <v>-8.3475627485719295E-3</v>
      </c>
      <c r="G194" s="22">
        <v>-0.34057213381810292</v>
      </c>
      <c r="H194" s="22">
        <v>5.2660235566311534E-3</v>
      </c>
      <c r="I194" s="22">
        <v>-2.0133961701995235E-3</v>
      </c>
      <c r="J194" s="22">
        <v>1.880276906090815E-2</v>
      </c>
      <c r="K194" s="22">
        <v>2.506972714036752E-2</v>
      </c>
      <c r="L194" s="22">
        <v>-4.1154615493822995E-2</v>
      </c>
      <c r="M194" s="22">
        <v>5.7943988384531624E-2</v>
      </c>
    </row>
    <row r="195" spans="2:13">
      <c r="B195" s="3" t="s">
        <v>335</v>
      </c>
      <c r="C195" s="24">
        <v>1</v>
      </c>
      <c r="D195" s="22">
        <v>3.0033579043049083E-2</v>
      </c>
      <c r="E195" s="22">
        <v>8.3946864453543144E-3</v>
      </c>
      <c r="F195" s="22">
        <v>2.1638892597694769E-2</v>
      </c>
      <c r="G195" s="22">
        <v>0.8828449749261752</v>
      </c>
      <c r="H195" s="22">
        <v>5.2660235566311534E-3</v>
      </c>
      <c r="I195" s="22">
        <v>-2.0133961701995235E-3</v>
      </c>
      <c r="J195" s="22">
        <v>1.880276906090815E-2</v>
      </c>
      <c r="K195" s="22">
        <v>2.506972714036752E-2</v>
      </c>
      <c r="L195" s="22">
        <v>-4.1154615493822995E-2</v>
      </c>
      <c r="M195" s="22">
        <v>5.7943988384531624E-2</v>
      </c>
    </row>
    <row r="196" spans="2:13">
      <c r="B196" s="3" t="s">
        <v>336</v>
      </c>
      <c r="C196" s="24">
        <v>1</v>
      </c>
      <c r="D196" s="22">
        <v>4.5050368564573624E-2</v>
      </c>
      <c r="E196" s="22">
        <v>8.3946864453543144E-3</v>
      </c>
      <c r="F196" s="22">
        <v>3.665568211921931E-2</v>
      </c>
      <c r="G196" s="22">
        <v>1.4955148289285158</v>
      </c>
      <c r="H196" s="22">
        <v>5.2660235566311534E-3</v>
      </c>
      <c r="I196" s="22">
        <v>-2.0133961701995235E-3</v>
      </c>
      <c r="J196" s="22">
        <v>1.880276906090815E-2</v>
      </c>
      <c r="K196" s="22">
        <v>2.506972714036752E-2</v>
      </c>
      <c r="L196" s="22">
        <v>-4.1154615493822995E-2</v>
      </c>
      <c r="M196" s="22">
        <v>5.7943988384531624E-2</v>
      </c>
    </row>
    <row r="197" spans="2:13">
      <c r="B197" s="3" t="s">
        <v>337</v>
      </c>
      <c r="C197" s="24">
        <v>1</v>
      </c>
      <c r="D197" s="22">
        <v>1.8770986901905675E-2</v>
      </c>
      <c r="E197" s="22">
        <v>8.3946864453543144E-3</v>
      </c>
      <c r="F197" s="22">
        <v>1.0376300456551361E-2</v>
      </c>
      <c r="G197" s="22">
        <v>0.42334258442441963</v>
      </c>
      <c r="H197" s="22">
        <v>5.2660235566311534E-3</v>
      </c>
      <c r="I197" s="22">
        <v>-2.0133961701995235E-3</v>
      </c>
      <c r="J197" s="22">
        <v>1.880276906090815E-2</v>
      </c>
      <c r="K197" s="22">
        <v>2.506972714036752E-2</v>
      </c>
      <c r="L197" s="22">
        <v>-4.1154615493822995E-2</v>
      </c>
      <c r="M197" s="22">
        <v>5.7943988384531624E-2</v>
      </c>
    </row>
    <row r="198" spans="2:13">
      <c r="B198" s="3" t="s">
        <v>338</v>
      </c>
      <c r="C198" s="24">
        <v>1</v>
      </c>
      <c r="D198" s="22">
        <v>5.1142333764168754E-5</v>
      </c>
      <c r="E198" s="22">
        <v>6.1591660440732422E-3</v>
      </c>
      <c r="F198" s="22">
        <v>-6.1080237103090735E-3</v>
      </c>
      <c r="G198" s="22">
        <v>-0.24920120172650442</v>
      </c>
      <c r="H198" s="22">
        <v>4.329035112122917E-3</v>
      </c>
      <c r="I198" s="22">
        <v>-2.3969968002557508E-3</v>
      </c>
      <c r="J198" s="22">
        <v>1.4715328888402235E-2</v>
      </c>
      <c r="K198" s="22">
        <v>2.4889772192518731E-2</v>
      </c>
      <c r="L198" s="22">
        <v>-4.3034462217585223E-2</v>
      </c>
      <c r="M198" s="22">
        <v>5.5352794305731701E-2</v>
      </c>
    </row>
    <row r="199" spans="2:13">
      <c r="B199" s="3" t="s">
        <v>339</v>
      </c>
      <c r="C199" s="24">
        <v>1</v>
      </c>
      <c r="D199" s="22">
        <v>4.1843727625228975E-5</v>
      </c>
      <c r="E199" s="22">
        <v>6.1591660440732422E-3</v>
      </c>
      <c r="F199" s="22">
        <v>-6.1173223164480133E-3</v>
      </c>
      <c r="G199" s="22">
        <v>-0.24958057547063289</v>
      </c>
      <c r="H199" s="22">
        <v>4.329035112122917E-3</v>
      </c>
      <c r="I199" s="22">
        <v>-2.3969968002557508E-3</v>
      </c>
      <c r="J199" s="22">
        <v>1.4715328888402235E-2</v>
      </c>
      <c r="K199" s="22">
        <v>2.4889772192518731E-2</v>
      </c>
      <c r="L199" s="22">
        <v>-4.3034462217585223E-2</v>
      </c>
      <c r="M199" s="22">
        <v>5.5352794305731701E-2</v>
      </c>
    </row>
    <row r="200" spans="2:13">
      <c r="B200" s="3" t="s">
        <v>340</v>
      </c>
      <c r="C200" s="24">
        <v>1</v>
      </c>
      <c r="D200" s="22">
        <v>9.2986061389397723E-5</v>
      </c>
      <c r="E200" s="22">
        <v>6.1591660440732422E-3</v>
      </c>
      <c r="F200" s="22">
        <v>-6.0661799826838446E-3</v>
      </c>
      <c r="G200" s="22">
        <v>-0.24749401987792646</v>
      </c>
      <c r="H200" s="22">
        <v>4.329035112122917E-3</v>
      </c>
      <c r="I200" s="22">
        <v>-2.3969968002557508E-3</v>
      </c>
      <c r="J200" s="22">
        <v>1.4715328888402235E-2</v>
      </c>
      <c r="K200" s="22">
        <v>2.4889772192518731E-2</v>
      </c>
      <c r="L200" s="22">
        <v>-4.3034462217585223E-2</v>
      </c>
      <c r="M200" s="22">
        <v>5.5352794305731701E-2</v>
      </c>
    </row>
    <row r="201" spans="2:13">
      <c r="B201" s="3" t="s">
        <v>341</v>
      </c>
      <c r="C201" s="24">
        <v>1</v>
      </c>
      <c r="D201" s="22">
        <v>6.0440939903108527E-5</v>
      </c>
      <c r="E201" s="22">
        <v>6.1591660440732422E-3</v>
      </c>
      <c r="F201" s="22">
        <v>-6.0987251041701336E-3</v>
      </c>
      <c r="G201" s="22">
        <v>-0.24882182798237598</v>
      </c>
      <c r="H201" s="22">
        <v>4.329035112122917E-3</v>
      </c>
      <c r="I201" s="22">
        <v>-2.3969968002557508E-3</v>
      </c>
      <c r="J201" s="22">
        <v>1.4715328888402235E-2</v>
      </c>
      <c r="K201" s="22">
        <v>2.4889772192518731E-2</v>
      </c>
      <c r="L201" s="22">
        <v>-4.3034462217585223E-2</v>
      </c>
      <c r="M201" s="22">
        <v>5.5352794305731701E-2</v>
      </c>
    </row>
    <row r="202" spans="2:13">
      <c r="B202" s="3" t="s">
        <v>342</v>
      </c>
      <c r="C202" s="24">
        <v>1</v>
      </c>
      <c r="D202" s="22">
        <v>5.8742296111038088E-5</v>
      </c>
      <c r="E202" s="22">
        <v>1.0762736779865816E-2</v>
      </c>
      <c r="F202" s="22">
        <v>-1.0703994483754779E-2</v>
      </c>
      <c r="G202" s="22">
        <v>-0.43671216994843481</v>
      </c>
      <c r="H202" s="22">
        <v>4.5040700146800903E-3</v>
      </c>
      <c r="I202" s="22">
        <v>1.8606245285831772E-3</v>
      </c>
      <c r="J202" s="22">
        <v>1.9664849031148457E-2</v>
      </c>
      <c r="K202" s="22">
        <v>2.4920811814437869E-2</v>
      </c>
      <c r="L202" s="22">
        <v>-3.8492240039355238E-2</v>
      </c>
      <c r="M202" s="22">
        <v>6.0017713599086864E-2</v>
      </c>
    </row>
    <row r="203" spans="2:13">
      <c r="B203" s="3" t="s">
        <v>343</v>
      </c>
      <c r="C203" s="24">
        <v>1</v>
      </c>
      <c r="D203" s="22">
        <v>3.9161530740692057E-5</v>
      </c>
      <c r="E203" s="22">
        <v>1.0762736779865816E-2</v>
      </c>
      <c r="F203" s="22">
        <v>-1.0723575249125124E-2</v>
      </c>
      <c r="G203" s="22">
        <v>-0.43751104541003116</v>
      </c>
      <c r="H203" s="22">
        <v>4.5040700146800903E-3</v>
      </c>
      <c r="I203" s="22">
        <v>1.8606245285831772E-3</v>
      </c>
      <c r="J203" s="22">
        <v>1.9664849031148457E-2</v>
      </c>
      <c r="K203" s="22">
        <v>2.4920811814437869E-2</v>
      </c>
      <c r="L203" s="22">
        <v>-3.8492240039355238E-2</v>
      </c>
      <c r="M203" s="22">
        <v>6.0017713599086864E-2</v>
      </c>
    </row>
    <row r="204" spans="2:13">
      <c r="B204" s="3" t="s">
        <v>344</v>
      </c>
      <c r="C204" s="24">
        <v>1</v>
      </c>
      <c r="D204" s="22">
        <v>5.2215374320922742E-5</v>
      </c>
      <c r="E204" s="22">
        <v>1.0762736779865816E-2</v>
      </c>
      <c r="F204" s="22">
        <v>-1.0710521405544893E-2</v>
      </c>
      <c r="G204" s="22">
        <v>-0.43697846176896687</v>
      </c>
      <c r="H204" s="22">
        <v>4.5040700146800903E-3</v>
      </c>
      <c r="I204" s="22">
        <v>1.8606245285831772E-3</v>
      </c>
      <c r="J204" s="22">
        <v>1.9664849031148457E-2</v>
      </c>
      <c r="K204" s="22">
        <v>2.4920811814437869E-2</v>
      </c>
      <c r="L204" s="22">
        <v>-3.8492240039355238E-2</v>
      </c>
      <c r="M204" s="22">
        <v>6.0017713599086864E-2</v>
      </c>
    </row>
    <row r="205" spans="2:13">
      <c r="B205" s="3" t="s">
        <v>345</v>
      </c>
      <c r="C205" s="24">
        <v>1</v>
      </c>
      <c r="D205" s="22">
        <v>6.5269217901153435E-5</v>
      </c>
      <c r="E205" s="22">
        <v>1.0762736779865816E-2</v>
      </c>
      <c r="F205" s="22">
        <v>-1.0697467561964663E-2</v>
      </c>
      <c r="G205" s="22">
        <v>-0.43644587812790264</v>
      </c>
      <c r="H205" s="22">
        <v>4.5040700146800903E-3</v>
      </c>
      <c r="I205" s="22">
        <v>1.8606245285831772E-3</v>
      </c>
      <c r="J205" s="22">
        <v>1.9664849031148457E-2</v>
      </c>
      <c r="K205" s="22">
        <v>2.4920811814437869E-2</v>
      </c>
      <c r="L205" s="22">
        <v>-3.8492240039355238E-2</v>
      </c>
      <c r="M205" s="22">
        <v>6.0017713599086864E-2</v>
      </c>
    </row>
    <row r="206" spans="2:13">
      <c r="B206" s="3" t="s">
        <v>346</v>
      </c>
      <c r="C206" s="24">
        <v>1</v>
      </c>
      <c r="D206" s="22">
        <v>1.1645276041370077E-4</v>
      </c>
      <c r="E206" s="22">
        <v>9.9954749905670527E-3</v>
      </c>
      <c r="F206" s="22">
        <v>-9.8790222301533524E-3</v>
      </c>
      <c r="G206" s="22">
        <v>-0.40305413475752438</v>
      </c>
      <c r="H206" s="22">
        <v>4.2738669511548028E-3</v>
      </c>
      <c r="I206" s="22">
        <v>1.5483497855363609E-3</v>
      </c>
      <c r="J206" s="22">
        <v>1.8442600195597743E-2</v>
      </c>
      <c r="K206" s="22">
        <v>2.4880236202851028E-2</v>
      </c>
      <c r="L206" s="22">
        <v>-3.9179305773123507E-2</v>
      </c>
      <c r="M206" s="22">
        <v>5.917025575425762E-2</v>
      </c>
    </row>
    <row r="207" spans="2:13">
      <c r="B207" s="3" t="s">
        <v>347</v>
      </c>
      <c r="C207" s="24">
        <v>1</v>
      </c>
      <c r="D207" s="22">
        <v>1.1645276041370077E-4</v>
      </c>
      <c r="E207" s="22">
        <v>9.9954749905670527E-3</v>
      </c>
      <c r="F207" s="22">
        <v>-9.8790222301533524E-3</v>
      </c>
      <c r="G207" s="22">
        <v>-0.40305413475752438</v>
      </c>
      <c r="H207" s="22">
        <v>4.2738669511548028E-3</v>
      </c>
      <c r="I207" s="22">
        <v>1.5483497855363609E-3</v>
      </c>
      <c r="J207" s="22">
        <v>1.8442600195597743E-2</v>
      </c>
      <c r="K207" s="22">
        <v>2.4880236202851028E-2</v>
      </c>
      <c r="L207" s="22">
        <v>-3.9179305773123507E-2</v>
      </c>
      <c r="M207" s="22">
        <v>5.917025575425762E-2</v>
      </c>
    </row>
    <row r="208" spans="2:13">
      <c r="B208" s="3" t="s">
        <v>348</v>
      </c>
      <c r="C208" s="24">
        <v>1</v>
      </c>
      <c r="D208" s="22">
        <v>8.1516932289590535E-5</v>
      </c>
      <c r="E208" s="22">
        <v>9.9954749905670527E-3</v>
      </c>
      <c r="F208" s="22">
        <v>-9.9139580582774615E-3</v>
      </c>
      <c r="G208" s="22">
        <v>-0.40447948127953354</v>
      </c>
      <c r="H208" s="22">
        <v>4.2738669511548028E-3</v>
      </c>
      <c r="I208" s="22">
        <v>1.5483497855363609E-3</v>
      </c>
      <c r="J208" s="22">
        <v>1.8442600195597743E-2</v>
      </c>
      <c r="K208" s="22">
        <v>2.4880236202851028E-2</v>
      </c>
      <c r="L208" s="22">
        <v>-3.9179305773123507E-2</v>
      </c>
      <c r="M208" s="22">
        <v>5.917025575425762E-2</v>
      </c>
    </row>
    <row r="209" spans="2:13">
      <c r="B209" s="3" t="s">
        <v>349</v>
      </c>
      <c r="C209" s="24">
        <v>1</v>
      </c>
      <c r="D209" s="22">
        <v>2.2126024478603146E-4</v>
      </c>
      <c r="E209" s="22">
        <v>9.9954749905670527E-3</v>
      </c>
      <c r="F209" s="22">
        <v>-9.7742147457810218E-3</v>
      </c>
      <c r="G209" s="22">
        <v>-0.39877809519149671</v>
      </c>
      <c r="H209" s="22">
        <v>4.2738669511548028E-3</v>
      </c>
      <c r="I209" s="22">
        <v>1.5483497855363609E-3</v>
      </c>
      <c r="J209" s="22">
        <v>1.8442600195597743E-2</v>
      </c>
      <c r="K209" s="22">
        <v>2.4880236202851028E-2</v>
      </c>
      <c r="L209" s="22">
        <v>-3.9179305773123507E-2</v>
      </c>
      <c r="M209" s="22">
        <v>5.917025575425762E-2</v>
      </c>
    </row>
    <row r="210" spans="2:13">
      <c r="B210" s="3" t="s">
        <v>350</v>
      </c>
      <c r="C210" s="24">
        <v>1</v>
      </c>
      <c r="D210" s="22">
        <v>5.7844951620410629E-5</v>
      </c>
      <c r="E210" s="22">
        <v>1.3270423519792015E-2</v>
      </c>
      <c r="F210" s="22">
        <v>-1.3212578568171604E-2</v>
      </c>
      <c r="G210" s="22">
        <v>-0.53905986833957653</v>
      </c>
      <c r="H210" s="22">
        <v>5.4007153192106114E-3</v>
      </c>
      <c r="I210" s="22">
        <v>2.5961280820801253E-3</v>
      </c>
      <c r="J210" s="22">
        <v>2.3944718957503906E-2</v>
      </c>
      <c r="K210" s="22">
        <v>2.5098365300406357E-2</v>
      </c>
      <c r="L210" s="22">
        <v>-3.6335480584650262E-2</v>
      </c>
      <c r="M210" s="22">
        <v>6.2876327624234299E-2</v>
      </c>
    </row>
    <row r="211" spans="2:13">
      <c r="B211" s="3" t="s">
        <v>351</v>
      </c>
      <c r="C211" s="24">
        <v>1</v>
      </c>
      <c r="D211" s="22">
        <v>1.0604907797075282E-4</v>
      </c>
      <c r="E211" s="22">
        <v>1.3270423519792015E-2</v>
      </c>
      <c r="F211" s="22">
        <v>-1.3164374441821261E-2</v>
      </c>
      <c r="G211" s="22">
        <v>-0.53709318864342426</v>
      </c>
      <c r="H211" s="22">
        <v>5.4007153192106114E-3</v>
      </c>
      <c r="I211" s="22">
        <v>2.5961280820801253E-3</v>
      </c>
      <c r="J211" s="22">
        <v>2.3944718957503906E-2</v>
      </c>
      <c r="K211" s="22">
        <v>2.5098365300406357E-2</v>
      </c>
      <c r="L211" s="22">
        <v>-3.6335480584650262E-2</v>
      </c>
      <c r="M211" s="22">
        <v>6.2876327624234299E-2</v>
      </c>
    </row>
    <row r="212" spans="2:13">
      <c r="B212" s="3" t="s">
        <v>352</v>
      </c>
      <c r="C212" s="24">
        <v>1</v>
      </c>
      <c r="D212" s="22">
        <v>4.8204126350342191E-5</v>
      </c>
      <c r="E212" s="22">
        <v>1.3270423519792015E-2</v>
      </c>
      <c r="F212" s="22">
        <v>-1.3222219393441672E-2</v>
      </c>
      <c r="G212" s="22">
        <v>-0.53945320427880694</v>
      </c>
      <c r="H212" s="22">
        <v>5.4007153192106114E-3</v>
      </c>
      <c r="I212" s="22">
        <v>2.5961280820801253E-3</v>
      </c>
      <c r="J212" s="22">
        <v>2.3944718957503906E-2</v>
      </c>
      <c r="K212" s="22">
        <v>2.5098365300406357E-2</v>
      </c>
      <c r="L212" s="22">
        <v>-3.6335480584650262E-2</v>
      </c>
      <c r="M212" s="22">
        <v>6.2876327624234299E-2</v>
      </c>
    </row>
    <row r="213" spans="2:13">
      <c r="B213" s="3" t="s">
        <v>353</v>
      </c>
      <c r="C213" s="24">
        <v>1</v>
      </c>
      <c r="D213" s="22">
        <v>7.7126602160547506E-5</v>
      </c>
      <c r="E213" s="22">
        <v>1.3270423519792015E-2</v>
      </c>
      <c r="F213" s="22">
        <v>-1.3193296917631468E-2</v>
      </c>
      <c r="G213" s="22">
        <v>-0.53827319646111571</v>
      </c>
      <c r="H213" s="22">
        <v>5.4007153192106114E-3</v>
      </c>
      <c r="I213" s="22">
        <v>2.5961280820801253E-3</v>
      </c>
      <c r="J213" s="22">
        <v>2.3944718957503906E-2</v>
      </c>
      <c r="K213" s="22">
        <v>2.5098365300406357E-2</v>
      </c>
      <c r="L213" s="22">
        <v>-3.6335480584650262E-2</v>
      </c>
      <c r="M213" s="22">
        <v>6.2876327624234299E-2</v>
      </c>
    </row>
    <row r="214" spans="2:13">
      <c r="B214" s="3" t="s">
        <v>354</v>
      </c>
      <c r="C214" s="24">
        <v>1</v>
      </c>
      <c r="D214" s="22">
        <v>8.1509875899583736E-2</v>
      </c>
      <c r="E214" s="22">
        <v>1.3270423519792015E-2</v>
      </c>
      <c r="F214" s="22">
        <v>6.8239452379791718E-2</v>
      </c>
      <c r="G214" s="22">
        <v>2.7841007737905747</v>
      </c>
      <c r="H214" s="22">
        <v>5.4007153192106114E-3</v>
      </c>
      <c r="I214" s="22">
        <v>2.5961280820801253E-3</v>
      </c>
      <c r="J214" s="22">
        <v>2.3944718957503906E-2</v>
      </c>
      <c r="K214" s="22">
        <v>2.5098365300406357E-2</v>
      </c>
      <c r="L214" s="22">
        <v>-3.6335480584650262E-2</v>
      </c>
      <c r="M214" s="22">
        <v>6.2876327624234299E-2</v>
      </c>
    </row>
    <row r="215" spans="2:13">
      <c r="B215" s="3" t="s">
        <v>355</v>
      </c>
      <c r="C215" s="24">
        <v>1</v>
      </c>
      <c r="D215" s="22">
        <v>5.7056913129708613E-2</v>
      </c>
      <c r="E215" s="22">
        <v>1.3270423519792015E-2</v>
      </c>
      <c r="F215" s="22">
        <v>4.3786489609916601E-2</v>
      </c>
      <c r="G215" s="22">
        <v>1.7864445764609147</v>
      </c>
      <c r="H215" s="22">
        <v>5.4007153192106114E-3</v>
      </c>
      <c r="I215" s="22">
        <v>2.5961280820801253E-3</v>
      </c>
      <c r="J215" s="22">
        <v>2.3944718957503906E-2</v>
      </c>
      <c r="K215" s="22">
        <v>2.5098365300406357E-2</v>
      </c>
      <c r="L215" s="22">
        <v>-3.6335480584650262E-2</v>
      </c>
      <c r="M215" s="22">
        <v>6.2876327624234299E-2</v>
      </c>
    </row>
    <row r="216" spans="2:13">
      <c r="B216" s="3" t="s">
        <v>356</v>
      </c>
      <c r="C216" s="24">
        <v>1</v>
      </c>
      <c r="D216" s="22">
        <v>8.1509875899583736E-2</v>
      </c>
      <c r="E216" s="22">
        <v>1.3270423519792015E-2</v>
      </c>
      <c r="F216" s="22">
        <v>6.8239452379791718E-2</v>
      </c>
      <c r="G216" s="22">
        <v>2.7841007737905747</v>
      </c>
      <c r="H216" s="22">
        <v>5.4007153192106114E-3</v>
      </c>
      <c r="I216" s="22">
        <v>2.5961280820801253E-3</v>
      </c>
      <c r="J216" s="22">
        <v>2.3944718957503906E-2</v>
      </c>
      <c r="K216" s="22">
        <v>2.5098365300406357E-2</v>
      </c>
      <c r="L216" s="22">
        <v>-3.6335480584650262E-2</v>
      </c>
      <c r="M216" s="22">
        <v>6.2876327624234299E-2</v>
      </c>
    </row>
    <row r="217" spans="2:13">
      <c r="B217" s="3" t="s">
        <v>357</v>
      </c>
      <c r="C217" s="24">
        <v>1</v>
      </c>
      <c r="D217" s="22">
        <v>0</v>
      </c>
      <c r="E217" s="22">
        <v>8.7137072260303518E-3</v>
      </c>
      <c r="F217" s="22">
        <v>-8.7137072260303518E-3</v>
      </c>
      <c r="G217" s="22">
        <v>-0.35551045889928451</v>
      </c>
      <c r="H217" s="22">
        <v>4.3237213552205847E-3</v>
      </c>
      <c r="I217" s="22">
        <v>1.6804680734447928E-4</v>
      </c>
      <c r="J217" s="22">
        <v>1.7259367644716223E-2</v>
      </c>
      <c r="K217" s="22">
        <v>2.4888848530036024E-2</v>
      </c>
      <c r="L217" s="22">
        <v>-4.0478095454081514E-2</v>
      </c>
      <c r="M217" s="22">
        <v>5.7905509906142225E-2</v>
      </c>
    </row>
    <row r="218" spans="2:13">
      <c r="B218" s="3" t="s">
        <v>358</v>
      </c>
      <c r="C218" s="24">
        <v>1</v>
      </c>
      <c r="D218" s="22">
        <v>1.5295197308045274E-4</v>
      </c>
      <c r="E218" s="22">
        <v>8.7137072260303518E-3</v>
      </c>
      <c r="F218" s="22">
        <v>-8.5607552529498986E-3</v>
      </c>
      <c r="G218" s="22">
        <v>-0.34927017279270678</v>
      </c>
      <c r="H218" s="22">
        <v>4.3237213552205847E-3</v>
      </c>
      <c r="I218" s="22">
        <v>1.6804680734447928E-4</v>
      </c>
      <c r="J218" s="22">
        <v>1.7259367644716223E-2</v>
      </c>
      <c r="K218" s="22">
        <v>2.4888848530036024E-2</v>
      </c>
      <c r="L218" s="22">
        <v>-4.0478095454081514E-2</v>
      </c>
      <c r="M218" s="22">
        <v>5.7905509906142225E-2</v>
      </c>
    </row>
    <row r="219" spans="2:13">
      <c r="B219" s="3" t="s">
        <v>359</v>
      </c>
      <c r="C219" s="24">
        <v>1</v>
      </c>
      <c r="D219" s="22">
        <v>1.5295197308045274E-4</v>
      </c>
      <c r="E219" s="22">
        <v>8.7137072260303518E-3</v>
      </c>
      <c r="F219" s="22">
        <v>-8.5607552529498986E-3</v>
      </c>
      <c r="G219" s="22">
        <v>-0.34927017279270678</v>
      </c>
      <c r="H219" s="22">
        <v>4.3237213552205847E-3</v>
      </c>
      <c r="I219" s="22">
        <v>1.6804680734447928E-4</v>
      </c>
      <c r="J219" s="22">
        <v>1.7259367644716223E-2</v>
      </c>
      <c r="K219" s="22">
        <v>2.4888848530036024E-2</v>
      </c>
      <c r="L219" s="22">
        <v>-4.0478095454081514E-2</v>
      </c>
      <c r="M219" s="22">
        <v>5.7905509906142225E-2</v>
      </c>
    </row>
    <row r="220" spans="2:13">
      <c r="B220" s="3" t="s">
        <v>360</v>
      </c>
      <c r="C220" s="24">
        <v>1</v>
      </c>
      <c r="D220" s="22">
        <v>0</v>
      </c>
      <c r="E220" s="22">
        <v>8.7137072260303518E-3</v>
      </c>
      <c r="F220" s="22">
        <v>-8.7137072260303518E-3</v>
      </c>
      <c r="G220" s="22">
        <v>-0.35551045889928451</v>
      </c>
      <c r="H220" s="22">
        <v>4.3237213552205847E-3</v>
      </c>
      <c r="I220" s="22">
        <v>1.6804680734447928E-4</v>
      </c>
      <c r="J220" s="22">
        <v>1.7259367644716223E-2</v>
      </c>
      <c r="K220" s="22">
        <v>2.4888848530036024E-2</v>
      </c>
      <c r="L220" s="22">
        <v>-4.0478095454081514E-2</v>
      </c>
      <c r="M220" s="22">
        <v>5.7905509906142225E-2</v>
      </c>
    </row>
    <row r="221" spans="2:13">
      <c r="B221" s="3" t="s">
        <v>361</v>
      </c>
      <c r="C221" s="24">
        <v>1</v>
      </c>
      <c r="D221" s="22">
        <v>1.35464643727987E-4</v>
      </c>
      <c r="E221" s="22">
        <v>1.2531080733137705E-2</v>
      </c>
      <c r="F221" s="22">
        <v>-1.2395616089409717E-2</v>
      </c>
      <c r="G221" s="22">
        <v>-0.50572862387677076</v>
      </c>
      <c r="H221" s="22">
        <v>5.8380146206850007E-3</v>
      </c>
      <c r="I221" s="22">
        <v>9.924809092940641E-4</v>
      </c>
      <c r="J221" s="22">
        <v>2.4069680556981346E-2</v>
      </c>
      <c r="K221" s="22">
        <v>2.5196083614419475E-2</v>
      </c>
      <c r="L221" s="22">
        <v>-3.7267959667480172E-2</v>
      </c>
      <c r="M221" s="22">
        <v>6.2330121133755578E-2</v>
      </c>
    </row>
    <row r="222" spans="2:13">
      <c r="B222" s="3" t="s">
        <v>362</v>
      </c>
      <c r="C222" s="24">
        <v>1</v>
      </c>
      <c r="D222" s="22">
        <v>5.4185857491194801E-4</v>
      </c>
      <c r="E222" s="22">
        <v>1.2531080733137705E-2</v>
      </c>
      <c r="F222" s="22">
        <v>-1.1989222158225756E-2</v>
      </c>
      <c r="G222" s="22">
        <v>-0.48914816171280234</v>
      </c>
      <c r="H222" s="22">
        <v>5.8380146206850007E-3</v>
      </c>
      <c r="I222" s="22">
        <v>9.924809092940641E-4</v>
      </c>
      <c r="J222" s="22">
        <v>2.4069680556981346E-2</v>
      </c>
      <c r="K222" s="22">
        <v>2.5196083614419475E-2</v>
      </c>
      <c r="L222" s="22">
        <v>-3.7267959667480172E-2</v>
      </c>
      <c r="M222" s="22">
        <v>6.2330121133755578E-2</v>
      </c>
    </row>
    <row r="223" spans="2:13">
      <c r="B223" s="3" t="s">
        <v>363</v>
      </c>
      <c r="C223" s="24">
        <v>1</v>
      </c>
      <c r="D223" s="22">
        <v>4.06393931183961E-4</v>
      </c>
      <c r="E223" s="22">
        <v>1.2531080733137705E-2</v>
      </c>
      <c r="F223" s="22">
        <v>-1.2124686801953744E-2</v>
      </c>
      <c r="G223" s="22">
        <v>-0.49467498243412517</v>
      </c>
      <c r="H223" s="22">
        <v>5.8380146206850007E-3</v>
      </c>
      <c r="I223" s="22">
        <v>9.924809092940641E-4</v>
      </c>
      <c r="J223" s="22">
        <v>2.4069680556981346E-2</v>
      </c>
      <c r="K223" s="22">
        <v>2.5196083614419475E-2</v>
      </c>
      <c r="L223" s="22">
        <v>-3.7267959667480172E-2</v>
      </c>
      <c r="M223" s="22">
        <v>6.2330121133755578E-2</v>
      </c>
    </row>
    <row r="224" spans="2:13">
      <c r="B224" s="3" t="s">
        <v>364</v>
      </c>
      <c r="C224" s="24">
        <v>1</v>
      </c>
      <c r="D224" s="22">
        <v>0</v>
      </c>
      <c r="E224" s="22">
        <v>1.2531080733137705E-2</v>
      </c>
      <c r="F224" s="22">
        <v>-1.2531080733137705E-2</v>
      </c>
      <c r="G224" s="22">
        <v>-0.51125544459809358</v>
      </c>
      <c r="H224" s="22">
        <v>5.8380146206850007E-3</v>
      </c>
      <c r="I224" s="22">
        <v>9.924809092940641E-4</v>
      </c>
      <c r="J224" s="22">
        <v>2.4069680556981346E-2</v>
      </c>
      <c r="K224" s="22">
        <v>2.5196083614419475E-2</v>
      </c>
      <c r="L224" s="22">
        <v>-3.7267959667480172E-2</v>
      </c>
      <c r="M224" s="22">
        <v>6.2330121133755578E-2</v>
      </c>
    </row>
    <row r="225" spans="2:13">
      <c r="B225" s="3" t="s">
        <v>365</v>
      </c>
      <c r="C225" s="24">
        <v>1</v>
      </c>
      <c r="D225" s="22">
        <v>0</v>
      </c>
      <c r="E225" s="22">
        <v>7.1602482080463572E-3</v>
      </c>
      <c r="F225" s="22">
        <v>-7.1602482080463572E-3</v>
      </c>
      <c r="G225" s="22">
        <v>-0.29213089908174444</v>
      </c>
      <c r="H225" s="22">
        <v>4.6542218337635895E-3</v>
      </c>
      <c r="I225" s="22">
        <v>-2.0386330419105911E-3</v>
      </c>
      <c r="J225" s="22">
        <v>1.6359129458003305E-2</v>
      </c>
      <c r="K225" s="22">
        <v>2.4948386634637668E-2</v>
      </c>
      <c r="L225" s="22">
        <v>-4.2149229128246472E-2</v>
      </c>
      <c r="M225" s="22">
        <v>5.646972554433919E-2</v>
      </c>
    </row>
    <row r="226" spans="2:13">
      <c r="B226" s="3" t="s">
        <v>366</v>
      </c>
      <c r="C226" s="24">
        <v>1</v>
      </c>
      <c r="D226" s="22">
        <v>2.9209872937052721E-4</v>
      </c>
      <c r="E226" s="22">
        <v>7.1602482080463572E-3</v>
      </c>
      <c r="F226" s="22">
        <v>-6.8681494786758304E-3</v>
      </c>
      <c r="G226" s="22">
        <v>-0.28021356577816481</v>
      </c>
      <c r="H226" s="22">
        <v>4.6542218337635895E-3</v>
      </c>
      <c r="I226" s="22">
        <v>-2.0386330419105911E-3</v>
      </c>
      <c r="J226" s="22">
        <v>1.6359129458003305E-2</v>
      </c>
      <c r="K226" s="22">
        <v>2.4948386634637668E-2</v>
      </c>
      <c r="L226" s="22">
        <v>-4.2149229128246472E-2</v>
      </c>
      <c r="M226" s="22">
        <v>5.646972554433919E-2</v>
      </c>
    </row>
    <row r="227" spans="2:13">
      <c r="B227" s="3" t="s">
        <v>367</v>
      </c>
      <c r="C227" s="24">
        <v>1</v>
      </c>
      <c r="D227" s="22">
        <v>1.4604936468526361E-4</v>
      </c>
      <c r="E227" s="22">
        <v>7.1602482080463572E-3</v>
      </c>
      <c r="F227" s="22">
        <v>-7.0141988433610938E-3</v>
      </c>
      <c r="G227" s="22">
        <v>-0.28617223242995465</v>
      </c>
      <c r="H227" s="22">
        <v>4.6542218337635895E-3</v>
      </c>
      <c r="I227" s="22">
        <v>-2.0386330419105911E-3</v>
      </c>
      <c r="J227" s="22">
        <v>1.6359129458003305E-2</v>
      </c>
      <c r="K227" s="22">
        <v>2.4948386634637668E-2</v>
      </c>
      <c r="L227" s="22">
        <v>-4.2149229128246472E-2</v>
      </c>
      <c r="M227" s="22">
        <v>5.646972554433919E-2</v>
      </c>
    </row>
    <row r="228" spans="2:13">
      <c r="B228" s="3" t="s">
        <v>368</v>
      </c>
      <c r="C228" s="24">
        <v>1</v>
      </c>
      <c r="D228" s="22">
        <v>2.9209872937052721E-4</v>
      </c>
      <c r="E228" s="22">
        <v>7.1602482080463572E-3</v>
      </c>
      <c r="F228" s="22">
        <v>-6.8681494786758304E-3</v>
      </c>
      <c r="G228" s="22">
        <v>-0.28021356577816481</v>
      </c>
      <c r="H228" s="22">
        <v>4.6542218337635895E-3</v>
      </c>
      <c r="I228" s="22">
        <v>-2.0386330419105911E-3</v>
      </c>
      <c r="J228" s="22">
        <v>1.6359129458003305E-2</v>
      </c>
      <c r="K228" s="22">
        <v>2.4948386634637668E-2</v>
      </c>
      <c r="L228" s="22">
        <v>-4.2149229128246472E-2</v>
      </c>
      <c r="M228" s="22">
        <v>5.646972554433919E-2</v>
      </c>
    </row>
    <row r="229" spans="2:13">
      <c r="B229" s="3" t="s">
        <v>369</v>
      </c>
      <c r="C229" s="24">
        <v>1</v>
      </c>
      <c r="D229" s="22">
        <v>1.6455785771998506E-4</v>
      </c>
      <c r="E229" s="22">
        <v>7.1557261257390193E-3</v>
      </c>
      <c r="F229" s="22">
        <v>-6.9911682680190339E-3</v>
      </c>
      <c r="G229" s="22">
        <v>-0.28523260820387192</v>
      </c>
      <c r="H229" s="22">
        <v>4.4461013906462697E-3</v>
      </c>
      <c r="I229" s="22">
        <v>-1.6318134842393025E-3</v>
      </c>
      <c r="J229" s="22">
        <v>1.5943265735717339E-2</v>
      </c>
      <c r="K229" s="22">
        <v>2.4910400084490664E-2</v>
      </c>
      <c r="L229" s="22">
        <v>-4.2078672330264334E-2</v>
      </c>
      <c r="M229" s="22">
        <v>5.6390124581742369E-2</v>
      </c>
    </row>
    <row r="230" spans="2:13">
      <c r="B230" s="3" t="s">
        <v>370</v>
      </c>
      <c r="C230" s="24">
        <v>1</v>
      </c>
      <c r="D230" s="22">
        <v>3.2911571543997012E-4</v>
      </c>
      <c r="E230" s="22">
        <v>7.1557261257390193E-3</v>
      </c>
      <c r="F230" s="22">
        <v>-6.8266104102990494E-3</v>
      </c>
      <c r="G230" s="22">
        <v>-0.27851881371938975</v>
      </c>
      <c r="H230" s="22">
        <v>4.4461013906462697E-3</v>
      </c>
      <c r="I230" s="22">
        <v>-1.6318134842393025E-3</v>
      </c>
      <c r="J230" s="22">
        <v>1.5943265735717339E-2</v>
      </c>
      <c r="K230" s="22">
        <v>2.4910400084490664E-2</v>
      </c>
      <c r="L230" s="22">
        <v>-4.2078672330264334E-2</v>
      </c>
      <c r="M230" s="22">
        <v>5.6390124581742369E-2</v>
      </c>
    </row>
    <row r="231" spans="2:13">
      <c r="B231" s="3" t="s">
        <v>371</v>
      </c>
      <c r="C231" s="24">
        <v>1</v>
      </c>
      <c r="D231" s="22">
        <v>4.9367357315995518E-4</v>
      </c>
      <c r="E231" s="22">
        <v>7.1557261257390193E-3</v>
      </c>
      <c r="F231" s="22">
        <v>-6.662052552579064E-3</v>
      </c>
      <c r="G231" s="22">
        <v>-0.27180501923490757</v>
      </c>
      <c r="H231" s="22">
        <v>4.4461013906462697E-3</v>
      </c>
      <c r="I231" s="22">
        <v>-1.6318134842393025E-3</v>
      </c>
      <c r="J231" s="22">
        <v>1.5943265735717339E-2</v>
      </c>
      <c r="K231" s="22">
        <v>2.4910400084490664E-2</v>
      </c>
      <c r="L231" s="22">
        <v>-4.2078672330264334E-2</v>
      </c>
      <c r="M231" s="22">
        <v>5.6390124581742369E-2</v>
      </c>
    </row>
    <row r="232" spans="2:13">
      <c r="B232" s="3" t="s">
        <v>372</v>
      </c>
      <c r="C232" s="24">
        <v>1</v>
      </c>
      <c r="D232" s="22">
        <v>1.6455785771998506E-4</v>
      </c>
      <c r="E232" s="22">
        <v>7.1557261257390193E-3</v>
      </c>
      <c r="F232" s="22">
        <v>-6.9911682680190339E-3</v>
      </c>
      <c r="G232" s="22">
        <v>-0.28523260820387192</v>
      </c>
      <c r="H232" s="22">
        <v>4.4461013906462697E-3</v>
      </c>
      <c r="I232" s="22">
        <v>-1.6318134842393025E-3</v>
      </c>
      <c r="J232" s="22">
        <v>1.5943265735717339E-2</v>
      </c>
      <c r="K232" s="22">
        <v>2.4910400084490664E-2</v>
      </c>
      <c r="L232" s="22">
        <v>-4.2078672330264334E-2</v>
      </c>
      <c r="M232" s="22">
        <v>5.6390124581742369E-2</v>
      </c>
    </row>
    <row r="233" spans="2:13">
      <c r="B233" s="3" t="s">
        <v>373</v>
      </c>
      <c r="C233" s="24">
        <v>1</v>
      </c>
      <c r="D233" s="22">
        <v>0.15369765826247869</v>
      </c>
      <c r="E233" s="22">
        <v>7.1557261257390193E-3</v>
      </c>
      <c r="F233" s="22">
        <v>0.14654193213673966</v>
      </c>
      <c r="G233" s="22">
        <v>5.9787629065951196</v>
      </c>
      <c r="H233" s="22">
        <v>4.4461013906462697E-3</v>
      </c>
      <c r="I233" s="22">
        <v>-1.6318134842393025E-3</v>
      </c>
      <c r="J233" s="22">
        <v>1.5943265735717339E-2</v>
      </c>
      <c r="K233" s="22">
        <v>2.4910400084490664E-2</v>
      </c>
      <c r="L233" s="22">
        <v>-4.2078672330264334E-2</v>
      </c>
      <c r="M233" s="22">
        <v>5.6390124581742369E-2</v>
      </c>
    </row>
    <row r="234" spans="2:13">
      <c r="B234" s="3" t="s">
        <v>374</v>
      </c>
      <c r="C234" s="24">
        <v>1</v>
      </c>
      <c r="D234" s="22">
        <v>0</v>
      </c>
      <c r="E234" s="22">
        <v>7.1557261257390193E-3</v>
      </c>
      <c r="F234" s="22">
        <v>-7.1557261257390193E-3</v>
      </c>
      <c r="G234" s="22">
        <v>-0.29194640268835409</v>
      </c>
      <c r="H234" s="22">
        <v>4.4461013906462697E-3</v>
      </c>
      <c r="I234" s="22">
        <v>-1.6318134842393025E-3</v>
      </c>
      <c r="J234" s="22">
        <v>1.5943265735717339E-2</v>
      </c>
      <c r="K234" s="22">
        <v>2.4910400084490664E-2</v>
      </c>
      <c r="L234" s="22">
        <v>-4.2078672330264334E-2</v>
      </c>
      <c r="M234" s="22">
        <v>5.6390124581742369E-2</v>
      </c>
    </row>
    <row r="235" spans="2:13">
      <c r="B235" s="3" t="s">
        <v>375</v>
      </c>
      <c r="C235" s="24">
        <v>1</v>
      </c>
      <c r="D235" s="22">
        <v>0.15369765826247869</v>
      </c>
      <c r="E235" s="22">
        <v>7.1557261257390193E-3</v>
      </c>
      <c r="F235" s="22">
        <v>0.14654193213673966</v>
      </c>
      <c r="G235" s="22">
        <v>5.9787629065951196</v>
      </c>
      <c r="H235" s="22">
        <v>4.4461013906462697E-3</v>
      </c>
      <c r="I235" s="22">
        <v>-1.6318134842393025E-3</v>
      </c>
      <c r="J235" s="22">
        <v>1.5943265735717339E-2</v>
      </c>
      <c r="K235" s="22">
        <v>2.4910400084490664E-2</v>
      </c>
      <c r="L235" s="22">
        <v>-4.2078672330264334E-2</v>
      </c>
      <c r="M235" s="22">
        <v>5.6390124581742369E-2</v>
      </c>
    </row>
    <row r="236" spans="2:13">
      <c r="B236" s="3" t="s">
        <v>376</v>
      </c>
      <c r="C236" s="24">
        <v>1</v>
      </c>
      <c r="D236" s="22">
        <v>2.5730163014790224E-5</v>
      </c>
      <c r="E236" s="22">
        <v>1.1150932779009035E-2</v>
      </c>
      <c r="F236" s="22">
        <v>-1.1125202615994244E-2</v>
      </c>
      <c r="G236" s="22">
        <v>-0.45389703656149183</v>
      </c>
      <c r="H236" s="22">
        <v>7.6177111794246541E-3</v>
      </c>
      <c r="I236" s="22">
        <v>-3.9051653269404855E-3</v>
      </c>
      <c r="J236" s="22">
        <v>2.6207030884958557E-2</v>
      </c>
      <c r="K236" s="22">
        <v>2.5666899664872209E-2</v>
      </c>
      <c r="L236" s="22">
        <v>-3.9578656506767208E-2</v>
      </c>
      <c r="M236" s="22">
        <v>6.1880522064785275E-2</v>
      </c>
    </row>
    <row r="237" spans="2:13">
      <c r="B237" s="3" t="s">
        <v>377</v>
      </c>
      <c r="C237" s="24">
        <v>1</v>
      </c>
      <c r="D237" s="22">
        <v>2.125535205569627E-5</v>
      </c>
      <c r="E237" s="22">
        <v>1.1150932779009035E-2</v>
      </c>
      <c r="F237" s="22">
        <v>-1.1129677426953338E-2</v>
      </c>
      <c r="G237" s="22">
        <v>-0.45407960433159117</v>
      </c>
      <c r="H237" s="22">
        <v>7.6177111794246541E-3</v>
      </c>
      <c r="I237" s="22">
        <v>-3.9051653269404855E-3</v>
      </c>
      <c r="J237" s="22">
        <v>2.6207030884958557E-2</v>
      </c>
      <c r="K237" s="22">
        <v>2.5666899664872209E-2</v>
      </c>
      <c r="L237" s="22">
        <v>-3.9578656506767208E-2</v>
      </c>
      <c r="M237" s="22">
        <v>6.1880522064785275E-2</v>
      </c>
    </row>
    <row r="238" spans="2:13">
      <c r="B238" s="3" t="s">
        <v>378</v>
      </c>
      <c r="C238" s="24">
        <v>1</v>
      </c>
      <c r="D238" s="22">
        <v>3.467978493297813E-5</v>
      </c>
      <c r="E238" s="22">
        <v>1.1150932779009035E-2</v>
      </c>
      <c r="F238" s="22">
        <v>-1.1116252994076056E-2</v>
      </c>
      <c r="G238" s="22">
        <v>-0.45353190102129309</v>
      </c>
      <c r="H238" s="22">
        <v>7.6177111794246541E-3</v>
      </c>
      <c r="I238" s="22">
        <v>-3.9051653269404855E-3</v>
      </c>
      <c r="J238" s="22">
        <v>2.6207030884958557E-2</v>
      </c>
      <c r="K238" s="22">
        <v>2.5666899664872209E-2</v>
      </c>
      <c r="L238" s="22">
        <v>-3.9578656506767208E-2</v>
      </c>
      <c r="M238" s="22">
        <v>6.1880522064785275E-2</v>
      </c>
    </row>
    <row r="239" spans="2:13">
      <c r="B239" s="3" t="s">
        <v>379</v>
      </c>
      <c r="C239" s="24">
        <v>1</v>
      </c>
      <c r="D239" s="22">
        <v>2.4611460275016735E-5</v>
      </c>
      <c r="E239" s="22">
        <v>1.1150932779009035E-2</v>
      </c>
      <c r="F239" s="22">
        <v>-1.1126321318734018E-2</v>
      </c>
      <c r="G239" s="22">
        <v>-0.45394267850401671</v>
      </c>
      <c r="H239" s="22">
        <v>7.6177111794246541E-3</v>
      </c>
      <c r="I239" s="22">
        <v>-3.9051653269404855E-3</v>
      </c>
      <c r="J239" s="22">
        <v>2.6207030884958557E-2</v>
      </c>
      <c r="K239" s="22">
        <v>2.5666899664872209E-2</v>
      </c>
      <c r="L239" s="22">
        <v>-3.9578656506767208E-2</v>
      </c>
      <c r="M239" s="22">
        <v>6.1880522064785275E-2</v>
      </c>
    </row>
    <row r="240" spans="2:13">
      <c r="B240" s="3" t="s">
        <v>380</v>
      </c>
      <c r="C240" s="24">
        <v>1</v>
      </c>
      <c r="D240" s="22">
        <v>2.4044489711669418E-5</v>
      </c>
      <c r="E240" s="22">
        <v>1.0488500168695462E-2</v>
      </c>
      <c r="F240" s="22">
        <v>-1.0464455678983792E-2</v>
      </c>
      <c r="G240" s="22">
        <v>-0.42693922851267868</v>
      </c>
      <c r="H240" s="22">
        <v>5.7849722313742264E-3</v>
      </c>
      <c r="I240" s="22">
        <v>-9.4526351757000075E-4</v>
      </c>
      <c r="J240" s="22">
        <v>2.1922263854960926E-2</v>
      </c>
      <c r="K240" s="22">
        <v>2.5183846380393456E-2</v>
      </c>
      <c r="L240" s="22">
        <v>-3.9286353833711513E-2</v>
      </c>
      <c r="M240" s="22">
        <v>6.0263354171102429E-2</v>
      </c>
    </row>
    <row r="241" spans="2:13">
      <c r="B241" s="3" t="s">
        <v>381</v>
      </c>
      <c r="C241" s="24">
        <v>1</v>
      </c>
      <c r="D241" s="22">
        <v>2.8853387654003302E-5</v>
      </c>
      <c r="E241" s="22">
        <v>1.0488500168695462E-2</v>
      </c>
      <c r="F241" s="22">
        <v>-1.0459646781041458E-2</v>
      </c>
      <c r="G241" s="22">
        <v>-0.42674303033090227</v>
      </c>
      <c r="H241" s="22">
        <v>5.7849722313742264E-3</v>
      </c>
      <c r="I241" s="22">
        <v>-9.4526351757000075E-4</v>
      </c>
      <c r="J241" s="22">
        <v>2.1922263854960926E-2</v>
      </c>
      <c r="K241" s="22">
        <v>2.5183846380393456E-2</v>
      </c>
      <c r="L241" s="22">
        <v>-3.9286353833711513E-2</v>
      </c>
      <c r="M241" s="22">
        <v>6.0263354171102429E-2</v>
      </c>
    </row>
    <row r="242" spans="2:13">
      <c r="B242" s="3" t="s">
        <v>382</v>
      </c>
      <c r="C242" s="24">
        <v>1</v>
      </c>
      <c r="D242" s="22">
        <v>3.4864510081920655E-5</v>
      </c>
      <c r="E242" s="22">
        <v>1.0488500168695462E-2</v>
      </c>
      <c r="F242" s="22">
        <v>-1.0453635658613541E-2</v>
      </c>
      <c r="G242" s="22">
        <v>-0.42649778260368182</v>
      </c>
      <c r="H242" s="22">
        <v>5.7849722313742264E-3</v>
      </c>
      <c r="I242" s="22">
        <v>-9.4526351757000075E-4</v>
      </c>
      <c r="J242" s="22">
        <v>2.1922263854960926E-2</v>
      </c>
      <c r="K242" s="22">
        <v>2.5183846380393456E-2</v>
      </c>
      <c r="L242" s="22">
        <v>-3.9286353833711513E-2</v>
      </c>
      <c r="M242" s="22">
        <v>6.0263354171102429E-2</v>
      </c>
    </row>
    <row r="243" spans="2:13">
      <c r="B243" s="3" t="s">
        <v>383</v>
      </c>
      <c r="C243" s="24">
        <v>1</v>
      </c>
      <c r="D243" s="22">
        <v>1.6831142798168593E-5</v>
      </c>
      <c r="E243" s="22">
        <v>1.0488500168695462E-2</v>
      </c>
      <c r="F243" s="22">
        <v>-1.0471669025897292E-2</v>
      </c>
      <c r="G243" s="22">
        <v>-0.42723352578534324</v>
      </c>
      <c r="H243" s="22">
        <v>5.7849722313742264E-3</v>
      </c>
      <c r="I243" s="22">
        <v>-9.4526351757000075E-4</v>
      </c>
      <c r="J243" s="22">
        <v>2.1922263854960926E-2</v>
      </c>
      <c r="K243" s="22">
        <v>2.5183846380393456E-2</v>
      </c>
      <c r="L243" s="22">
        <v>-3.9286353833711513E-2</v>
      </c>
      <c r="M243" s="22">
        <v>6.0263354171102429E-2</v>
      </c>
    </row>
    <row r="244" spans="2:13">
      <c r="B244" s="3" t="s">
        <v>384</v>
      </c>
      <c r="C244" s="24">
        <v>1</v>
      </c>
      <c r="D244" s="22">
        <v>3.8757961051305488E-5</v>
      </c>
      <c r="E244" s="22">
        <v>1.2031163495446199E-2</v>
      </c>
      <c r="F244" s="22">
        <v>-1.1992405534394894E-2</v>
      </c>
      <c r="G244" s="22">
        <v>-0.48927804024709121</v>
      </c>
      <c r="H244" s="22">
        <v>4.5072975509384645E-3</v>
      </c>
      <c r="I244" s="22">
        <v>3.1226721492619517E-3</v>
      </c>
      <c r="J244" s="22">
        <v>2.0939654841630448E-2</v>
      </c>
      <c r="K244" s="22">
        <v>2.4921395346291942E-2</v>
      </c>
      <c r="L244" s="22">
        <v>-3.7224966650887939E-2</v>
      </c>
      <c r="M244" s="22">
        <v>6.128729364178033E-2</v>
      </c>
    </row>
    <row r="245" spans="2:13">
      <c r="B245" s="3" t="s">
        <v>385</v>
      </c>
      <c r="C245" s="24">
        <v>1</v>
      </c>
      <c r="D245" s="22">
        <v>2.8791628209541217E-5</v>
      </c>
      <c r="E245" s="22">
        <v>1.2031163495446199E-2</v>
      </c>
      <c r="F245" s="22">
        <v>-1.2002371867236657E-2</v>
      </c>
      <c r="G245" s="22">
        <v>-0.48968465656666799</v>
      </c>
      <c r="H245" s="22">
        <v>4.5072975509384645E-3</v>
      </c>
      <c r="I245" s="22">
        <v>3.1226721492619517E-3</v>
      </c>
      <c r="J245" s="22">
        <v>2.0939654841630448E-2</v>
      </c>
      <c r="K245" s="22">
        <v>2.4921395346291942E-2</v>
      </c>
      <c r="L245" s="22">
        <v>-3.7224966650887939E-2</v>
      </c>
      <c r="M245" s="22">
        <v>6.128729364178033E-2</v>
      </c>
    </row>
    <row r="246" spans="2:13">
      <c r="B246" s="3" t="s">
        <v>386</v>
      </c>
      <c r="C246" s="24">
        <v>1</v>
      </c>
      <c r="D246" s="22">
        <v>1.9932665683528535E-5</v>
      </c>
      <c r="E246" s="22">
        <v>1.2031163495446199E-2</v>
      </c>
      <c r="F246" s="22">
        <v>-1.2011230829762671E-2</v>
      </c>
      <c r="G246" s="22">
        <v>-0.49004609329518084</v>
      </c>
      <c r="H246" s="22">
        <v>4.5072975509384645E-3</v>
      </c>
      <c r="I246" s="22">
        <v>3.1226721492619517E-3</v>
      </c>
      <c r="J246" s="22">
        <v>2.0939654841630448E-2</v>
      </c>
      <c r="K246" s="22">
        <v>2.4921395346291942E-2</v>
      </c>
      <c r="L246" s="22">
        <v>-3.7224966650887939E-2</v>
      </c>
      <c r="M246" s="22">
        <v>6.128729364178033E-2</v>
      </c>
    </row>
    <row r="247" spans="2:13">
      <c r="B247" s="3" t="s">
        <v>387</v>
      </c>
      <c r="C247" s="24">
        <v>1</v>
      </c>
      <c r="D247" s="22">
        <v>1.6610554736273778E-5</v>
      </c>
      <c r="E247" s="22">
        <v>1.2031163495446199E-2</v>
      </c>
      <c r="F247" s="22">
        <v>-1.2014552940709924E-2</v>
      </c>
      <c r="G247" s="22">
        <v>-0.49018163206837301</v>
      </c>
      <c r="H247" s="22">
        <v>4.5072975509384645E-3</v>
      </c>
      <c r="I247" s="22">
        <v>3.1226721492619517E-3</v>
      </c>
      <c r="J247" s="22">
        <v>2.0939654841630448E-2</v>
      </c>
      <c r="K247" s="22">
        <v>2.4921395346291942E-2</v>
      </c>
      <c r="L247" s="22">
        <v>-3.7224966650887939E-2</v>
      </c>
      <c r="M247" s="22">
        <v>6.128729364178033E-2</v>
      </c>
    </row>
    <row r="248" spans="2:13">
      <c r="B248" s="3" t="s">
        <v>388</v>
      </c>
      <c r="C248" s="24">
        <v>1</v>
      </c>
      <c r="D248" s="22">
        <v>3.317178280206551E-5</v>
      </c>
      <c r="E248" s="22">
        <v>8.9657340040970174E-3</v>
      </c>
      <c r="F248" s="22">
        <v>-8.9325622212949526E-3</v>
      </c>
      <c r="G248" s="22">
        <v>-0.36443952178614536</v>
      </c>
      <c r="H248" s="22">
        <v>5.2666252004415839E-3</v>
      </c>
      <c r="I248" s="22">
        <v>-1.4435377361192454E-3</v>
      </c>
      <c r="J248" s="22">
        <v>1.9375005744313278E-2</v>
      </c>
      <c r="K248" s="22">
        <v>2.5069853525607446E-2</v>
      </c>
      <c r="L248" s="22">
        <v>-4.0583817730396321E-2</v>
      </c>
      <c r="M248" s="22">
        <v>5.8515285738590356E-2</v>
      </c>
    </row>
    <row r="249" spans="2:13">
      <c r="B249" s="3" t="s">
        <v>389</v>
      </c>
      <c r="C249" s="24">
        <v>1</v>
      </c>
      <c r="D249" s="22">
        <v>2.0140010986968348E-5</v>
      </c>
      <c r="E249" s="22">
        <v>8.9657340040970174E-3</v>
      </c>
      <c r="F249" s="22">
        <v>-8.945593993110049E-3</v>
      </c>
      <c r="G249" s="22">
        <v>-0.36497120492147217</v>
      </c>
      <c r="H249" s="22">
        <v>5.2666252004415839E-3</v>
      </c>
      <c r="I249" s="22">
        <v>-1.4435377361192454E-3</v>
      </c>
      <c r="J249" s="22">
        <v>1.9375005744313278E-2</v>
      </c>
      <c r="K249" s="22">
        <v>2.5069853525607446E-2</v>
      </c>
      <c r="L249" s="22">
        <v>-4.0583817730396321E-2</v>
      </c>
      <c r="M249" s="22">
        <v>5.8515285738590356E-2</v>
      </c>
    </row>
    <row r="250" spans="2:13">
      <c r="B250" s="3" t="s">
        <v>390</v>
      </c>
      <c r="C250" s="24">
        <v>1</v>
      </c>
      <c r="D250" s="22">
        <v>2.1324717515613542E-5</v>
      </c>
      <c r="E250" s="22">
        <v>8.9657340040970174E-3</v>
      </c>
      <c r="F250" s="22">
        <v>-8.9444092865814031E-3</v>
      </c>
      <c r="G250" s="22">
        <v>-0.36492287009098789</v>
      </c>
      <c r="H250" s="22">
        <v>5.2666252004415839E-3</v>
      </c>
      <c r="I250" s="22">
        <v>-1.4435377361192454E-3</v>
      </c>
      <c r="J250" s="22">
        <v>1.9375005744313278E-2</v>
      </c>
      <c r="K250" s="22">
        <v>2.5069853525607446E-2</v>
      </c>
      <c r="L250" s="22">
        <v>-4.0583817730396321E-2</v>
      </c>
      <c r="M250" s="22">
        <v>5.8515285738590356E-2</v>
      </c>
    </row>
    <row r="251" spans="2:13">
      <c r="B251" s="3" t="s">
        <v>391</v>
      </c>
      <c r="C251" s="24">
        <v>1</v>
      </c>
      <c r="D251" s="22">
        <v>2.7248250158839526E-5</v>
      </c>
      <c r="E251" s="22">
        <v>8.9657340040970174E-3</v>
      </c>
      <c r="F251" s="22">
        <v>-8.938485753938177E-3</v>
      </c>
      <c r="G251" s="22">
        <v>-0.36468119593856657</v>
      </c>
      <c r="H251" s="22">
        <v>5.2666252004415839E-3</v>
      </c>
      <c r="I251" s="22">
        <v>-1.4435377361192454E-3</v>
      </c>
      <c r="J251" s="22">
        <v>1.9375005744313278E-2</v>
      </c>
      <c r="K251" s="22">
        <v>2.5069853525607446E-2</v>
      </c>
      <c r="L251" s="22">
        <v>-4.0583817730396321E-2</v>
      </c>
      <c r="M251" s="22">
        <v>5.8515285738590356E-2</v>
      </c>
    </row>
    <row r="252" spans="2:13">
      <c r="B252" s="3" t="s">
        <v>392</v>
      </c>
      <c r="C252" s="24">
        <v>1</v>
      </c>
      <c r="D252" s="22">
        <v>5.1731893837156991E-2</v>
      </c>
      <c r="E252" s="22">
        <v>8.9657340040970174E-3</v>
      </c>
      <c r="F252" s="22">
        <v>4.2766159833059973E-2</v>
      </c>
      <c r="G252" s="22">
        <v>1.7448161515219516</v>
      </c>
      <c r="H252" s="22">
        <v>5.2666252004415839E-3</v>
      </c>
      <c r="I252" s="22">
        <v>-1.4435377361192454E-3</v>
      </c>
      <c r="J252" s="22">
        <v>1.9375005744313278E-2</v>
      </c>
      <c r="K252" s="22">
        <v>2.5069853525607446E-2</v>
      </c>
      <c r="L252" s="22">
        <v>-4.0583817730396321E-2</v>
      </c>
      <c r="M252" s="22">
        <v>5.8515285738590356E-2</v>
      </c>
    </row>
    <row r="253" spans="2:13">
      <c r="B253" s="3" t="s">
        <v>393</v>
      </c>
      <c r="C253" s="24">
        <v>1</v>
      </c>
      <c r="D253" s="22">
        <v>3.1488978857399909E-2</v>
      </c>
      <c r="E253" s="22">
        <v>8.9657340040970174E-3</v>
      </c>
      <c r="F253" s="22">
        <v>2.2523244853302891E-2</v>
      </c>
      <c r="G253" s="22">
        <v>0.91892565425869488</v>
      </c>
      <c r="H253" s="22">
        <v>5.2666252004415839E-3</v>
      </c>
      <c r="I253" s="22">
        <v>-1.4435377361192454E-3</v>
      </c>
      <c r="J253" s="22">
        <v>1.9375005744313278E-2</v>
      </c>
      <c r="K253" s="22">
        <v>2.5069853525607446E-2</v>
      </c>
      <c r="L253" s="22">
        <v>-4.0583817730396321E-2</v>
      </c>
      <c r="M253" s="22">
        <v>5.8515285738590356E-2</v>
      </c>
    </row>
    <row r="254" spans="2:13">
      <c r="B254" s="3" t="s">
        <v>394</v>
      </c>
      <c r="C254" s="24">
        <v>1</v>
      </c>
      <c r="D254" s="22">
        <v>6.0728744939271252E-2</v>
      </c>
      <c r="E254" s="22">
        <v>8.9657340040970174E-3</v>
      </c>
      <c r="F254" s="22">
        <v>5.1763010935174235E-2</v>
      </c>
      <c r="G254" s="22">
        <v>2.111878594750066</v>
      </c>
      <c r="H254" s="22">
        <v>5.2666252004415839E-3</v>
      </c>
      <c r="I254" s="22">
        <v>-1.4435377361192454E-3</v>
      </c>
      <c r="J254" s="22">
        <v>1.9375005744313278E-2</v>
      </c>
      <c r="K254" s="22">
        <v>2.5069853525607446E-2</v>
      </c>
      <c r="L254" s="22">
        <v>-4.0583817730396321E-2</v>
      </c>
      <c r="M254" s="22">
        <v>5.8515285738590356E-2</v>
      </c>
    </row>
    <row r="255" spans="2:13">
      <c r="B255" s="3" t="s">
        <v>395</v>
      </c>
      <c r="C255" s="24">
        <v>1</v>
      </c>
      <c r="D255" s="22">
        <v>1.1610545161537516E-4</v>
      </c>
      <c r="E255" s="22">
        <v>9.1558901645250549E-3</v>
      </c>
      <c r="F255" s="22">
        <v>-9.0397847129096796E-3</v>
      </c>
      <c r="G255" s="22">
        <v>-0.36881409120986947</v>
      </c>
      <c r="H255" s="22">
        <v>6.3431353697367019E-3</v>
      </c>
      <c r="I255" s="22">
        <v>-3.3810603940661217E-3</v>
      </c>
      <c r="J255" s="22">
        <v>2.1692840723116232E-2</v>
      </c>
      <c r="K255" s="22">
        <v>2.5317890534408478E-2</v>
      </c>
      <c r="L255" s="22">
        <v>-4.0883896687899948E-2</v>
      </c>
      <c r="M255" s="22">
        <v>5.9195677016950055E-2</v>
      </c>
    </row>
    <row r="256" spans="2:13">
      <c r="B256" s="3" t="s">
        <v>396</v>
      </c>
      <c r="C256" s="24">
        <v>1</v>
      </c>
      <c r="D256" s="22">
        <v>4.9759479263732212E-5</v>
      </c>
      <c r="E256" s="22">
        <v>9.1558901645250549E-3</v>
      </c>
      <c r="F256" s="22">
        <v>-9.1061306852613221E-3</v>
      </c>
      <c r="G256" s="22">
        <v>-0.37152093990985696</v>
      </c>
      <c r="H256" s="22">
        <v>6.3431353697367019E-3</v>
      </c>
      <c r="I256" s="22">
        <v>-3.3810603940661217E-3</v>
      </c>
      <c r="J256" s="22">
        <v>2.1692840723116232E-2</v>
      </c>
      <c r="K256" s="22">
        <v>2.5317890534408478E-2</v>
      </c>
      <c r="L256" s="22">
        <v>-4.0883896687899948E-2</v>
      </c>
      <c r="M256" s="22">
        <v>5.9195677016950055E-2</v>
      </c>
    </row>
    <row r="257" spans="2:13">
      <c r="B257" s="3" t="s">
        <v>397</v>
      </c>
      <c r="C257" s="24">
        <v>1</v>
      </c>
      <c r="D257" s="22">
        <v>4.9759479263732212E-5</v>
      </c>
      <c r="E257" s="22">
        <v>9.1558901645250549E-3</v>
      </c>
      <c r="F257" s="22">
        <v>-9.1061306852613221E-3</v>
      </c>
      <c r="G257" s="22">
        <v>-0.37152093990985696</v>
      </c>
      <c r="H257" s="22">
        <v>6.3431353697367019E-3</v>
      </c>
      <c r="I257" s="22">
        <v>-3.3810603940661217E-3</v>
      </c>
      <c r="J257" s="22">
        <v>2.1692840723116232E-2</v>
      </c>
      <c r="K257" s="22">
        <v>2.5317890534408478E-2</v>
      </c>
      <c r="L257" s="22">
        <v>-4.0883896687899948E-2</v>
      </c>
      <c r="M257" s="22">
        <v>5.9195677016950055E-2</v>
      </c>
    </row>
    <row r="258" spans="2:13">
      <c r="B258" s="3" t="s">
        <v>398</v>
      </c>
      <c r="C258" s="24">
        <v>1</v>
      </c>
      <c r="D258" s="22">
        <v>6.6345972351642944E-5</v>
      </c>
      <c r="E258" s="22">
        <v>9.1558901645250549E-3</v>
      </c>
      <c r="F258" s="22">
        <v>-9.0895441921734123E-3</v>
      </c>
      <c r="G258" s="22">
        <v>-0.37084422773486014</v>
      </c>
      <c r="H258" s="22">
        <v>6.3431353697367019E-3</v>
      </c>
      <c r="I258" s="22">
        <v>-3.3810603940661217E-3</v>
      </c>
      <c r="J258" s="22">
        <v>2.1692840723116232E-2</v>
      </c>
      <c r="K258" s="22">
        <v>2.5317890534408478E-2</v>
      </c>
      <c r="L258" s="22">
        <v>-4.0883896687899948E-2</v>
      </c>
      <c r="M258" s="22">
        <v>5.9195677016950055E-2</v>
      </c>
    </row>
    <row r="259" spans="2:13">
      <c r="B259" s="3" t="s">
        <v>399</v>
      </c>
      <c r="C259" s="24">
        <v>1</v>
      </c>
      <c r="D259" s="22">
        <v>8.2488091606655205E-5</v>
      </c>
      <c r="E259" s="22">
        <v>9.1558901645250549E-3</v>
      </c>
      <c r="F259" s="22">
        <v>-9.0734020729184E-3</v>
      </c>
      <c r="G259" s="22">
        <v>-0.37018564556367894</v>
      </c>
      <c r="H259" s="22">
        <v>6.3431353697367019E-3</v>
      </c>
      <c r="I259" s="22">
        <v>-3.3810603940661217E-3</v>
      </c>
      <c r="J259" s="22">
        <v>2.1692840723116232E-2</v>
      </c>
      <c r="K259" s="22">
        <v>2.5317890534408478E-2</v>
      </c>
      <c r="L259" s="22">
        <v>-4.0883896687899948E-2</v>
      </c>
      <c r="M259" s="22">
        <v>5.9195677016950055E-2</v>
      </c>
    </row>
    <row r="260" spans="2:13">
      <c r="B260" s="3" t="s">
        <v>400</v>
      </c>
      <c r="C260" s="24">
        <v>1</v>
      </c>
      <c r="D260" s="22">
        <v>7.4239282445989684E-5</v>
      </c>
      <c r="E260" s="22">
        <v>9.1558901645250549E-3</v>
      </c>
      <c r="F260" s="22">
        <v>-9.0816508820790644E-3</v>
      </c>
      <c r="G260" s="22">
        <v>-0.37052218865079573</v>
      </c>
      <c r="H260" s="22">
        <v>6.3431353697367019E-3</v>
      </c>
      <c r="I260" s="22">
        <v>-3.3810603940661217E-3</v>
      </c>
      <c r="J260" s="22">
        <v>2.1692840723116232E-2</v>
      </c>
      <c r="K260" s="22">
        <v>2.5317890534408478E-2</v>
      </c>
      <c r="L260" s="22">
        <v>-4.0883896687899948E-2</v>
      </c>
      <c r="M260" s="22">
        <v>5.9195677016950055E-2</v>
      </c>
    </row>
    <row r="261" spans="2:13">
      <c r="B261" s="3" t="s">
        <v>401</v>
      </c>
      <c r="C261" s="24">
        <v>1</v>
      </c>
      <c r="D261" s="22">
        <v>4.1244045803327602E-5</v>
      </c>
      <c r="E261" s="22">
        <v>9.1558901645250549E-3</v>
      </c>
      <c r="F261" s="22">
        <v>-9.1146461187217274E-3</v>
      </c>
      <c r="G261" s="22">
        <v>-0.37186836099926324</v>
      </c>
      <c r="H261" s="22">
        <v>6.3431353697367019E-3</v>
      </c>
      <c r="I261" s="22">
        <v>-3.3810603940661217E-3</v>
      </c>
      <c r="J261" s="22">
        <v>2.1692840723116232E-2</v>
      </c>
      <c r="K261" s="22">
        <v>2.5317890534408478E-2</v>
      </c>
      <c r="L261" s="22">
        <v>-4.0883896687899948E-2</v>
      </c>
      <c r="M261" s="22">
        <v>5.9195677016950055E-2</v>
      </c>
    </row>
    <row r="262" spans="2:13">
      <c r="B262" s="3" t="s">
        <v>402</v>
      </c>
      <c r="C262" s="24">
        <v>1</v>
      </c>
      <c r="D262" s="22">
        <v>7.4239282445989684E-5</v>
      </c>
      <c r="E262" s="22">
        <v>9.1558901645250549E-3</v>
      </c>
      <c r="F262" s="22">
        <v>-9.0816508820790644E-3</v>
      </c>
      <c r="G262" s="22">
        <v>-0.37052218865079573</v>
      </c>
      <c r="H262" s="22">
        <v>6.3431353697367019E-3</v>
      </c>
      <c r="I262" s="22">
        <v>-3.3810603940661217E-3</v>
      </c>
      <c r="J262" s="22">
        <v>2.1692840723116232E-2</v>
      </c>
      <c r="K262" s="22">
        <v>2.5317890534408478E-2</v>
      </c>
      <c r="L262" s="22">
        <v>-4.0883896687899948E-2</v>
      </c>
      <c r="M262" s="22">
        <v>5.9195677016950055E-2</v>
      </c>
    </row>
    <row r="263" spans="2:13">
      <c r="B263" s="3" t="s">
        <v>403</v>
      </c>
      <c r="C263" s="24">
        <v>1</v>
      </c>
      <c r="D263" s="22">
        <v>1.1040320575580488E-4</v>
      </c>
      <c r="E263" s="22">
        <v>8.3922460410721742E-3</v>
      </c>
      <c r="F263" s="22">
        <v>-8.2818428353163692E-3</v>
      </c>
      <c r="G263" s="22">
        <v>-0.33789082769726952</v>
      </c>
      <c r="H263" s="22">
        <v>5.9359506117126551E-3</v>
      </c>
      <c r="I263" s="22">
        <v>-3.3399203087640054E-3</v>
      </c>
      <c r="J263" s="22">
        <v>2.0124412390908356E-2</v>
      </c>
      <c r="K263" s="22">
        <v>2.5218955657563966E-2</v>
      </c>
      <c r="L263" s="22">
        <v>-4.1452000027935587E-2</v>
      </c>
      <c r="M263" s="22">
        <v>5.8236492110079932E-2</v>
      </c>
    </row>
    <row r="264" spans="2:13">
      <c r="B264" s="3" t="s">
        <v>404</v>
      </c>
      <c r="C264" s="24">
        <v>1</v>
      </c>
      <c r="D264" s="22">
        <v>9.9362885180224395E-5</v>
      </c>
      <c r="E264" s="22">
        <v>8.3922460410721742E-3</v>
      </c>
      <c r="F264" s="22">
        <v>-8.2928831558919495E-3</v>
      </c>
      <c r="G264" s="22">
        <v>-0.33834126163226502</v>
      </c>
      <c r="H264" s="22">
        <v>5.9359506117126551E-3</v>
      </c>
      <c r="I264" s="22">
        <v>-3.3399203087640054E-3</v>
      </c>
      <c r="J264" s="22">
        <v>2.0124412390908356E-2</v>
      </c>
      <c r="K264" s="22">
        <v>2.5218955657563966E-2</v>
      </c>
      <c r="L264" s="22">
        <v>-4.1452000027935587E-2</v>
      </c>
      <c r="M264" s="22">
        <v>5.8236492110079932E-2</v>
      </c>
    </row>
    <row r="265" spans="2:13">
      <c r="B265" s="3" t="s">
        <v>405</v>
      </c>
      <c r="C265" s="24">
        <v>1</v>
      </c>
      <c r="D265" s="22">
        <v>0</v>
      </c>
      <c r="E265" s="22">
        <v>8.3922460410721742E-3</v>
      </c>
      <c r="F265" s="22">
        <v>-8.3922460410721742E-3</v>
      </c>
      <c r="G265" s="22">
        <v>-0.34239516704722484</v>
      </c>
      <c r="H265" s="22">
        <v>5.9359506117126551E-3</v>
      </c>
      <c r="I265" s="22">
        <v>-3.3399203087640054E-3</v>
      </c>
      <c r="J265" s="22">
        <v>2.0124412390908356E-2</v>
      </c>
      <c r="K265" s="22">
        <v>2.5218955657563966E-2</v>
      </c>
      <c r="L265" s="22">
        <v>-4.1452000027935587E-2</v>
      </c>
      <c r="M265" s="22">
        <v>5.8236492110079932E-2</v>
      </c>
    </row>
    <row r="266" spans="2:13">
      <c r="B266" s="3" t="s">
        <v>406</v>
      </c>
      <c r="C266" s="24">
        <v>1</v>
      </c>
      <c r="D266" s="22">
        <v>3.3120961726741465E-5</v>
      </c>
      <c r="E266" s="22">
        <v>8.3922460410721742E-3</v>
      </c>
      <c r="F266" s="22">
        <v>-8.3591250793454332E-3</v>
      </c>
      <c r="G266" s="22">
        <v>-0.34104386524223823</v>
      </c>
      <c r="H266" s="22">
        <v>5.9359506117126551E-3</v>
      </c>
      <c r="I266" s="22">
        <v>-3.3399203087640054E-3</v>
      </c>
      <c r="J266" s="22">
        <v>2.0124412390908356E-2</v>
      </c>
      <c r="K266" s="22">
        <v>2.5218955657563966E-2</v>
      </c>
      <c r="L266" s="22">
        <v>-4.1452000027935587E-2</v>
      </c>
      <c r="M266" s="22">
        <v>5.8236492110079932E-2</v>
      </c>
    </row>
    <row r="267" spans="2:13">
      <c r="B267" s="3" t="s">
        <v>407</v>
      </c>
      <c r="C267" s="24">
        <v>1</v>
      </c>
      <c r="D267" s="22">
        <v>3.222648256321708E-5</v>
      </c>
      <c r="E267" s="22">
        <v>6.0701682919400562E-3</v>
      </c>
      <c r="F267" s="22">
        <v>-6.0379418093768388E-3</v>
      </c>
      <c r="G267" s="22">
        <v>-0.24634193091160661</v>
      </c>
      <c r="H267" s="22">
        <v>4.2160077779813138E-3</v>
      </c>
      <c r="I267" s="22">
        <v>-2.2626005969858601E-3</v>
      </c>
      <c r="J267" s="22">
        <v>1.4402937180865973E-2</v>
      </c>
      <c r="K267" s="22">
        <v>2.4870362610494537E-2</v>
      </c>
      <c r="L267" s="22">
        <v>-4.3085097715719979E-2</v>
      </c>
      <c r="M267" s="22">
        <v>5.5225434299600092E-2</v>
      </c>
    </row>
    <row r="268" spans="2:13">
      <c r="B268" s="3" t="s">
        <v>408</v>
      </c>
      <c r="C268" s="24">
        <v>1</v>
      </c>
      <c r="D268" s="22">
        <v>9.6679447689651234E-5</v>
      </c>
      <c r="E268" s="22">
        <v>6.0701682919400562E-3</v>
      </c>
      <c r="F268" s="22">
        <v>-5.9734888442504047E-3</v>
      </c>
      <c r="G268" s="22">
        <v>-0.24371231499553953</v>
      </c>
      <c r="H268" s="22">
        <v>4.2160077779813138E-3</v>
      </c>
      <c r="I268" s="22">
        <v>-2.2626005969858601E-3</v>
      </c>
      <c r="J268" s="22">
        <v>1.4402937180865973E-2</v>
      </c>
      <c r="K268" s="22">
        <v>2.4870362610494537E-2</v>
      </c>
      <c r="L268" s="22">
        <v>-4.3085097715719979E-2</v>
      </c>
      <c r="M268" s="22">
        <v>5.5225434299600092E-2</v>
      </c>
    </row>
    <row r="269" spans="2:13">
      <c r="B269" s="3" t="s">
        <v>409</v>
      </c>
      <c r="C269" s="24">
        <v>1</v>
      </c>
      <c r="D269" s="22">
        <v>7.2509585767238432E-5</v>
      </c>
      <c r="E269" s="22">
        <v>6.0701682919400562E-3</v>
      </c>
      <c r="F269" s="22">
        <v>-5.9976587061728176E-3</v>
      </c>
      <c r="G269" s="22">
        <v>-0.24469842096406469</v>
      </c>
      <c r="H269" s="22">
        <v>4.2160077779813138E-3</v>
      </c>
      <c r="I269" s="22">
        <v>-2.2626005969858601E-3</v>
      </c>
      <c r="J269" s="22">
        <v>1.4402937180865973E-2</v>
      </c>
      <c r="K269" s="22">
        <v>2.4870362610494537E-2</v>
      </c>
      <c r="L269" s="22">
        <v>-4.3085097715719979E-2</v>
      </c>
      <c r="M269" s="22">
        <v>5.5225434299600092E-2</v>
      </c>
    </row>
    <row r="270" spans="2:13">
      <c r="B270" s="3" t="s">
        <v>410</v>
      </c>
      <c r="C270" s="24">
        <v>1</v>
      </c>
      <c r="D270" s="22">
        <v>1.1279268897125978E-4</v>
      </c>
      <c r="E270" s="22">
        <v>6.0701682919400562E-3</v>
      </c>
      <c r="F270" s="22">
        <v>-5.9573756029687964E-3</v>
      </c>
      <c r="G270" s="22">
        <v>-0.24305491101652277</v>
      </c>
      <c r="H270" s="22">
        <v>4.2160077779813138E-3</v>
      </c>
      <c r="I270" s="22">
        <v>-2.2626005969858601E-3</v>
      </c>
      <c r="J270" s="22">
        <v>1.4402937180865973E-2</v>
      </c>
      <c r="K270" s="22">
        <v>2.4870362610494537E-2</v>
      </c>
      <c r="L270" s="22">
        <v>-4.3085097715719979E-2</v>
      </c>
      <c r="M270" s="22">
        <v>5.5225434299600092E-2</v>
      </c>
    </row>
    <row r="271" spans="2:13">
      <c r="B271" s="3" t="s">
        <v>411</v>
      </c>
      <c r="C271" s="24">
        <v>1</v>
      </c>
      <c r="D271" s="22">
        <v>3.1744520102217358E-2</v>
      </c>
      <c r="E271" s="22">
        <v>6.0701682919400562E-3</v>
      </c>
      <c r="F271" s="22">
        <v>2.5674351810277302E-2</v>
      </c>
      <c r="G271" s="22">
        <v>1.0474876372649848</v>
      </c>
      <c r="H271" s="22">
        <v>4.2160077779813138E-3</v>
      </c>
      <c r="I271" s="22">
        <v>-2.2626005969858601E-3</v>
      </c>
      <c r="J271" s="22">
        <v>1.4402937180865973E-2</v>
      </c>
      <c r="K271" s="22">
        <v>2.4870362610494537E-2</v>
      </c>
      <c r="L271" s="22">
        <v>-4.3085097715719979E-2</v>
      </c>
      <c r="M271" s="22">
        <v>5.5225434299600092E-2</v>
      </c>
    </row>
    <row r="272" spans="2:13">
      <c r="B272" s="3" t="s">
        <v>412</v>
      </c>
      <c r="C272" s="24">
        <v>1</v>
      </c>
      <c r="D272" s="22">
        <v>7.6186848245321653E-2</v>
      </c>
      <c r="E272" s="22">
        <v>6.0701682919400562E-3</v>
      </c>
      <c r="F272" s="22">
        <v>7.0116679953381597E-2</v>
      </c>
      <c r="G272" s="22">
        <v>2.8606897638534599</v>
      </c>
      <c r="H272" s="22">
        <v>4.2160077779813138E-3</v>
      </c>
      <c r="I272" s="22">
        <v>-2.2626005969858601E-3</v>
      </c>
      <c r="J272" s="22">
        <v>1.4402937180865973E-2</v>
      </c>
      <c r="K272" s="22">
        <v>2.4870362610494537E-2</v>
      </c>
      <c r="L272" s="22">
        <v>-4.3085097715719979E-2</v>
      </c>
      <c r="M272" s="22">
        <v>5.5225434299600092E-2</v>
      </c>
    </row>
    <row r="273" spans="2:13">
      <c r="B273" s="3" t="s">
        <v>413</v>
      </c>
      <c r="C273" s="24">
        <v>1</v>
      </c>
      <c r="D273" s="22">
        <v>5.0791232163547771E-2</v>
      </c>
      <c r="E273" s="22">
        <v>6.0701682919400562E-3</v>
      </c>
      <c r="F273" s="22">
        <v>4.4721063871607715E-2</v>
      </c>
      <c r="G273" s="22">
        <v>1.82457426294576</v>
      </c>
      <c r="H273" s="22">
        <v>4.2160077779813138E-3</v>
      </c>
      <c r="I273" s="22">
        <v>-2.2626005969858601E-3</v>
      </c>
      <c r="J273" s="22">
        <v>1.4402937180865973E-2</v>
      </c>
      <c r="K273" s="22">
        <v>2.4870362610494537E-2</v>
      </c>
      <c r="L273" s="22">
        <v>-4.3085097715719979E-2</v>
      </c>
      <c r="M273" s="22">
        <v>5.5225434299600092E-2</v>
      </c>
    </row>
    <row r="274" spans="2:13">
      <c r="B274" s="3" t="s">
        <v>414</v>
      </c>
      <c r="C274" s="24">
        <v>1</v>
      </c>
      <c r="D274" s="22">
        <v>0</v>
      </c>
      <c r="E274" s="22">
        <v>7.2590552744237619E-3</v>
      </c>
      <c r="F274" s="22">
        <v>-7.2590552744237619E-3</v>
      </c>
      <c r="G274" s="22">
        <v>-0.29616212765061223</v>
      </c>
      <c r="H274" s="22">
        <v>4.9890503468877625E-3</v>
      </c>
      <c r="I274" s="22">
        <v>-2.6016009921396195E-3</v>
      </c>
      <c r="J274" s="22">
        <v>1.7119711540987143E-2</v>
      </c>
      <c r="K274" s="22">
        <v>2.5013013376186138E-2</v>
      </c>
      <c r="L274" s="22">
        <v>-4.2178154203204352E-2</v>
      </c>
      <c r="M274" s="22">
        <v>5.6696264752051875E-2</v>
      </c>
    </row>
    <row r="275" spans="2:13">
      <c r="B275" s="3" t="s">
        <v>415</v>
      </c>
      <c r="C275" s="24">
        <v>1</v>
      </c>
      <c r="D275" s="22">
        <v>0</v>
      </c>
      <c r="E275" s="22">
        <v>7.2590552744237619E-3</v>
      </c>
      <c r="F275" s="22">
        <v>-7.2590552744237619E-3</v>
      </c>
      <c r="G275" s="22">
        <v>-0.29616212765061223</v>
      </c>
      <c r="H275" s="22">
        <v>4.9890503468877625E-3</v>
      </c>
      <c r="I275" s="22">
        <v>-2.6016009921396195E-3</v>
      </c>
      <c r="J275" s="22">
        <v>1.7119711540987143E-2</v>
      </c>
      <c r="K275" s="22">
        <v>2.5013013376186138E-2</v>
      </c>
      <c r="L275" s="22">
        <v>-4.2178154203204352E-2</v>
      </c>
      <c r="M275" s="22">
        <v>5.6696264752051875E-2</v>
      </c>
    </row>
    <row r="276" spans="2:13">
      <c r="B276" s="3" t="s">
        <v>416</v>
      </c>
      <c r="C276" s="24">
        <v>1</v>
      </c>
      <c r="D276" s="22">
        <v>0</v>
      </c>
      <c r="E276" s="22">
        <v>7.2590552744237619E-3</v>
      </c>
      <c r="F276" s="22">
        <v>-7.2590552744237619E-3</v>
      </c>
      <c r="G276" s="22">
        <v>-0.29616212765061223</v>
      </c>
      <c r="H276" s="22">
        <v>4.9890503468877625E-3</v>
      </c>
      <c r="I276" s="22">
        <v>-2.6016009921396195E-3</v>
      </c>
      <c r="J276" s="22">
        <v>1.7119711540987143E-2</v>
      </c>
      <c r="K276" s="22">
        <v>2.5013013376186138E-2</v>
      </c>
      <c r="L276" s="22">
        <v>-4.2178154203204352E-2</v>
      </c>
      <c r="M276" s="22">
        <v>5.6696264752051875E-2</v>
      </c>
    </row>
    <row r="277" spans="2:13">
      <c r="B277" s="3" t="s">
        <v>417</v>
      </c>
      <c r="C277" s="24">
        <v>1</v>
      </c>
      <c r="D277" s="22">
        <v>2.8057058517624956E-5</v>
      </c>
      <c r="E277" s="22">
        <v>7.2590552744237619E-3</v>
      </c>
      <c r="F277" s="22">
        <v>-7.2309982159061365E-3</v>
      </c>
      <c r="G277" s="22">
        <v>-0.29501742798487546</v>
      </c>
      <c r="H277" s="22">
        <v>4.9890503468877625E-3</v>
      </c>
      <c r="I277" s="22">
        <v>-2.6016009921396195E-3</v>
      </c>
      <c r="J277" s="22">
        <v>1.7119711540987143E-2</v>
      </c>
      <c r="K277" s="22">
        <v>2.5013013376186138E-2</v>
      </c>
      <c r="L277" s="22">
        <v>-4.2178154203204352E-2</v>
      </c>
      <c r="M277" s="22">
        <v>5.6696264752051875E-2</v>
      </c>
    </row>
    <row r="278" spans="2:13">
      <c r="B278" s="3" t="s">
        <v>418</v>
      </c>
      <c r="C278" s="24">
        <v>1</v>
      </c>
      <c r="D278" s="22">
        <v>0</v>
      </c>
      <c r="E278" s="22">
        <v>4.9572699065274714E-3</v>
      </c>
      <c r="F278" s="22">
        <v>-4.9572699065274714E-3</v>
      </c>
      <c r="G278" s="22">
        <v>-0.20225160814360552</v>
      </c>
      <c r="H278" s="22">
        <v>4.6971959102660469E-3</v>
      </c>
      <c r="I278" s="22">
        <v>-4.3265478678780767E-3</v>
      </c>
      <c r="J278" s="22">
        <v>1.424108768093302E-2</v>
      </c>
      <c r="K278" s="22">
        <v>2.4956439333625013E-2</v>
      </c>
      <c r="L278" s="22">
        <v>-4.4368123263683903E-2</v>
      </c>
      <c r="M278" s="22">
        <v>5.4282663076738846E-2</v>
      </c>
    </row>
    <row r="279" spans="2:13">
      <c r="B279" s="3" t="s">
        <v>419</v>
      </c>
      <c r="C279" s="24">
        <v>1</v>
      </c>
      <c r="D279" s="22">
        <v>2.6492666366328141E-5</v>
      </c>
      <c r="E279" s="22">
        <v>4.9572699065274714E-3</v>
      </c>
      <c r="F279" s="22">
        <v>-4.9307772401611435E-3</v>
      </c>
      <c r="G279" s="22">
        <v>-0.20117073409848918</v>
      </c>
      <c r="H279" s="22">
        <v>4.6971959102660469E-3</v>
      </c>
      <c r="I279" s="22">
        <v>-4.3265478678780767E-3</v>
      </c>
      <c r="J279" s="22">
        <v>1.424108768093302E-2</v>
      </c>
      <c r="K279" s="22">
        <v>2.4956439333625013E-2</v>
      </c>
      <c r="L279" s="22">
        <v>-4.4368123263683903E-2</v>
      </c>
      <c r="M279" s="22">
        <v>5.4282663076738846E-2</v>
      </c>
    </row>
    <row r="280" spans="2:13">
      <c r="B280" s="3" t="s">
        <v>420</v>
      </c>
      <c r="C280" s="24">
        <v>1</v>
      </c>
      <c r="D280" s="22">
        <v>0</v>
      </c>
      <c r="E280" s="22">
        <v>4.9572699065274714E-3</v>
      </c>
      <c r="F280" s="22">
        <v>-4.9572699065274714E-3</v>
      </c>
      <c r="G280" s="22">
        <v>-0.20225160814360552</v>
      </c>
      <c r="H280" s="22">
        <v>4.6971959102660469E-3</v>
      </c>
      <c r="I280" s="22">
        <v>-4.3265478678780767E-3</v>
      </c>
      <c r="J280" s="22">
        <v>1.424108768093302E-2</v>
      </c>
      <c r="K280" s="22">
        <v>2.4956439333625013E-2</v>
      </c>
      <c r="L280" s="22">
        <v>-4.4368123263683903E-2</v>
      </c>
      <c r="M280" s="22">
        <v>5.4282663076738846E-2</v>
      </c>
    </row>
    <row r="281" spans="2:13">
      <c r="B281" s="3" t="s">
        <v>421</v>
      </c>
      <c r="C281" s="24">
        <v>1</v>
      </c>
      <c r="D281" s="22">
        <v>0</v>
      </c>
      <c r="E281" s="22">
        <v>4.9572699065274714E-3</v>
      </c>
      <c r="F281" s="22">
        <v>-4.9572699065274714E-3</v>
      </c>
      <c r="G281" s="22">
        <v>-0.20225160814360552</v>
      </c>
      <c r="H281" s="22">
        <v>4.6971959102660469E-3</v>
      </c>
      <c r="I281" s="22">
        <v>-4.3265478678780767E-3</v>
      </c>
      <c r="J281" s="22">
        <v>1.424108768093302E-2</v>
      </c>
      <c r="K281" s="22">
        <v>2.4956439333625013E-2</v>
      </c>
      <c r="L281" s="22">
        <v>-4.4368123263683903E-2</v>
      </c>
      <c r="M281" s="22">
        <v>5.4282663076738846E-2</v>
      </c>
    </row>
    <row r="282" spans="2:13">
      <c r="B282" s="3" t="s">
        <v>422</v>
      </c>
      <c r="C282" s="24">
        <v>1</v>
      </c>
      <c r="D282" s="22">
        <v>6.8893022776446691E-6</v>
      </c>
      <c r="E282" s="22">
        <v>4.1900081172287079E-3</v>
      </c>
      <c r="F282" s="22">
        <v>-4.1831188149510637E-3</v>
      </c>
      <c r="G282" s="22">
        <v>-0.17066702506264625</v>
      </c>
      <c r="H282" s="22">
        <v>4.7467614500190701E-3</v>
      </c>
      <c r="I282" s="22">
        <v>-5.1917739421987654E-3</v>
      </c>
      <c r="J282" s="22">
        <v>1.3571790176656181E-2</v>
      </c>
      <c r="K282" s="22">
        <v>2.4965815809960483E-2</v>
      </c>
      <c r="L282" s="22">
        <v>-4.5153917279299703E-2</v>
      </c>
      <c r="M282" s="22">
        <v>5.3533933513757119E-2</v>
      </c>
    </row>
    <row r="283" spans="2:13">
      <c r="B283" s="3" t="s">
        <v>423</v>
      </c>
      <c r="C283" s="24">
        <v>1</v>
      </c>
      <c r="D283" s="22">
        <v>0</v>
      </c>
      <c r="E283" s="22">
        <v>4.1900081172287079E-3</v>
      </c>
      <c r="F283" s="22">
        <v>-4.1900081172287079E-3</v>
      </c>
      <c r="G283" s="22">
        <v>-0.17094810164126995</v>
      </c>
      <c r="H283" s="22">
        <v>4.7467614500190701E-3</v>
      </c>
      <c r="I283" s="22">
        <v>-5.1917739421987654E-3</v>
      </c>
      <c r="J283" s="22">
        <v>1.3571790176656181E-2</v>
      </c>
      <c r="K283" s="22">
        <v>2.4965815809960483E-2</v>
      </c>
      <c r="L283" s="22">
        <v>-4.5153917279299703E-2</v>
      </c>
      <c r="M283" s="22">
        <v>5.3533933513757119E-2</v>
      </c>
    </row>
    <row r="284" spans="2:13">
      <c r="B284" s="3" t="s">
        <v>424</v>
      </c>
      <c r="C284" s="24">
        <v>1</v>
      </c>
      <c r="D284" s="22">
        <v>0</v>
      </c>
      <c r="E284" s="22">
        <v>4.1900081172287079E-3</v>
      </c>
      <c r="F284" s="22">
        <v>-4.1900081172287079E-3</v>
      </c>
      <c r="G284" s="22">
        <v>-0.17094810164126995</v>
      </c>
      <c r="H284" s="22">
        <v>4.7467614500190701E-3</v>
      </c>
      <c r="I284" s="22">
        <v>-5.1917739421987654E-3</v>
      </c>
      <c r="J284" s="22">
        <v>1.3571790176656181E-2</v>
      </c>
      <c r="K284" s="22">
        <v>2.4965815809960483E-2</v>
      </c>
      <c r="L284" s="22">
        <v>-4.5153917279299703E-2</v>
      </c>
      <c r="M284" s="22">
        <v>5.3533933513757119E-2</v>
      </c>
    </row>
    <row r="285" spans="2:13">
      <c r="B285" s="3" t="s">
        <v>425</v>
      </c>
      <c r="C285" s="24">
        <v>1</v>
      </c>
      <c r="D285" s="22">
        <v>0</v>
      </c>
      <c r="E285" s="22">
        <v>4.1900081172287079E-3</v>
      </c>
      <c r="F285" s="22">
        <v>-4.1900081172287079E-3</v>
      </c>
      <c r="G285" s="22">
        <v>-0.17094810164126995</v>
      </c>
      <c r="H285" s="22">
        <v>4.7467614500190701E-3</v>
      </c>
      <c r="I285" s="22">
        <v>-5.1917739421987654E-3</v>
      </c>
      <c r="J285" s="22">
        <v>1.3571790176656181E-2</v>
      </c>
      <c r="K285" s="22">
        <v>2.4965815809960483E-2</v>
      </c>
      <c r="L285" s="22">
        <v>-4.5153917279299703E-2</v>
      </c>
      <c r="M285" s="22">
        <v>5.3533933513757119E-2</v>
      </c>
    </row>
    <row r="286" spans="2:13">
      <c r="B286" s="3" t="s">
        <v>426</v>
      </c>
      <c r="C286" s="24">
        <v>1</v>
      </c>
      <c r="D286" s="22">
        <v>0</v>
      </c>
      <c r="E286" s="22">
        <v>4.1900081172287079E-3</v>
      </c>
      <c r="F286" s="22">
        <v>-4.1900081172287079E-3</v>
      </c>
      <c r="G286" s="22">
        <v>-0.17094810164126995</v>
      </c>
      <c r="H286" s="22">
        <v>4.7467614500190701E-3</v>
      </c>
      <c r="I286" s="22">
        <v>-5.1917739421987654E-3</v>
      </c>
      <c r="J286" s="22">
        <v>1.3571790176656181E-2</v>
      </c>
      <c r="K286" s="22">
        <v>2.4965815809960483E-2</v>
      </c>
      <c r="L286" s="22">
        <v>-4.5153917279299703E-2</v>
      </c>
      <c r="M286" s="22">
        <v>5.3533933513757119E-2</v>
      </c>
    </row>
    <row r="287" spans="2:13">
      <c r="B287" s="3" t="s">
        <v>427</v>
      </c>
      <c r="C287" s="24">
        <v>1</v>
      </c>
      <c r="D287" s="22">
        <v>0</v>
      </c>
      <c r="E287" s="22">
        <v>4.1900081172287079E-3</v>
      </c>
      <c r="F287" s="22">
        <v>-4.1900081172287079E-3</v>
      </c>
      <c r="G287" s="22">
        <v>-0.17094810164126995</v>
      </c>
      <c r="H287" s="22">
        <v>4.7467614500190701E-3</v>
      </c>
      <c r="I287" s="22">
        <v>-5.1917739421987654E-3</v>
      </c>
      <c r="J287" s="22">
        <v>1.3571790176656181E-2</v>
      </c>
      <c r="K287" s="22">
        <v>2.4965815809960483E-2</v>
      </c>
      <c r="L287" s="22">
        <v>-4.5153917279299703E-2</v>
      </c>
      <c r="M287" s="22">
        <v>5.3533933513757119E-2</v>
      </c>
    </row>
    <row r="288" spans="2:13">
      <c r="B288" s="3" t="s">
        <v>428</v>
      </c>
      <c r="C288" s="24">
        <v>1</v>
      </c>
      <c r="D288" s="22">
        <v>0</v>
      </c>
      <c r="E288" s="22">
        <v>4.1900081172287079E-3</v>
      </c>
      <c r="F288" s="22">
        <v>-4.1900081172287079E-3</v>
      </c>
      <c r="G288" s="22">
        <v>-0.17094810164126995</v>
      </c>
      <c r="H288" s="22">
        <v>4.7467614500190701E-3</v>
      </c>
      <c r="I288" s="22">
        <v>-5.1917739421987654E-3</v>
      </c>
      <c r="J288" s="22">
        <v>1.3571790176656181E-2</v>
      </c>
      <c r="K288" s="22">
        <v>2.4965815809960483E-2</v>
      </c>
      <c r="L288" s="22">
        <v>-4.5153917279299703E-2</v>
      </c>
      <c r="M288" s="22">
        <v>5.3533933513757119E-2</v>
      </c>
    </row>
    <row r="289" spans="2:13">
      <c r="B289" s="3" t="s">
        <v>429</v>
      </c>
      <c r="C289" s="24">
        <v>1</v>
      </c>
      <c r="D289" s="22">
        <v>2.3190028158027889E-6</v>
      </c>
      <c r="E289" s="22">
        <v>4.1900081172287079E-3</v>
      </c>
      <c r="F289" s="22">
        <v>-4.187689114412905E-3</v>
      </c>
      <c r="G289" s="22">
        <v>-0.17085348866726824</v>
      </c>
      <c r="H289" s="22">
        <v>4.7467614500190701E-3</v>
      </c>
      <c r="I289" s="22">
        <v>-5.1917739421987654E-3</v>
      </c>
      <c r="J289" s="22">
        <v>1.3571790176656181E-2</v>
      </c>
      <c r="K289" s="22">
        <v>2.4965815809960483E-2</v>
      </c>
      <c r="L289" s="22">
        <v>-4.5153917279299703E-2</v>
      </c>
      <c r="M289" s="22">
        <v>5.3533933513757119E-2</v>
      </c>
    </row>
    <row r="290" spans="2:13">
      <c r="B290" s="3" t="s">
        <v>430</v>
      </c>
      <c r="C290" s="24">
        <v>1</v>
      </c>
      <c r="D290" s="22">
        <v>0</v>
      </c>
      <c r="E290" s="22">
        <v>4.1900081172287079E-3</v>
      </c>
      <c r="F290" s="22">
        <v>-4.1900081172287079E-3</v>
      </c>
      <c r="G290" s="22">
        <v>-0.17094810164126995</v>
      </c>
      <c r="H290" s="22">
        <v>4.7467614500190701E-3</v>
      </c>
      <c r="I290" s="22">
        <v>-5.1917739421987654E-3</v>
      </c>
      <c r="J290" s="22">
        <v>1.3571790176656181E-2</v>
      </c>
      <c r="K290" s="22">
        <v>2.4965815809960483E-2</v>
      </c>
      <c r="L290" s="22">
        <v>-4.5153917279299703E-2</v>
      </c>
      <c r="M290" s="22">
        <v>5.3533933513757119E-2</v>
      </c>
    </row>
    <row r="291" spans="2:13">
      <c r="B291" s="3" t="s">
        <v>431</v>
      </c>
      <c r="C291" s="24">
        <v>1</v>
      </c>
      <c r="D291" s="22">
        <v>4.6444661186196643E-3</v>
      </c>
      <c r="E291" s="22">
        <v>4.1900081172287079E-3</v>
      </c>
      <c r="F291" s="22">
        <v>4.5445800139095639E-4</v>
      </c>
      <c r="G291" s="22">
        <v>1.8541427710849715E-2</v>
      </c>
      <c r="H291" s="22">
        <v>4.7467614500190701E-3</v>
      </c>
      <c r="I291" s="22">
        <v>-5.1917739421987654E-3</v>
      </c>
      <c r="J291" s="22">
        <v>1.3571790176656181E-2</v>
      </c>
      <c r="K291" s="22">
        <v>2.4965815809960483E-2</v>
      </c>
      <c r="L291" s="22">
        <v>-4.5153917279299703E-2</v>
      </c>
      <c r="M291" s="22">
        <v>5.3533933513757119E-2</v>
      </c>
    </row>
    <row r="292" spans="2:13" ht="16.5" thickBot="1">
      <c r="B292" s="7" t="s">
        <v>432</v>
      </c>
      <c r="C292" s="9">
        <v>1</v>
      </c>
      <c r="D292" s="11">
        <v>0</v>
      </c>
      <c r="E292" s="11">
        <v>4.1900081172287079E-3</v>
      </c>
      <c r="F292" s="11">
        <v>-4.1900081172287079E-3</v>
      </c>
      <c r="G292" s="11">
        <v>-0.17094810164126995</v>
      </c>
      <c r="H292" s="11">
        <v>4.7467614500190701E-3</v>
      </c>
      <c r="I292" s="11">
        <v>-5.1917739421987654E-3</v>
      </c>
      <c r="J292" s="11">
        <v>1.3571790176656181E-2</v>
      </c>
      <c r="K292" s="11">
        <v>2.4965815809960483E-2</v>
      </c>
      <c r="L292" s="11">
        <v>-4.5153917279299703E-2</v>
      </c>
      <c r="M292" s="11">
        <v>5.3533933513757119E-2</v>
      </c>
    </row>
    <row r="310" spans="6:6">
      <c r="F310" t="s">
        <v>193</v>
      </c>
    </row>
    <row r="328" spans="6:6">
      <c r="F328" t="s">
        <v>193</v>
      </c>
    </row>
  </sheetData>
  <pageMargins left="0.7" right="0.7" top="0.75" bottom="0.75" header="0.3" footer="0.3"/>
  <ignoredErrors>
    <ignoredError sqref="A1"/>
  </ignoredErrors>
  <drawing r:id="rId1"/>
  <legacyDrawing r:id="rId2"/>
  <mc:AlternateContent xmlns:mc="http://schemas.openxmlformats.org/markup-compatibility/2006">
    <mc:Choice Requires="x14">
      <controls>
        <mc:AlternateContent xmlns:mc="http://schemas.openxmlformats.org/markup-compatibility/2006">
          <mc:Choice Requires="x14">
            <control shapeId="120833" r:id="rId3" name="DD189628">
              <controlPr defaultSize="0" autoFill="0" autoPict="0" macro="[0]!GoToResultsNew23041815102584">
                <anchor moveWithCells="1">
                  <from>
                    <xdr:col>1</xdr:col>
                    <xdr:colOff>0</xdr:colOff>
                    <xdr:row>7</xdr:row>
                    <xdr:rowOff>0</xdr:rowOff>
                  </from>
                  <to>
                    <xdr:col>4</xdr:col>
                    <xdr:colOff>0</xdr:colOff>
                    <xdr:row>8</xdr:row>
                    <xdr:rowOff>38100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enableFormatConditionsCalculation="0"/>
  <dimension ref="A1:C70"/>
  <sheetViews>
    <sheetView workbookViewId="0"/>
  </sheetViews>
  <sheetFormatPr baseColWidth="10" defaultRowHeight="15.75"/>
  <sheetData>
    <row r="1" spans="1:3">
      <c r="A1" s="2">
        <v>1</v>
      </c>
      <c r="B1">
        <f t="shared" ref="B1:B32" si="0">-4.958+(A1-1)*1.396173913</f>
        <v>-4.9580000000000002</v>
      </c>
      <c r="C1">
        <f t="shared" ref="C1:C32" si="1">0.00679444141559983+0.000322500739084756*B1-0.055205330697343*(0.00219298245614035+(B1-45.8980921052631)^2/282381.139640132)^0.5</f>
        <v>-6.8641903740912762E-4</v>
      </c>
    </row>
    <row r="2" spans="1:3">
      <c r="A2" s="2">
        <v>2</v>
      </c>
      <c r="B2">
        <f t="shared" si="0"/>
        <v>-3.561826087</v>
      </c>
      <c r="C2">
        <f t="shared" si="1"/>
        <v>-1.0622121155015769E-4</v>
      </c>
    </row>
    <row r="3" spans="1:3">
      <c r="A3" s="2">
        <v>3</v>
      </c>
      <c r="B3">
        <f t="shared" si="0"/>
        <v>-2.1656521740000003</v>
      </c>
      <c r="C3">
        <f t="shared" si="1"/>
        <v>4.7323741945123204E-4</v>
      </c>
    </row>
    <row r="4" spans="1:3">
      <c r="A4" s="2">
        <v>4</v>
      </c>
      <c r="B4">
        <f t="shared" si="0"/>
        <v>-0.76947826100000061</v>
      </c>
      <c r="C4">
        <f t="shared" si="1"/>
        <v>1.0519047124059478E-3</v>
      </c>
    </row>
    <row r="5" spans="1:3">
      <c r="A5" s="2">
        <v>5</v>
      </c>
      <c r="B5">
        <f t="shared" si="0"/>
        <v>0.62669565199999955</v>
      </c>
      <c r="C5">
        <f t="shared" si="1"/>
        <v>1.6297238692428639E-3</v>
      </c>
    </row>
    <row r="6" spans="1:3">
      <c r="A6" s="2">
        <v>6</v>
      </c>
      <c r="B6">
        <f t="shared" si="0"/>
        <v>2.0228695649999997</v>
      </c>
      <c r="C6">
        <f t="shared" si="1"/>
        <v>2.2066329558194315E-3</v>
      </c>
    </row>
    <row r="7" spans="1:3">
      <c r="A7" s="2">
        <v>7</v>
      </c>
      <c r="B7">
        <f t="shared" si="0"/>
        <v>3.419043477999999</v>
      </c>
      <c r="C7">
        <f t="shared" si="1"/>
        <v>2.7825643682399329E-3</v>
      </c>
    </row>
    <row r="8" spans="1:3">
      <c r="A8" s="2">
        <v>8</v>
      </c>
      <c r="B8">
        <f t="shared" si="0"/>
        <v>4.8152173909999991</v>
      </c>
      <c r="C8">
        <f t="shared" si="1"/>
        <v>3.3574442416356518E-3</v>
      </c>
    </row>
    <row r="9" spans="1:3">
      <c r="A9" s="2">
        <v>9</v>
      </c>
      <c r="B9">
        <f t="shared" si="0"/>
        <v>6.2113913039999993</v>
      </c>
      <c r="C9">
        <f t="shared" si="1"/>
        <v>3.9311917962655697E-3</v>
      </c>
    </row>
    <row r="10" spans="1:3">
      <c r="A10" s="2">
        <v>10</v>
      </c>
      <c r="B10">
        <f t="shared" si="0"/>
        <v>7.6075652169999994</v>
      </c>
      <c r="C10">
        <f t="shared" si="1"/>
        <v>4.5037186158816515E-3</v>
      </c>
    </row>
    <row r="11" spans="1:3">
      <c r="A11" s="2">
        <v>11</v>
      </c>
      <c r="B11">
        <f t="shared" si="0"/>
        <v>9.0037391299999996</v>
      </c>
      <c r="C11">
        <f t="shared" si="1"/>
        <v>5.074927853655751E-3</v>
      </c>
    </row>
    <row r="12" spans="1:3">
      <c r="A12" s="2">
        <v>12</v>
      </c>
      <c r="B12">
        <f t="shared" si="0"/>
        <v>10.399913043</v>
      </c>
      <c r="C12">
        <f t="shared" si="1"/>
        <v>5.644713361701411E-3</v>
      </c>
    </row>
    <row r="13" spans="1:3">
      <c r="A13" s="2">
        <v>13</v>
      </c>
      <c r="B13">
        <f t="shared" si="0"/>
        <v>11.796086955999998</v>
      </c>
      <c r="C13">
        <f t="shared" si="1"/>
        <v>6.2129587414962734E-3</v>
      </c>
    </row>
    <row r="14" spans="1:3">
      <c r="A14" s="2">
        <v>14</v>
      </c>
      <c r="B14">
        <f t="shared" si="0"/>
        <v>13.192260869</v>
      </c>
      <c r="C14">
        <f t="shared" si="1"/>
        <v>6.7795363145175015E-3</v>
      </c>
    </row>
    <row r="15" spans="1:3">
      <c r="A15" s="2">
        <v>15</v>
      </c>
      <c r="B15">
        <f t="shared" si="0"/>
        <v>14.588434781999998</v>
      </c>
      <c r="C15">
        <f t="shared" si="1"/>
        <v>7.3443060153959676E-3</v>
      </c>
    </row>
    <row r="16" spans="1:3">
      <c r="A16" s="2">
        <v>16</v>
      </c>
      <c r="B16">
        <f t="shared" si="0"/>
        <v>15.984608695</v>
      </c>
      <c r="C16">
        <f t="shared" si="1"/>
        <v>7.9071142141896086E-3</v>
      </c>
    </row>
    <row r="17" spans="1:3">
      <c r="A17" s="2">
        <v>17</v>
      </c>
      <c r="B17">
        <f t="shared" si="0"/>
        <v>17.380782607999997</v>
      </c>
      <c r="C17">
        <f t="shared" si="1"/>
        <v>8.4677924803521799E-3</v>
      </c>
    </row>
    <row r="18" spans="1:3">
      <c r="A18" s="2">
        <v>18</v>
      </c>
      <c r="B18">
        <f t="shared" si="0"/>
        <v>18.776956520999995</v>
      </c>
      <c r="C18">
        <f t="shared" si="1"/>
        <v>9.0261563090742007E-3</v>
      </c>
    </row>
    <row r="19" spans="1:3">
      <c r="A19" s="2">
        <v>19</v>
      </c>
      <c r="B19">
        <f t="shared" si="0"/>
        <v>20.173130434000001</v>
      </c>
      <c r="C19">
        <f t="shared" si="1"/>
        <v>9.5820038413863828E-3</v>
      </c>
    </row>
    <row r="20" spans="1:3">
      <c r="A20" s="2">
        <v>20</v>
      </c>
      <c r="B20">
        <f t="shared" si="0"/>
        <v>21.569304346999999</v>
      </c>
      <c r="C20">
        <f t="shared" si="1"/>
        <v>1.0135114623236177E-2</v>
      </c>
    </row>
    <row r="21" spans="1:3">
      <c r="A21" s="2">
        <v>21</v>
      </c>
      <c r="B21">
        <f t="shared" si="0"/>
        <v>22.965478259999998</v>
      </c>
      <c r="C21">
        <f t="shared" si="1"/>
        <v>1.0685248466098781E-2</v>
      </c>
    </row>
    <row r="22" spans="1:3">
      <c r="A22" s="2">
        <v>22</v>
      </c>
      <c r="B22">
        <f t="shared" si="0"/>
        <v>24.361652172999996</v>
      </c>
      <c r="C22">
        <f t="shared" si="1"/>
        <v>1.1232144492790488E-2</v>
      </c>
    </row>
    <row r="23" spans="1:3">
      <c r="A23" s="2">
        <v>23</v>
      </c>
      <c r="B23">
        <f t="shared" si="0"/>
        <v>25.757826086000001</v>
      </c>
      <c r="C23">
        <f t="shared" si="1"/>
        <v>1.1775520476847955E-2</v>
      </c>
    </row>
    <row r="24" spans="1:3">
      <c r="A24" s="2">
        <v>24</v>
      </c>
      <c r="B24">
        <f t="shared" si="0"/>
        <v>27.153999999</v>
      </c>
      <c r="C24">
        <f t="shared" si="1"/>
        <v>1.231507261128586E-2</v>
      </c>
    </row>
    <row r="25" spans="1:3">
      <c r="A25" s="2">
        <v>25</v>
      </c>
      <c r="B25">
        <f t="shared" si="0"/>
        <v>28.550173911999998</v>
      </c>
      <c r="C25">
        <f t="shared" si="1"/>
        <v>1.2850475870884916E-2</v>
      </c>
    </row>
    <row r="26" spans="1:3">
      <c r="A26" s="2">
        <v>26</v>
      </c>
      <c r="B26">
        <f t="shared" si="0"/>
        <v>29.946347824999997</v>
      </c>
      <c r="C26">
        <f t="shared" si="1"/>
        <v>1.3381385158095333E-2</v>
      </c>
    </row>
    <row r="27" spans="1:3">
      <c r="A27" s="2">
        <v>27</v>
      </c>
      <c r="B27">
        <f t="shared" si="0"/>
        <v>31.342521738000002</v>
      </c>
      <c r="C27">
        <f t="shared" si="1"/>
        <v>1.3907437441058896E-2</v>
      </c>
    </row>
    <row r="28" spans="1:3">
      <c r="A28" s="2">
        <v>28</v>
      </c>
      <c r="B28">
        <f t="shared" si="0"/>
        <v>32.738695651</v>
      </c>
      <c r="C28">
        <f t="shared" si="1"/>
        <v>1.4428255096044758E-2</v>
      </c>
    </row>
    <row r="29" spans="1:3">
      <c r="A29" s="2">
        <v>29</v>
      </c>
      <c r="B29">
        <f t="shared" si="0"/>
        <v>34.134869563999999</v>
      </c>
      <c r="C29">
        <f t="shared" si="1"/>
        <v>1.4943450646896065E-2</v>
      </c>
    </row>
    <row r="30" spans="1:3">
      <c r="A30" s="2">
        <v>30</v>
      </c>
      <c r="B30">
        <f t="shared" si="0"/>
        <v>35.531043476999997</v>
      </c>
      <c r="C30">
        <f t="shared" si="1"/>
        <v>1.5452633041273159E-2</v>
      </c>
    </row>
    <row r="31" spans="1:3">
      <c r="A31" s="2">
        <v>31</v>
      </c>
      <c r="B31">
        <f t="shared" si="0"/>
        <v>36.927217390000003</v>
      </c>
      <c r="C31">
        <f t="shared" si="1"/>
        <v>1.5955415509214813E-2</v>
      </c>
    </row>
    <row r="32" spans="1:3">
      <c r="A32" s="2">
        <v>32</v>
      </c>
      <c r="B32">
        <f t="shared" si="0"/>
        <v>38.323391303000001</v>
      </c>
      <c r="C32">
        <f t="shared" si="1"/>
        <v>1.6451424909931768E-2</v>
      </c>
    </row>
    <row r="33" spans="1:3">
      <c r="A33" s="2">
        <v>33</v>
      </c>
      <c r="B33">
        <f t="shared" ref="B33:B64" si="2">-4.958+(A33-1)*1.396173913</f>
        <v>39.719565215999999</v>
      </c>
      <c r="C33">
        <f t="shared" ref="C33:C64" si="3">0.00679444141559983+0.000322500739084756*B33-0.055205330697343*(0.00219298245614035+(B33-45.8980921052631)^2/282381.139640132)^0.5</f>
        <v>1.6940312292280248E-2</v>
      </c>
    </row>
    <row r="34" spans="1:3">
      <c r="A34" s="2">
        <v>34</v>
      </c>
      <c r="B34">
        <f t="shared" si="2"/>
        <v>41.115739128999998</v>
      </c>
      <c r="C34">
        <f t="shared" si="3"/>
        <v>1.7421764189474588E-2</v>
      </c>
    </row>
    <row r="35" spans="1:3">
      <c r="A35" s="2">
        <v>35</v>
      </c>
      <c r="B35">
        <f t="shared" si="2"/>
        <v>42.511913041999996</v>
      </c>
      <c r="C35">
        <f t="shared" si="3"/>
        <v>1.7895513969140256E-2</v>
      </c>
    </row>
    <row r="36" spans="1:3">
      <c r="A36" s="2">
        <v>36</v>
      </c>
      <c r="B36">
        <f t="shared" si="2"/>
        <v>43.908086955000002</v>
      </c>
      <c r="C36">
        <f t="shared" si="3"/>
        <v>1.836135240636242E-2</v>
      </c>
    </row>
    <row r="37" spans="1:3">
      <c r="A37" s="2">
        <v>37</v>
      </c>
      <c r="B37">
        <f t="shared" si="2"/>
        <v>45.304260868</v>
      </c>
      <c r="C37">
        <f t="shared" si="3"/>
        <v>1.8819136583246212E-2</v>
      </c>
    </row>
    <row r="38" spans="1:3">
      <c r="A38" s="2">
        <v>38</v>
      </c>
      <c r="B38">
        <f t="shared" si="2"/>
        <v>46.700434780999998</v>
      </c>
      <c r="C38">
        <f t="shared" si="3"/>
        <v>1.9268796277256674E-2</v>
      </c>
    </row>
    <row r="39" spans="1:3">
      <c r="A39" s="2">
        <v>39</v>
      </c>
      <c r="B39">
        <f t="shared" si="2"/>
        <v>48.096608693999997</v>
      </c>
      <c r="C39">
        <f t="shared" si="3"/>
        <v>1.9710337192953536E-2</v>
      </c>
    </row>
    <row r="40" spans="1:3">
      <c r="A40" s="2">
        <v>40</v>
      </c>
      <c r="B40">
        <f t="shared" si="2"/>
        <v>49.492782607000002</v>
      </c>
      <c r="C40">
        <f t="shared" si="3"/>
        <v>2.0143840697166581E-2</v>
      </c>
    </row>
    <row r="41" spans="1:3">
      <c r="A41" s="2">
        <v>41</v>
      </c>
      <c r="B41">
        <f t="shared" si="2"/>
        <v>50.888956520000001</v>
      </c>
      <c r="C41">
        <f t="shared" si="3"/>
        <v>2.0569460085803154E-2</v>
      </c>
    </row>
    <row r="42" spans="1:3">
      <c r="A42" s="2">
        <v>42</v>
      </c>
      <c r="B42">
        <f t="shared" si="2"/>
        <v>52.285130432999999</v>
      </c>
      <c r="C42">
        <f t="shared" si="3"/>
        <v>2.0987413773345943E-2</v>
      </c>
    </row>
    <row r="43" spans="1:3">
      <c r="A43" s="2">
        <v>43</v>
      </c>
      <c r="B43">
        <f t="shared" si="2"/>
        <v>53.681304345999997</v>
      </c>
      <c r="C43">
        <f t="shared" si="3"/>
        <v>2.1397976087203358E-2</v>
      </c>
    </row>
    <row r="44" spans="1:3">
      <c r="A44" s="2">
        <v>44</v>
      </c>
      <c r="B44">
        <f t="shared" si="2"/>
        <v>55.077478258999996</v>
      </c>
      <c r="C44">
        <f t="shared" si="3"/>
        <v>2.1801466521973949E-2</v>
      </c>
    </row>
    <row r="45" spans="1:3">
      <c r="A45" s="2">
        <v>45</v>
      </c>
      <c r="B45">
        <f t="shared" si="2"/>
        <v>56.473652172000001</v>
      </c>
      <c r="C45">
        <f t="shared" si="3"/>
        <v>2.2198238347717506E-2</v>
      </c>
    </row>
    <row r="46" spans="1:3">
      <c r="A46" s="2">
        <v>46</v>
      </c>
      <c r="B46">
        <f t="shared" si="2"/>
        <v>57.869826085</v>
      </c>
      <c r="C46">
        <f t="shared" si="3"/>
        <v>2.2588667386322838E-2</v>
      </c>
    </row>
    <row r="47" spans="1:3">
      <c r="A47" s="2">
        <v>47</v>
      </c>
      <c r="B47">
        <f t="shared" si="2"/>
        <v>59.265999997999998</v>
      </c>
      <c r="C47">
        <f t="shared" si="3"/>
        <v>2.2973141606936295E-2</v>
      </c>
    </row>
    <row r="48" spans="1:3">
      <c r="A48" s="2">
        <v>48</v>
      </c>
      <c r="B48">
        <f t="shared" si="2"/>
        <v>60.662173910999996</v>
      </c>
      <c r="C48">
        <f t="shared" si="3"/>
        <v>2.3352051988765655E-2</v>
      </c>
    </row>
    <row r="49" spans="1:3">
      <c r="A49" s="2">
        <v>49</v>
      </c>
      <c r="B49">
        <f t="shared" si="2"/>
        <v>62.058347823999995</v>
      </c>
      <c r="C49">
        <f t="shared" si="3"/>
        <v>2.3725784896757193E-2</v>
      </c>
    </row>
    <row r="50" spans="1:3">
      <c r="A50" s="2">
        <v>50</v>
      </c>
      <c r="B50">
        <f t="shared" si="2"/>
        <v>63.454521736999993</v>
      </c>
      <c r="C50">
        <f t="shared" si="3"/>
        <v>2.4094716040557435E-2</v>
      </c>
    </row>
    <row r="51" spans="1:3">
      <c r="A51" s="2">
        <v>51</v>
      </c>
      <c r="B51">
        <f t="shared" si="2"/>
        <v>64.850695649999992</v>
      </c>
      <c r="C51">
        <f t="shared" si="3"/>
        <v>2.4459205954300216E-2</v>
      </c>
    </row>
    <row r="52" spans="1:3">
      <c r="A52" s="2">
        <v>52</v>
      </c>
      <c r="B52">
        <f t="shared" si="2"/>
        <v>66.246869563000004</v>
      </c>
      <c r="C52">
        <f t="shared" si="3"/>
        <v>2.4819596847083659E-2</v>
      </c>
    </row>
    <row r="53" spans="1:3">
      <c r="A53" s="2">
        <v>53</v>
      </c>
      <c r="B53">
        <f t="shared" si="2"/>
        <v>67.643043476000003</v>
      </c>
      <c r="C53">
        <f t="shared" si="3"/>
        <v>2.5176210626727095E-2</v>
      </c>
    </row>
    <row r="54" spans="1:3">
      <c r="A54" s="2">
        <v>54</v>
      </c>
      <c r="B54">
        <f t="shared" si="2"/>
        <v>69.039217389000001</v>
      </c>
      <c r="C54">
        <f t="shared" si="3"/>
        <v>2.5529347883818238E-2</v>
      </c>
    </row>
    <row r="55" spans="1:3">
      <c r="A55" s="2">
        <v>55</v>
      </c>
      <c r="B55">
        <f t="shared" si="2"/>
        <v>70.435391301999999</v>
      </c>
      <c r="C55">
        <f t="shared" si="3"/>
        <v>2.5879287629564433E-2</v>
      </c>
    </row>
    <row r="56" spans="1:3">
      <c r="A56" s="2">
        <v>56</v>
      </c>
      <c r="B56">
        <f t="shared" si="2"/>
        <v>71.831565214999998</v>
      </c>
      <c r="C56">
        <f t="shared" si="3"/>
        <v>2.6226287600905153E-2</v>
      </c>
    </row>
    <row r="57" spans="1:3">
      <c r="A57" s="2">
        <v>57</v>
      </c>
      <c r="B57">
        <f t="shared" si="2"/>
        <v>73.227739127999996</v>
      </c>
      <c r="C57">
        <f t="shared" si="3"/>
        <v>2.6570584972912238E-2</v>
      </c>
    </row>
    <row r="58" spans="1:3">
      <c r="A58" s="2">
        <v>58</v>
      </c>
      <c r="B58">
        <f t="shared" si="2"/>
        <v>74.623913040999994</v>
      </c>
      <c r="C58">
        <f t="shared" si="3"/>
        <v>2.6912397346880935E-2</v>
      </c>
    </row>
    <row r="59" spans="1:3">
      <c r="A59" s="2">
        <v>59</v>
      </c>
      <c r="B59">
        <f t="shared" si="2"/>
        <v>76.020086953999993</v>
      </c>
      <c r="C59">
        <f t="shared" si="3"/>
        <v>2.7251923909641075E-2</v>
      </c>
    </row>
    <row r="60" spans="1:3">
      <c r="A60" s="2">
        <v>60</v>
      </c>
      <c r="B60">
        <f t="shared" si="2"/>
        <v>77.416260866999991</v>
      </c>
      <c r="C60">
        <f t="shared" si="3"/>
        <v>2.7589346683810807E-2</v>
      </c>
    </row>
    <row r="61" spans="1:3">
      <c r="A61" s="2">
        <v>61</v>
      </c>
      <c r="B61">
        <f t="shared" si="2"/>
        <v>78.812434780000004</v>
      </c>
      <c r="C61">
        <f t="shared" si="3"/>
        <v>2.7924831809259087E-2</v>
      </c>
    </row>
    <row r="62" spans="1:3">
      <c r="A62" s="2">
        <v>62</v>
      </c>
      <c r="B62">
        <f t="shared" si="2"/>
        <v>80.208608693000002</v>
      </c>
      <c r="C62">
        <f t="shared" si="3"/>
        <v>2.8258530812845791E-2</v>
      </c>
    </row>
    <row r="63" spans="1:3">
      <c r="A63" s="2">
        <v>63</v>
      </c>
      <c r="B63">
        <f t="shared" si="2"/>
        <v>81.604782606000001</v>
      </c>
      <c r="C63">
        <f t="shared" si="3"/>
        <v>2.8590581836834723E-2</v>
      </c>
    </row>
    <row r="64" spans="1:3">
      <c r="A64" s="2">
        <v>64</v>
      </c>
      <c r="B64">
        <f t="shared" si="2"/>
        <v>83.000956518999999</v>
      </c>
      <c r="C64">
        <f t="shared" si="3"/>
        <v>2.8921110806666369E-2</v>
      </c>
    </row>
    <row r="65" spans="1:3">
      <c r="A65" s="2">
        <v>65</v>
      </c>
      <c r="B65">
        <f t="shared" ref="B65:B70" si="4">-4.958+(A65-1)*1.396173913</f>
        <v>84.397130431999997</v>
      </c>
      <c r="C65">
        <f t="shared" ref="C65:C70" si="5">0.00679444141559983+0.000322500739084756*B65-0.055205330697343*(0.00219298245614035+(B65-45.8980921052631)^2/282381.139640132)^0.5</f>
        <v>2.9250232526530095E-2</v>
      </c>
    </row>
    <row r="66" spans="1:3">
      <c r="A66" s="2">
        <v>66</v>
      </c>
      <c r="B66">
        <f t="shared" si="4"/>
        <v>85.793304344999996</v>
      </c>
      <c r="C66">
        <f t="shared" si="5"/>
        <v>2.9578051696873553E-2</v>
      </c>
    </row>
    <row r="67" spans="1:3">
      <c r="A67" s="2">
        <v>67</v>
      </c>
      <c r="B67">
        <f t="shared" si="4"/>
        <v>87.189478257999994</v>
      </c>
      <c r="C67">
        <f t="shared" si="5"/>
        <v>2.9904663852064958E-2</v>
      </c>
    </row>
    <row r="68" spans="1:3">
      <c r="A68" s="2">
        <v>68</v>
      </c>
      <c r="B68">
        <f t="shared" si="4"/>
        <v>88.585652170999992</v>
      </c>
      <c r="C68">
        <f t="shared" si="5"/>
        <v>3.0230156219251226E-2</v>
      </c>
    </row>
    <row r="69" spans="1:3">
      <c r="A69" s="2">
        <v>69</v>
      </c>
      <c r="B69">
        <f t="shared" si="4"/>
        <v>89.981826083999991</v>
      </c>
      <c r="C69">
        <f t="shared" si="5"/>
        <v>3.0554608501337756E-2</v>
      </c>
    </row>
    <row r="70" spans="1:3">
      <c r="A70" s="2">
        <v>70</v>
      </c>
      <c r="B70">
        <f t="shared" si="4"/>
        <v>91.377999997000003</v>
      </c>
      <c r="C70">
        <f t="shared" si="5"/>
        <v>3.0878093588196126E-2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enableFormatConditionsCalculation="0"/>
  <dimension ref="A1:C70"/>
  <sheetViews>
    <sheetView workbookViewId="0"/>
  </sheetViews>
  <sheetFormatPr baseColWidth="10" defaultRowHeight="15.75"/>
  <sheetData>
    <row r="1" spans="1:3">
      <c r="A1" s="2">
        <v>1</v>
      </c>
      <c r="B1">
        <f t="shared" ref="B1:B32" si="0">-4.958+(A1-1)*1.396173913</f>
        <v>-4.9580000000000002</v>
      </c>
      <c r="C1">
        <f t="shared" ref="C1:C32" si="1">0.00679444141559983+0.000322500739084756*B1+0.055205330697343*(0.00219298245614035+(B1-45.8980921052631)^2/282381.139640132)^0.5</f>
        <v>1.1077384539844345E-2</v>
      </c>
    </row>
    <row r="2" spans="1:3">
      <c r="A2" s="2">
        <v>2</v>
      </c>
      <c r="B2">
        <f t="shared" si="0"/>
        <v>-3.561826087</v>
      </c>
      <c r="C2">
        <f t="shared" si="1"/>
        <v>1.1397720951652089E-2</v>
      </c>
    </row>
    <row r="3" spans="1:3">
      <c r="A3" s="2">
        <v>3</v>
      </c>
      <c r="B3">
        <f t="shared" si="0"/>
        <v>-2.1656521740000003</v>
      </c>
      <c r="C3">
        <f t="shared" si="1"/>
        <v>1.171879655831741E-2</v>
      </c>
    </row>
    <row r="4" spans="1:3">
      <c r="A4" s="2">
        <v>4</v>
      </c>
      <c r="B4">
        <f t="shared" si="0"/>
        <v>-0.76947826100000061</v>
      </c>
      <c r="C4">
        <f t="shared" si="1"/>
        <v>1.2040663503029406E-2</v>
      </c>
    </row>
    <row r="5" spans="1:3">
      <c r="A5" s="2">
        <v>5</v>
      </c>
      <c r="B5">
        <f t="shared" si="0"/>
        <v>0.62669565199999955</v>
      </c>
      <c r="C5">
        <f t="shared" si="1"/>
        <v>1.2363378583859202E-2</v>
      </c>
    </row>
    <row r="6" spans="1:3">
      <c r="A6" s="2">
        <v>6</v>
      </c>
      <c r="B6">
        <f t="shared" si="0"/>
        <v>2.0228695649999997</v>
      </c>
      <c r="C6">
        <f t="shared" si="1"/>
        <v>1.2687003734949347E-2</v>
      </c>
    </row>
    <row r="7" spans="1:3">
      <c r="A7" s="2">
        <v>7</v>
      </c>
      <c r="B7">
        <f t="shared" si="0"/>
        <v>3.419043477999999</v>
      </c>
      <c r="C7">
        <f t="shared" si="1"/>
        <v>1.3011606560195555E-2</v>
      </c>
    </row>
    <row r="8" spans="1:3">
      <c r="A8" s="2">
        <v>8</v>
      </c>
      <c r="B8">
        <f t="shared" si="0"/>
        <v>4.8152173909999991</v>
      </c>
      <c r="C8">
        <f t="shared" si="1"/>
        <v>1.3337260924466547E-2</v>
      </c>
    </row>
    <row r="9" spans="1:3">
      <c r="A9" s="2">
        <v>9</v>
      </c>
      <c r="B9">
        <f t="shared" si="0"/>
        <v>6.2113913039999993</v>
      </c>
      <c r="C9">
        <f t="shared" si="1"/>
        <v>1.3664047607503343E-2</v>
      </c>
    </row>
    <row r="10" spans="1:3">
      <c r="A10" s="2">
        <v>10</v>
      </c>
      <c r="B10">
        <f t="shared" si="0"/>
        <v>7.6075652169999994</v>
      </c>
      <c r="C10">
        <f t="shared" si="1"/>
        <v>1.3992055025553972E-2</v>
      </c>
    </row>
    <row r="11" spans="1:3">
      <c r="A11" s="2">
        <v>11</v>
      </c>
      <c r="B11">
        <f t="shared" si="0"/>
        <v>9.0037391299999996</v>
      </c>
      <c r="C11">
        <f t="shared" si="1"/>
        <v>1.4321380025446584E-2</v>
      </c>
    </row>
    <row r="12" spans="1:3">
      <c r="A12" s="2">
        <v>12</v>
      </c>
      <c r="B12">
        <f t="shared" si="0"/>
        <v>10.399913043</v>
      </c>
      <c r="C12">
        <f t="shared" si="1"/>
        <v>1.4652128755067637E-2</v>
      </c>
    </row>
    <row r="13" spans="1:3">
      <c r="A13" s="2">
        <v>13</v>
      </c>
      <c r="B13">
        <f t="shared" si="0"/>
        <v>11.796086955999998</v>
      </c>
      <c r="C13">
        <f t="shared" si="1"/>
        <v>1.4984417612939482E-2</v>
      </c>
    </row>
    <row r="14" spans="1:3">
      <c r="A14" s="2">
        <v>14</v>
      </c>
      <c r="B14">
        <f t="shared" si="0"/>
        <v>13.192260869</v>
      </c>
      <c r="C14">
        <f t="shared" si="1"/>
        <v>1.5318374277584968E-2</v>
      </c>
    </row>
    <row r="15" spans="1:3">
      <c r="A15" s="2">
        <v>15</v>
      </c>
      <c r="B15">
        <f t="shared" si="0"/>
        <v>14.588434781999998</v>
      </c>
      <c r="C15">
        <f t="shared" si="1"/>
        <v>1.5654138814373213E-2</v>
      </c>
    </row>
    <row r="16" spans="1:3">
      <c r="A16" s="2">
        <v>16</v>
      </c>
      <c r="B16">
        <f t="shared" si="0"/>
        <v>15.984608695</v>
      </c>
      <c r="C16">
        <f t="shared" si="1"/>
        <v>1.5991864853246288E-2</v>
      </c>
    </row>
    <row r="17" spans="1:3">
      <c r="A17" s="2">
        <v>17</v>
      </c>
      <c r="B17">
        <f t="shared" si="0"/>
        <v>17.380782607999997</v>
      </c>
      <c r="C17">
        <f t="shared" si="1"/>
        <v>1.6331720824750425E-2</v>
      </c>
    </row>
    <row r="18" spans="1:3">
      <c r="A18" s="2">
        <v>18</v>
      </c>
      <c r="B18">
        <f t="shared" si="0"/>
        <v>18.776956520999995</v>
      </c>
      <c r="C18">
        <f t="shared" si="1"/>
        <v>1.6673891233695112E-2</v>
      </c>
    </row>
    <row r="19" spans="1:3">
      <c r="A19" s="2">
        <v>19</v>
      </c>
      <c r="B19">
        <f t="shared" si="0"/>
        <v>20.173130434000001</v>
      </c>
      <c r="C19">
        <f t="shared" si="1"/>
        <v>1.7018577939049644E-2</v>
      </c>
    </row>
    <row r="20" spans="1:3">
      <c r="A20" s="2">
        <v>20</v>
      </c>
      <c r="B20">
        <f t="shared" si="0"/>
        <v>21.569304346999999</v>
      </c>
      <c r="C20">
        <f t="shared" si="1"/>
        <v>1.7366001394866562E-2</v>
      </c>
    </row>
    <row r="21" spans="1:3">
      <c r="A21" s="2">
        <v>21</v>
      </c>
      <c r="B21">
        <f t="shared" si="0"/>
        <v>22.965478259999998</v>
      </c>
      <c r="C21">
        <f t="shared" si="1"/>
        <v>1.7716401789670669E-2</v>
      </c>
    </row>
    <row r="22" spans="1:3">
      <c r="A22" s="2">
        <v>22</v>
      </c>
      <c r="B22">
        <f t="shared" si="0"/>
        <v>24.361652172999996</v>
      </c>
      <c r="C22">
        <f t="shared" si="1"/>
        <v>1.8070040000645674E-2</v>
      </c>
    </row>
    <row r="23" spans="1:3">
      <c r="A23" s="2">
        <v>23</v>
      </c>
      <c r="B23">
        <f t="shared" si="0"/>
        <v>25.757826086000001</v>
      </c>
      <c r="C23">
        <f t="shared" si="1"/>
        <v>1.8427198254254921E-2</v>
      </c>
    </row>
    <row r="24" spans="1:3">
      <c r="A24" s="2">
        <v>24</v>
      </c>
      <c r="B24">
        <f t="shared" si="0"/>
        <v>27.153999999</v>
      </c>
      <c r="C24">
        <f t="shared" si="1"/>
        <v>1.8788180357483725E-2</v>
      </c>
    </row>
    <row r="25" spans="1:3">
      <c r="A25" s="2">
        <v>25</v>
      </c>
      <c r="B25">
        <f t="shared" si="0"/>
        <v>28.550173911999998</v>
      </c>
      <c r="C25">
        <f t="shared" si="1"/>
        <v>1.9153311335551381E-2</v>
      </c>
    </row>
    <row r="26" spans="1:3">
      <c r="A26" s="2">
        <v>26</v>
      </c>
      <c r="B26">
        <f t="shared" si="0"/>
        <v>29.946347824999997</v>
      </c>
      <c r="C26">
        <f t="shared" si="1"/>
        <v>1.9522936286007674E-2</v>
      </c>
    </row>
    <row r="27" spans="1:3">
      <c r="A27" s="2">
        <v>27</v>
      </c>
      <c r="B27">
        <f t="shared" si="0"/>
        <v>31.342521738000002</v>
      </c>
      <c r="C27">
        <f t="shared" si="1"/>
        <v>1.989741824071083E-2</v>
      </c>
    </row>
    <row r="28" spans="1:3">
      <c r="A28" s="2">
        <v>28</v>
      </c>
      <c r="B28">
        <f t="shared" si="0"/>
        <v>32.738695651</v>
      </c>
      <c r="C28">
        <f t="shared" si="1"/>
        <v>2.0277134823391676E-2</v>
      </c>
    </row>
    <row r="29" spans="1:3">
      <c r="A29" s="2">
        <v>29</v>
      </c>
      <c r="B29">
        <f t="shared" si="0"/>
        <v>34.134869563999999</v>
      </c>
      <c r="C29">
        <f t="shared" si="1"/>
        <v>2.0662473510207082E-2</v>
      </c>
    </row>
    <row r="30" spans="1:3">
      <c r="A30" s="2">
        <v>30</v>
      </c>
      <c r="B30">
        <f t="shared" si="0"/>
        <v>35.531043476999997</v>
      </c>
      <c r="C30">
        <f t="shared" si="1"/>
        <v>2.1053825353496695E-2</v>
      </c>
    </row>
    <row r="31" spans="1:3">
      <c r="A31" s="2">
        <v>31</v>
      </c>
      <c r="B31">
        <f t="shared" si="0"/>
        <v>36.927217390000003</v>
      </c>
      <c r="C31">
        <f t="shared" si="1"/>
        <v>2.1451577123221755E-2</v>
      </c>
    </row>
    <row r="32" spans="1:3">
      <c r="A32" s="2">
        <v>32</v>
      </c>
      <c r="B32">
        <f t="shared" si="0"/>
        <v>38.323391303000001</v>
      </c>
      <c r="C32">
        <f t="shared" si="1"/>
        <v>2.1856101960171515E-2</v>
      </c>
    </row>
    <row r="33" spans="1:3">
      <c r="A33" s="2">
        <v>33</v>
      </c>
      <c r="B33">
        <f t="shared" ref="B33:B64" si="2">-4.958+(A33-1)*1.396173913</f>
        <v>39.719565215999999</v>
      </c>
      <c r="C33">
        <f t="shared" ref="C33:C64" si="3">0.00679444141559983+0.000322500739084756*B33+0.055205330697343*(0.00219298245614035+(B33-45.8980921052631)^2/282381.139640132)^0.5</f>
        <v>2.2267748815489742E-2</v>
      </c>
    </row>
    <row r="34" spans="1:3">
      <c r="A34" s="2">
        <v>34</v>
      </c>
      <c r="B34">
        <f t="shared" si="2"/>
        <v>41.115739128999998</v>
      </c>
      <c r="C34">
        <f t="shared" si="3"/>
        <v>2.2686831155962116E-2</v>
      </c>
    </row>
    <row r="35" spans="1:3">
      <c r="A35" s="2">
        <v>35</v>
      </c>
      <c r="B35">
        <f t="shared" si="2"/>
        <v>42.511913041999996</v>
      </c>
      <c r="C35">
        <f t="shared" si="3"/>
        <v>2.3113615613963155E-2</v>
      </c>
    </row>
    <row r="36" spans="1:3">
      <c r="A36" s="2">
        <v>36</v>
      </c>
      <c r="B36">
        <f t="shared" si="2"/>
        <v>43.908086955000002</v>
      </c>
      <c r="C36">
        <f t="shared" si="3"/>
        <v>2.3548311414407705E-2</v>
      </c>
    </row>
    <row r="37" spans="1:3">
      <c r="A37" s="2">
        <v>37</v>
      </c>
      <c r="B37">
        <f t="shared" si="2"/>
        <v>45.304260868</v>
      </c>
      <c r="C37">
        <f t="shared" si="3"/>
        <v>2.3991061475190627E-2</v>
      </c>
    </row>
    <row r="38" spans="1:3">
      <c r="A38" s="2">
        <v>38</v>
      </c>
      <c r="B38">
        <f t="shared" si="2"/>
        <v>46.700434780999998</v>
      </c>
      <c r="C38">
        <f t="shared" si="3"/>
        <v>2.4441936018846873E-2</v>
      </c>
    </row>
    <row r="39" spans="1:3">
      <c r="A39" s="2">
        <v>39</v>
      </c>
      <c r="B39">
        <f t="shared" si="2"/>
        <v>48.096608693999997</v>
      </c>
      <c r="C39">
        <f t="shared" si="3"/>
        <v>2.4900929340816724E-2</v>
      </c>
    </row>
    <row r="40" spans="1:3">
      <c r="A40" s="2">
        <v>40</v>
      </c>
      <c r="B40">
        <f t="shared" si="2"/>
        <v>49.492782607000002</v>
      </c>
      <c r="C40">
        <f t="shared" si="3"/>
        <v>2.5367960074270394E-2</v>
      </c>
    </row>
    <row r="41" spans="1:3">
      <c r="A41" s="2">
        <v>41</v>
      </c>
      <c r="B41">
        <f t="shared" si="2"/>
        <v>50.888956520000001</v>
      </c>
      <c r="C41">
        <f t="shared" si="3"/>
        <v>2.5842874923300535E-2</v>
      </c>
    </row>
    <row r="42" spans="1:3">
      <c r="A42" s="2">
        <v>42</v>
      </c>
      <c r="B42">
        <f t="shared" si="2"/>
        <v>52.285130432999999</v>
      </c>
      <c r="C42">
        <f t="shared" si="3"/>
        <v>2.6325455473424453E-2</v>
      </c>
    </row>
    <row r="43" spans="1:3">
      <c r="A43" s="2">
        <v>43</v>
      </c>
      <c r="B43">
        <f t="shared" si="2"/>
        <v>53.681304345999997</v>
      </c>
      <c r="C43">
        <f t="shared" si="3"/>
        <v>2.6815427397233752E-2</v>
      </c>
    </row>
    <row r="44" spans="1:3">
      <c r="A44" s="2">
        <v>44</v>
      </c>
      <c r="B44">
        <f t="shared" si="2"/>
        <v>55.077478258999996</v>
      </c>
      <c r="C44">
        <f t="shared" si="3"/>
        <v>2.7312471200129869E-2</v>
      </c>
    </row>
    <row r="45" spans="1:3">
      <c r="A45" s="2">
        <v>45</v>
      </c>
      <c r="B45">
        <f t="shared" si="2"/>
        <v>56.473652172000001</v>
      </c>
      <c r="C45">
        <f t="shared" si="3"/>
        <v>2.7816233612053026E-2</v>
      </c>
    </row>
    <row r="46" spans="1:3">
      <c r="A46" s="2">
        <v>46</v>
      </c>
      <c r="B46">
        <f t="shared" si="2"/>
        <v>57.869826085</v>
      </c>
      <c r="C46">
        <f t="shared" si="3"/>
        <v>2.8326338811114408E-2</v>
      </c>
    </row>
    <row r="47" spans="1:3">
      <c r="A47" s="2">
        <v>47</v>
      </c>
      <c r="B47">
        <f t="shared" si="2"/>
        <v>59.265999997999998</v>
      </c>
      <c r="C47">
        <f t="shared" si="3"/>
        <v>2.8842398828167658E-2</v>
      </c>
    </row>
    <row r="48" spans="1:3">
      <c r="A48" s="2">
        <v>48</v>
      </c>
      <c r="B48">
        <f t="shared" si="2"/>
        <v>60.662173910999996</v>
      </c>
      <c r="C48">
        <f t="shared" si="3"/>
        <v>2.9364022684005012E-2</v>
      </c>
    </row>
    <row r="49" spans="1:3">
      <c r="A49" s="2">
        <v>49</v>
      </c>
      <c r="B49">
        <f t="shared" si="2"/>
        <v>62.058347823999995</v>
      </c>
      <c r="C49">
        <f t="shared" si="3"/>
        <v>2.9890824013680182E-2</v>
      </c>
    </row>
    <row r="50" spans="1:3">
      <c r="A50" s="2">
        <v>50</v>
      </c>
      <c r="B50">
        <f t="shared" si="2"/>
        <v>63.454521736999993</v>
      </c>
      <c r="C50">
        <f t="shared" si="3"/>
        <v>3.0422427107546654E-2</v>
      </c>
    </row>
    <row r="51" spans="1:3">
      <c r="A51" s="2">
        <v>51</v>
      </c>
      <c r="B51">
        <f t="shared" si="2"/>
        <v>64.850695649999992</v>
      </c>
      <c r="C51">
        <f t="shared" si="3"/>
        <v>3.0958471431470579E-2</v>
      </c>
    </row>
    <row r="52" spans="1:3">
      <c r="A52" s="2">
        <v>52</v>
      </c>
      <c r="B52">
        <f t="shared" si="2"/>
        <v>66.246869563000004</v>
      </c>
      <c r="C52">
        <f t="shared" si="3"/>
        <v>3.1498614776353857E-2</v>
      </c>
    </row>
    <row r="53" spans="1:3">
      <c r="A53" s="2">
        <v>53</v>
      </c>
      <c r="B53">
        <f t="shared" si="2"/>
        <v>67.643043476000003</v>
      </c>
      <c r="C53">
        <f t="shared" si="3"/>
        <v>3.2042535234377126E-2</v>
      </c>
    </row>
    <row r="54" spans="1:3">
      <c r="A54" s="2">
        <v>54</v>
      </c>
      <c r="B54">
        <f t="shared" si="2"/>
        <v>69.039217389000001</v>
      </c>
      <c r="C54">
        <f t="shared" si="3"/>
        <v>3.2589932214952697E-2</v>
      </c>
    </row>
    <row r="55" spans="1:3">
      <c r="A55" s="2">
        <v>55</v>
      </c>
      <c r="B55">
        <f t="shared" si="2"/>
        <v>70.435391301999999</v>
      </c>
      <c r="C55">
        <f t="shared" si="3"/>
        <v>3.3140526706873209E-2</v>
      </c>
    </row>
    <row r="56" spans="1:3">
      <c r="A56" s="2">
        <v>56</v>
      </c>
      <c r="B56">
        <f t="shared" si="2"/>
        <v>71.831565214999998</v>
      </c>
      <c r="C56">
        <f t="shared" si="3"/>
        <v>3.3694060973199207E-2</v>
      </c>
    </row>
    <row r="57" spans="1:3">
      <c r="A57" s="2">
        <v>57</v>
      </c>
      <c r="B57">
        <f t="shared" si="2"/>
        <v>73.227739127999996</v>
      </c>
      <c r="C57">
        <f t="shared" si="3"/>
        <v>3.4250297838858829E-2</v>
      </c>
    </row>
    <row r="58" spans="1:3">
      <c r="A58" s="2">
        <v>58</v>
      </c>
      <c r="B58">
        <f t="shared" si="2"/>
        <v>74.623913040999994</v>
      </c>
      <c r="C58">
        <f t="shared" si="3"/>
        <v>3.4809019702556843E-2</v>
      </c>
    </row>
    <row r="59" spans="1:3">
      <c r="A59" s="2">
        <v>59</v>
      </c>
      <c r="B59">
        <f t="shared" si="2"/>
        <v>76.020086953999993</v>
      </c>
      <c r="C59">
        <f t="shared" si="3"/>
        <v>3.5370027377463413E-2</v>
      </c>
    </row>
    <row r="60" spans="1:3">
      <c r="A60" s="2">
        <v>60</v>
      </c>
      <c r="B60">
        <f t="shared" si="2"/>
        <v>77.416260866999991</v>
      </c>
      <c r="C60">
        <f t="shared" si="3"/>
        <v>3.5933138840960395E-2</v>
      </c>
    </row>
    <row r="61" spans="1:3">
      <c r="A61" s="2">
        <v>61</v>
      </c>
      <c r="B61">
        <f t="shared" si="2"/>
        <v>78.812434780000004</v>
      </c>
      <c r="C61">
        <f t="shared" si="3"/>
        <v>3.6498187953178829E-2</v>
      </c>
    </row>
    <row r="62" spans="1:3">
      <c r="A62" s="2">
        <v>62</v>
      </c>
      <c r="B62">
        <f t="shared" si="2"/>
        <v>80.208608693000002</v>
      </c>
      <c r="C62">
        <f t="shared" si="3"/>
        <v>3.7065023187258843E-2</v>
      </c>
    </row>
    <row r="63" spans="1:3">
      <c r="A63" s="2">
        <v>63</v>
      </c>
      <c r="B63">
        <f t="shared" si="2"/>
        <v>81.604782606000001</v>
      </c>
      <c r="C63">
        <f t="shared" si="3"/>
        <v>3.7633506400936621E-2</v>
      </c>
    </row>
    <row r="64" spans="1:3">
      <c r="A64" s="2">
        <v>64</v>
      </c>
      <c r="B64">
        <f t="shared" si="2"/>
        <v>83.000956518999999</v>
      </c>
      <c r="C64">
        <f t="shared" si="3"/>
        <v>3.8203511668771672E-2</v>
      </c>
    </row>
    <row r="65" spans="1:3">
      <c r="A65" s="2">
        <v>65</v>
      </c>
      <c r="B65">
        <f t="shared" ref="B65:B70" si="4">-4.958+(A65-1)*1.396173913</f>
        <v>84.397130431999997</v>
      </c>
      <c r="C65">
        <f t="shared" ref="C65:C70" si="5">0.00679444141559983+0.000322500739084756*B65+0.055205330697343*(0.00219298245614035+(B65-45.8980921052631)^2/282381.139640132)^0.5</f>
        <v>3.8774924186574661E-2</v>
      </c>
    </row>
    <row r="66" spans="1:3">
      <c r="A66" s="2">
        <v>66</v>
      </c>
      <c r="B66">
        <f t="shared" si="4"/>
        <v>85.793304344999996</v>
      </c>
      <c r="C66">
        <f t="shared" si="5"/>
        <v>3.934763925389792E-2</v>
      </c>
    </row>
    <row r="67" spans="1:3">
      <c r="A67" s="2">
        <v>67</v>
      </c>
      <c r="B67">
        <f t="shared" si="4"/>
        <v>87.189478257999994</v>
      </c>
      <c r="C67">
        <f t="shared" si="5"/>
        <v>3.9921561336373229E-2</v>
      </c>
    </row>
    <row r="68" spans="1:3">
      <c r="A68" s="2">
        <v>68</v>
      </c>
      <c r="B68">
        <f t="shared" si="4"/>
        <v>88.585652170999992</v>
      </c>
      <c r="C68">
        <f t="shared" si="5"/>
        <v>4.0496603206853658E-2</v>
      </c>
    </row>
    <row r="69" spans="1:3">
      <c r="A69" s="2">
        <v>69</v>
      </c>
      <c r="B69">
        <f t="shared" si="4"/>
        <v>89.981826083999991</v>
      </c>
      <c r="C69">
        <f t="shared" si="5"/>
        <v>4.1072685162433842E-2</v>
      </c>
    </row>
    <row r="70" spans="1:3">
      <c r="A70" s="2">
        <v>70</v>
      </c>
      <c r="B70">
        <f t="shared" si="4"/>
        <v>91.377999997000003</v>
      </c>
      <c r="C70">
        <f t="shared" si="5"/>
        <v>4.164973431324219E-2</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enableFormatConditionsCalculation="0"/>
  <dimension ref="A1:C100"/>
  <sheetViews>
    <sheetView workbookViewId="0"/>
  </sheetViews>
  <sheetFormatPr baseColWidth="10" defaultRowHeight="15.75"/>
  <sheetData>
    <row r="1" spans="1:3">
      <c r="A1" s="2">
        <v>1</v>
      </c>
      <c r="B1">
        <f t="shared" ref="B1:B32" si="0">-4.958+(A1-1)*0.9730909091</f>
        <v>-4.9580000000000002</v>
      </c>
      <c r="C1">
        <f t="shared" ref="C1:C32" si="1">0.00679444141559983+0.000322500739084756*B1-0.055205330697343*(1.00219298245614+(B1-45.8980921052631)^2/282381.139640132)^0.5</f>
        <v>-5.03223099467459E-2</v>
      </c>
    </row>
    <row r="2" spans="1:3">
      <c r="A2" s="2">
        <v>2</v>
      </c>
      <c r="B2">
        <f t="shared" si="0"/>
        <v>-3.9849090909000005</v>
      </c>
      <c r="C2">
        <f t="shared" si="1"/>
        <v>-4.9998958287428827E-2</v>
      </c>
    </row>
    <row r="3" spans="1:3">
      <c r="A3" s="2">
        <v>3</v>
      </c>
      <c r="B3">
        <f t="shared" si="0"/>
        <v>-3.0118181818000003</v>
      </c>
      <c r="C3">
        <f t="shared" si="1"/>
        <v>-4.9675789132492917E-2</v>
      </c>
    </row>
    <row r="4" spans="1:3">
      <c r="A4" s="2">
        <v>4</v>
      </c>
      <c r="B4">
        <f t="shared" si="0"/>
        <v>-2.0387272727000001</v>
      </c>
      <c r="C4">
        <f t="shared" si="1"/>
        <v>-4.9352802574160554E-2</v>
      </c>
    </row>
    <row r="5" spans="1:3">
      <c r="A5" s="2">
        <v>5</v>
      </c>
      <c r="B5">
        <f t="shared" si="0"/>
        <v>-1.0656363636000004</v>
      </c>
      <c r="C5">
        <f t="shared" si="1"/>
        <v>-4.9029998702912761E-2</v>
      </c>
    </row>
    <row r="6" spans="1:3">
      <c r="A6" s="2">
        <v>6</v>
      </c>
      <c r="B6">
        <f t="shared" si="0"/>
        <v>-9.2545454500000623E-2</v>
      </c>
      <c r="C6">
        <f t="shared" si="1"/>
        <v>-4.8707377607484809E-2</v>
      </c>
    </row>
    <row r="7" spans="1:3">
      <c r="A7" s="2">
        <v>7</v>
      </c>
      <c r="B7">
        <f t="shared" si="0"/>
        <v>0.8805454546</v>
      </c>
      <c r="C7">
        <f t="shared" si="1"/>
        <v>-4.83849393748619E-2</v>
      </c>
    </row>
    <row r="8" spans="1:3">
      <c r="A8" s="2">
        <v>8</v>
      </c>
      <c r="B8">
        <f t="shared" si="0"/>
        <v>1.8536363636999997</v>
      </c>
      <c r="C8">
        <f t="shared" si="1"/>
        <v>-4.8062684090274893E-2</v>
      </c>
    </row>
    <row r="9" spans="1:3">
      <c r="A9" s="2">
        <v>9</v>
      </c>
      <c r="B9">
        <f t="shared" si="0"/>
        <v>2.8267272727999995</v>
      </c>
      <c r="C9">
        <f t="shared" si="1"/>
        <v>-4.7740611837196113E-2</v>
      </c>
    </row>
    <row r="10" spans="1:3">
      <c r="A10" s="2">
        <v>10</v>
      </c>
      <c r="B10">
        <f t="shared" si="0"/>
        <v>3.7998181818999992</v>
      </c>
      <c r="C10">
        <f t="shared" si="1"/>
        <v>-4.7418722697335318E-2</v>
      </c>
    </row>
    <row r="11" spans="1:3">
      <c r="A11" s="2">
        <v>11</v>
      </c>
      <c r="B11">
        <f t="shared" si="0"/>
        <v>4.7729090909999989</v>
      </c>
      <c r="C11">
        <f t="shared" si="1"/>
        <v>-4.709701675063558E-2</v>
      </c>
    </row>
    <row r="12" spans="1:3">
      <c r="A12" s="2">
        <v>12</v>
      </c>
      <c r="B12">
        <f t="shared" si="0"/>
        <v>5.7460000000999987</v>
      </c>
      <c r="C12">
        <f t="shared" si="1"/>
        <v>-4.67754940752695E-2</v>
      </c>
    </row>
    <row r="13" spans="1:3">
      <c r="A13" s="2">
        <v>13</v>
      </c>
      <c r="B13">
        <f t="shared" si="0"/>
        <v>6.7190909092000002</v>
      </c>
      <c r="C13">
        <f t="shared" si="1"/>
        <v>-4.6454154747635243E-2</v>
      </c>
    </row>
    <row r="14" spans="1:3">
      <c r="A14" s="2">
        <v>14</v>
      </c>
      <c r="B14">
        <f t="shared" si="0"/>
        <v>7.6921818182999999</v>
      </c>
      <c r="C14">
        <f t="shared" si="1"/>
        <v>-4.6132998842352807E-2</v>
      </c>
    </row>
    <row r="15" spans="1:3">
      <c r="A15" s="2">
        <v>15</v>
      </c>
      <c r="B15">
        <f t="shared" si="0"/>
        <v>8.6652727273999997</v>
      </c>
      <c r="C15">
        <f t="shared" si="1"/>
        <v>-4.5812026432260428E-2</v>
      </c>
    </row>
    <row r="16" spans="1:3">
      <c r="A16" s="2">
        <v>16</v>
      </c>
      <c r="B16">
        <f t="shared" si="0"/>
        <v>9.6383636364999994</v>
      </c>
      <c r="C16">
        <f t="shared" si="1"/>
        <v>-4.5491237588410859E-2</v>
      </c>
    </row>
    <row r="17" spans="1:3">
      <c r="A17" s="2">
        <v>17</v>
      </c>
      <c r="B17">
        <f t="shared" si="0"/>
        <v>10.611454545599999</v>
      </c>
      <c r="C17">
        <f t="shared" si="1"/>
        <v>-4.5170632380067965E-2</v>
      </c>
    </row>
    <row r="18" spans="1:3">
      <c r="A18" s="2">
        <v>18</v>
      </c>
      <c r="B18">
        <f t="shared" si="0"/>
        <v>11.584545454700001</v>
      </c>
      <c r="C18">
        <f t="shared" si="1"/>
        <v>-4.4850210874703242E-2</v>
      </c>
    </row>
    <row r="19" spans="1:3">
      <c r="A19" s="2">
        <v>19</v>
      </c>
      <c r="B19">
        <f t="shared" si="0"/>
        <v>12.557636363799999</v>
      </c>
      <c r="C19">
        <f t="shared" si="1"/>
        <v>-4.4529973137992528E-2</v>
      </c>
    </row>
    <row r="20" spans="1:3">
      <c r="A20" s="2">
        <v>20</v>
      </c>
      <c r="B20">
        <f t="shared" si="0"/>
        <v>13.5307272729</v>
      </c>
      <c r="C20">
        <f t="shared" si="1"/>
        <v>-4.4209919233812699E-2</v>
      </c>
    </row>
    <row r="21" spans="1:3">
      <c r="A21" s="2">
        <v>21</v>
      </c>
      <c r="B21">
        <f t="shared" si="0"/>
        <v>14.503818181999998</v>
      </c>
      <c r="C21">
        <f t="shared" si="1"/>
        <v>-4.3890049224238552E-2</v>
      </c>
    </row>
    <row r="22" spans="1:3">
      <c r="A22" s="2">
        <v>22</v>
      </c>
      <c r="B22">
        <f t="shared" si="0"/>
        <v>15.4769090911</v>
      </c>
      <c r="C22">
        <f t="shared" si="1"/>
        <v>-4.357036316953973E-2</v>
      </c>
    </row>
    <row r="23" spans="1:3">
      <c r="A23" s="2">
        <v>23</v>
      </c>
      <c r="B23">
        <f t="shared" si="0"/>
        <v>16.450000000199999</v>
      </c>
      <c r="C23">
        <f t="shared" si="1"/>
        <v>-4.3250861128177664E-2</v>
      </c>
    </row>
    <row r="24" spans="1:3">
      <c r="A24" s="2">
        <v>24</v>
      </c>
      <c r="B24">
        <f t="shared" si="0"/>
        <v>17.423090909300001</v>
      </c>
      <c r="C24">
        <f t="shared" si="1"/>
        <v>-4.2931543156802816E-2</v>
      </c>
    </row>
    <row r="25" spans="1:3">
      <c r="A25" s="2">
        <v>25</v>
      </c>
      <c r="B25">
        <f t="shared" si="0"/>
        <v>18.396181818400002</v>
      </c>
      <c r="C25">
        <f t="shared" si="1"/>
        <v>-4.2612409310251648E-2</v>
      </c>
    </row>
    <row r="26" spans="1:3">
      <c r="A26" s="2">
        <v>26</v>
      </c>
      <c r="B26">
        <f t="shared" si="0"/>
        <v>19.369272727499997</v>
      </c>
      <c r="C26">
        <f t="shared" si="1"/>
        <v>-4.2293459641544129E-2</v>
      </c>
    </row>
    <row r="27" spans="1:3">
      <c r="A27" s="2">
        <v>27</v>
      </c>
      <c r="B27">
        <f t="shared" si="0"/>
        <v>20.342363636599998</v>
      </c>
      <c r="C27">
        <f t="shared" si="1"/>
        <v>-4.1974694201880935E-2</v>
      </c>
    </row>
    <row r="28" spans="1:3">
      <c r="A28" s="2">
        <v>28</v>
      </c>
      <c r="B28">
        <f t="shared" si="0"/>
        <v>21.3154545457</v>
      </c>
      <c r="C28">
        <f t="shared" si="1"/>
        <v>-4.1656113040640999E-2</v>
      </c>
    </row>
    <row r="29" spans="1:3">
      <c r="A29" s="2">
        <v>29</v>
      </c>
      <c r="B29">
        <f t="shared" si="0"/>
        <v>22.288545454800001</v>
      </c>
      <c r="C29">
        <f t="shared" si="1"/>
        <v>-4.1337716205378967E-2</v>
      </c>
    </row>
    <row r="30" spans="1:3">
      <c r="A30" s="2">
        <v>30</v>
      </c>
      <c r="B30">
        <f t="shared" si="0"/>
        <v>23.261636363899996</v>
      </c>
      <c r="C30">
        <f t="shared" si="1"/>
        <v>-4.1019503741822887E-2</v>
      </c>
    </row>
    <row r="31" spans="1:3">
      <c r="A31" s="2">
        <v>31</v>
      </c>
      <c r="B31">
        <f t="shared" si="0"/>
        <v>24.234727272999997</v>
      </c>
      <c r="C31">
        <f t="shared" si="1"/>
        <v>-4.0701475693871947E-2</v>
      </c>
    </row>
    <row r="32" spans="1:3">
      <c r="A32" s="2">
        <v>32</v>
      </c>
      <c r="B32">
        <f t="shared" si="0"/>
        <v>25.207818182099999</v>
      </c>
      <c r="C32">
        <f t="shared" si="1"/>
        <v>-4.0383632103594219E-2</v>
      </c>
    </row>
    <row r="33" spans="1:3">
      <c r="A33" s="2">
        <v>33</v>
      </c>
      <c r="B33">
        <f t="shared" ref="B33:B64" si="2">-4.958+(A33-1)*0.9730909091</f>
        <v>26.1809090912</v>
      </c>
      <c r="C33">
        <f t="shared" ref="C33:C64" si="3">0.00679444141559983+0.000322500739084756*B33-0.055205330697343*(1.00219298245614+(B33-45.8980921052631)^2/282381.139640132)^0.5</f>
        <v>-4.0065973011224609E-2</v>
      </c>
    </row>
    <row r="34" spans="1:3">
      <c r="A34" s="2">
        <v>34</v>
      </c>
      <c r="B34">
        <f t="shared" si="2"/>
        <v>27.154000000300002</v>
      </c>
      <c r="C34">
        <f t="shared" si="3"/>
        <v>-3.9748498455162824E-2</v>
      </c>
    </row>
    <row r="35" spans="1:3">
      <c r="A35" s="2">
        <v>35</v>
      </c>
      <c r="B35">
        <f t="shared" si="2"/>
        <v>28.127090909400003</v>
      </c>
      <c r="C35">
        <f t="shared" si="3"/>
        <v>-3.9431208471971499E-2</v>
      </c>
    </row>
    <row r="36" spans="1:3">
      <c r="A36" s="2">
        <v>36</v>
      </c>
      <c r="B36">
        <f t="shared" si="2"/>
        <v>29.100181818499998</v>
      </c>
      <c r="C36">
        <f t="shared" si="3"/>
        <v>-3.9114103096374281E-2</v>
      </c>
    </row>
    <row r="37" spans="1:3">
      <c r="A37" s="2">
        <v>37</v>
      </c>
      <c r="B37">
        <f t="shared" si="2"/>
        <v>30.073272727599999</v>
      </c>
      <c r="C37">
        <f t="shared" si="3"/>
        <v>-3.8797182361254179E-2</v>
      </c>
    </row>
    <row r="38" spans="1:3">
      <c r="A38" s="2">
        <v>38</v>
      </c>
      <c r="B38">
        <f t="shared" si="2"/>
        <v>31.046363636700001</v>
      </c>
      <c r="C38">
        <f t="shared" si="3"/>
        <v>-3.8480446297651918E-2</v>
      </c>
    </row>
    <row r="39" spans="1:3">
      <c r="A39" s="2">
        <v>39</v>
      </c>
      <c r="B39">
        <f t="shared" si="2"/>
        <v>32.019454545800002</v>
      </c>
      <c r="C39">
        <f t="shared" si="3"/>
        <v>-3.8163894934764311E-2</v>
      </c>
    </row>
    <row r="40" spans="1:3">
      <c r="A40" s="2">
        <v>40</v>
      </c>
      <c r="B40">
        <f t="shared" si="2"/>
        <v>32.992545454899997</v>
      </c>
      <c r="C40">
        <f t="shared" si="3"/>
        <v>-3.784752829994284E-2</v>
      </c>
    </row>
    <row r="41" spans="1:3">
      <c r="A41" s="2">
        <v>41</v>
      </c>
      <c r="B41">
        <f t="shared" si="2"/>
        <v>33.965636363999998</v>
      </c>
      <c r="C41">
        <f t="shared" si="3"/>
        <v>-3.7531346418692324E-2</v>
      </c>
    </row>
    <row r="42" spans="1:3">
      <c r="A42" s="2">
        <v>42</v>
      </c>
      <c r="B42">
        <f t="shared" si="2"/>
        <v>34.9387272731</v>
      </c>
      <c r="C42">
        <f t="shared" si="3"/>
        <v>-3.7215349314669591E-2</v>
      </c>
    </row>
    <row r="43" spans="1:3">
      <c r="A43" s="2">
        <v>43</v>
      </c>
      <c r="B43">
        <f t="shared" si="2"/>
        <v>35.911818182200001</v>
      </c>
      <c r="C43">
        <f t="shared" si="3"/>
        <v>-3.6899537009682321E-2</v>
      </c>
    </row>
    <row r="44" spans="1:3">
      <c r="A44" s="2">
        <v>44</v>
      </c>
      <c r="B44">
        <f t="shared" si="2"/>
        <v>36.884909091300003</v>
      </c>
      <c r="C44">
        <f t="shared" si="3"/>
        <v>-3.6583909523687889E-2</v>
      </c>
    </row>
    <row r="45" spans="1:3">
      <c r="A45" s="2">
        <v>45</v>
      </c>
      <c r="B45">
        <f t="shared" si="2"/>
        <v>37.858000000399997</v>
      </c>
      <c r="C45">
        <f t="shared" si="3"/>
        <v>-3.6268466874792488E-2</v>
      </c>
    </row>
    <row r="46" spans="1:3">
      <c r="A46" s="2">
        <v>46</v>
      </c>
      <c r="B46">
        <f t="shared" si="2"/>
        <v>38.831090909499999</v>
      </c>
      <c r="C46">
        <f t="shared" si="3"/>
        <v>-3.5953209079250106E-2</v>
      </c>
    </row>
    <row r="47" spans="1:3">
      <c r="A47" s="2">
        <v>47</v>
      </c>
      <c r="B47">
        <f t="shared" si="2"/>
        <v>39.8041818186</v>
      </c>
      <c r="C47">
        <f t="shared" si="3"/>
        <v>-3.5638136151461788E-2</v>
      </c>
    </row>
    <row r="48" spans="1:3">
      <c r="A48" s="2">
        <v>48</v>
      </c>
      <c r="B48">
        <f t="shared" si="2"/>
        <v>40.777272727700002</v>
      </c>
      <c r="C48">
        <f t="shared" si="3"/>
        <v>-3.5323248103974844E-2</v>
      </c>
    </row>
    <row r="49" spans="1:3">
      <c r="A49" s="2">
        <v>49</v>
      </c>
      <c r="B49">
        <f t="shared" si="2"/>
        <v>41.750363636800003</v>
      </c>
      <c r="C49">
        <f t="shared" si="3"/>
        <v>-3.5008544947482297E-2</v>
      </c>
    </row>
    <row r="50" spans="1:3">
      <c r="A50" s="2">
        <v>50</v>
      </c>
      <c r="B50">
        <f t="shared" si="2"/>
        <v>42.723454545899997</v>
      </c>
      <c r="C50">
        <f t="shared" si="3"/>
        <v>-3.4694026690822249E-2</v>
      </c>
    </row>
    <row r="51" spans="1:3">
      <c r="A51" s="2">
        <v>51</v>
      </c>
      <c r="B51">
        <f t="shared" si="2"/>
        <v>43.696545454999999</v>
      </c>
      <c r="C51">
        <f t="shared" si="3"/>
        <v>-3.4379693340977555E-2</v>
      </c>
    </row>
    <row r="52" spans="1:3">
      <c r="A52" s="2">
        <v>52</v>
      </c>
      <c r="B52">
        <f t="shared" si="2"/>
        <v>44.6696363641</v>
      </c>
      <c r="C52">
        <f t="shared" si="3"/>
        <v>-3.4065544903075368E-2</v>
      </c>
    </row>
    <row r="53" spans="1:3">
      <c r="A53" s="2">
        <v>53</v>
      </c>
      <c r="B53">
        <f t="shared" si="2"/>
        <v>45.642727273200002</v>
      </c>
      <c r="C53">
        <f t="shared" si="3"/>
        <v>-3.3751581380386961E-2</v>
      </c>
    </row>
    <row r="54" spans="1:3">
      <c r="A54" s="2">
        <v>54</v>
      </c>
      <c r="B54">
        <f t="shared" si="2"/>
        <v>46.615818182299996</v>
      </c>
      <c r="C54">
        <f t="shared" si="3"/>
        <v>-3.3437802774327487E-2</v>
      </c>
    </row>
    <row r="55" spans="1:3">
      <c r="A55" s="2">
        <v>55</v>
      </c>
      <c r="B55">
        <f t="shared" si="2"/>
        <v>47.588909091399998</v>
      </c>
      <c r="C55">
        <f t="shared" si="3"/>
        <v>-3.3124209084455992E-2</v>
      </c>
    </row>
    <row r="56" spans="1:3">
      <c r="A56" s="2">
        <v>56</v>
      </c>
      <c r="B56">
        <f t="shared" si="2"/>
        <v>48.562000000499999</v>
      </c>
      <c r="C56">
        <f t="shared" si="3"/>
        <v>-3.2810800308475385E-2</v>
      </c>
    </row>
    <row r="57" spans="1:3">
      <c r="A57" s="2">
        <v>57</v>
      </c>
      <c r="B57">
        <f t="shared" si="2"/>
        <v>49.535090909600001</v>
      </c>
      <c r="C57">
        <f t="shared" si="3"/>
        <v>-3.2497576442232529E-2</v>
      </c>
    </row>
    <row r="58" spans="1:3">
      <c r="A58" s="2">
        <v>58</v>
      </c>
      <c r="B58">
        <f t="shared" si="2"/>
        <v>50.508181818700002</v>
      </c>
      <c r="C58">
        <f t="shared" si="3"/>
        <v>-3.2184537479718514E-2</v>
      </c>
    </row>
    <row r="59" spans="1:3">
      <c r="A59" s="2">
        <v>59</v>
      </c>
      <c r="B59">
        <f t="shared" si="2"/>
        <v>51.481272727799997</v>
      </c>
      <c r="C59">
        <f t="shared" si="3"/>
        <v>-3.1871683413068903E-2</v>
      </c>
    </row>
    <row r="60" spans="1:3">
      <c r="A60" s="2">
        <v>60</v>
      </c>
      <c r="B60">
        <f t="shared" si="2"/>
        <v>52.454363636899998</v>
      </c>
      <c r="C60">
        <f t="shared" si="3"/>
        <v>-3.1559014232564186E-2</v>
      </c>
    </row>
    <row r="61" spans="1:3">
      <c r="A61" s="2">
        <v>61</v>
      </c>
      <c r="B61">
        <f t="shared" si="2"/>
        <v>53.427454546</v>
      </c>
      <c r="C61">
        <f t="shared" si="3"/>
        <v>-3.1246529926630212E-2</v>
      </c>
    </row>
    <row r="62" spans="1:3">
      <c r="A62" s="2">
        <v>62</v>
      </c>
      <c r="B62">
        <f t="shared" si="2"/>
        <v>54.400545455100001</v>
      </c>
      <c r="C62">
        <f t="shared" si="3"/>
        <v>-3.0934230481838767E-2</v>
      </c>
    </row>
    <row r="63" spans="1:3">
      <c r="A63" s="2">
        <v>63</v>
      </c>
      <c r="B63">
        <f t="shared" si="2"/>
        <v>55.373636364199996</v>
      </c>
      <c r="C63">
        <f t="shared" si="3"/>
        <v>-3.0622115882908335E-2</v>
      </c>
    </row>
    <row r="64" spans="1:3">
      <c r="A64" s="2">
        <v>64</v>
      </c>
      <c r="B64">
        <f t="shared" si="2"/>
        <v>56.346727273299997</v>
      </c>
      <c r="C64">
        <f t="shared" si="3"/>
        <v>-3.0310186112704716E-2</v>
      </c>
    </row>
    <row r="65" spans="1:3">
      <c r="A65" s="2">
        <v>65</v>
      </c>
      <c r="B65">
        <f t="shared" ref="B65:B96" si="4">-4.958+(A65-1)*0.9730909091</f>
        <v>57.319818182399999</v>
      </c>
      <c r="C65">
        <f t="shared" ref="C65:C96" si="5">0.00679444141559983+0.000322500739084756*B65-0.055205330697343*(1.00219298245614+(B65-45.8980921052631)^2/282381.139640132)^0.5</f>
        <v>-2.9998441152242032E-2</v>
      </c>
    </row>
    <row r="66" spans="1:3">
      <c r="A66" s="2">
        <v>66</v>
      </c>
      <c r="B66">
        <f t="shared" si="4"/>
        <v>58.2929090915</v>
      </c>
      <c r="C66">
        <f t="shared" si="5"/>
        <v>-2.9686880980683596E-2</v>
      </c>
    </row>
    <row r="67" spans="1:3">
      <c r="A67" s="2">
        <v>67</v>
      </c>
      <c r="B67">
        <f t="shared" si="4"/>
        <v>59.266000000600002</v>
      </c>
      <c r="C67">
        <f t="shared" si="5"/>
        <v>-2.9375505575342967E-2</v>
      </c>
    </row>
    <row r="68" spans="1:3">
      <c r="A68" s="2">
        <v>68</v>
      </c>
      <c r="B68">
        <f t="shared" si="4"/>
        <v>60.239090909699996</v>
      </c>
      <c r="C68">
        <f t="shared" si="5"/>
        <v>-2.906431491168511E-2</v>
      </c>
    </row>
    <row r="69" spans="1:3">
      <c r="A69" s="2">
        <v>69</v>
      </c>
      <c r="B69">
        <f t="shared" si="4"/>
        <v>61.212181818800005</v>
      </c>
      <c r="C69">
        <f t="shared" si="5"/>
        <v>-2.87533089633276E-2</v>
      </c>
    </row>
    <row r="70" spans="1:3">
      <c r="A70" s="2">
        <v>70</v>
      </c>
      <c r="B70">
        <f t="shared" si="4"/>
        <v>62.185272727899999</v>
      </c>
      <c r="C70">
        <f t="shared" si="5"/>
        <v>-2.8442487702041976E-2</v>
      </c>
    </row>
    <row r="71" spans="1:3">
      <c r="A71" s="2">
        <v>71</v>
      </c>
      <c r="B71">
        <f t="shared" si="4"/>
        <v>63.158363636999994</v>
      </c>
      <c r="C71">
        <f t="shared" si="5"/>
        <v>-2.8131851097755099E-2</v>
      </c>
    </row>
    <row r="72" spans="1:3">
      <c r="A72" s="2">
        <v>72</v>
      </c>
      <c r="B72">
        <f t="shared" si="4"/>
        <v>64.131454546100002</v>
      </c>
      <c r="C72">
        <f t="shared" si="5"/>
        <v>-2.7821399118550704E-2</v>
      </c>
    </row>
    <row r="73" spans="1:3">
      <c r="A73" s="2">
        <v>73</v>
      </c>
      <c r="B73">
        <f t="shared" si="4"/>
        <v>65.104545455199997</v>
      </c>
      <c r="C73">
        <f t="shared" si="5"/>
        <v>-2.751113173067099E-2</v>
      </c>
    </row>
    <row r="74" spans="1:3">
      <c r="A74" s="2">
        <v>74</v>
      </c>
      <c r="B74">
        <f t="shared" si="4"/>
        <v>66.077636364300005</v>
      </c>
      <c r="C74">
        <f t="shared" si="5"/>
        <v>-2.720104889851829E-2</v>
      </c>
    </row>
    <row r="75" spans="1:3">
      <c r="A75" s="2">
        <v>75</v>
      </c>
      <c r="B75">
        <f t="shared" si="4"/>
        <v>67.0507272734</v>
      </c>
      <c r="C75">
        <f t="shared" si="5"/>
        <v>-2.6891150584656874E-2</v>
      </c>
    </row>
    <row r="76" spans="1:3">
      <c r="A76" s="2">
        <v>76</v>
      </c>
      <c r="B76">
        <f t="shared" si="4"/>
        <v>68.023818182499994</v>
      </c>
      <c r="C76">
        <f t="shared" si="5"/>
        <v>-2.6581436749814776E-2</v>
      </c>
    </row>
    <row r="77" spans="1:3">
      <c r="A77" s="2">
        <v>77</v>
      </c>
      <c r="B77">
        <f t="shared" si="4"/>
        <v>68.996909091600003</v>
      </c>
      <c r="C77">
        <f t="shared" si="5"/>
        <v>-2.6271907352885832E-2</v>
      </c>
    </row>
    <row r="78" spans="1:3">
      <c r="A78" s="2">
        <v>78</v>
      </c>
      <c r="B78">
        <f t="shared" si="4"/>
        <v>69.970000000699997</v>
      </c>
      <c r="C78">
        <f t="shared" si="5"/>
        <v>-2.5962562350931653E-2</v>
      </c>
    </row>
    <row r="79" spans="1:3">
      <c r="A79" s="2">
        <v>79</v>
      </c>
      <c r="B79">
        <f t="shared" si="4"/>
        <v>70.943090909799992</v>
      </c>
      <c r="C79">
        <f t="shared" si="5"/>
        <v>-2.5653401699183797E-2</v>
      </c>
    </row>
    <row r="80" spans="1:3">
      <c r="A80" s="2">
        <v>80</v>
      </c>
      <c r="B80">
        <f t="shared" si="4"/>
        <v>71.9161818189</v>
      </c>
      <c r="C80">
        <f t="shared" si="5"/>
        <v>-2.5344425351046002E-2</v>
      </c>
    </row>
    <row r="81" spans="1:3">
      <c r="A81" s="2">
        <v>81</v>
      </c>
      <c r="B81">
        <f t="shared" si="4"/>
        <v>72.889272727999995</v>
      </c>
      <c r="C81">
        <f t="shared" si="5"/>
        <v>-2.5035633258096535E-2</v>
      </c>
    </row>
    <row r="82" spans="1:3">
      <c r="A82" s="2">
        <v>82</v>
      </c>
      <c r="B82">
        <f t="shared" si="4"/>
        <v>73.862363637100003</v>
      </c>
      <c r="C82">
        <f t="shared" si="5"/>
        <v>-2.4727025370090538E-2</v>
      </c>
    </row>
    <row r="83" spans="1:3">
      <c r="A83" s="2">
        <v>83</v>
      </c>
      <c r="B83">
        <f t="shared" si="4"/>
        <v>74.835454546199998</v>
      </c>
      <c r="C83">
        <f t="shared" si="5"/>
        <v>-2.4418601634962608E-2</v>
      </c>
    </row>
    <row r="84" spans="1:3">
      <c r="A84" s="2">
        <v>84</v>
      </c>
      <c r="B84">
        <f t="shared" si="4"/>
        <v>75.808545455299992</v>
      </c>
      <c r="C84">
        <f t="shared" si="5"/>
        <v>-2.4110361998829325E-2</v>
      </c>
    </row>
    <row r="85" spans="1:3">
      <c r="A85" s="2">
        <v>85</v>
      </c>
      <c r="B85">
        <f t="shared" si="4"/>
        <v>76.781636364400001</v>
      </c>
      <c r="C85">
        <f t="shared" si="5"/>
        <v>-2.3802306405991951E-2</v>
      </c>
    </row>
    <row r="86" spans="1:3">
      <c r="A86" s="2">
        <v>86</v>
      </c>
      <c r="B86">
        <f t="shared" si="4"/>
        <v>77.754727273499995</v>
      </c>
      <c r="C86">
        <f t="shared" si="5"/>
        <v>-2.3494434798939222E-2</v>
      </c>
    </row>
    <row r="87" spans="1:3">
      <c r="A87" s="2">
        <v>87</v>
      </c>
      <c r="B87">
        <f t="shared" si="4"/>
        <v>78.727818182600004</v>
      </c>
      <c r="C87">
        <f t="shared" si="5"/>
        <v>-2.3186747118350157E-2</v>
      </c>
    </row>
    <row r="88" spans="1:3">
      <c r="A88" s="2">
        <v>88</v>
      </c>
      <c r="B88">
        <f t="shared" si="4"/>
        <v>79.700909091699998</v>
      </c>
      <c r="C88">
        <f t="shared" si="5"/>
        <v>-2.2879243303097013E-2</v>
      </c>
    </row>
    <row r="89" spans="1:3">
      <c r="A89" s="2">
        <v>89</v>
      </c>
      <c r="B89">
        <f t="shared" si="4"/>
        <v>80.674000000799992</v>
      </c>
      <c r="C89">
        <f t="shared" si="5"/>
        <v>-2.2571923290248368E-2</v>
      </c>
    </row>
    <row r="90" spans="1:3">
      <c r="A90" s="2">
        <v>90</v>
      </c>
      <c r="B90">
        <f t="shared" si="4"/>
        <v>81.647090909900001</v>
      </c>
      <c r="C90">
        <f t="shared" si="5"/>
        <v>-2.2264787015072146E-2</v>
      </c>
    </row>
    <row r="91" spans="1:3">
      <c r="A91" s="2">
        <v>91</v>
      </c>
      <c r="B91">
        <f t="shared" si="4"/>
        <v>82.620181818999995</v>
      </c>
      <c r="C91">
        <f t="shared" si="5"/>
        <v>-2.1957834411038948E-2</v>
      </c>
    </row>
    <row r="92" spans="1:3">
      <c r="A92" s="2">
        <v>92</v>
      </c>
      <c r="B92">
        <f t="shared" si="4"/>
        <v>83.593272728100004</v>
      </c>
      <c r="C92">
        <f t="shared" si="5"/>
        <v>-2.1651065409825171E-2</v>
      </c>
    </row>
    <row r="93" spans="1:3">
      <c r="A93" s="2">
        <v>93</v>
      </c>
      <c r="B93">
        <f t="shared" si="4"/>
        <v>84.566363637199998</v>
      </c>
      <c r="C93">
        <f t="shared" si="5"/>
        <v>-2.1344479941316552E-2</v>
      </c>
    </row>
    <row r="94" spans="1:3">
      <c r="A94" s="2">
        <v>94</v>
      </c>
      <c r="B94">
        <f t="shared" si="4"/>
        <v>85.539454546299993</v>
      </c>
      <c r="C94">
        <f t="shared" si="5"/>
        <v>-2.1038077933611531E-2</v>
      </c>
    </row>
    <row r="95" spans="1:3">
      <c r="A95" s="2">
        <v>95</v>
      </c>
      <c r="B95">
        <f t="shared" si="4"/>
        <v>86.512545455400002</v>
      </c>
      <c r="C95">
        <f t="shared" si="5"/>
        <v>-2.073185931302482E-2</v>
      </c>
    </row>
    <row r="96" spans="1:3">
      <c r="A96" s="2">
        <v>96</v>
      </c>
      <c r="B96">
        <f t="shared" si="4"/>
        <v>87.485636364499996</v>
      </c>
      <c r="C96">
        <f t="shared" si="5"/>
        <v>-2.0425824004091056E-2</v>
      </c>
    </row>
    <row r="97" spans="1:3">
      <c r="A97" s="2">
        <v>97</v>
      </c>
      <c r="B97">
        <f t="shared" ref="B97:B100" si="6">-4.958+(A97-1)*0.9730909091</f>
        <v>88.458727273600005</v>
      </c>
      <c r="C97">
        <f t="shared" ref="C97:C100" si="7">0.00679444141559983+0.000322500739084756*B97-0.055205330697343*(1.00219298245614+(B97-45.8980921052631)^2/282381.139640132)^0.5</f>
        <v>-2.0119971929568499E-2</v>
      </c>
    </row>
    <row r="98" spans="1:3">
      <c r="A98" s="2">
        <v>98</v>
      </c>
      <c r="B98">
        <f t="shared" si="6"/>
        <v>89.431818182699999</v>
      </c>
      <c r="C98">
        <f t="shared" si="7"/>
        <v>-1.9814303010442805E-2</v>
      </c>
    </row>
    <row r="99" spans="1:3">
      <c r="A99" s="2">
        <v>99</v>
      </c>
      <c r="B99">
        <f t="shared" si="6"/>
        <v>90.404909091799993</v>
      </c>
      <c r="C99">
        <f t="shared" si="7"/>
        <v>-1.9508817165930989E-2</v>
      </c>
    </row>
    <row r="100" spans="1:3">
      <c r="A100" s="2">
        <v>100</v>
      </c>
      <c r="B100">
        <f t="shared" si="6"/>
        <v>91.378000000900002</v>
      </c>
      <c r="C100">
        <f t="shared" si="7"/>
        <v>-1.9203514313485298E-2</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enableFormatConditionsCalculation="0"/>
  <dimension ref="A1:C100"/>
  <sheetViews>
    <sheetView workbookViewId="0"/>
  </sheetViews>
  <sheetFormatPr baseColWidth="10" defaultRowHeight="15.75"/>
  <sheetData>
    <row r="1" spans="1:3">
      <c r="A1" s="2">
        <v>1</v>
      </c>
      <c r="B1">
        <f t="shared" ref="B1:B32" si="0">-4.958+(A1-1)*0.9730909091</f>
        <v>-4.9580000000000002</v>
      </c>
      <c r="C1">
        <f t="shared" ref="C1:C32" si="1">0.00679444141559983+0.000322500739084756*B1+0.055205330697343*(1.00219298245614+(B1-45.8980921052631)^2/282381.139640132)^0.5</f>
        <v>6.071327544918112E-2</v>
      </c>
    </row>
    <row r="2" spans="1:3">
      <c r="A2" s="2">
        <v>2</v>
      </c>
      <c r="B2">
        <f t="shared" si="0"/>
        <v>-3.9849090909000005</v>
      </c>
      <c r="C2">
        <f t="shared" si="1"/>
        <v>6.1017568864626864E-2</v>
      </c>
    </row>
    <row r="3" spans="1:3">
      <c r="A3" s="2">
        <v>3</v>
      </c>
      <c r="B3">
        <f t="shared" si="0"/>
        <v>-3.0118181818000003</v>
      </c>
      <c r="C3">
        <f t="shared" si="1"/>
        <v>6.1322044784453772E-2</v>
      </c>
    </row>
    <row r="4" spans="1:3">
      <c r="A4" s="2">
        <v>4</v>
      </c>
      <c r="B4">
        <f t="shared" si="0"/>
        <v>-2.0387272727000001</v>
      </c>
      <c r="C4">
        <f t="shared" si="1"/>
        <v>6.1626703300884211E-2</v>
      </c>
    </row>
    <row r="5" spans="1:3">
      <c r="A5" s="2">
        <v>5</v>
      </c>
      <c r="B5">
        <f t="shared" si="0"/>
        <v>-1.0656363636000004</v>
      </c>
      <c r="C5">
        <f t="shared" si="1"/>
        <v>6.1931544504399236E-2</v>
      </c>
    </row>
    <row r="6" spans="1:3">
      <c r="A6" s="2">
        <v>6</v>
      </c>
      <c r="B6">
        <f t="shared" si="0"/>
        <v>-9.2545454500000623E-2</v>
      </c>
      <c r="C6">
        <f t="shared" si="1"/>
        <v>6.22365684837341E-2</v>
      </c>
    </row>
    <row r="7" spans="1:3">
      <c r="A7" s="2">
        <v>7</v>
      </c>
      <c r="B7">
        <f t="shared" si="0"/>
        <v>0.8805454546</v>
      </c>
      <c r="C7">
        <f t="shared" si="1"/>
        <v>6.2541775325874002E-2</v>
      </c>
    </row>
    <row r="8" spans="1:3">
      <c r="A8" s="2">
        <v>8</v>
      </c>
      <c r="B8">
        <f t="shared" si="0"/>
        <v>1.8536363636999997</v>
      </c>
      <c r="C8">
        <f t="shared" si="1"/>
        <v>6.2847165116049805E-2</v>
      </c>
    </row>
    <row r="9" spans="1:3">
      <c r="A9" s="2">
        <v>9</v>
      </c>
      <c r="B9">
        <f t="shared" si="0"/>
        <v>2.8267272727999995</v>
      </c>
      <c r="C9">
        <f t="shared" si="1"/>
        <v>6.3152737937733849E-2</v>
      </c>
    </row>
    <row r="10" spans="1:3">
      <c r="A10" s="2">
        <v>10</v>
      </c>
      <c r="B10">
        <f t="shared" si="0"/>
        <v>3.7998181818999992</v>
      </c>
      <c r="C10">
        <f t="shared" si="1"/>
        <v>6.3458493872635857E-2</v>
      </c>
    </row>
    <row r="11" spans="1:3">
      <c r="A11" s="2">
        <v>11</v>
      </c>
      <c r="B11">
        <f t="shared" si="0"/>
        <v>4.7729090909999989</v>
      </c>
      <c r="C11">
        <f t="shared" si="1"/>
        <v>6.3764433000698936E-2</v>
      </c>
    </row>
    <row r="12" spans="1:3">
      <c r="A12" s="2">
        <v>12</v>
      </c>
      <c r="B12">
        <f t="shared" si="0"/>
        <v>5.7460000000999987</v>
      </c>
      <c r="C12">
        <f t="shared" si="1"/>
        <v>6.407055540009568E-2</v>
      </c>
    </row>
    <row r="13" spans="1:3">
      <c r="A13" s="2">
        <v>13</v>
      </c>
      <c r="B13">
        <f t="shared" si="0"/>
        <v>6.7190909092000002</v>
      </c>
      <c r="C13">
        <f t="shared" si="1"/>
        <v>6.4376861147224226E-2</v>
      </c>
    </row>
    <row r="14" spans="1:3">
      <c r="A14" s="2">
        <v>14</v>
      </c>
      <c r="B14">
        <f t="shared" si="0"/>
        <v>7.6921818182999999</v>
      </c>
      <c r="C14">
        <f t="shared" si="1"/>
        <v>6.4683350316704608E-2</v>
      </c>
    </row>
    <row r="15" spans="1:3">
      <c r="A15" s="2">
        <v>15</v>
      </c>
      <c r="B15">
        <f t="shared" si="0"/>
        <v>8.6652727273999997</v>
      </c>
      <c r="C15">
        <f t="shared" si="1"/>
        <v>6.4990022981375045E-2</v>
      </c>
    </row>
    <row r="16" spans="1:3">
      <c r="A16" s="2">
        <v>16</v>
      </c>
      <c r="B16">
        <f t="shared" si="0"/>
        <v>9.6383636364999994</v>
      </c>
      <c r="C16">
        <f t="shared" si="1"/>
        <v>6.5296879212288286E-2</v>
      </c>
    </row>
    <row r="17" spans="1:3">
      <c r="A17" s="2">
        <v>17</v>
      </c>
      <c r="B17">
        <f t="shared" si="0"/>
        <v>10.611454545599999</v>
      </c>
      <c r="C17">
        <f t="shared" si="1"/>
        <v>6.5603919078708203E-2</v>
      </c>
    </row>
    <row r="18" spans="1:3">
      <c r="A18" s="2">
        <v>18</v>
      </c>
      <c r="B18">
        <f t="shared" si="0"/>
        <v>11.584545454700001</v>
      </c>
      <c r="C18">
        <f t="shared" si="1"/>
        <v>6.5911142648106311E-2</v>
      </c>
    </row>
    <row r="19" spans="1:3">
      <c r="A19" s="2">
        <v>19</v>
      </c>
      <c r="B19">
        <f t="shared" si="0"/>
        <v>12.557636363799999</v>
      </c>
      <c r="C19">
        <f t="shared" si="1"/>
        <v>6.6218549986158393E-2</v>
      </c>
    </row>
    <row r="20" spans="1:3">
      <c r="A20" s="2">
        <v>20</v>
      </c>
      <c r="B20">
        <f t="shared" si="0"/>
        <v>13.5307272729</v>
      </c>
      <c r="C20">
        <f t="shared" si="1"/>
        <v>6.6526141156741381E-2</v>
      </c>
    </row>
    <row r="21" spans="1:3">
      <c r="A21" s="2">
        <v>21</v>
      </c>
      <c r="B21">
        <f t="shared" si="0"/>
        <v>14.503818181999998</v>
      </c>
      <c r="C21">
        <f t="shared" si="1"/>
        <v>6.6833916221930051E-2</v>
      </c>
    </row>
    <row r="22" spans="1:3">
      <c r="A22" s="2">
        <v>22</v>
      </c>
      <c r="B22">
        <f t="shared" si="0"/>
        <v>15.4769090911</v>
      </c>
      <c r="C22">
        <f t="shared" si="1"/>
        <v>6.714187524199404E-2</v>
      </c>
    </row>
    <row r="23" spans="1:3">
      <c r="A23" s="2">
        <v>23</v>
      </c>
      <c r="B23">
        <f t="shared" si="0"/>
        <v>16.450000000199999</v>
      </c>
      <c r="C23">
        <f t="shared" si="1"/>
        <v>6.7450018275394805E-2</v>
      </c>
    </row>
    <row r="24" spans="1:3">
      <c r="A24" s="2">
        <v>24</v>
      </c>
      <c r="B24">
        <f t="shared" si="0"/>
        <v>17.423090909300001</v>
      </c>
      <c r="C24">
        <f t="shared" si="1"/>
        <v>6.7758345378782767E-2</v>
      </c>
    </row>
    <row r="25" spans="1:3">
      <c r="A25" s="2">
        <v>25</v>
      </c>
      <c r="B25">
        <f t="shared" si="0"/>
        <v>18.396181818400002</v>
      </c>
      <c r="C25">
        <f t="shared" si="1"/>
        <v>6.8066856606994408E-2</v>
      </c>
    </row>
    <row r="26" spans="1:3">
      <c r="A26" s="2">
        <v>26</v>
      </c>
      <c r="B26">
        <f t="shared" si="0"/>
        <v>19.369272727499997</v>
      </c>
      <c r="C26">
        <f t="shared" si="1"/>
        <v>6.8375552013049706E-2</v>
      </c>
    </row>
    <row r="27" spans="1:3">
      <c r="A27" s="2">
        <v>27</v>
      </c>
      <c r="B27">
        <f t="shared" si="0"/>
        <v>20.342363636599998</v>
      </c>
      <c r="C27">
        <f t="shared" si="1"/>
        <v>6.868443164814933E-2</v>
      </c>
    </row>
    <row r="28" spans="1:3">
      <c r="A28" s="2">
        <v>28</v>
      </c>
      <c r="B28">
        <f t="shared" si="0"/>
        <v>21.3154545457</v>
      </c>
      <c r="C28">
        <f t="shared" si="1"/>
        <v>6.8993495561672197E-2</v>
      </c>
    </row>
    <row r="29" spans="1:3">
      <c r="A29" s="2">
        <v>29</v>
      </c>
      <c r="B29">
        <f t="shared" si="0"/>
        <v>22.288545454800001</v>
      </c>
      <c r="C29">
        <f t="shared" si="1"/>
        <v>6.9302743801172989E-2</v>
      </c>
    </row>
    <row r="30" spans="1:3">
      <c r="A30" s="2">
        <v>30</v>
      </c>
      <c r="B30">
        <f t="shared" si="0"/>
        <v>23.261636363899996</v>
      </c>
      <c r="C30">
        <f t="shared" si="1"/>
        <v>6.9612176412379712E-2</v>
      </c>
    </row>
    <row r="31" spans="1:3">
      <c r="A31" s="2">
        <v>31</v>
      </c>
      <c r="B31">
        <f t="shared" si="0"/>
        <v>24.234727272999997</v>
      </c>
      <c r="C31">
        <f t="shared" si="1"/>
        <v>6.9921793439191596E-2</v>
      </c>
    </row>
    <row r="32" spans="1:3">
      <c r="A32" s="2">
        <v>32</v>
      </c>
      <c r="B32">
        <f t="shared" si="0"/>
        <v>25.207818182099999</v>
      </c>
      <c r="C32">
        <f t="shared" si="1"/>
        <v>7.0231594923676671E-2</v>
      </c>
    </row>
    <row r="33" spans="1:3">
      <c r="A33" s="2">
        <v>33</v>
      </c>
      <c r="B33">
        <f t="shared" ref="B33:B64" si="2">-4.958+(A33-1)*0.9730909091</f>
        <v>26.1809090912</v>
      </c>
      <c r="C33">
        <f t="shared" ref="C33:C64" si="3">0.00679444141559983+0.000322500739084756*B33+0.055205330697343*(1.00219298245614+(B33-45.8980921052631)^2/282381.139640132)^0.5</f>
        <v>7.0541580906069878E-2</v>
      </c>
    </row>
    <row r="34" spans="1:3">
      <c r="A34" s="2">
        <v>34</v>
      </c>
      <c r="B34">
        <f t="shared" si="2"/>
        <v>27.154000000300002</v>
      </c>
      <c r="C34">
        <f t="shared" si="3"/>
        <v>7.0851751424770903E-2</v>
      </c>
    </row>
    <row r="35" spans="1:3">
      <c r="A35" s="2">
        <v>35</v>
      </c>
      <c r="B35">
        <f t="shared" si="2"/>
        <v>28.127090909400003</v>
      </c>
      <c r="C35">
        <f t="shared" si="3"/>
        <v>7.1162106516342402E-2</v>
      </c>
    </row>
    <row r="36" spans="1:3">
      <c r="A36" s="2">
        <v>36</v>
      </c>
      <c r="B36">
        <f t="shared" si="2"/>
        <v>29.100181818499998</v>
      </c>
      <c r="C36">
        <f t="shared" si="3"/>
        <v>7.1472646215507987E-2</v>
      </c>
    </row>
    <row r="37" spans="1:3">
      <c r="A37" s="2">
        <v>37</v>
      </c>
      <c r="B37">
        <f t="shared" si="2"/>
        <v>30.073272727599999</v>
      </c>
      <c r="C37">
        <f t="shared" si="3"/>
        <v>7.1783370555150716E-2</v>
      </c>
    </row>
    <row r="38" spans="1:3">
      <c r="A38" s="2">
        <v>38</v>
      </c>
      <c r="B38">
        <f t="shared" si="2"/>
        <v>31.046363636700001</v>
      </c>
      <c r="C38">
        <f t="shared" si="3"/>
        <v>7.2094279566311259E-2</v>
      </c>
    </row>
    <row r="39" spans="1:3">
      <c r="A39" s="2">
        <v>39</v>
      </c>
      <c r="B39">
        <f t="shared" si="2"/>
        <v>32.019454545800002</v>
      </c>
      <c r="C39">
        <f t="shared" si="3"/>
        <v>7.2405373278186469E-2</v>
      </c>
    </row>
    <row r="40" spans="1:3">
      <c r="A40" s="2">
        <v>40</v>
      </c>
      <c r="B40">
        <f t="shared" si="2"/>
        <v>32.992545454899997</v>
      </c>
      <c r="C40">
        <f t="shared" si="3"/>
        <v>7.2716651718127814E-2</v>
      </c>
    </row>
    <row r="41" spans="1:3">
      <c r="A41" s="2">
        <v>41</v>
      </c>
      <c r="B41">
        <f t="shared" si="2"/>
        <v>33.965636363999998</v>
      </c>
      <c r="C41">
        <f t="shared" si="3"/>
        <v>7.3028114911640116E-2</v>
      </c>
    </row>
    <row r="42" spans="1:3">
      <c r="A42" s="2">
        <v>42</v>
      </c>
      <c r="B42">
        <f t="shared" si="2"/>
        <v>34.9387272731</v>
      </c>
      <c r="C42">
        <f t="shared" si="3"/>
        <v>7.3339762882380199E-2</v>
      </c>
    </row>
    <row r="43" spans="1:3">
      <c r="A43" s="2">
        <v>43</v>
      </c>
      <c r="B43">
        <f t="shared" si="2"/>
        <v>35.911818182200001</v>
      </c>
      <c r="C43">
        <f t="shared" si="3"/>
        <v>7.3651595652155732E-2</v>
      </c>
    </row>
    <row r="44" spans="1:3">
      <c r="A44" s="2">
        <v>44</v>
      </c>
      <c r="B44">
        <f t="shared" si="2"/>
        <v>36.884909091300003</v>
      </c>
      <c r="C44">
        <f t="shared" si="3"/>
        <v>7.3963613240924125E-2</v>
      </c>
    </row>
    <row r="45" spans="1:3">
      <c r="A45" s="2">
        <v>45</v>
      </c>
      <c r="B45">
        <f t="shared" si="2"/>
        <v>37.858000000399997</v>
      </c>
      <c r="C45">
        <f t="shared" si="3"/>
        <v>7.4275815666791534E-2</v>
      </c>
    </row>
    <row r="46" spans="1:3">
      <c r="A46" s="2">
        <v>46</v>
      </c>
      <c r="B46">
        <f t="shared" si="2"/>
        <v>38.831090909499999</v>
      </c>
      <c r="C46">
        <f t="shared" si="3"/>
        <v>7.4588202946011969E-2</v>
      </c>
    </row>
    <row r="47" spans="1:3">
      <c r="A47" s="2">
        <v>47</v>
      </c>
      <c r="B47">
        <f t="shared" si="2"/>
        <v>39.8041818186</v>
      </c>
      <c r="C47">
        <f t="shared" si="3"/>
        <v>7.4900775092986469E-2</v>
      </c>
    </row>
    <row r="48" spans="1:3">
      <c r="A48" s="2">
        <v>48</v>
      </c>
      <c r="B48">
        <f t="shared" si="2"/>
        <v>40.777272727700002</v>
      </c>
      <c r="C48">
        <f t="shared" si="3"/>
        <v>7.5213532120262341E-2</v>
      </c>
    </row>
    <row r="49" spans="1:3">
      <c r="A49" s="2">
        <v>49</v>
      </c>
      <c r="B49">
        <f t="shared" si="2"/>
        <v>41.750363636800003</v>
      </c>
      <c r="C49">
        <f t="shared" si="3"/>
        <v>7.5526474038532604E-2</v>
      </c>
    </row>
    <row r="50" spans="1:3">
      <c r="A50" s="2">
        <v>50</v>
      </c>
      <c r="B50">
        <f t="shared" si="2"/>
        <v>42.723454545899997</v>
      </c>
      <c r="C50">
        <f t="shared" si="3"/>
        <v>7.5839600856635367E-2</v>
      </c>
    </row>
    <row r="51" spans="1:3">
      <c r="A51" s="2">
        <v>51</v>
      </c>
      <c r="B51">
        <f t="shared" si="2"/>
        <v>43.696545454999999</v>
      </c>
      <c r="C51">
        <f t="shared" si="3"/>
        <v>7.6152912581553475E-2</v>
      </c>
    </row>
    <row r="52" spans="1:3">
      <c r="A52" s="2">
        <v>52</v>
      </c>
      <c r="B52">
        <f t="shared" si="2"/>
        <v>44.6696363641</v>
      </c>
      <c r="C52">
        <f t="shared" si="3"/>
        <v>7.6466409218414105E-2</v>
      </c>
    </row>
    <row r="53" spans="1:3">
      <c r="A53" s="2">
        <v>53</v>
      </c>
      <c r="B53">
        <f t="shared" si="2"/>
        <v>45.642727273200002</v>
      </c>
      <c r="C53">
        <f t="shared" si="3"/>
        <v>7.6780090770488515E-2</v>
      </c>
    </row>
    <row r="54" spans="1:3">
      <c r="A54" s="2">
        <v>54</v>
      </c>
      <c r="B54">
        <f t="shared" si="2"/>
        <v>46.615818182299996</v>
      </c>
      <c r="C54">
        <f t="shared" si="3"/>
        <v>7.7093957239191852E-2</v>
      </c>
    </row>
    <row r="55" spans="1:3">
      <c r="A55" s="2">
        <v>55</v>
      </c>
      <c r="B55">
        <f t="shared" si="2"/>
        <v>47.588909091399998</v>
      </c>
      <c r="C55">
        <f t="shared" si="3"/>
        <v>7.7408008624083174E-2</v>
      </c>
    </row>
    <row r="56" spans="1:3">
      <c r="A56" s="2">
        <v>56</v>
      </c>
      <c r="B56">
        <f t="shared" si="2"/>
        <v>48.562000000499999</v>
      </c>
      <c r="C56">
        <f t="shared" si="3"/>
        <v>7.7722244922865391E-2</v>
      </c>
    </row>
    <row r="57" spans="1:3">
      <c r="A57" s="2">
        <v>57</v>
      </c>
      <c r="B57">
        <f t="shared" si="2"/>
        <v>49.535090909600001</v>
      </c>
      <c r="C57">
        <f t="shared" si="3"/>
        <v>7.8036666131385338E-2</v>
      </c>
    </row>
    <row r="58" spans="1:3">
      <c r="A58" s="2">
        <v>58</v>
      </c>
      <c r="B58">
        <f t="shared" si="2"/>
        <v>50.508181818700002</v>
      </c>
      <c r="C58">
        <f t="shared" si="3"/>
        <v>7.835127224363414E-2</v>
      </c>
    </row>
    <row r="59" spans="1:3">
      <c r="A59" s="2">
        <v>59</v>
      </c>
      <c r="B59">
        <f t="shared" si="2"/>
        <v>51.481272727799997</v>
      </c>
      <c r="C59">
        <f t="shared" si="3"/>
        <v>7.8666063251747353E-2</v>
      </c>
    </row>
    <row r="60" spans="1:3">
      <c r="A60" s="2">
        <v>60</v>
      </c>
      <c r="B60">
        <f t="shared" si="2"/>
        <v>52.454363636899998</v>
      </c>
      <c r="C60">
        <f t="shared" si="3"/>
        <v>7.8981039146005447E-2</v>
      </c>
    </row>
    <row r="61" spans="1:3">
      <c r="A61" s="2">
        <v>61</v>
      </c>
      <c r="B61">
        <f t="shared" si="2"/>
        <v>53.427454546</v>
      </c>
      <c r="C61">
        <f t="shared" si="3"/>
        <v>7.9296199914834289E-2</v>
      </c>
    </row>
    <row r="62" spans="1:3">
      <c r="A62" s="2">
        <v>62</v>
      </c>
      <c r="B62">
        <f t="shared" si="2"/>
        <v>54.400545455100001</v>
      </c>
      <c r="C62">
        <f t="shared" si="3"/>
        <v>7.9611545544805651E-2</v>
      </c>
    </row>
    <row r="63" spans="1:3">
      <c r="A63" s="2">
        <v>63</v>
      </c>
      <c r="B63">
        <f t="shared" si="2"/>
        <v>55.373636364199996</v>
      </c>
      <c r="C63">
        <f t="shared" si="3"/>
        <v>7.9927076020638033E-2</v>
      </c>
    </row>
    <row r="64" spans="1:3">
      <c r="A64" s="2">
        <v>64</v>
      </c>
      <c r="B64">
        <f t="shared" si="2"/>
        <v>56.346727273299997</v>
      </c>
      <c r="C64">
        <f t="shared" si="3"/>
        <v>8.0242791325197238E-2</v>
      </c>
    </row>
    <row r="65" spans="1:3">
      <c r="A65" s="2">
        <v>65</v>
      </c>
      <c r="B65">
        <f t="shared" ref="B65:B96" si="4">-4.958+(A65-1)*0.9730909091</f>
        <v>57.319818182399999</v>
      </c>
      <c r="C65">
        <f t="shared" ref="C65:C96" si="5">0.00679444141559983+0.000322500739084756*B65+0.055205330697343*(1.00219298245614+(B65-45.8980921052631)^2/282381.139640132)^0.5</f>
        <v>8.0558691439497371E-2</v>
      </c>
    </row>
    <row r="66" spans="1:3">
      <c r="A66" s="2">
        <v>66</v>
      </c>
      <c r="B66">
        <f t="shared" si="4"/>
        <v>58.2929090915</v>
      </c>
      <c r="C66">
        <f t="shared" si="5"/>
        <v>8.0874776342701737E-2</v>
      </c>
    </row>
    <row r="67" spans="1:3">
      <c r="A67" s="2">
        <v>67</v>
      </c>
      <c r="B67">
        <f t="shared" si="4"/>
        <v>59.266000000600002</v>
      </c>
      <c r="C67">
        <f t="shared" si="5"/>
        <v>8.119104601212393E-2</v>
      </c>
    </row>
    <row r="68" spans="1:3">
      <c r="A68" s="2">
        <v>68</v>
      </c>
      <c r="B68">
        <f t="shared" si="4"/>
        <v>60.239090909699996</v>
      </c>
      <c r="C68">
        <f t="shared" si="5"/>
        <v>8.1507500423228879E-2</v>
      </c>
    </row>
    <row r="69" spans="1:3">
      <c r="A69" s="2">
        <v>69</v>
      </c>
      <c r="B69">
        <f t="shared" si="4"/>
        <v>61.212181818800005</v>
      </c>
      <c r="C69">
        <f t="shared" si="5"/>
        <v>8.1824139549634189E-2</v>
      </c>
    </row>
    <row r="70" spans="1:3">
      <c r="A70" s="2">
        <v>70</v>
      </c>
      <c r="B70">
        <f t="shared" si="4"/>
        <v>62.185272727899999</v>
      </c>
      <c r="C70">
        <f t="shared" si="5"/>
        <v>8.2140963363111386E-2</v>
      </c>
    </row>
    <row r="71" spans="1:3">
      <c r="A71" s="2">
        <v>71</v>
      </c>
      <c r="B71">
        <f t="shared" si="4"/>
        <v>63.158363636999994</v>
      </c>
      <c r="C71">
        <f t="shared" si="5"/>
        <v>8.2457971833587315E-2</v>
      </c>
    </row>
    <row r="72" spans="1:3">
      <c r="A72" s="2">
        <v>72</v>
      </c>
      <c r="B72">
        <f t="shared" si="4"/>
        <v>64.131454546100002</v>
      </c>
      <c r="C72">
        <f t="shared" si="5"/>
        <v>8.2775164929145731E-2</v>
      </c>
    </row>
    <row r="73" spans="1:3">
      <c r="A73" s="2">
        <v>73</v>
      </c>
      <c r="B73">
        <f t="shared" si="4"/>
        <v>65.104545455199997</v>
      </c>
      <c r="C73">
        <f t="shared" si="5"/>
        <v>8.3092542616028831E-2</v>
      </c>
    </row>
    <row r="74" spans="1:3">
      <c r="A74" s="2">
        <v>74</v>
      </c>
      <c r="B74">
        <f t="shared" si="4"/>
        <v>66.077636364300005</v>
      </c>
      <c r="C74">
        <f t="shared" si="5"/>
        <v>8.341010485863895E-2</v>
      </c>
    </row>
    <row r="75" spans="1:3">
      <c r="A75" s="2">
        <v>75</v>
      </c>
      <c r="B75">
        <f t="shared" si="4"/>
        <v>67.0507272734</v>
      </c>
      <c r="C75">
        <f t="shared" si="5"/>
        <v>8.3727851619540355E-2</v>
      </c>
    </row>
    <row r="76" spans="1:3">
      <c r="A76" s="2">
        <v>76</v>
      </c>
      <c r="B76">
        <f t="shared" si="4"/>
        <v>68.023818182499994</v>
      </c>
      <c r="C76">
        <f t="shared" si="5"/>
        <v>8.4045782859461057E-2</v>
      </c>
    </row>
    <row r="77" spans="1:3">
      <c r="A77" s="2">
        <v>77</v>
      </c>
      <c r="B77">
        <f t="shared" si="4"/>
        <v>68.996909091600003</v>
      </c>
      <c r="C77">
        <f t="shared" si="5"/>
        <v>8.4363898537294937E-2</v>
      </c>
    </row>
    <row r="78" spans="1:3">
      <c r="A78" s="2">
        <v>78</v>
      </c>
      <c r="B78">
        <f t="shared" si="4"/>
        <v>69.970000000699997</v>
      </c>
      <c r="C78">
        <f t="shared" si="5"/>
        <v>8.4682198610103565E-2</v>
      </c>
    </row>
    <row r="79" spans="1:3">
      <c r="A79" s="2">
        <v>79</v>
      </c>
      <c r="B79">
        <f t="shared" si="4"/>
        <v>70.943090909799992</v>
      </c>
      <c r="C79">
        <f t="shared" si="5"/>
        <v>8.5000683033118515E-2</v>
      </c>
    </row>
    <row r="80" spans="1:3">
      <c r="A80" s="2">
        <v>80</v>
      </c>
      <c r="B80">
        <f t="shared" si="4"/>
        <v>71.9161818189</v>
      </c>
      <c r="C80">
        <f t="shared" si="5"/>
        <v>8.5319351759743547E-2</v>
      </c>
    </row>
    <row r="81" spans="1:3">
      <c r="A81" s="2">
        <v>81</v>
      </c>
      <c r="B81">
        <f t="shared" si="4"/>
        <v>72.889272727999995</v>
      </c>
      <c r="C81">
        <f t="shared" si="5"/>
        <v>8.5638204741556895E-2</v>
      </c>
    </row>
    <row r="82" spans="1:3">
      <c r="A82" s="2">
        <v>82</v>
      </c>
      <c r="B82">
        <f t="shared" si="4"/>
        <v>73.862363637100003</v>
      </c>
      <c r="C82">
        <f t="shared" si="5"/>
        <v>8.5957241928313707E-2</v>
      </c>
    </row>
    <row r="83" spans="1:3">
      <c r="A83" s="2">
        <v>83</v>
      </c>
      <c r="B83">
        <f t="shared" si="4"/>
        <v>74.835454546199998</v>
      </c>
      <c r="C83">
        <f t="shared" si="5"/>
        <v>8.6276463267948592E-2</v>
      </c>
    </row>
    <row r="84" spans="1:3">
      <c r="A84" s="2">
        <v>84</v>
      </c>
      <c r="B84">
        <f t="shared" si="4"/>
        <v>75.808545455299992</v>
      </c>
      <c r="C84">
        <f t="shared" si="5"/>
        <v>8.6595868706578122E-2</v>
      </c>
    </row>
    <row r="85" spans="1:3">
      <c r="A85" s="2">
        <v>85</v>
      </c>
      <c r="B85">
        <f t="shared" si="4"/>
        <v>76.781636364400001</v>
      </c>
      <c r="C85">
        <f t="shared" si="5"/>
        <v>8.6915458188503575E-2</v>
      </c>
    </row>
    <row r="86" spans="1:3">
      <c r="A86" s="2">
        <v>86</v>
      </c>
      <c r="B86">
        <f t="shared" si="4"/>
        <v>77.754727273499995</v>
      </c>
      <c r="C86">
        <f t="shared" si="5"/>
        <v>8.7235231656213635E-2</v>
      </c>
    </row>
    <row r="87" spans="1:3">
      <c r="A87" s="2">
        <v>87</v>
      </c>
      <c r="B87">
        <f t="shared" si="4"/>
        <v>78.727818182600004</v>
      </c>
      <c r="C87">
        <f t="shared" si="5"/>
        <v>8.7555189050387394E-2</v>
      </c>
    </row>
    <row r="88" spans="1:3">
      <c r="A88" s="2">
        <v>88</v>
      </c>
      <c r="B88">
        <f t="shared" si="4"/>
        <v>79.700909091699998</v>
      </c>
      <c r="C88">
        <f t="shared" si="5"/>
        <v>8.7875330309897068E-2</v>
      </c>
    </row>
    <row r="89" spans="1:3">
      <c r="A89" s="2">
        <v>89</v>
      </c>
      <c r="B89">
        <f t="shared" si="4"/>
        <v>80.674000000799992</v>
      </c>
      <c r="C89">
        <f t="shared" si="5"/>
        <v>8.8195655371811232E-2</v>
      </c>
    </row>
    <row r="90" spans="1:3">
      <c r="A90" s="2">
        <v>90</v>
      </c>
      <c r="B90">
        <f t="shared" si="4"/>
        <v>81.647090909900001</v>
      </c>
      <c r="C90">
        <f t="shared" si="5"/>
        <v>8.8516164171397835E-2</v>
      </c>
    </row>
    <row r="91" spans="1:3">
      <c r="A91" s="2">
        <v>91</v>
      </c>
      <c r="B91">
        <f t="shared" si="4"/>
        <v>82.620181818999995</v>
      </c>
      <c r="C91">
        <f t="shared" si="5"/>
        <v>8.883685664212744E-2</v>
      </c>
    </row>
    <row r="92" spans="1:3">
      <c r="A92" s="2">
        <v>92</v>
      </c>
      <c r="B92">
        <f t="shared" si="4"/>
        <v>83.593272728100004</v>
      </c>
      <c r="C92">
        <f t="shared" si="5"/>
        <v>8.915773271567648E-2</v>
      </c>
    </row>
    <row r="93" spans="1:3">
      <c r="A93" s="2">
        <v>93</v>
      </c>
      <c r="B93">
        <f t="shared" si="4"/>
        <v>84.566363637199998</v>
      </c>
      <c r="C93">
        <f t="shared" si="5"/>
        <v>8.9478792321930678E-2</v>
      </c>
    </row>
    <row r="94" spans="1:3">
      <c r="A94" s="2">
        <v>94</v>
      </c>
      <c r="B94">
        <f t="shared" si="4"/>
        <v>85.539454546299993</v>
      </c>
      <c r="C94">
        <f t="shared" si="5"/>
        <v>8.9800035388988453E-2</v>
      </c>
    </row>
    <row r="95" spans="1:3">
      <c r="A95" s="2">
        <v>95</v>
      </c>
      <c r="B95">
        <f t="shared" si="4"/>
        <v>86.512545455400002</v>
      </c>
      <c r="C95">
        <f t="shared" si="5"/>
        <v>9.012146184316458E-2</v>
      </c>
    </row>
    <row r="96" spans="1:3">
      <c r="A96" s="2">
        <v>96</v>
      </c>
      <c r="B96">
        <f t="shared" si="4"/>
        <v>87.485636364499996</v>
      </c>
      <c r="C96">
        <f t="shared" si="5"/>
        <v>9.0443071608993619E-2</v>
      </c>
    </row>
    <row r="97" spans="1:3">
      <c r="A97" s="2">
        <v>97</v>
      </c>
      <c r="B97">
        <f t="shared" ref="B97:B100" si="6">-4.958+(A97-1)*0.9730909091</f>
        <v>88.458727273600005</v>
      </c>
      <c r="C97">
        <f t="shared" ref="C97:C100" si="7">0.00679444141559983+0.000322500739084756*B97+0.055205330697343*(1.00219298245614+(B97-45.8980921052631)^2/282381.139640132)^0.5</f>
        <v>9.0764864609233886E-2</v>
      </c>
    </row>
    <row r="98" spans="1:3">
      <c r="A98" s="2">
        <v>98</v>
      </c>
      <c r="B98">
        <f t="shared" si="6"/>
        <v>89.431818182699999</v>
      </c>
      <c r="C98">
        <f t="shared" si="7"/>
        <v>9.1086840764871002E-2</v>
      </c>
    </row>
    <row r="99" spans="1:3">
      <c r="A99" s="2">
        <v>99</v>
      </c>
      <c r="B99">
        <f t="shared" si="6"/>
        <v>90.404909091799993</v>
      </c>
      <c r="C99">
        <f t="shared" si="7"/>
        <v>9.1408999995121989E-2</v>
      </c>
    </row>
    <row r="100" spans="1:3">
      <c r="A100" s="2">
        <v>100</v>
      </c>
      <c r="B100">
        <f t="shared" si="6"/>
        <v>91.378000000900002</v>
      </c>
      <c r="C100">
        <f t="shared" si="7"/>
        <v>9.173134221743913E-2</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enableFormatConditionsCalculation="0"/>
  <dimension ref="A1:C70"/>
  <sheetViews>
    <sheetView workbookViewId="0"/>
  </sheetViews>
  <sheetFormatPr baseColWidth="10" defaultRowHeight="15.75"/>
  <sheetData>
    <row r="1" spans="1:3">
      <c r="A1" s="2">
        <v>1</v>
      </c>
      <c r="B1">
        <f t="shared" ref="B1:B32" si="0">0.0067489043+(A1-1)*0.0004878398</f>
        <v>6.7489042999999997E-3</v>
      </c>
      <c r="C1">
        <f t="shared" ref="C1:C32" si="1">0+1*B1-0.055205330697343*(1.00219298245614+(B1-0.0215966100421274)^2/0.358263908567178)^0.5</f>
        <v>-4.853388925467534E-2</v>
      </c>
    </row>
    <row r="2" spans="1:3">
      <c r="A2" s="2">
        <v>2</v>
      </c>
      <c r="B2">
        <f t="shared" si="0"/>
        <v>7.2367440999999994E-3</v>
      </c>
      <c r="C2">
        <f t="shared" si="1"/>
        <v>-4.8044953188582158E-2</v>
      </c>
    </row>
    <row r="3" spans="1:3">
      <c r="A3" s="2">
        <v>3</v>
      </c>
      <c r="B3">
        <f t="shared" si="0"/>
        <v>7.7245839E-3</v>
      </c>
      <c r="C3">
        <f t="shared" si="1"/>
        <v>-4.7556053722620117E-2</v>
      </c>
    </row>
    <row r="4" spans="1:3">
      <c r="A4" s="2">
        <v>4</v>
      </c>
      <c r="B4">
        <f t="shared" si="0"/>
        <v>8.2124236999999989E-3</v>
      </c>
      <c r="C4">
        <f t="shared" si="1"/>
        <v>-4.7067190858894027E-2</v>
      </c>
    </row>
    <row r="5" spans="1:3">
      <c r="A5" s="2">
        <v>5</v>
      </c>
      <c r="B5">
        <f t="shared" si="0"/>
        <v>8.7002634999999995E-3</v>
      </c>
      <c r="C5">
        <f t="shared" si="1"/>
        <v>-4.6578364599436088E-2</v>
      </c>
    </row>
    <row r="6" spans="1:3">
      <c r="A6" s="2">
        <v>6</v>
      </c>
      <c r="B6">
        <f t="shared" si="0"/>
        <v>9.1881033000000001E-3</v>
      </c>
      <c r="C6">
        <f t="shared" si="1"/>
        <v>-4.6089574946206004E-2</v>
      </c>
    </row>
    <row r="7" spans="1:3">
      <c r="A7" s="2">
        <v>7</v>
      </c>
      <c r="B7">
        <f t="shared" si="0"/>
        <v>9.6759431000000007E-3</v>
      </c>
      <c r="C7">
        <f t="shared" si="1"/>
        <v>-4.5600821901090827E-2</v>
      </c>
    </row>
    <row r="8" spans="1:3">
      <c r="A8" s="2">
        <v>8</v>
      </c>
      <c r="B8">
        <f t="shared" si="0"/>
        <v>1.01637829E-2</v>
      </c>
      <c r="C8">
        <f t="shared" si="1"/>
        <v>-4.5112105465905057E-2</v>
      </c>
    </row>
    <row r="9" spans="1:3">
      <c r="A9" s="2">
        <v>9</v>
      </c>
      <c r="B9">
        <f t="shared" si="0"/>
        <v>1.06516227E-2</v>
      </c>
      <c r="C9">
        <f t="shared" si="1"/>
        <v>-4.4623425642390496E-2</v>
      </c>
    </row>
    <row r="10" spans="1:3">
      <c r="A10" s="2">
        <v>10</v>
      </c>
      <c r="B10">
        <f t="shared" si="0"/>
        <v>1.1139462499999999E-2</v>
      </c>
      <c r="C10">
        <f t="shared" si="1"/>
        <v>-4.4134782432216399E-2</v>
      </c>
    </row>
    <row r="11" spans="1:3">
      <c r="A11" s="2">
        <v>11</v>
      </c>
      <c r="B11">
        <f t="shared" si="0"/>
        <v>1.16273023E-2</v>
      </c>
      <c r="C11">
        <f t="shared" si="1"/>
        <v>-4.3646175836979287E-2</v>
      </c>
    </row>
    <row r="12" spans="1:3">
      <c r="A12" s="2">
        <v>12</v>
      </c>
      <c r="B12">
        <f t="shared" si="0"/>
        <v>1.21151421E-2</v>
      </c>
      <c r="C12">
        <f t="shared" si="1"/>
        <v>-4.315760585820301E-2</v>
      </c>
    </row>
    <row r="13" spans="1:3">
      <c r="A13" s="2">
        <v>13</v>
      </c>
      <c r="B13">
        <f t="shared" si="0"/>
        <v>1.2602981900000001E-2</v>
      </c>
      <c r="C13">
        <f t="shared" si="1"/>
        <v>-4.266907249733877E-2</v>
      </c>
    </row>
    <row r="14" spans="1:3">
      <c r="A14" s="2">
        <v>14</v>
      </c>
      <c r="B14">
        <f t="shared" si="0"/>
        <v>1.30908217E-2</v>
      </c>
      <c r="C14">
        <f t="shared" si="1"/>
        <v>-4.218057575576506E-2</v>
      </c>
    </row>
    <row r="15" spans="1:3">
      <c r="A15" s="2">
        <v>15</v>
      </c>
      <c r="B15">
        <f t="shared" si="0"/>
        <v>1.3578661499999999E-2</v>
      </c>
      <c r="C15">
        <f t="shared" si="1"/>
        <v>-4.1692115634787606E-2</v>
      </c>
    </row>
    <row r="16" spans="1:3">
      <c r="A16" s="2">
        <v>16</v>
      </c>
      <c r="B16">
        <f t="shared" si="0"/>
        <v>1.4066501299999999E-2</v>
      </c>
      <c r="C16">
        <f t="shared" si="1"/>
        <v>-4.1203692135639444E-2</v>
      </c>
    </row>
    <row r="17" spans="1:3">
      <c r="A17" s="2">
        <v>17</v>
      </c>
      <c r="B17">
        <f t="shared" si="0"/>
        <v>1.45543411E-2</v>
      </c>
      <c r="C17">
        <f t="shared" si="1"/>
        <v>-4.0715305259480854E-2</v>
      </c>
    </row>
    <row r="18" spans="1:3">
      <c r="A18" s="2">
        <v>18</v>
      </c>
      <c r="B18">
        <f t="shared" si="0"/>
        <v>1.50421809E-2</v>
      </c>
      <c r="C18">
        <f t="shared" si="1"/>
        <v>-4.0226955007399375E-2</v>
      </c>
    </row>
    <row r="19" spans="1:3">
      <c r="A19" s="2">
        <v>19</v>
      </c>
      <c r="B19">
        <f t="shared" si="0"/>
        <v>1.5530020700000001E-2</v>
      </c>
      <c r="C19">
        <f t="shared" si="1"/>
        <v>-3.9738641380409757E-2</v>
      </c>
    </row>
    <row r="20" spans="1:3">
      <c r="A20" s="2">
        <v>20</v>
      </c>
      <c r="B20">
        <f t="shared" si="0"/>
        <v>1.6017860499999998E-2</v>
      </c>
      <c r="C20">
        <f t="shared" si="1"/>
        <v>-3.9250364379453992E-2</v>
      </c>
    </row>
    <row r="21" spans="1:3">
      <c r="A21" s="2">
        <v>21</v>
      </c>
      <c r="B21">
        <f t="shared" si="0"/>
        <v>1.6505700299999999E-2</v>
      </c>
      <c r="C21">
        <f t="shared" si="1"/>
        <v>-3.8762124005401272E-2</v>
      </c>
    </row>
    <row r="22" spans="1:3">
      <c r="A22" s="2">
        <v>22</v>
      </c>
      <c r="B22">
        <f t="shared" si="0"/>
        <v>1.6993540099999999E-2</v>
      </c>
      <c r="C22">
        <f t="shared" si="1"/>
        <v>-3.8273920259048008E-2</v>
      </c>
    </row>
    <row r="23" spans="1:3">
      <c r="A23" s="2">
        <v>23</v>
      </c>
      <c r="B23">
        <f t="shared" si="0"/>
        <v>1.74813799E-2</v>
      </c>
      <c r="C23">
        <f t="shared" si="1"/>
        <v>-3.7785753141117803E-2</v>
      </c>
    </row>
    <row r="24" spans="1:3">
      <c r="A24" s="2">
        <v>24</v>
      </c>
      <c r="B24">
        <f t="shared" si="0"/>
        <v>1.79692197E-2</v>
      </c>
      <c r="C24">
        <f t="shared" si="1"/>
        <v>-3.7297622652261456E-2</v>
      </c>
    </row>
    <row r="25" spans="1:3">
      <c r="A25" s="2">
        <v>25</v>
      </c>
      <c r="B25">
        <f t="shared" si="0"/>
        <v>1.8457059500000001E-2</v>
      </c>
      <c r="C25">
        <f t="shared" si="1"/>
        <v>-3.6809528793056948E-2</v>
      </c>
    </row>
    <row r="26" spans="1:3">
      <c r="A26" s="2">
        <v>26</v>
      </c>
      <c r="B26">
        <f t="shared" si="0"/>
        <v>1.8944899299999998E-2</v>
      </c>
      <c r="C26">
        <f t="shared" si="1"/>
        <v>-3.6321471564009437E-2</v>
      </c>
    </row>
    <row r="27" spans="1:3">
      <c r="A27" s="2">
        <v>27</v>
      </c>
      <c r="B27">
        <f t="shared" si="0"/>
        <v>1.9432739099999999E-2</v>
      </c>
      <c r="C27">
        <f t="shared" si="1"/>
        <v>-3.5833450965551253E-2</v>
      </c>
    </row>
    <row r="28" spans="1:3">
      <c r="A28" s="2">
        <v>28</v>
      </c>
      <c r="B28">
        <f t="shared" si="0"/>
        <v>1.9920578899999999E-2</v>
      </c>
      <c r="C28">
        <f t="shared" si="1"/>
        <v>-3.5345466998041891E-2</v>
      </c>
    </row>
    <row r="29" spans="1:3">
      <c r="A29" s="2">
        <v>29</v>
      </c>
      <c r="B29">
        <f t="shared" si="0"/>
        <v>2.04084187E-2</v>
      </c>
      <c r="C29">
        <f t="shared" si="1"/>
        <v>-3.485751966176804E-2</v>
      </c>
    </row>
    <row r="30" spans="1:3">
      <c r="A30" s="2">
        <v>30</v>
      </c>
      <c r="B30">
        <f t="shared" si="0"/>
        <v>2.0896258500000001E-2</v>
      </c>
      <c r="C30">
        <f t="shared" si="1"/>
        <v>-3.4369608956943513E-2</v>
      </c>
    </row>
    <row r="31" spans="1:3">
      <c r="A31" s="2">
        <v>31</v>
      </c>
      <c r="B31">
        <f t="shared" si="0"/>
        <v>2.1384098300000001E-2</v>
      </c>
      <c r="C31">
        <f t="shared" si="1"/>
        <v>-3.3881734883709304E-2</v>
      </c>
    </row>
    <row r="32" spans="1:3">
      <c r="A32" s="2">
        <v>32</v>
      </c>
      <c r="B32">
        <f t="shared" si="0"/>
        <v>2.1871938099999998E-2</v>
      </c>
      <c r="C32">
        <f t="shared" si="1"/>
        <v>-3.3393897442133585E-2</v>
      </c>
    </row>
    <row r="33" spans="1:3">
      <c r="A33" s="2">
        <v>33</v>
      </c>
      <c r="B33">
        <f t="shared" ref="B33:B64" si="2">0.0067489043+(A33-1)*0.0004878398</f>
        <v>2.2359777899999999E-2</v>
      </c>
      <c r="C33">
        <f t="shared" ref="C33:C64" si="3">0+1*B33-0.055205330697343*(1.00219298245614+(B33-0.0215966100421274)^2/0.358263908567178)^0.5</f>
        <v>-3.2906096632211626E-2</v>
      </c>
    </row>
    <row r="34" spans="1:3">
      <c r="A34" s="2">
        <v>34</v>
      </c>
      <c r="B34">
        <f t="shared" si="2"/>
        <v>2.28476177E-2</v>
      </c>
      <c r="C34">
        <f t="shared" si="3"/>
        <v>-3.2418332453865925E-2</v>
      </c>
    </row>
    <row r="35" spans="1:3">
      <c r="A35" s="2">
        <v>35</v>
      </c>
      <c r="B35">
        <f t="shared" si="2"/>
        <v>2.33354575E-2</v>
      </c>
      <c r="C35">
        <f t="shared" si="3"/>
        <v>-3.1930604906946117E-2</v>
      </c>
    </row>
    <row r="36" spans="1:3">
      <c r="A36" s="2">
        <v>36</v>
      </c>
      <c r="B36">
        <f t="shared" si="2"/>
        <v>2.3823297300000001E-2</v>
      </c>
      <c r="C36">
        <f t="shared" si="3"/>
        <v>-3.1442913991228963E-2</v>
      </c>
    </row>
    <row r="37" spans="1:3">
      <c r="A37" s="2">
        <v>37</v>
      </c>
      <c r="B37">
        <f t="shared" si="2"/>
        <v>2.4311137100000001E-2</v>
      </c>
      <c r="C37">
        <f t="shared" si="3"/>
        <v>-3.0955259706418454E-2</v>
      </c>
    </row>
    <row r="38" spans="1:3">
      <c r="A38" s="2">
        <v>38</v>
      </c>
      <c r="B38">
        <f t="shared" si="2"/>
        <v>2.4798976900000002E-2</v>
      </c>
      <c r="C38">
        <f t="shared" si="3"/>
        <v>-3.0467642052145683E-2</v>
      </c>
    </row>
    <row r="39" spans="1:3">
      <c r="A39" s="2">
        <v>39</v>
      </c>
      <c r="B39">
        <f t="shared" si="2"/>
        <v>2.5286816699999999E-2</v>
      </c>
      <c r="C39">
        <f t="shared" si="3"/>
        <v>-2.9980061027968942E-2</v>
      </c>
    </row>
    <row r="40" spans="1:3">
      <c r="A40" s="2">
        <v>40</v>
      </c>
      <c r="B40">
        <f t="shared" si="2"/>
        <v>2.57746565E-2</v>
      </c>
      <c r="C40">
        <f t="shared" si="3"/>
        <v>-2.9492516633373704E-2</v>
      </c>
    </row>
    <row r="41" spans="1:3">
      <c r="A41" s="2">
        <v>41</v>
      </c>
      <c r="B41">
        <f t="shared" si="2"/>
        <v>2.62624963E-2</v>
      </c>
      <c r="C41">
        <f t="shared" si="3"/>
        <v>-2.9005008867772603E-2</v>
      </c>
    </row>
    <row r="42" spans="1:3">
      <c r="A42" s="2">
        <v>42</v>
      </c>
      <c r="B42">
        <f t="shared" si="2"/>
        <v>2.6750336100000001E-2</v>
      </c>
      <c r="C42">
        <f t="shared" si="3"/>
        <v>-2.8517537730505471E-2</v>
      </c>
    </row>
    <row r="43" spans="1:3">
      <c r="A43" s="2">
        <v>43</v>
      </c>
      <c r="B43">
        <f t="shared" si="2"/>
        <v>2.7238175900000001E-2</v>
      </c>
      <c r="C43">
        <f t="shared" si="3"/>
        <v>-2.8030103220839327E-2</v>
      </c>
    </row>
    <row r="44" spans="1:3">
      <c r="A44" s="2">
        <v>44</v>
      </c>
      <c r="B44">
        <f t="shared" si="2"/>
        <v>2.7726015700000002E-2</v>
      </c>
      <c r="C44">
        <f t="shared" si="3"/>
        <v>-2.7542705337968404E-2</v>
      </c>
    </row>
    <row r="45" spans="1:3">
      <c r="A45" s="2">
        <v>45</v>
      </c>
      <c r="B45">
        <f t="shared" si="2"/>
        <v>2.8213855499999999E-2</v>
      </c>
      <c r="C45">
        <f t="shared" si="3"/>
        <v>-2.7055344081014118E-2</v>
      </c>
    </row>
    <row r="46" spans="1:3">
      <c r="A46" s="2">
        <v>46</v>
      </c>
      <c r="B46">
        <f t="shared" si="2"/>
        <v>2.87016953E-2</v>
      </c>
      <c r="C46">
        <f t="shared" si="3"/>
        <v>-2.6568019449025104E-2</v>
      </c>
    </row>
    <row r="47" spans="1:3">
      <c r="A47" s="2">
        <v>47</v>
      </c>
      <c r="B47">
        <f t="shared" si="2"/>
        <v>2.91895351E-2</v>
      </c>
      <c r="C47">
        <f t="shared" si="3"/>
        <v>-2.608073144097724E-2</v>
      </c>
    </row>
    <row r="48" spans="1:3">
      <c r="A48" s="2">
        <v>48</v>
      </c>
      <c r="B48">
        <f t="shared" si="2"/>
        <v>2.9677374900000001E-2</v>
      </c>
      <c r="C48">
        <f t="shared" si="3"/>
        <v>-2.5593480055773641E-2</v>
      </c>
    </row>
    <row r="49" spans="1:3">
      <c r="A49" s="2">
        <v>49</v>
      </c>
      <c r="B49">
        <f t="shared" si="2"/>
        <v>3.0165214700000002E-2</v>
      </c>
      <c r="C49">
        <f t="shared" si="3"/>
        <v>-2.5106265292244644E-2</v>
      </c>
    </row>
    <row r="50" spans="1:3">
      <c r="A50" s="2">
        <v>50</v>
      </c>
      <c r="B50">
        <f t="shared" si="2"/>
        <v>3.0653054500000002E-2</v>
      </c>
      <c r="C50">
        <f t="shared" si="3"/>
        <v>-2.4619087149147834E-2</v>
      </c>
    </row>
    <row r="51" spans="1:3">
      <c r="A51" s="2">
        <v>51</v>
      </c>
      <c r="B51">
        <f t="shared" si="2"/>
        <v>3.1140894299999999E-2</v>
      </c>
      <c r="C51">
        <f t="shared" si="3"/>
        <v>-2.4131945625168148E-2</v>
      </c>
    </row>
    <row r="52" spans="1:3">
      <c r="A52" s="2">
        <v>52</v>
      </c>
      <c r="B52">
        <f t="shared" si="2"/>
        <v>3.16287341E-2</v>
      </c>
      <c r="C52">
        <f t="shared" si="3"/>
        <v>-2.3644840718917703E-2</v>
      </c>
    </row>
    <row r="53" spans="1:3">
      <c r="A53" s="2">
        <v>53</v>
      </c>
      <c r="B53">
        <f t="shared" si="2"/>
        <v>3.2116573900000001E-2</v>
      </c>
      <c r="C53">
        <f t="shared" si="3"/>
        <v>-2.3157772428935963E-2</v>
      </c>
    </row>
    <row r="54" spans="1:3">
      <c r="A54" s="2">
        <v>54</v>
      </c>
      <c r="B54">
        <f t="shared" si="2"/>
        <v>3.2604413700000001E-2</v>
      </c>
      <c r="C54">
        <f t="shared" si="3"/>
        <v>-2.2670740753689703E-2</v>
      </c>
    </row>
    <row r="55" spans="1:3">
      <c r="A55" s="2">
        <v>55</v>
      </c>
      <c r="B55">
        <f t="shared" si="2"/>
        <v>3.3092253500000002E-2</v>
      </c>
      <c r="C55">
        <f t="shared" si="3"/>
        <v>-2.218374569157304E-2</v>
      </c>
    </row>
    <row r="56" spans="1:3">
      <c r="A56" s="2">
        <v>56</v>
      </c>
      <c r="B56">
        <f t="shared" si="2"/>
        <v>3.3580093300000002E-2</v>
      </c>
      <c r="C56">
        <f t="shared" si="3"/>
        <v>-2.1696787240907386E-2</v>
      </c>
    </row>
    <row r="57" spans="1:3">
      <c r="A57" s="2">
        <v>57</v>
      </c>
      <c r="B57">
        <f t="shared" si="2"/>
        <v>3.4067933099999996E-2</v>
      </c>
      <c r="C57">
        <f t="shared" si="3"/>
        <v>-2.1209865399941567E-2</v>
      </c>
    </row>
    <row r="58" spans="1:3">
      <c r="A58" s="2">
        <v>58</v>
      </c>
      <c r="B58">
        <f t="shared" si="2"/>
        <v>3.4555772899999997E-2</v>
      </c>
      <c r="C58">
        <f t="shared" si="3"/>
        <v>-2.0722980166851743E-2</v>
      </c>
    </row>
    <row r="59" spans="1:3">
      <c r="A59" s="2">
        <v>59</v>
      </c>
      <c r="B59">
        <f t="shared" si="2"/>
        <v>3.5043612699999997E-2</v>
      </c>
      <c r="C59">
        <f t="shared" si="3"/>
        <v>-2.0236131539741499E-2</v>
      </c>
    </row>
    <row r="60" spans="1:3">
      <c r="A60" s="2">
        <v>60</v>
      </c>
      <c r="B60">
        <f t="shared" si="2"/>
        <v>3.5531452499999998E-2</v>
      </c>
      <c r="C60">
        <f t="shared" si="3"/>
        <v>-1.9749319516641807E-2</v>
      </c>
    </row>
    <row r="61" spans="1:3">
      <c r="A61" s="2">
        <v>61</v>
      </c>
      <c r="B61">
        <f t="shared" si="2"/>
        <v>3.6019292299999998E-2</v>
      </c>
      <c r="C61">
        <f t="shared" si="3"/>
        <v>-1.9262544095511119E-2</v>
      </c>
    </row>
    <row r="62" spans="1:3">
      <c r="A62" s="2">
        <v>62</v>
      </c>
      <c r="B62">
        <f t="shared" si="2"/>
        <v>3.6507132099999999E-2</v>
      </c>
      <c r="C62">
        <f t="shared" si="3"/>
        <v>-1.8775805274235259E-2</v>
      </c>
    </row>
    <row r="63" spans="1:3">
      <c r="A63" s="2">
        <v>63</v>
      </c>
      <c r="B63">
        <f t="shared" si="2"/>
        <v>3.69949719E-2</v>
      </c>
      <c r="C63">
        <f t="shared" si="3"/>
        <v>-1.8289103050627621E-2</v>
      </c>
    </row>
    <row r="64" spans="1:3">
      <c r="A64" s="2">
        <v>64</v>
      </c>
      <c r="B64">
        <f t="shared" si="2"/>
        <v>3.74828117E-2</v>
      </c>
      <c r="C64">
        <f t="shared" si="3"/>
        <v>-1.7802437422429027E-2</v>
      </c>
    </row>
    <row r="65" spans="1:3">
      <c r="A65" s="2">
        <v>65</v>
      </c>
      <c r="B65">
        <f t="shared" ref="B65:B70" si="4">0.0067489043+(A65-1)*0.0004878398</f>
        <v>3.7970651500000001E-2</v>
      </c>
      <c r="C65">
        <f t="shared" ref="C65:C70" si="5">0+1*B65-0.055205330697343*(1.00219298245614+(B65-0.0215966100421274)^2/0.358263908567178)^0.5</f>
        <v>-1.7315808387307847E-2</v>
      </c>
    </row>
    <row r="66" spans="1:3">
      <c r="A66" s="2">
        <v>66</v>
      </c>
      <c r="B66">
        <f t="shared" si="4"/>
        <v>3.8458491299999994E-2</v>
      </c>
      <c r="C66">
        <f t="shared" si="5"/>
        <v>-1.6829215942860007E-2</v>
      </c>
    </row>
    <row r="67" spans="1:3">
      <c r="A67" s="2">
        <v>67</v>
      </c>
      <c r="B67">
        <f t="shared" si="4"/>
        <v>3.8946331099999995E-2</v>
      </c>
      <c r="C67">
        <f t="shared" si="5"/>
        <v>-1.6342660086608944E-2</v>
      </c>
    </row>
    <row r="68" spans="1:3">
      <c r="A68" s="2">
        <v>68</v>
      </c>
      <c r="B68">
        <f t="shared" si="4"/>
        <v>3.9434170899999996E-2</v>
      </c>
      <c r="C68">
        <f t="shared" si="5"/>
        <v>-1.5856140816005726E-2</v>
      </c>
    </row>
    <row r="69" spans="1:3">
      <c r="A69" s="2">
        <v>69</v>
      </c>
      <c r="B69">
        <f t="shared" si="4"/>
        <v>3.9922010699999996E-2</v>
      </c>
      <c r="C69">
        <f t="shared" si="5"/>
        <v>-1.5369658128429053E-2</v>
      </c>
    </row>
    <row r="70" spans="1:3">
      <c r="A70" s="2">
        <v>70</v>
      </c>
      <c r="B70">
        <f t="shared" si="4"/>
        <v>4.0409850499999997E-2</v>
      </c>
      <c r="C70">
        <f t="shared" si="5"/>
        <v>-1.488321202118522E-2</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enableFormatConditionsCalculation="0"/>
  <dimension ref="A1:C70"/>
  <sheetViews>
    <sheetView workbookViewId="0"/>
  </sheetViews>
  <sheetFormatPr baseColWidth="10" defaultRowHeight="15.75"/>
  <sheetData>
    <row r="1" spans="1:3">
      <c r="A1" s="2">
        <v>1</v>
      </c>
      <c r="B1">
        <f t="shared" ref="B1:B32" si="0">0.0062276149+(A1-1)*0.0004953948</f>
        <v>6.2276149000000001E-3</v>
      </c>
      <c r="C1">
        <f t="shared" ref="C1:C32" si="1">0+1*B1+0.055205330697343*(1.00219298245614+(B1-0.0215966100421274)^2/0.358263908567178)^0.5</f>
        <v>6.1511620336228597E-2</v>
      </c>
    </row>
    <row r="2" spans="1:3">
      <c r="A2" s="2">
        <v>2</v>
      </c>
      <c r="B2">
        <f t="shared" si="0"/>
        <v>6.7230097000000001E-3</v>
      </c>
      <c r="C2">
        <f t="shared" si="1"/>
        <v>6.200586246751106E-2</v>
      </c>
    </row>
    <row r="3" spans="1:3">
      <c r="A3" s="2">
        <v>3</v>
      </c>
      <c r="B3">
        <f t="shared" si="0"/>
        <v>7.2184045E-3</v>
      </c>
      <c r="C3">
        <f t="shared" si="1"/>
        <v>6.2500142338962159E-2</v>
      </c>
    </row>
    <row r="4" spans="1:3">
      <c r="A4" s="2">
        <v>4</v>
      </c>
      <c r="B4">
        <f t="shared" si="0"/>
        <v>7.7137993E-3</v>
      </c>
      <c r="C4">
        <f t="shared" si="1"/>
        <v>6.29944599528654E-2</v>
      </c>
    </row>
    <row r="5" spans="1:3">
      <c r="A5" s="2">
        <v>5</v>
      </c>
      <c r="B5">
        <f t="shared" si="0"/>
        <v>8.2091941000000009E-3</v>
      </c>
      <c r="C5">
        <f t="shared" si="1"/>
        <v>6.3488815311427138E-2</v>
      </c>
    </row>
    <row r="6" spans="1:3">
      <c r="A6" s="2">
        <v>6</v>
      </c>
      <c r="B6">
        <f t="shared" si="0"/>
        <v>8.7045889000000008E-3</v>
      </c>
      <c r="C6">
        <f t="shared" si="1"/>
        <v>6.3983208416776599E-2</v>
      </c>
    </row>
    <row r="7" spans="1:3">
      <c r="A7" s="2">
        <v>7</v>
      </c>
      <c r="B7">
        <f t="shared" si="0"/>
        <v>9.1999837000000008E-3</v>
      </c>
      <c r="C7">
        <f t="shared" si="1"/>
        <v>6.4477639270965795E-2</v>
      </c>
    </row>
    <row r="8" spans="1:3">
      <c r="A8" s="2">
        <v>8</v>
      </c>
      <c r="B8">
        <f t="shared" si="0"/>
        <v>9.6953785000000008E-3</v>
      </c>
      <c r="C8">
        <f t="shared" si="1"/>
        <v>6.4972107875969645E-2</v>
      </c>
    </row>
    <row r="9" spans="1:3">
      <c r="A9" s="2">
        <v>9</v>
      </c>
      <c r="B9">
        <f t="shared" si="0"/>
        <v>1.0190773300000001E-2</v>
      </c>
      <c r="C9">
        <f t="shared" si="1"/>
        <v>6.546661423368573E-2</v>
      </c>
    </row>
    <row r="10" spans="1:3">
      <c r="A10" s="2">
        <v>10</v>
      </c>
      <c r="B10">
        <f t="shared" si="0"/>
        <v>1.0686168100000001E-2</v>
      </c>
      <c r="C10">
        <f t="shared" si="1"/>
        <v>6.5961158345934495E-2</v>
      </c>
    </row>
    <row r="11" spans="1:3">
      <c r="A11" s="2">
        <v>11</v>
      </c>
      <c r="B11">
        <f t="shared" si="0"/>
        <v>1.1181562900000001E-2</v>
      </c>
      <c r="C11">
        <f t="shared" si="1"/>
        <v>6.6455740214459089E-2</v>
      </c>
    </row>
    <row r="12" spans="1:3">
      <c r="A12" s="2">
        <v>12</v>
      </c>
      <c r="B12">
        <f t="shared" si="0"/>
        <v>1.1676957700000001E-2</v>
      </c>
      <c r="C12">
        <f t="shared" si="1"/>
        <v>6.6950359840925414E-2</v>
      </c>
    </row>
    <row r="13" spans="1:3">
      <c r="A13" s="2">
        <v>13</v>
      </c>
      <c r="B13">
        <f t="shared" si="0"/>
        <v>1.2172352500000001E-2</v>
      </c>
      <c r="C13">
        <f t="shared" si="1"/>
        <v>6.7445017226922102E-2</v>
      </c>
    </row>
    <row r="14" spans="1:3">
      <c r="A14" s="2">
        <v>14</v>
      </c>
      <c r="B14">
        <f t="shared" si="0"/>
        <v>1.2667747300000001E-2</v>
      </c>
      <c r="C14">
        <f t="shared" si="1"/>
        <v>6.7939712373960431E-2</v>
      </c>
    </row>
    <row r="15" spans="1:3">
      <c r="A15" s="2">
        <v>15</v>
      </c>
      <c r="B15">
        <f t="shared" si="0"/>
        <v>1.3163142100000001E-2</v>
      </c>
      <c r="C15">
        <f t="shared" si="1"/>
        <v>6.8434445283474421E-2</v>
      </c>
    </row>
    <row r="16" spans="1:3">
      <c r="A16" s="2">
        <v>16</v>
      </c>
      <c r="B16">
        <f t="shared" si="0"/>
        <v>1.3658536900000001E-2</v>
      </c>
      <c r="C16">
        <f t="shared" si="1"/>
        <v>6.8929215956820736E-2</v>
      </c>
    </row>
    <row r="17" spans="1:3">
      <c r="A17" s="2">
        <v>17</v>
      </c>
      <c r="B17">
        <f t="shared" si="0"/>
        <v>1.41539317E-2</v>
      </c>
      <c r="C17">
        <f t="shared" si="1"/>
        <v>6.9424024395278686E-2</v>
      </c>
    </row>
    <row r="18" spans="1:3">
      <c r="A18" s="2">
        <v>18</v>
      </c>
      <c r="B18">
        <f t="shared" si="0"/>
        <v>1.46493265E-2</v>
      </c>
      <c r="C18">
        <f t="shared" si="1"/>
        <v>6.9918870600050254E-2</v>
      </c>
    </row>
    <row r="19" spans="1:3">
      <c r="A19" s="2">
        <v>19</v>
      </c>
      <c r="B19">
        <f t="shared" si="0"/>
        <v>1.51447213E-2</v>
      </c>
      <c r="C19">
        <f t="shared" si="1"/>
        <v>7.0413754572260026E-2</v>
      </c>
    </row>
    <row r="20" spans="1:3">
      <c r="A20" s="2">
        <v>20</v>
      </c>
      <c r="B20">
        <f t="shared" si="0"/>
        <v>1.56401161E-2</v>
      </c>
      <c r="C20">
        <f t="shared" si="1"/>
        <v>7.0908676312955221E-2</v>
      </c>
    </row>
    <row r="21" spans="1:3">
      <c r="A21" s="2">
        <v>21</v>
      </c>
      <c r="B21">
        <f t="shared" si="0"/>
        <v>1.61355109E-2</v>
      </c>
      <c r="C21">
        <f t="shared" si="1"/>
        <v>7.1403635823105632E-2</v>
      </c>
    </row>
    <row r="22" spans="1:3">
      <c r="A22" s="2">
        <v>22</v>
      </c>
      <c r="B22">
        <f t="shared" si="0"/>
        <v>1.66309057E-2</v>
      </c>
      <c r="C22">
        <f t="shared" si="1"/>
        <v>7.1898633103603712E-2</v>
      </c>
    </row>
    <row r="23" spans="1:3">
      <c r="A23" s="2">
        <v>23</v>
      </c>
      <c r="B23">
        <f t="shared" si="0"/>
        <v>1.71263005E-2</v>
      </c>
      <c r="C23">
        <f t="shared" si="1"/>
        <v>7.2393668155264462E-2</v>
      </c>
    </row>
    <row r="24" spans="1:3">
      <c r="A24" s="2">
        <v>24</v>
      </c>
      <c r="B24">
        <f t="shared" si="0"/>
        <v>1.76216953E-2</v>
      </c>
      <c r="C24">
        <f t="shared" si="1"/>
        <v>7.2888740978825459E-2</v>
      </c>
    </row>
    <row r="25" spans="1:3">
      <c r="A25" s="2">
        <v>25</v>
      </c>
      <c r="B25">
        <f t="shared" si="0"/>
        <v>1.81170901E-2</v>
      </c>
      <c r="C25">
        <f t="shared" si="1"/>
        <v>7.3383851574946868E-2</v>
      </c>
    </row>
    <row r="26" spans="1:3">
      <c r="A26" s="2">
        <v>26</v>
      </c>
      <c r="B26">
        <f t="shared" si="0"/>
        <v>1.86124849E-2</v>
      </c>
      <c r="C26">
        <f t="shared" si="1"/>
        <v>7.3878999944211432E-2</v>
      </c>
    </row>
    <row r="27" spans="1:3">
      <c r="A27" s="2">
        <v>27</v>
      </c>
      <c r="B27">
        <f t="shared" si="0"/>
        <v>1.91078797E-2</v>
      </c>
      <c r="C27">
        <f t="shared" si="1"/>
        <v>7.4374186087124414E-2</v>
      </c>
    </row>
    <row r="28" spans="1:3">
      <c r="A28" s="2">
        <v>28</v>
      </c>
      <c r="B28">
        <f t="shared" si="0"/>
        <v>1.96032745E-2</v>
      </c>
      <c r="C28">
        <f t="shared" si="1"/>
        <v>7.4869410004113665E-2</v>
      </c>
    </row>
    <row r="29" spans="1:3">
      <c r="A29" s="2">
        <v>29</v>
      </c>
      <c r="B29">
        <f t="shared" si="0"/>
        <v>2.00986693E-2</v>
      </c>
      <c r="C29">
        <f t="shared" si="1"/>
        <v>7.5364671695529586E-2</v>
      </c>
    </row>
    <row r="30" spans="1:3">
      <c r="A30" s="2">
        <v>30</v>
      </c>
      <c r="B30">
        <f t="shared" si="0"/>
        <v>2.05940641E-2</v>
      </c>
      <c r="C30">
        <f t="shared" si="1"/>
        <v>7.5859971161645126E-2</v>
      </c>
    </row>
    <row r="31" spans="1:3">
      <c r="A31" s="2">
        <v>31</v>
      </c>
      <c r="B31">
        <f t="shared" si="0"/>
        <v>2.10894589E-2</v>
      </c>
      <c r="C31">
        <f t="shared" si="1"/>
        <v>7.6355308402655739E-2</v>
      </c>
    </row>
    <row r="32" spans="1:3">
      <c r="A32" s="2">
        <v>32</v>
      </c>
      <c r="B32">
        <f t="shared" si="0"/>
        <v>2.15848537E-2</v>
      </c>
      <c r="C32">
        <f t="shared" si="1"/>
        <v>7.6850683418679483E-2</v>
      </c>
    </row>
    <row r="33" spans="1:3">
      <c r="A33" s="2">
        <v>33</v>
      </c>
      <c r="B33">
        <f t="shared" ref="B33:B64" si="2">0.0062276149+(A33-1)*0.0004953948</f>
        <v>2.20802485E-2</v>
      </c>
      <c r="C33">
        <f t="shared" ref="C33:C64" si="3">0+1*B33+0.055205330697343*(1.00219298245614+(B33-0.0215966100421274)^2/0.358263908567178)^0.5</f>
        <v>7.7346096209756909E-2</v>
      </c>
    </row>
    <row r="34" spans="1:3">
      <c r="A34" s="2">
        <v>34</v>
      </c>
      <c r="B34">
        <f t="shared" si="2"/>
        <v>2.25756433E-2</v>
      </c>
      <c r="C34">
        <f t="shared" si="3"/>
        <v>7.7841546775851131E-2</v>
      </c>
    </row>
    <row r="35" spans="1:3">
      <c r="A35" s="2">
        <v>35</v>
      </c>
      <c r="B35">
        <f t="shared" si="2"/>
        <v>2.30710381E-2</v>
      </c>
      <c r="C35">
        <f t="shared" si="3"/>
        <v>7.8337035116847795E-2</v>
      </c>
    </row>
    <row r="36" spans="1:3">
      <c r="A36" s="2">
        <v>36</v>
      </c>
      <c r="B36">
        <f t="shared" si="2"/>
        <v>2.35664329E-2</v>
      </c>
      <c r="C36">
        <f t="shared" si="3"/>
        <v>7.8832561232555096E-2</v>
      </c>
    </row>
    <row r="37" spans="1:3">
      <c r="A37" s="2">
        <v>37</v>
      </c>
      <c r="B37">
        <f t="shared" si="2"/>
        <v>2.40618277E-2</v>
      </c>
      <c r="C37">
        <f t="shared" si="3"/>
        <v>7.9328125122703777E-2</v>
      </c>
    </row>
    <row r="38" spans="1:3">
      <c r="A38" s="2">
        <v>38</v>
      </c>
      <c r="B38">
        <f t="shared" si="2"/>
        <v>2.45572225E-2</v>
      </c>
      <c r="C38">
        <f t="shared" si="3"/>
        <v>7.9823726786947102E-2</v>
      </c>
    </row>
    <row r="39" spans="1:3">
      <c r="A39" s="2">
        <v>39</v>
      </c>
      <c r="B39">
        <f t="shared" si="2"/>
        <v>2.50526173E-2</v>
      </c>
      <c r="C39">
        <f t="shared" si="3"/>
        <v>8.0319366224860911E-2</v>
      </c>
    </row>
    <row r="40" spans="1:3">
      <c r="A40" s="2">
        <v>40</v>
      </c>
      <c r="B40">
        <f t="shared" si="2"/>
        <v>2.55480121E-2</v>
      </c>
      <c r="C40">
        <f t="shared" si="3"/>
        <v>8.0815043435943604E-2</v>
      </c>
    </row>
    <row r="41" spans="1:3">
      <c r="A41" s="2">
        <v>41</v>
      </c>
      <c r="B41">
        <f t="shared" si="2"/>
        <v>2.60434069E-2</v>
      </c>
      <c r="C41">
        <f t="shared" si="3"/>
        <v>8.1310758419616116E-2</v>
      </c>
    </row>
    <row r="42" spans="1:3">
      <c r="A42" s="2">
        <v>42</v>
      </c>
      <c r="B42">
        <f t="shared" si="2"/>
        <v>2.65388017E-2</v>
      </c>
      <c r="C42">
        <f t="shared" si="3"/>
        <v>8.180651117522196E-2</v>
      </c>
    </row>
    <row r="43" spans="1:3">
      <c r="A43" s="2">
        <v>43</v>
      </c>
      <c r="B43">
        <f t="shared" si="2"/>
        <v>2.70341965E-2</v>
      </c>
      <c r="C43">
        <f t="shared" si="3"/>
        <v>8.2302301702027236E-2</v>
      </c>
    </row>
    <row r="44" spans="1:3">
      <c r="A44" s="2">
        <v>44</v>
      </c>
      <c r="B44">
        <f t="shared" si="2"/>
        <v>2.75295913E-2</v>
      </c>
      <c r="C44">
        <f t="shared" si="3"/>
        <v>8.2798129999220607E-2</v>
      </c>
    </row>
    <row r="45" spans="1:3">
      <c r="A45" s="2">
        <v>45</v>
      </c>
      <c r="B45">
        <f t="shared" si="2"/>
        <v>2.80249861E-2</v>
      </c>
      <c r="C45">
        <f t="shared" si="3"/>
        <v>8.3293996065913312E-2</v>
      </c>
    </row>
    <row r="46" spans="1:3">
      <c r="A46" s="2">
        <v>46</v>
      </c>
      <c r="B46">
        <f t="shared" si="2"/>
        <v>2.85203809E-2</v>
      </c>
      <c r="C46">
        <f t="shared" si="3"/>
        <v>8.3789899901139206E-2</v>
      </c>
    </row>
    <row r="47" spans="1:3">
      <c r="A47" s="2">
        <v>47</v>
      </c>
      <c r="B47">
        <f t="shared" si="2"/>
        <v>2.90157757E-2</v>
      </c>
      <c r="C47">
        <f t="shared" si="3"/>
        <v>8.4285841503854764E-2</v>
      </c>
    </row>
    <row r="48" spans="1:3">
      <c r="A48" s="2">
        <v>48</v>
      </c>
      <c r="B48">
        <f t="shared" si="2"/>
        <v>2.95111705E-2</v>
      </c>
      <c r="C48">
        <f t="shared" si="3"/>
        <v>8.4781820872939048E-2</v>
      </c>
    </row>
    <row r="49" spans="1:3">
      <c r="A49" s="2">
        <v>49</v>
      </c>
      <c r="B49">
        <f t="shared" si="2"/>
        <v>3.0006565299999999E-2</v>
      </c>
      <c r="C49">
        <f t="shared" si="3"/>
        <v>8.5277838007193782E-2</v>
      </c>
    </row>
    <row r="50" spans="1:3">
      <c r="A50" s="2">
        <v>50</v>
      </c>
      <c r="B50">
        <f t="shared" si="2"/>
        <v>3.0501960099999999E-2</v>
      </c>
      <c r="C50">
        <f t="shared" si="3"/>
        <v>8.5773892905343305E-2</v>
      </c>
    </row>
    <row r="51" spans="1:3">
      <c r="A51" s="2">
        <v>51</v>
      </c>
      <c r="B51">
        <f t="shared" si="2"/>
        <v>3.0997354899999999E-2</v>
      </c>
      <c r="C51">
        <f t="shared" si="3"/>
        <v>8.6269985566034615E-2</v>
      </c>
    </row>
    <row r="52" spans="1:3">
      <c r="A52" s="2">
        <v>52</v>
      </c>
      <c r="B52">
        <f t="shared" si="2"/>
        <v>3.1492749699999996E-2</v>
      </c>
      <c r="C52">
        <f t="shared" si="3"/>
        <v>8.67661159878374E-2</v>
      </c>
    </row>
    <row r="53" spans="1:3">
      <c r="A53" s="2">
        <v>53</v>
      </c>
      <c r="B53">
        <f t="shared" si="2"/>
        <v>3.1988144499999996E-2</v>
      </c>
      <c r="C53">
        <f t="shared" si="3"/>
        <v>8.7262284169244003E-2</v>
      </c>
    </row>
    <row r="54" spans="1:3">
      <c r="A54" s="2">
        <v>54</v>
      </c>
      <c r="B54">
        <f t="shared" si="2"/>
        <v>3.2483539299999996E-2</v>
      </c>
      <c r="C54">
        <f t="shared" si="3"/>
        <v>8.7758490108669485E-2</v>
      </c>
    </row>
    <row r="55" spans="1:3">
      <c r="A55" s="2">
        <v>55</v>
      </c>
      <c r="B55">
        <f t="shared" si="2"/>
        <v>3.2978934099999996E-2</v>
      </c>
      <c r="C55">
        <f t="shared" si="3"/>
        <v>8.8254733804451646E-2</v>
      </c>
    </row>
    <row r="56" spans="1:3">
      <c r="A56" s="2">
        <v>56</v>
      </c>
      <c r="B56">
        <f t="shared" si="2"/>
        <v>3.3474328899999996E-2</v>
      </c>
      <c r="C56">
        <f t="shared" si="3"/>
        <v>8.8751015254850921E-2</v>
      </c>
    </row>
    <row r="57" spans="1:3">
      <c r="A57" s="2">
        <v>57</v>
      </c>
      <c r="B57">
        <f t="shared" si="2"/>
        <v>3.3969723699999996E-2</v>
      </c>
      <c r="C57">
        <f t="shared" si="3"/>
        <v>8.9247334458050623E-2</v>
      </c>
    </row>
    <row r="58" spans="1:3">
      <c r="A58" s="2">
        <v>58</v>
      </c>
      <c r="B58">
        <f t="shared" si="2"/>
        <v>3.4465118499999996E-2</v>
      </c>
      <c r="C58">
        <f t="shared" si="3"/>
        <v>8.9743691412156754E-2</v>
      </c>
    </row>
    <row r="59" spans="1:3">
      <c r="A59" s="2">
        <v>59</v>
      </c>
      <c r="B59">
        <f t="shared" si="2"/>
        <v>3.4960513299999996E-2</v>
      </c>
      <c r="C59">
        <f t="shared" si="3"/>
        <v>9.0240086115198112E-2</v>
      </c>
    </row>
    <row r="60" spans="1:3">
      <c r="A60" s="2">
        <v>60</v>
      </c>
      <c r="B60">
        <f t="shared" si="2"/>
        <v>3.5455908099999996E-2</v>
      </c>
      <c r="C60">
        <f t="shared" si="3"/>
        <v>9.0736518565126323E-2</v>
      </c>
    </row>
    <row r="61" spans="1:3">
      <c r="A61" s="2">
        <v>61</v>
      </c>
      <c r="B61">
        <f t="shared" si="2"/>
        <v>3.5951302899999996E-2</v>
      </c>
      <c r="C61">
        <f t="shared" si="3"/>
        <v>9.123298875981585E-2</v>
      </c>
    </row>
    <row r="62" spans="1:3">
      <c r="A62" s="2">
        <v>62</v>
      </c>
      <c r="B62">
        <f t="shared" si="2"/>
        <v>3.6446697699999996E-2</v>
      </c>
      <c r="C62">
        <f t="shared" si="3"/>
        <v>9.1729496697063956E-2</v>
      </c>
    </row>
    <row r="63" spans="1:3">
      <c r="A63" s="2">
        <v>63</v>
      </c>
      <c r="B63">
        <f t="shared" si="2"/>
        <v>3.6942092499999996E-2</v>
      </c>
      <c r="C63">
        <f t="shared" si="3"/>
        <v>9.2226042374590866E-2</v>
      </c>
    </row>
    <row r="64" spans="1:3">
      <c r="A64" s="2">
        <v>64</v>
      </c>
      <c r="B64">
        <f t="shared" si="2"/>
        <v>3.7437487299999996E-2</v>
      </c>
      <c r="C64">
        <f t="shared" si="3"/>
        <v>9.2722625790039592E-2</v>
      </c>
    </row>
    <row r="65" spans="1:3">
      <c r="A65" s="2">
        <v>65</v>
      </c>
      <c r="B65">
        <f t="shared" ref="B65:B70" si="4">0.0062276149+(A65-1)*0.0004953948</f>
        <v>3.7932882099999995E-2</v>
      </c>
      <c r="C65">
        <f t="shared" ref="C65:C70" si="5">0+1*B65+0.055205330697343*(1.00219298245614+(B65-0.0215966100421274)^2/0.358263908567178)^0.5</f>
        <v>9.321924694097615E-2</v>
      </c>
    </row>
    <row r="66" spans="1:3">
      <c r="A66" s="2">
        <v>66</v>
      </c>
      <c r="B66">
        <f t="shared" si="4"/>
        <v>3.8428276899999995E-2</v>
      </c>
      <c r="C66">
        <f t="shared" si="5"/>
        <v>9.3715905824889464E-2</v>
      </c>
    </row>
    <row r="67" spans="1:3">
      <c r="A67" s="2">
        <v>67</v>
      </c>
      <c r="B67">
        <f t="shared" si="4"/>
        <v>3.8923671699999995E-2</v>
      </c>
      <c r="C67">
        <f t="shared" si="5"/>
        <v>9.421260243919144E-2</v>
      </c>
    </row>
    <row r="68" spans="1:3">
      <c r="A68" s="2">
        <v>68</v>
      </c>
      <c r="B68">
        <f t="shared" si="4"/>
        <v>3.9419066499999995E-2</v>
      </c>
      <c r="C68">
        <f t="shared" si="5"/>
        <v>9.4709336781217013E-2</v>
      </c>
    </row>
    <row r="69" spans="1:3">
      <c r="A69" s="2">
        <v>69</v>
      </c>
      <c r="B69">
        <f t="shared" si="4"/>
        <v>3.9914461299999995E-2</v>
      </c>
      <c r="C69">
        <f t="shared" si="5"/>
        <v>9.5206108848224072E-2</v>
      </c>
    </row>
    <row r="70" spans="1:3">
      <c r="A70" s="2">
        <v>70</v>
      </c>
      <c r="B70">
        <f t="shared" si="4"/>
        <v>4.0409856099999995E-2</v>
      </c>
      <c r="C70">
        <f t="shared" si="5"/>
        <v>9.5702918637393608E-2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enableFormatConditionsCalculation="0"/>
  <dimension ref="A1:C70"/>
  <sheetViews>
    <sheetView workbookViewId="0"/>
  </sheetViews>
  <sheetFormatPr baseColWidth="10" defaultRowHeight="15.75"/>
  <sheetData>
    <row r="1" spans="1:3">
      <c r="A1" s="2">
        <v>1</v>
      </c>
      <c r="B1">
        <f t="shared" ref="B1:B32" si="0">-4.198+(A1-1)*1.4379130435</f>
        <v>-4.1980000000000004</v>
      </c>
      <c r="C1">
        <f t="shared" ref="C1:C32" si="1">0.0112635992641968+0.000393196037102469*B1-0.0543737267268454*(0.00219298245614035+(B1-26.2795394736842)^2/259256.71280329)^0.5</f>
        <v>5.4806155557110773E-3</v>
      </c>
    </row>
    <row r="2" spans="1:3">
      <c r="A2" s="2">
        <v>2</v>
      </c>
      <c r="B2">
        <f t="shared" si="0"/>
        <v>-2.7600869565000004</v>
      </c>
      <c r="C2">
        <f t="shared" si="1"/>
        <v>6.1658198977070063E-3</v>
      </c>
    </row>
    <row r="3" spans="1:3">
      <c r="A3" s="2">
        <v>3</v>
      </c>
      <c r="B3">
        <f t="shared" si="0"/>
        <v>-1.3221739130000003</v>
      </c>
      <c r="C3">
        <f t="shared" si="1"/>
        <v>6.8486561966789169E-3</v>
      </c>
    </row>
    <row r="4" spans="1:3">
      <c r="A4" s="2">
        <v>4</v>
      </c>
      <c r="B4">
        <f t="shared" si="0"/>
        <v>0.11573913049999973</v>
      </c>
      <c r="C4">
        <f t="shared" si="1"/>
        <v>7.5289037140152427E-3</v>
      </c>
    </row>
    <row r="5" spans="1:3">
      <c r="A5" s="2">
        <v>5</v>
      </c>
      <c r="B5">
        <f t="shared" si="0"/>
        <v>1.5536521739999998</v>
      </c>
      <c r="C5">
        <f t="shared" si="1"/>
        <v>8.2063192447734759E-3</v>
      </c>
    </row>
    <row r="6" spans="1:3">
      <c r="A6" s="2">
        <v>6</v>
      </c>
      <c r="B6">
        <f t="shared" si="0"/>
        <v>2.9915652174999998</v>
      </c>
      <c r="C6">
        <f t="shared" si="1"/>
        <v>8.8806353521437339E-3</v>
      </c>
    </row>
    <row r="7" spans="1:3">
      <c r="A7" s="2">
        <v>7</v>
      </c>
      <c r="B7">
        <f t="shared" si="0"/>
        <v>4.4294782609999999</v>
      </c>
      <c r="C7">
        <f t="shared" si="1"/>
        <v>9.5515587430559171E-3</v>
      </c>
    </row>
    <row r="8" spans="1:3">
      <c r="A8" s="2">
        <v>8</v>
      </c>
      <c r="B8">
        <f t="shared" si="0"/>
        <v>5.8673913044999999</v>
      </c>
      <c r="C8">
        <f t="shared" si="1"/>
        <v>1.0218768918254977E-2</v>
      </c>
    </row>
    <row r="9" spans="1:3">
      <c r="A9" s="2">
        <v>9</v>
      </c>
      <c r="B9">
        <f t="shared" si="0"/>
        <v>7.3053043479999999</v>
      </c>
      <c r="C9">
        <f t="shared" si="1"/>
        <v>1.0881917273094866E-2</v>
      </c>
    </row>
    <row r="10" spans="1:3">
      <c r="A10" s="2">
        <v>10</v>
      </c>
      <c r="B10">
        <f t="shared" si="0"/>
        <v>8.7432173915</v>
      </c>
      <c r="C10">
        <f t="shared" si="1"/>
        <v>1.1540626873356765E-2</v>
      </c>
    </row>
    <row r="11" spans="1:3">
      <c r="A11" s="2">
        <v>11</v>
      </c>
      <c r="B11">
        <f t="shared" si="0"/>
        <v>10.181130435</v>
      </c>
      <c r="C11">
        <f t="shared" si="1"/>
        <v>1.2194493179707347E-2</v>
      </c>
    </row>
    <row r="12" spans="1:3">
      <c r="A12" s="2">
        <v>12</v>
      </c>
      <c r="B12">
        <f t="shared" si="0"/>
        <v>11.6190434785</v>
      </c>
      <c r="C12">
        <f t="shared" si="1"/>
        <v>1.2843086037935821E-2</v>
      </c>
    </row>
    <row r="13" spans="1:3">
      <c r="A13" s="2">
        <v>13</v>
      </c>
      <c r="B13">
        <f t="shared" si="0"/>
        <v>13.056956522</v>
      </c>
      <c r="C13">
        <f t="shared" si="1"/>
        <v>1.3485953278798804E-2</v>
      </c>
    </row>
    <row r="14" spans="1:3">
      <c r="A14" s="2">
        <v>14</v>
      </c>
      <c r="B14">
        <f t="shared" si="0"/>
        <v>14.4948695655</v>
      </c>
      <c r="C14">
        <f t="shared" si="1"/>
        <v>1.4122626265843385E-2</v>
      </c>
    </row>
    <row r="15" spans="1:3">
      <c r="A15" s="2">
        <v>15</v>
      </c>
      <c r="B15">
        <f t="shared" si="0"/>
        <v>15.932782609</v>
      </c>
      <c r="C15">
        <f t="shared" si="1"/>
        <v>1.4752627673373195E-2</v>
      </c>
    </row>
    <row r="16" spans="1:3">
      <c r="A16" s="2">
        <v>16</v>
      </c>
      <c r="B16">
        <f t="shared" si="0"/>
        <v>17.3706956525</v>
      </c>
      <c r="C16">
        <f t="shared" si="1"/>
        <v>1.5375481650987545E-2</v>
      </c>
    </row>
    <row r="17" spans="1:3">
      <c r="A17" s="2">
        <v>17</v>
      </c>
      <c r="B17">
        <f t="shared" si="0"/>
        <v>18.808608696</v>
      </c>
      <c r="C17">
        <f t="shared" si="1"/>
        <v>1.5990726322716333E-2</v>
      </c>
    </row>
    <row r="18" spans="1:3">
      <c r="A18" s="2">
        <v>18</v>
      </c>
      <c r="B18">
        <f t="shared" si="0"/>
        <v>20.2465217395</v>
      </c>
      <c r="C18">
        <f t="shared" si="1"/>
        <v>1.6597928278513422E-2</v>
      </c>
    </row>
    <row r="19" spans="1:3">
      <c r="A19" s="2">
        <v>19</v>
      </c>
      <c r="B19">
        <f t="shared" si="0"/>
        <v>21.684434783</v>
      </c>
      <c r="C19">
        <f t="shared" si="1"/>
        <v>1.7196698367451527E-2</v>
      </c>
    </row>
    <row r="20" spans="1:3">
      <c r="A20" s="2">
        <v>20</v>
      </c>
      <c r="B20">
        <f t="shared" si="0"/>
        <v>23.1223478265</v>
      </c>
      <c r="C20">
        <f t="shared" si="1"/>
        <v>1.7786707747468215E-2</v>
      </c>
    </row>
    <row r="21" spans="1:3">
      <c r="A21" s="2">
        <v>21</v>
      </c>
      <c r="B21">
        <f t="shared" si="0"/>
        <v>24.56026087</v>
      </c>
      <c r="C21">
        <f t="shared" si="1"/>
        <v>1.8367702863276894E-2</v>
      </c>
    </row>
    <row r="22" spans="1:3">
      <c r="A22" s="2">
        <v>22</v>
      </c>
      <c r="B22">
        <f t="shared" si="0"/>
        <v>25.998173913500001</v>
      </c>
      <c r="C22">
        <f t="shared" si="1"/>
        <v>1.8939517898890274E-2</v>
      </c>
    </row>
    <row r="23" spans="1:3">
      <c r="A23" s="2">
        <v>23</v>
      </c>
      <c r="B23">
        <f t="shared" si="0"/>
        <v>27.436086957000001</v>
      </c>
      <c r="C23">
        <f t="shared" si="1"/>
        <v>1.950208335312479E-2</v>
      </c>
    </row>
    <row r="24" spans="1:3">
      <c r="A24" s="2">
        <v>24</v>
      </c>
      <c r="B24">
        <f t="shared" si="0"/>
        <v>28.874000000499997</v>
      </c>
      <c r="C24">
        <f t="shared" si="1"/>
        <v>2.0055429736558345E-2</v>
      </c>
    </row>
    <row r="25" spans="1:3">
      <c r="A25" s="2">
        <v>25</v>
      </c>
      <c r="B25">
        <f t="shared" si="0"/>
        <v>30.311913044000001</v>
      </c>
      <c r="C25">
        <f t="shared" si="1"/>
        <v>2.0599685941100038E-2</v>
      </c>
    </row>
    <row r="26" spans="1:3">
      <c r="A26" s="2">
        <v>26</v>
      </c>
      <c r="B26">
        <f t="shared" si="0"/>
        <v>31.749826087500004</v>
      </c>
      <c r="C26">
        <f t="shared" si="1"/>
        <v>2.1135072481366625E-2</v>
      </c>
    </row>
    <row r="27" spans="1:3">
      <c r="A27" s="2">
        <v>27</v>
      </c>
      <c r="B27">
        <f t="shared" si="0"/>
        <v>33.187739131000001</v>
      </c>
      <c r="C27">
        <f t="shared" si="1"/>
        <v>2.1661890412449075E-2</v>
      </c>
    </row>
    <row r="28" spans="1:3">
      <c r="A28" s="2">
        <v>28</v>
      </c>
      <c r="B28">
        <f t="shared" si="0"/>
        <v>34.625652174499997</v>
      </c>
      <c r="C28">
        <f t="shared" si="1"/>
        <v>2.2180507167282367E-2</v>
      </c>
    </row>
    <row r="29" spans="1:3">
      <c r="A29" s="2">
        <v>29</v>
      </c>
      <c r="B29">
        <f t="shared" si="0"/>
        <v>36.063565218000001</v>
      </c>
      <c r="C29">
        <f t="shared" si="1"/>
        <v>2.2691340756845778E-2</v>
      </c>
    </row>
    <row r="30" spans="1:3">
      <c r="A30" s="2">
        <v>30</v>
      </c>
      <c r="B30">
        <f t="shared" si="0"/>
        <v>37.501478261500004</v>
      </c>
      <c r="C30">
        <f t="shared" si="1"/>
        <v>2.3194843733932796E-2</v>
      </c>
    </row>
    <row r="31" spans="1:3">
      <c r="A31" s="2">
        <v>31</v>
      </c>
      <c r="B31">
        <f t="shared" si="0"/>
        <v>38.939391305000001</v>
      </c>
      <c r="C31">
        <f t="shared" si="1"/>
        <v>2.3691488089805361E-2</v>
      </c>
    </row>
    <row r="32" spans="1:3">
      <c r="A32" s="2">
        <v>32</v>
      </c>
      <c r="B32">
        <f t="shared" si="0"/>
        <v>40.377304348499997</v>
      </c>
      <c r="C32">
        <f t="shared" si="1"/>
        <v>2.4181751916213214E-2</v>
      </c>
    </row>
    <row r="33" spans="1:3">
      <c r="A33" s="2">
        <v>33</v>
      </c>
      <c r="B33">
        <f t="shared" ref="B33:B64" si="2">-4.198+(A33-1)*1.4379130435</f>
        <v>41.815217392000001</v>
      </c>
      <c r="C33">
        <f t="shared" ref="C33:C64" si="3">0.0112635992641968+0.000393196037102469*B33-0.0543737267268454*(0.00219298245614035+(B33-26.2795394736842)^2/259256.71280329)^0.5</f>
        <v>2.4666108306671871E-2</v>
      </c>
    </row>
    <row r="34" spans="1:3">
      <c r="A34" s="2">
        <v>34</v>
      </c>
      <c r="B34">
        <f t="shared" si="2"/>
        <v>43.253130435500005</v>
      </c>
      <c r="C34">
        <f t="shared" si="3"/>
        <v>2.5145016653536752E-2</v>
      </c>
    </row>
    <row r="35" spans="1:3">
      <c r="A35" s="2">
        <v>35</v>
      </c>
      <c r="B35">
        <f t="shared" si="2"/>
        <v>44.691043479000001</v>
      </c>
      <c r="C35">
        <f t="shared" si="3"/>
        <v>2.5618916255794686E-2</v>
      </c>
    </row>
    <row r="36" spans="1:3">
      <c r="A36" s="2">
        <v>36</v>
      </c>
      <c r="B36">
        <f t="shared" si="2"/>
        <v>46.128956522499998</v>
      </c>
      <c r="C36">
        <f t="shared" si="3"/>
        <v>2.6088221995403293E-2</v>
      </c>
    </row>
    <row r="37" spans="1:3">
      <c r="A37" s="2">
        <v>37</v>
      </c>
      <c r="B37">
        <f t="shared" si="2"/>
        <v>47.566869566000001</v>
      </c>
      <c r="C37">
        <f t="shared" si="3"/>
        <v>2.6553321758678302E-2</v>
      </c>
    </row>
    <row r="38" spans="1:3">
      <c r="A38" s="2">
        <v>38</v>
      </c>
      <c r="B38">
        <f t="shared" si="2"/>
        <v>49.004782609500005</v>
      </c>
      <c r="C38">
        <f t="shared" si="3"/>
        <v>2.7014575256231677E-2</v>
      </c>
    </row>
    <row r="39" spans="1:3">
      <c r="A39" s="2">
        <v>39</v>
      </c>
      <c r="B39">
        <f t="shared" si="2"/>
        <v>50.442695653000001</v>
      </c>
      <c r="C39">
        <f t="shared" si="3"/>
        <v>2.7472313911117582E-2</v>
      </c>
    </row>
    <row r="40" spans="1:3">
      <c r="A40" s="2">
        <v>40</v>
      </c>
      <c r="B40">
        <f t="shared" si="2"/>
        <v>51.880608696499998</v>
      </c>
      <c r="C40">
        <f t="shared" si="3"/>
        <v>2.7926841523334068E-2</v>
      </c>
    </row>
    <row r="41" spans="1:3">
      <c r="A41" s="2">
        <v>41</v>
      </c>
      <c r="B41">
        <f t="shared" si="2"/>
        <v>53.318521740000001</v>
      </c>
      <c r="C41">
        <f t="shared" si="3"/>
        <v>2.8378435466918098E-2</v>
      </c>
    </row>
    <row r="42" spans="1:3">
      <c r="A42" s="2">
        <v>42</v>
      </c>
      <c r="B42">
        <f t="shared" si="2"/>
        <v>54.756434783500005</v>
      </c>
      <c r="C42">
        <f t="shared" si="3"/>
        <v>2.8827348225033165E-2</v>
      </c>
    </row>
    <row r="43" spans="1:3">
      <c r="A43" s="2">
        <v>43</v>
      </c>
      <c r="B43">
        <f t="shared" si="2"/>
        <v>56.194347827000001</v>
      </c>
      <c r="C43">
        <f t="shared" si="3"/>
        <v>2.9273809113680632E-2</v>
      </c>
    </row>
    <row r="44" spans="1:3">
      <c r="A44" s="2">
        <v>44</v>
      </c>
      <c r="B44">
        <f t="shared" si="2"/>
        <v>57.632260870499998</v>
      </c>
      <c r="C44">
        <f t="shared" si="3"/>
        <v>2.9718026083559577E-2</v>
      </c>
    </row>
    <row r="45" spans="1:3">
      <c r="A45" s="2">
        <v>45</v>
      </c>
      <c r="B45">
        <f t="shared" si="2"/>
        <v>59.070173914000002</v>
      </c>
      <c r="C45">
        <f t="shared" si="3"/>
        <v>3.0160187521450749E-2</v>
      </c>
    </row>
    <row r="46" spans="1:3">
      <c r="A46" s="2">
        <v>46</v>
      </c>
      <c r="B46">
        <f t="shared" si="2"/>
        <v>60.508086957500005</v>
      </c>
      <c r="C46">
        <f t="shared" si="3"/>
        <v>3.0600463997607137E-2</v>
      </c>
    </row>
    <row r="47" spans="1:3">
      <c r="A47" s="2">
        <v>47</v>
      </c>
      <c r="B47">
        <f t="shared" si="2"/>
        <v>61.946000000999994</v>
      </c>
      <c r="C47">
        <f t="shared" si="3"/>
        <v>3.1039009924799573E-2</v>
      </c>
    </row>
    <row r="48" spans="1:3">
      <c r="A48" s="2">
        <v>48</v>
      </c>
      <c r="B48">
        <f t="shared" si="2"/>
        <v>63.383913044499998</v>
      </c>
      <c r="C48">
        <f t="shared" si="3"/>
        <v>3.1475965108878061E-2</v>
      </c>
    </row>
    <row r="49" spans="1:3">
      <c r="A49" s="2">
        <v>49</v>
      </c>
      <c r="B49">
        <f t="shared" si="2"/>
        <v>64.821826087999995</v>
      </c>
      <c r="C49">
        <f t="shared" si="3"/>
        <v>3.1911456180952563E-2</v>
      </c>
    </row>
    <row r="50" spans="1:3">
      <c r="A50" s="2">
        <v>50</v>
      </c>
      <c r="B50">
        <f t="shared" si="2"/>
        <v>66.259739131499998</v>
      </c>
      <c r="C50">
        <f t="shared" si="3"/>
        <v>3.2345597908457258E-2</v>
      </c>
    </row>
    <row r="51" spans="1:3">
      <c r="A51" s="2">
        <v>51</v>
      </c>
      <c r="B51">
        <f t="shared" si="2"/>
        <v>67.697652175000002</v>
      </c>
      <c r="C51">
        <f t="shared" si="3"/>
        <v>3.2778494387188106E-2</v>
      </c>
    </row>
    <row r="52" spans="1:3">
      <c r="A52" s="2">
        <v>52</v>
      </c>
      <c r="B52">
        <f t="shared" si="2"/>
        <v>69.135565218500005</v>
      </c>
      <c r="C52">
        <f t="shared" si="3"/>
        <v>3.3210240119503624E-2</v>
      </c>
    </row>
    <row r="53" spans="1:3">
      <c r="A53" s="2">
        <v>53</v>
      </c>
      <c r="B53">
        <f t="shared" si="2"/>
        <v>70.573478262000009</v>
      </c>
      <c r="C53">
        <f t="shared" si="3"/>
        <v>3.3640920985728739E-2</v>
      </c>
    </row>
    <row r="54" spans="1:3">
      <c r="A54" s="2">
        <v>54</v>
      </c>
      <c r="B54">
        <f t="shared" si="2"/>
        <v>72.011391305500013</v>
      </c>
      <c r="C54">
        <f t="shared" si="3"/>
        <v>3.4070615116766831E-2</v>
      </c>
    </row>
    <row r="55" spans="1:3">
      <c r="A55" s="2">
        <v>55</v>
      </c>
      <c r="B55">
        <f t="shared" si="2"/>
        <v>73.449304348999988</v>
      </c>
      <c r="C55">
        <f t="shared" si="3"/>
        <v>3.4499393676281118E-2</v>
      </c>
    </row>
    <row r="56" spans="1:3">
      <c r="A56" s="2">
        <v>56</v>
      </c>
      <c r="B56">
        <f t="shared" si="2"/>
        <v>74.887217392499991</v>
      </c>
      <c r="C56">
        <f t="shared" si="3"/>
        <v>3.492732156075358E-2</v>
      </c>
    </row>
    <row r="57" spans="1:3">
      <c r="A57" s="2">
        <v>57</v>
      </c>
      <c r="B57">
        <f t="shared" si="2"/>
        <v>76.325130435999995</v>
      </c>
      <c r="C57">
        <f t="shared" si="3"/>
        <v>3.5354458025415453E-2</v>
      </c>
    </row>
    <row r="58" spans="1:3">
      <c r="A58" s="2">
        <v>58</v>
      </c>
      <c r="B58">
        <f t="shared" si="2"/>
        <v>77.763043479499999</v>
      </c>
      <c r="C58">
        <f t="shared" si="3"/>
        <v>3.5780857243572127E-2</v>
      </c>
    </row>
    <row r="59" spans="1:3">
      <c r="A59" s="2">
        <v>59</v>
      </c>
      <c r="B59">
        <f t="shared" si="2"/>
        <v>79.200956523000002</v>
      </c>
      <c r="C59">
        <f t="shared" si="3"/>
        <v>3.6206568806289009E-2</v>
      </c>
    </row>
    <row r="60" spans="1:3">
      <c r="A60" s="2">
        <v>60</v>
      </c>
      <c r="B60">
        <f t="shared" si="2"/>
        <v>80.638869566500006</v>
      </c>
      <c r="C60">
        <f t="shared" si="3"/>
        <v>3.663163816881472E-2</v>
      </c>
    </row>
    <row r="61" spans="1:3">
      <c r="A61" s="2">
        <v>61</v>
      </c>
      <c r="B61">
        <f t="shared" si="2"/>
        <v>82.076782610000009</v>
      </c>
      <c r="C61">
        <f t="shared" si="3"/>
        <v>3.7056107049525902E-2</v>
      </c>
    </row>
    <row r="62" spans="1:3">
      <c r="A62" s="2">
        <v>62</v>
      </c>
      <c r="B62">
        <f t="shared" si="2"/>
        <v>83.514695653500013</v>
      </c>
      <c r="C62">
        <f t="shared" si="3"/>
        <v>3.7480013786606071E-2</v>
      </c>
    </row>
    <row r="63" spans="1:3">
      <c r="A63" s="2">
        <v>63</v>
      </c>
      <c r="B63">
        <f t="shared" si="2"/>
        <v>84.952608696999988</v>
      </c>
      <c r="C63">
        <f t="shared" si="3"/>
        <v>3.7903393657131121E-2</v>
      </c>
    </row>
    <row r="64" spans="1:3">
      <c r="A64" s="2">
        <v>64</v>
      </c>
      <c r="B64">
        <f t="shared" si="2"/>
        <v>86.390521740499992</v>
      </c>
      <c r="C64">
        <f t="shared" si="3"/>
        <v>3.8326279162734261E-2</v>
      </c>
    </row>
    <row r="65" spans="1:3">
      <c r="A65" s="2">
        <v>65</v>
      </c>
      <c r="B65">
        <f t="shared" ref="B65:B70" si="4">-4.198+(A65-1)*1.4379130435</f>
        <v>87.828434783999995</v>
      </c>
      <c r="C65">
        <f t="shared" ref="C65:C70" si="5">0.0112635992641968+0.000393196037102469*B65-0.0543737267268454*(0.00219298245614035+(B65-26.2795394736842)^2/259256.71280329)^0.5</f>
        <v>3.8748700285565589E-2</v>
      </c>
    </row>
    <row r="66" spans="1:3">
      <c r="A66" s="2">
        <v>66</v>
      </c>
      <c r="B66">
        <f t="shared" si="4"/>
        <v>89.266347827499999</v>
      </c>
      <c r="C66">
        <f t="shared" si="5"/>
        <v>3.9170684717847057E-2</v>
      </c>
    </row>
    <row r="67" spans="1:3">
      <c r="A67" s="2">
        <v>67</v>
      </c>
      <c r="B67">
        <f t="shared" si="4"/>
        <v>90.704260871000002</v>
      </c>
      <c r="C67">
        <f t="shared" si="5"/>
        <v>3.959225806795047E-2</v>
      </c>
    </row>
    <row r="68" spans="1:3">
      <c r="A68" s="2">
        <v>68</v>
      </c>
      <c r="B68">
        <f t="shared" si="4"/>
        <v>92.142173914500006</v>
      </c>
      <c r="C68">
        <f t="shared" si="5"/>
        <v>4.0013444045592303E-2</v>
      </c>
    </row>
    <row r="69" spans="1:3">
      <c r="A69" s="2">
        <v>69</v>
      </c>
      <c r="B69">
        <f t="shared" si="4"/>
        <v>93.58008695800001</v>
      </c>
      <c r="C69">
        <f t="shared" si="5"/>
        <v>4.0434264628442212E-2</v>
      </c>
    </row>
    <row r="70" spans="1:3">
      <c r="A70" s="2">
        <v>70</v>
      </c>
      <c r="B70">
        <f t="shared" si="4"/>
        <v>95.018000001500013</v>
      </c>
      <c r="C70">
        <f t="shared" si="5"/>
        <v>4.0854740212177588E-2</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enableFormatConditionsCalculation="0"/>
  <dimension ref="A1:C70"/>
  <sheetViews>
    <sheetView workbookViewId="0"/>
  </sheetViews>
  <sheetFormatPr baseColWidth="10" defaultRowHeight="15.75"/>
  <sheetData>
    <row r="1" spans="1:3">
      <c r="A1" s="2">
        <v>1</v>
      </c>
      <c r="B1">
        <f t="shared" ref="B1:B32" si="0">-4.198+(A1-1)*1.4379130435</f>
        <v>-4.1980000000000004</v>
      </c>
      <c r="C1">
        <f t="shared" ref="C1:C32" si="1">0.0112635992641968+0.000393196037102469*B1+0.0543737267268454*(0.00219298245614035+(B1-26.2795394736842)^2/259256.71280329)^0.5</f>
        <v>1.3745309045170193E-2</v>
      </c>
    </row>
    <row r="2" spans="1:3">
      <c r="A2" s="2">
        <v>2</v>
      </c>
      <c r="B2">
        <f t="shared" si="0"/>
        <v>-2.7600869565000004</v>
      </c>
      <c r="C2">
        <f t="shared" si="1"/>
        <v>1.4190868123978566E-2</v>
      </c>
    </row>
    <row r="3" spans="1:3">
      <c r="A3" s="2">
        <v>3</v>
      </c>
      <c r="B3">
        <f t="shared" si="0"/>
        <v>-1.3221739130000003</v>
      </c>
      <c r="C3">
        <f t="shared" si="1"/>
        <v>1.4638795245810955E-2</v>
      </c>
    </row>
    <row r="4" spans="1:3">
      <c r="A4" s="2">
        <v>4</v>
      </c>
      <c r="B4">
        <f t="shared" si="0"/>
        <v>0.11573913049999973</v>
      </c>
      <c r="C4">
        <f t="shared" si="1"/>
        <v>1.5089311149278931E-2</v>
      </c>
    </row>
    <row r="5" spans="1:3">
      <c r="A5" s="2">
        <v>5</v>
      </c>
      <c r="B5">
        <f t="shared" si="0"/>
        <v>1.5536521739999998</v>
      </c>
      <c r="C5">
        <f t="shared" si="1"/>
        <v>1.5542659039324995E-2</v>
      </c>
    </row>
    <row r="6" spans="1:3">
      <c r="A6" s="2">
        <v>6</v>
      </c>
      <c r="B6">
        <f t="shared" si="0"/>
        <v>2.9915652174999998</v>
      </c>
      <c r="C6">
        <f t="shared" si="1"/>
        <v>1.599910635275904E-2</v>
      </c>
    </row>
    <row r="7" spans="1:3">
      <c r="A7" s="2">
        <v>7</v>
      </c>
      <c r="B7">
        <f t="shared" si="0"/>
        <v>4.4294782609999999</v>
      </c>
      <c r="C7">
        <f t="shared" si="1"/>
        <v>1.6458946382651156E-2</v>
      </c>
    </row>
    <row r="8" spans="1:3">
      <c r="A8" s="2">
        <v>8</v>
      </c>
      <c r="B8">
        <f t="shared" si="0"/>
        <v>5.8673913044999999</v>
      </c>
      <c r="C8">
        <f t="shared" si="1"/>
        <v>1.6922499628256399E-2</v>
      </c>
    </row>
    <row r="9" spans="1:3">
      <c r="A9" s="2">
        <v>9</v>
      </c>
      <c r="B9">
        <f t="shared" si="0"/>
        <v>7.3053043479999999</v>
      </c>
      <c r="C9">
        <f t="shared" si="1"/>
        <v>1.7390114694220807E-2</v>
      </c>
    </row>
    <row r="10" spans="1:3">
      <c r="A10" s="2">
        <v>10</v>
      </c>
      <c r="B10">
        <f t="shared" si="0"/>
        <v>8.7432173915</v>
      </c>
      <c r="C10">
        <f t="shared" si="1"/>
        <v>1.7862168514763212E-2</v>
      </c>
    </row>
    <row r="11" spans="1:3">
      <c r="A11" s="2">
        <v>11</v>
      </c>
      <c r="B11">
        <f t="shared" si="0"/>
        <v>10.181130435</v>
      </c>
      <c r="C11">
        <f t="shared" si="1"/>
        <v>1.8339065629216927E-2</v>
      </c>
    </row>
    <row r="12" spans="1:3">
      <c r="A12" s="2">
        <v>12</v>
      </c>
      <c r="B12">
        <f t="shared" si="0"/>
        <v>11.6190434785</v>
      </c>
      <c r="C12">
        <f t="shared" si="1"/>
        <v>1.8821236191792757E-2</v>
      </c>
    </row>
    <row r="13" spans="1:3">
      <c r="A13" s="2">
        <v>13</v>
      </c>
      <c r="B13">
        <f t="shared" si="0"/>
        <v>13.056956522</v>
      </c>
      <c r="C13">
        <f t="shared" si="1"/>
        <v>1.9309132371734067E-2</v>
      </c>
    </row>
    <row r="14" spans="1:3">
      <c r="A14" s="2">
        <v>14</v>
      </c>
      <c r="B14">
        <f t="shared" si="0"/>
        <v>14.4948695655</v>
      </c>
      <c r="C14">
        <f t="shared" si="1"/>
        <v>1.9803222805493789E-2</v>
      </c>
    </row>
    <row r="15" spans="1:3">
      <c r="A15" s="2">
        <v>15</v>
      </c>
      <c r="B15">
        <f t="shared" si="0"/>
        <v>15.932782609</v>
      </c>
      <c r="C15">
        <f t="shared" si="1"/>
        <v>2.0303984818768279E-2</v>
      </c>
    </row>
    <row r="16" spans="1:3">
      <c r="A16" s="2">
        <v>16</v>
      </c>
      <c r="B16">
        <f t="shared" si="0"/>
        <v>17.3706956525</v>
      </c>
      <c r="C16">
        <f t="shared" si="1"/>
        <v>2.081189426195823E-2</v>
      </c>
    </row>
    <row r="17" spans="1:3">
      <c r="A17" s="2">
        <v>17</v>
      </c>
      <c r="B17">
        <f t="shared" si="0"/>
        <v>18.808608696</v>
      </c>
      <c r="C17">
        <f t="shared" si="1"/>
        <v>2.1327413011033743E-2</v>
      </c>
    </row>
    <row r="18" spans="1:3">
      <c r="A18" s="2">
        <v>18</v>
      </c>
      <c r="B18">
        <f t="shared" si="0"/>
        <v>20.2465217395</v>
      </c>
      <c r="C18">
        <f t="shared" si="1"/>
        <v>2.1850974476040955E-2</v>
      </c>
    </row>
    <row r="19" spans="1:3">
      <c r="A19" s="2">
        <v>19</v>
      </c>
      <c r="B19">
        <f t="shared" si="0"/>
        <v>21.684434783</v>
      </c>
      <c r="C19">
        <f t="shared" si="1"/>
        <v>2.2382967807907144E-2</v>
      </c>
    </row>
    <row r="20" spans="1:3">
      <c r="A20" s="2">
        <v>20</v>
      </c>
      <c r="B20">
        <f t="shared" si="0"/>
        <v>23.1223478265</v>
      </c>
      <c r="C20">
        <f t="shared" si="1"/>
        <v>2.2923721848694758E-2</v>
      </c>
    </row>
    <row r="21" spans="1:3">
      <c r="A21" s="2">
        <v>21</v>
      </c>
      <c r="B21">
        <f t="shared" si="0"/>
        <v>24.56026087</v>
      </c>
      <c r="C21">
        <f t="shared" si="1"/>
        <v>2.347349015369038E-2</v>
      </c>
    </row>
    <row r="22" spans="1:3">
      <c r="A22" s="2">
        <v>22</v>
      </c>
      <c r="B22">
        <f t="shared" si="0"/>
        <v>25.998173913500001</v>
      </c>
      <c r="C22">
        <f t="shared" si="1"/>
        <v>2.40324385388813E-2</v>
      </c>
    </row>
    <row r="23" spans="1:3">
      <c r="A23" s="2">
        <v>23</v>
      </c>
      <c r="B23">
        <f t="shared" si="0"/>
        <v>27.436086957000001</v>
      </c>
      <c r="C23">
        <f t="shared" si="1"/>
        <v>2.4600636505451086E-2</v>
      </c>
    </row>
    <row r="24" spans="1:3">
      <c r="A24" s="2">
        <v>24</v>
      </c>
      <c r="B24">
        <f t="shared" si="0"/>
        <v>28.874000000499997</v>
      </c>
      <c r="C24">
        <f t="shared" si="1"/>
        <v>2.5178053542821831E-2</v>
      </c>
    </row>
    <row r="25" spans="1:3">
      <c r="A25" s="2">
        <v>25</v>
      </c>
      <c r="B25">
        <f t="shared" si="0"/>
        <v>30.311913044000001</v>
      </c>
      <c r="C25">
        <f t="shared" si="1"/>
        <v>2.576456075908444E-2</v>
      </c>
    </row>
    <row r="26" spans="1:3">
      <c r="A26" s="2">
        <v>26</v>
      </c>
      <c r="B26">
        <f t="shared" si="0"/>
        <v>31.749826087500004</v>
      </c>
      <c r="C26">
        <f t="shared" si="1"/>
        <v>2.6359937639622154E-2</v>
      </c>
    </row>
    <row r="27" spans="1:3">
      <c r="A27" s="2">
        <v>27</v>
      </c>
      <c r="B27">
        <f t="shared" si="0"/>
        <v>33.187739131000001</v>
      </c>
      <c r="C27">
        <f t="shared" si="1"/>
        <v>2.6963883129344005E-2</v>
      </c>
    </row>
    <row r="28" spans="1:3">
      <c r="A28" s="2">
        <v>28</v>
      </c>
      <c r="B28">
        <f t="shared" si="0"/>
        <v>34.625652174499997</v>
      </c>
      <c r="C28">
        <f t="shared" si="1"/>
        <v>2.7576029795315014E-2</v>
      </c>
    </row>
    <row r="29" spans="1:3">
      <c r="A29" s="2">
        <v>29</v>
      </c>
      <c r="B29">
        <f t="shared" si="0"/>
        <v>36.063565218000001</v>
      </c>
      <c r="C29">
        <f t="shared" si="1"/>
        <v>2.8195959626555904E-2</v>
      </c>
    </row>
    <row r="30" spans="1:3">
      <c r="A30" s="2">
        <v>30</v>
      </c>
      <c r="B30">
        <f t="shared" si="0"/>
        <v>37.501478261500004</v>
      </c>
      <c r="C30">
        <f t="shared" si="1"/>
        <v>2.8823220070273187E-2</v>
      </c>
    </row>
    <row r="31" spans="1:3">
      <c r="A31" s="2">
        <v>31</v>
      </c>
      <c r="B31">
        <f t="shared" si="0"/>
        <v>38.939391305000001</v>
      </c>
      <c r="C31">
        <f t="shared" si="1"/>
        <v>2.9457339135204923E-2</v>
      </c>
    </row>
    <row r="32" spans="1:3">
      <c r="A32" s="2">
        <v>32</v>
      </c>
      <c r="B32">
        <f t="shared" si="0"/>
        <v>40.377304348499997</v>
      </c>
      <c r="C32">
        <f t="shared" si="1"/>
        <v>3.0097838729601357E-2</v>
      </c>
    </row>
    <row r="33" spans="1:3">
      <c r="A33" s="2">
        <v>33</v>
      </c>
      <c r="B33">
        <f t="shared" ref="B33:B64" si="2">-4.198+(A33-1)*1.4379130435</f>
        <v>41.815217392000001</v>
      </c>
      <c r="C33">
        <f t="shared" ref="C33:C64" si="3">0.0112635992641968+0.000393196037102469*B33+0.0543737267268454*(0.00219298245614035+(B33-26.2795394736842)^2/259256.71280329)^0.5</f>
        <v>3.0744245759947015E-2</v>
      </c>
    </row>
    <row r="34" spans="1:3">
      <c r="A34" s="2">
        <v>34</v>
      </c>
      <c r="B34">
        <f t="shared" si="2"/>
        <v>43.253130435500005</v>
      </c>
      <c r="C34">
        <f t="shared" si="3"/>
        <v>3.1396100833886435E-2</v>
      </c>
    </row>
    <row r="35" spans="1:3">
      <c r="A35" s="2">
        <v>35</v>
      </c>
      <c r="B35">
        <f t="shared" si="2"/>
        <v>44.691043479000001</v>
      </c>
      <c r="C35">
        <f t="shared" si="3"/>
        <v>3.2052964652432785E-2</v>
      </c>
    </row>
    <row r="36" spans="1:3">
      <c r="A36" s="2">
        <v>36</v>
      </c>
      <c r="B36">
        <f t="shared" si="2"/>
        <v>46.128956522499998</v>
      </c>
      <c r="C36">
        <f t="shared" si="3"/>
        <v>3.2714422333628486E-2</v>
      </c>
    </row>
    <row r="37" spans="1:3">
      <c r="A37" s="2">
        <v>37</v>
      </c>
      <c r="B37">
        <f t="shared" si="2"/>
        <v>47.566869566000001</v>
      </c>
      <c r="C37">
        <f t="shared" si="3"/>
        <v>3.3380085991157778E-2</v>
      </c>
    </row>
    <row r="38" spans="1:3">
      <c r="A38" s="2">
        <v>38</v>
      </c>
      <c r="B38">
        <f t="shared" si="2"/>
        <v>49.004782609500005</v>
      </c>
      <c r="C38">
        <f t="shared" si="3"/>
        <v>3.404959591440871E-2</v>
      </c>
    </row>
    <row r="39" spans="1:3">
      <c r="A39" s="2">
        <v>39</v>
      </c>
      <c r="B39">
        <f t="shared" si="2"/>
        <v>50.442695653000001</v>
      </c>
      <c r="C39">
        <f t="shared" si="3"/>
        <v>3.4722620680327096E-2</v>
      </c>
    </row>
    <row r="40" spans="1:3">
      <c r="A40" s="2">
        <v>40</v>
      </c>
      <c r="B40">
        <f t="shared" si="2"/>
        <v>51.880608696499998</v>
      </c>
      <c r="C40">
        <f t="shared" si="3"/>
        <v>3.5398856488914908E-2</v>
      </c>
    </row>
    <row r="41" spans="1:3">
      <c r="A41" s="2">
        <v>41</v>
      </c>
      <c r="B41">
        <f t="shared" si="2"/>
        <v>53.318521740000001</v>
      </c>
      <c r="C41">
        <f t="shared" si="3"/>
        <v>3.6078025966135178E-2</v>
      </c>
    </row>
    <row r="42" spans="1:3">
      <c r="A42" s="2">
        <v>42</v>
      </c>
      <c r="B42">
        <f t="shared" si="2"/>
        <v>54.756434783500005</v>
      </c>
      <c r="C42">
        <f t="shared" si="3"/>
        <v>3.675987662882442E-2</v>
      </c>
    </row>
    <row r="43" spans="1:3">
      <c r="A43" s="2">
        <v>43</v>
      </c>
      <c r="B43">
        <f t="shared" si="2"/>
        <v>56.194347827000001</v>
      </c>
      <c r="C43">
        <f t="shared" si="3"/>
        <v>3.744417916098125E-2</v>
      </c>
    </row>
    <row r="44" spans="1:3">
      <c r="A44" s="2">
        <v>44</v>
      </c>
      <c r="B44">
        <f t="shared" si="2"/>
        <v>57.632260870499998</v>
      </c>
      <c r="C44">
        <f t="shared" si="3"/>
        <v>3.8130725611906606E-2</v>
      </c>
    </row>
    <row r="45" spans="1:3">
      <c r="A45" s="2">
        <v>45</v>
      </c>
      <c r="B45">
        <f t="shared" si="2"/>
        <v>59.070173914000002</v>
      </c>
      <c r="C45">
        <f t="shared" si="3"/>
        <v>3.8819327594819736E-2</v>
      </c>
    </row>
    <row r="46" spans="1:3">
      <c r="A46" s="2">
        <v>46</v>
      </c>
      <c r="B46">
        <f t="shared" si="2"/>
        <v>60.508086957500005</v>
      </c>
      <c r="C46">
        <f t="shared" si="3"/>
        <v>3.9509814539467648E-2</v>
      </c>
    </row>
    <row r="47" spans="1:3">
      <c r="A47" s="2">
        <v>47</v>
      </c>
      <c r="B47">
        <f t="shared" si="2"/>
        <v>61.946000000999994</v>
      </c>
      <c r="C47">
        <f t="shared" si="3"/>
        <v>4.0202032033079503E-2</v>
      </c>
    </row>
    <row r="48" spans="1:3">
      <c r="A48" s="2">
        <v>48</v>
      </c>
      <c r="B48">
        <f t="shared" si="2"/>
        <v>63.383913044499998</v>
      </c>
      <c r="C48">
        <f t="shared" si="3"/>
        <v>4.0895840269805327E-2</v>
      </c>
    </row>
    <row r="49" spans="1:3">
      <c r="A49" s="2">
        <v>49</v>
      </c>
      <c r="B49">
        <f t="shared" si="2"/>
        <v>64.821826087999995</v>
      </c>
      <c r="C49">
        <f t="shared" si="3"/>
        <v>4.1591112618535112E-2</v>
      </c>
    </row>
    <row r="50" spans="1:3">
      <c r="A50" s="2">
        <v>50</v>
      </c>
      <c r="B50">
        <f t="shared" si="2"/>
        <v>66.259739131499998</v>
      </c>
      <c r="C50">
        <f t="shared" si="3"/>
        <v>4.2287734311834718E-2</v>
      </c>
    </row>
    <row r="51" spans="1:3">
      <c r="A51" s="2">
        <v>51</v>
      </c>
      <c r="B51">
        <f t="shared" si="2"/>
        <v>67.697652175000002</v>
      </c>
      <c r="C51">
        <f t="shared" si="3"/>
        <v>4.2985601253908184E-2</v>
      </c>
    </row>
    <row r="52" spans="1:3">
      <c r="A52" s="2">
        <v>52</v>
      </c>
      <c r="B52">
        <f t="shared" si="2"/>
        <v>69.135565218500005</v>
      </c>
      <c r="C52">
        <f t="shared" si="3"/>
        <v>4.3684618942396967E-2</v>
      </c>
    </row>
    <row r="53" spans="1:3">
      <c r="A53" s="2">
        <v>53</v>
      </c>
      <c r="B53">
        <f t="shared" si="2"/>
        <v>70.573478262000009</v>
      </c>
      <c r="C53">
        <f t="shared" si="3"/>
        <v>4.4384701496976153E-2</v>
      </c>
    </row>
    <row r="54" spans="1:3">
      <c r="A54" s="2">
        <v>54</v>
      </c>
      <c r="B54">
        <f t="shared" si="2"/>
        <v>72.011391305500013</v>
      </c>
      <c r="C54">
        <f t="shared" si="3"/>
        <v>4.5085770786742363E-2</v>
      </c>
    </row>
    <row r="55" spans="1:3">
      <c r="A55" s="2">
        <v>55</v>
      </c>
      <c r="B55">
        <f t="shared" si="2"/>
        <v>73.449304348999988</v>
      </c>
      <c r="C55">
        <f t="shared" si="3"/>
        <v>4.5787755648032363E-2</v>
      </c>
    </row>
    <row r="56" spans="1:3">
      <c r="A56" s="2">
        <v>56</v>
      </c>
      <c r="B56">
        <f t="shared" si="2"/>
        <v>74.887217392499991</v>
      </c>
      <c r="C56">
        <f t="shared" si="3"/>
        <v>4.6490591184364202E-2</v>
      </c>
    </row>
    <row r="57" spans="1:3">
      <c r="A57" s="2">
        <v>57</v>
      </c>
      <c r="B57">
        <f t="shared" si="2"/>
        <v>76.325130435999995</v>
      </c>
      <c r="C57">
        <f t="shared" si="3"/>
        <v>4.719421814050663E-2</v>
      </c>
    </row>
    <row r="58" spans="1:3">
      <c r="A58" s="2">
        <v>58</v>
      </c>
      <c r="B58">
        <f t="shared" si="2"/>
        <v>77.763043479499999</v>
      </c>
      <c r="C58">
        <f t="shared" si="3"/>
        <v>4.7898582343154257E-2</v>
      </c>
    </row>
    <row r="59" spans="1:3">
      <c r="A59" s="2">
        <v>59</v>
      </c>
      <c r="B59">
        <f t="shared" si="2"/>
        <v>79.200956523000002</v>
      </c>
      <c r="C59">
        <f t="shared" si="3"/>
        <v>4.8603634201241676E-2</v>
      </c>
    </row>
    <row r="60" spans="1:3">
      <c r="A60" s="2">
        <v>60</v>
      </c>
      <c r="B60">
        <f t="shared" si="2"/>
        <v>80.638869566500006</v>
      </c>
      <c r="C60">
        <f t="shared" si="3"/>
        <v>4.930932825952028E-2</v>
      </c>
    </row>
    <row r="61" spans="1:3">
      <c r="A61" s="2">
        <v>61</v>
      </c>
      <c r="B61">
        <f t="shared" si="2"/>
        <v>82.076782610000009</v>
      </c>
      <c r="C61">
        <f t="shared" si="3"/>
        <v>5.0015622799613399E-2</v>
      </c>
    </row>
    <row r="62" spans="1:3">
      <c r="A62" s="2">
        <v>62</v>
      </c>
      <c r="B62">
        <f t="shared" si="2"/>
        <v>83.514695653500013</v>
      </c>
      <c r="C62">
        <f t="shared" si="3"/>
        <v>5.0722479483337531E-2</v>
      </c>
    </row>
    <row r="63" spans="1:3">
      <c r="A63" s="2">
        <v>63</v>
      </c>
      <c r="B63">
        <f t="shared" si="2"/>
        <v>84.952608696999988</v>
      </c>
      <c r="C63">
        <f t="shared" si="3"/>
        <v>5.1429863033616754E-2</v>
      </c>
    </row>
    <row r="64" spans="1:3">
      <c r="A64" s="2">
        <v>64</v>
      </c>
      <c r="B64">
        <f t="shared" si="2"/>
        <v>86.390521740499992</v>
      </c>
      <c r="C64">
        <f t="shared" si="3"/>
        <v>5.2137740948817929E-2</v>
      </c>
    </row>
    <row r="65" spans="1:3">
      <c r="A65" s="2">
        <v>65</v>
      </c>
      <c r="B65">
        <f t="shared" ref="B65:B70" si="4">-4.198+(A65-1)*1.4379130435</f>
        <v>87.828434783999995</v>
      </c>
      <c r="C65">
        <f t="shared" ref="C65:C70" si="5">0.0112635992641968+0.000393196037102469*B65+0.0543737267268454*(0.00219298245614035+(B65-26.2795394736842)^2/259256.71280329)^0.5</f>
        <v>5.2846083246790902E-2</v>
      </c>
    </row>
    <row r="66" spans="1:3">
      <c r="A66" s="2">
        <v>66</v>
      </c>
      <c r="B66">
        <f t="shared" si="4"/>
        <v>89.266347827499999</v>
      </c>
      <c r="C66">
        <f t="shared" si="5"/>
        <v>5.3554862235313735E-2</v>
      </c>
    </row>
    <row r="67" spans="1:3">
      <c r="A67" s="2">
        <v>67</v>
      </c>
      <c r="B67">
        <f t="shared" si="4"/>
        <v>90.704260871000002</v>
      </c>
      <c r="C67">
        <f t="shared" si="5"/>
        <v>5.4264052306014623E-2</v>
      </c>
    </row>
    <row r="68" spans="1:3">
      <c r="A68" s="2">
        <v>68</v>
      </c>
      <c r="B68">
        <f t="shared" si="4"/>
        <v>92.142173914500006</v>
      </c>
      <c r="C68">
        <f t="shared" si="5"/>
        <v>5.4973629749177091E-2</v>
      </c>
    </row>
    <row r="69" spans="1:3">
      <c r="A69" s="2">
        <v>69</v>
      </c>
      <c r="B69">
        <f t="shared" si="4"/>
        <v>93.58008695800001</v>
      </c>
      <c r="C69">
        <f t="shared" si="5"/>
        <v>5.5683572587131483E-2</v>
      </c>
    </row>
    <row r="70" spans="1:3">
      <c r="A70" s="2">
        <v>70</v>
      </c>
      <c r="B70">
        <f t="shared" si="4"/>
        <v>95.018000001500013</v>
      </c>
      <c r="C70">
        <f t="shared" si="5"/>
        <v>5.6393860424200408E-2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enableFormatConditionsCalculation="0"/>
  <dimension ref="A1:C70"/>
  <sheetViews>
    <sheetView workbookViewId="0"/>
  </sheetViews>
  <sheetFormatPr baseColWidth="10" defaultRowHeight="15.75"/>
  <sheetData>
    <row r="1" spans="1:3">
      <c r="A1" s="2">
        <v>1</v>
      </c>
      <c r="B1">
        <f t="shared" ref="B1:B32" si="0">5.2837143126+(A1-1)*1.1247172486</f>
        <v>5.2837143125999999</v>
      </c>
      <c r="C1">
        <f t="shared" ref="C1:C32" si="1">0+1*B1+75.846578674157*(1.00625+(B1-36.06875)^2/230004.299521756)^0.5</f>
        <v>81.522559730650272</v>
      </c>
    </row>
    <row r="2" spans="1:3">
      <c r="A2" s="2">
        <v>2</v>
      </c>
      <c r="B2">
        <f t="shared" si="0"/>
        <v>6.4084315612000005</v>
      </c>
      <c r="C2">
        <f t="shared" si="1"/>
        <v>82.636124593640076</v>
      </c>
    </row>
    <row r="3" spans="1:3">
      <c r="A3" s="2">
        <v>3</v>
      </c>
      <c r="B3">
        <f t="shared" si="0"/>
        <v>7.5331488098000001</v>
      </c>
      <c r="C3">
        <f t="shared" si="1"/>
        <v>83.75010294349805</v>
      </c>
    </row>
    <row r="4" spans="1:3">
      <c r="A4" s="2">
        <v>4</v>
      </c>
      <c r="B4">
        <f t="shared" si="0"/>
        <v>8.6578660583999998</v>
      </c>
      <c r="C4">
        <f t="shared" si="1"/>
        <v>84.864494955027666</v>
      </c>
    </row>
    <row r="5" spans="1:3">
      <c r="A5" s="2">
        <v>5</v>
      </c>
      <c r="B5">
        <f t="shared" si="0"/>
        <v>9.7825833069999995</v>
      </c>
      <c r="C5">
        <f t="shared" si="1"/>
        <v>85.979300796391868</v>
      </c>
    </row>
    <row r="6" spans="1:3">
      <c r="A6" s="2">
        <v>6</v>
      </c>
      <c r="B6">
        <f t="shared" si="0"/>
        <v>10.907300555599999</v>
      </c>
      <c r="C6">
        <f t="shared" si="1"/>
        <v>87.094520629099463</v>
      </c>
    </row>
    <row r="7" spans="1:3">
      <c r="A7" s="2">
        <v>7</v>
      </c>
      <c r="B7">
        <f t="shared" si="0"/>
        <v>12.032017804200001</v>
      </c>
      <c r="C7">
        <f t="shared" si="1"/>
        <v>88.210154607992052</v>
      </c>
    </row>
    <row r="8" spans="1:3">
      <c r="A8" s="2">
        <v>8</v>
      </c>
      <c r="B8">
        <f t="shared" si="0"/>
        <v>13.156735052800002</v>
      </c>
      <c r="C8">
        <f t="shared" si="1"/>
        <v>89.32620288123141</v>
      </c>
    </row>
    <row r="9" spans="1:3">
      <c r="A9" s="2">
        <v>9</v>
      </c>
      <c r="B9">
        <f t="shared" si="0"/>
        <v>14.281452301400002</v>
      </c>
      <c r="C9">
        <f t="shared" si="1"/>
        <v>90.442665590287504</v>
      </c>
    </row>
    <row r="10" spans="1:3">
      <c r="A10" s="2">
        <v>10</v>
      </c>
      <c r="B10">
        <f t="shared" si="0"/>
        <v>15.406169550000001</v>
      </c>
      <c r="C10">
        <f t="shared" si="1"/>
        <v>91.559542869926887</v>
      </c>
    </row>
    <row r="11" spans="1:3">
      <c r="A11" s="2">
        <v>11</v>
      </c>
      <c r="B11">
        <f t="shared" si="0"/>
        <v>16.530886798600001</v>
      </c>
      <c r="C11">
        <f t="shared" si="1"/>
        <v>92.676834848201878</v>
      </c>
    </row>
    <row r="12" spans="1:3">
      <c r="A12" s="2">
        <v>12</v>
      </c>
      <c r="B12">
        <f t="shared" si="0"/>
        <v>17.655604047200001</v>
      </c>
      <c r="C12">
        <f t="shared" si="1"/>
        <v>93.794541646439953</v>
      </c>
    </row>
    <row r="13" spans="1:3">
      <c r="A13" s="2">
        <v>13</v>
      </c>
      <c r="B13">
        <f t="shared" si="0"/>
        <v>18.7803212958</v>
      </c>
      <c r="C13">
        <f t="shared" si="1"/>
        <v>94.912663379234004</v>
      </c>
    </row>
    <row r="14" spans="1:3">
      <c r="A14" s="2">
        <v>14</v>
      </c>
      <c r="B14">
        <f t="shared" si="0"/>
        <v>19.9050385444</v>
      </c>
      <c r="C14">
        <f t="shared" si="1"/>
        <v>96.031200154432938</v>
      </c>
    </row>
    <row r="15" spans="1:3">
      <c r="A15" s="2">
        <v>15</v>
      </c>
      <c r="B15">
        <f t="shared" si="0"/>
        <v>21.029755793000003</v>
      </c>
      <c r="C15">
        <f t="shared" si="1"/>
        <v>97.150152073132858</v>
      </c>
    </row>
    <row r="16" spans="1:3">
      <c r="A16" s="2">
        <v>16</v>
      </c>
      <c r="B16">
        <f t="shared" si="0"/>
        <v>22.154473041600003</v>
      </c>
      <c r="C16">
        <f t="shared" si="1"/>
        <v>98.269519229668802</v>
      </c>
    </row>
    <row r="17" spans="1:3">
      <c r="A17" s="2">
        <v>17</v>
      </c>
      <c r="B17">
        <f t="shared" si="0"/>
        <v>23.279190290200003</v>
      </c>
      <c r="C17">
        <f t="shared" si="1"/>
        <v>99.389301711607132</v>
      </c>
    </row>
    <row r="18" spans="1:3">
      <c r="A18" s="2">
        <v>18</v>
      </c>
      <c r="B18">
        <f t="shared" si="0"/>
        <v>24.403907538800002</v>
      </c>
      <c r="C18">
        <f t="shared" si="1"/>
        <v>100.50949959973821</v>
      </c>
    </row>
    <row r="19" spans="1:3">
      <c r="A19" s="2">
        <v>19</v>
      </c>
      <c r="B19">
        <f t="shared" si="0"/>
        <v>25.528624787400002</v>
      </c>
      <c r="C19">
        <f t="shared" si="1"/>
        <v>101.63011296806995</v>
      </c>
    </row>
    <row r="20" spans="1:3">
      <c r="A20" s="2">
        <v>20</v>
      </c>
      <c r="B20">
        <f t="shared" si="0"/>
        <v>26.653342036000002</v>
      </c>
      <c r="C20">
        <f t="shared" si="1"/>
        <v>102.75114188382166</v>
      </c>
    </row>
    <row r="21" spans="1:3">
      <c r="A21" s="2">
        <v>21</v>
      </c>
      <c r="B21">
        <f t="shared" si="0"/>
        <v>27.778059284600001</v>
      </c>
      <c r="C21">
        <f t="shared" si="1"/>
        <v>103.87258640741865</v>
      </c>
    </row>
    <row r="22" spans="1:3">
      <c r="A22" s="2">
        <v>22</v>
      </c>
      <c r="B22">
        <f t="shared" si="0"/>
        <v>28.902776533200004</v>
      </c>
      <c r="C22">
        <f t="shared" si="1"/>
        <v>104.99444659248712</v>
      </c>
    </row>
    <row r="23" spans="1:3">
      <c r="A23" s="2">
        <v>23</v>
      </c>
      <c r="B23">
        <f t="shared" si="0"/>
        <v>30.027493781800004</v>
      </c>
      <c r="C23">
        <f t="shared" si="1"/>
        <v>106.11672248584992</v>
      </c>
    </row>
    <row r="24" spans="1:3">
      <c r="A24" s="2">
        <v>24</v>
      </c>
      <c r="B24">
        <f t="shared" si="0"/>
        <v>31.152211030400004</v>
      </c>
      <c r="C24">
        <f t="shared" si="1"/>
        <v>107.23941412752268</v>
      </c>
    </row>
    <row r="25" spans="1:3">
      <c r="A25" s="2">
        <v>25</v>
      </c>
      <c r="B25">
        <f t="shared" si="0"/>
        <v>32.276928279000003</v>
      </c>
      <c r="C25">
        <f t="shared" si="1"/>
        <v>108.36252155071041</v>
      </c>
    </row>
    <row r="26" spans="1:3">
      <c r="A26" s="2">
        <v>26</v>
      </c>
      <c r="B26">
        <f t="shared" si="0"/>
        <v>33.401645527600003</v>
      </c>
      <c r="C26">
        <f t="shared" si="1"/>
        <v>109.48604478180502</v>
      </c>
    </row>
    <row r="27" spans="1:3">
      <c r="A27" s="2">
        <v>27</v>
      </c>
      <c r="B27">
        <f t="shared" si="0"/>
        <v>34.526362776200003</v>
      </c>
      <c r="C27">
        <f t="shared" si="1"/>
        <v>110.60998384038287</v>
      </c>
    </row>
    <row r="28" spans="1:3">
      <c r="A28" s="2">
        <v>28</v>
      </c>
      <c r="B28">
        <f t="shared" si="0"/>
        <v>35.651080024800002</v>
      </c>
      <c r="C28">
        <f t="shared" si="1"/>
        <v>111.73433873920345</v>
      </c>
    </row>
    <row r="29" spans="1:3">
      <c r="A29" s="2">
        <v>29</v>
      </c>
      <c r="B29">
        <f t="shared" si="0"/>
        <v>36.775797273400002</v>
      </c>
      <c r="C29">
        <f t="shared" si="1"/>
        <v>112.85910948420806</v>
      </c>
    </row>
    <row r="30" spans="1:3">
      <c r="A30" s="2">
        <v>30</v>
      </c>
      <c r="B30">
        <f t="shared" si="0"/>
        <v>37.900514522000002</v>
      </c>
      <c r="C30">
        <f t="shared" si="1"/>
        <v>113.98429607451956</v>
      </c>
    </row>
    <row r="31" spans="1:3">
      <c r="A31" s="2">
        <v>31</v>
      </c>
      <c r="B31">
        <f t="shared" si="0"/>
        <v>39.025231770600001</v>
      </c>
      <c r="C31">
        <f t="shared" si="1"/>
        <v>115.10989850244232</v>
      </c>
    </row>
    <row r="32" spans="1:3">
      <c r="A32" s="2">
        <v>32</v>
      </c>
      <c r="B32">
        <f t="shared" si="0"/>
        <v>40.149949019200001</v>
      </c>
      <c r="C32">
        <f t="shared" si="1"/>
        <v>116.23591675346282</v>
      </c>
    </row>
    <row r="33" spans="1:3">
      <c r="A33" s="2">
        <v>33</v>
      </c>
      <c r="B33">
        <f t="shared" ref="B33:B64" si="2">5.2837143126+(A33-1)*1.1247172486</f>
        <v>41.274666267800001</v>
      </c>
      <c r="C33">
        <f t="shared" ref="C33:C64" si="3">0+1*B33+75.846578674157*(1.00625+(B33-36.06875)^2/230004.299521756)^0.5</f>
        <v>117.36235080625096</v>
      </c>
    </row>
    <row r="34" spans="1:3">
      <c r="A34" s="2">
        <v>34</v>
      </c>
      <c r="B34">
        <f t="shared" si="2"/>
        <v>42.3993835164</v>
      </c>
      <c r="C34">
        <f t="shared" si="3"/>
        <v>118.48920063266169</v>
      </c>
    </row>
    <row r="35" spans="1:3">
      <c r="A35" s="2">
        <v>35</v>
      </c>
      <c r="B35">
        <f t="shared" si="2"/>
        <v>43.524100765</v>
      </c>
      <c r="C35">
        <f t="shared" si="3"/>
        <v>119.61646619773737</v>
      </c>
    </row>
    <row r="36" spans="1:3">
      <c r="A36" s="2">
        <v>36</v>
      </c>
      <c r="B36">
        <f t="shared" si="2"/>
        <v>44.6488180136</v>
      </c>
      <c r="C36">
        <f t="shared" si="3"/>
        <v>120.7441474597106</v>
      </c>
    </row>
    <row r="37" spans="1:3">
      <c r="A37" s="2">
        <v>37</v>
      </c>
      <c r="B37">
        <f t="shared" si="2"/>
        <v>45.773535262199999</v>
      </c>
      <c r="C37">
        <f t="shared" si="3"/>
        <v>121.87224437000781</v>
      </c>
    </row>
    <row r="38" spans="1:3">
      <c r="A38" s="2">
        <v>38</v>
      </c>
      <c r="B38">
        <f t="shared" si="2"/>
        <v>46.898252510799999</v>
      </c>
      <c r="C38">
        <f t="shared" si="3"/>
        <v>123.00075687325293</v>
      </c>
    </row>
    <row r="39" spans="1:3">
      <c r="A39" s="2">
        <v>39</v>
      </c>
      <c r="B39">
        <f t="shared" si="2"/>
        <v>48.022969759399999</v>
      </c>
      <c r="C39">
        <f t="shared" si="3"/>
        <v>124.12968490727218</v>
      </c>
    </row>
    <row r="40" spans="1:3">
      <c r="A40" s="2">
        <v>40</v>
      </c>
      <c r="B40">
        <f t="shared" si="2"/>
        <v>49.147687007999998</v>
      </c>
      <c r="C40">
        <f t="shared" si="3"/>
        <v>125.25902840309908</v>
      </c>
    </row>
    <row r="41" spans="1:3">
      <c r="A41" s="2">
        <v>41</v>
      </c>
      <c r="B41">
        <f t="shared" si="2"/>
        <v>50.272404256599998</v>
      </c>
      <c r="C41">
        <f t="shared" si="3"/>
        <v>126.38878728498003</v>
      </c>
    </row>
    <row r="42" spans="1:3">
      <c r="A42" s="2">
        <v>42</v>
      </c>
      <c r="B42">
        <f t="shared" si="2"/>
        <v>51.397121505200005</v>
      </c>
      <c r="C42">
        <f t="shared" si="3"/>
        <v>127.51896147038065</v>
      </c>
    </row>
    <row r="43" spans="1:3">
      <c r="A43" s="2">
        <v>43</v>
      </c>
      <c r="B43">
        <f t="shared" si="2"/>
        <v>52.521838753800004</v>
      </c>
      <c r="C43">
        <f t="shared" si="3"/>
        <v>128.64955086999234</v>
      </c>
    </row>
    <row r="44" spans="1:3">
      <c r="A44" s="2">
        <v>44</v>
      </c>
      <c r="B44">
        <f t="shared" si="2"/>
        <v>53.646556002400004</v>
      </c>
      <c r="C44">
        <f t="shared" si="3"/>
        <v>129.78055538773981</v>
      </c>
    </row>
    <row r="45" spans="1:3">
      <c r="A45" s="2">
        <v>45</v>
      </c>
      <c r="B45">
        <f t="shared" si="2"/>
        <v>54.771273251000004</v>
      </c>
      <c r="C45">
        <f t="shared" si="3"/>
        <v>130.91197492078865</v>
      </c>
    </row>
    <row r="46" spans="1:3">
      <c r="A46" s="2">
        <v>46</v>
      </c>
      <c r="B46">
        <f t="shared" si="2"/>
        <v>55.895990499600003</v>
      </c>
      <c r="C46">
        <f t="shared" si="3"/>
        <v>132.04380935955396</v>
      </c>
    </row>
    <row r="47" spans="1:3">
      <c r="A47" s="2">
        <v>47</v>
      </c>
      <c r="B47">
        <f t="shared" si="2"/>
        <v>57.020707748200003</v>
      </c>
      <c r="C47">
        <f t="shared" si="3"/>
        <v>133.17605858770926</v>
      </c>
    </row>
    <row r="48" spans="1:3">
      <c r="A48" s="2">
        <v>48</v>
      </c>
      <c r="B48">
        <f t="shared" si="2"/>
        <v>58.145424996800003</v>
      </c>
      <c r="C48">
        <f t="shared" si="3"/>
        <v>134.30872248219583</v>
      </c>
    </row>
    <row r="49" spans="1:3">
      <c r="A49" s="2">
        <v>49</v>
      </c>
      <c r="B49">
        <f t="shared" si="2"/>
        <v>59.270142245400002</v>
      </c>
      <c r="C49">
        <f t="shared" si="3"/>
        <v>135.44180091323284</v>
      </c>
    </row>
    <row r="50" spans="1:3">
      <c r="A50" s="2">
        <v>50</v>
      </c>
      <c r="B50">
        <f t="shared" si="2"/>
        <v>60.394859494000002</v>
      </c>
      <c r="C50">
        <f t="shared" si="3"/>
        <v>136.57529374432795</v>
      </c>
    </row>
    <row r="51" spans="1:3">
      <c r="A51" s="2">
        <v>51</v>
      </c>
      <c r="B51">
        <f t="shared" si="2"/>
        <v>61.519576742600002</v>
      </c>
      <c r="C51">
        <f t="shared" si="3"/>
        <v>137.70920083228836</v>
      </c>
    </row>
    <row r="52" spans="1:3">
      <c r="A52" s="2">
        <v>52</v>
      </c>
      <c r="B52">
        <f t="shared" si="2"/>
        <v>62.644293991200001</v>
      </c>
      <c r="C52">
        <f t="shared" si="3"/>
        <v>138.84352202723244</v>
      </c>
    </row>
    <row r="53" spans="1:3">
      <c r="A53" s="2">
        <v>53</v>
      </c>
      <c r="B53">
        <f t="shared" si="2"/>
        <v>63.769011239800001</v>
      </c>
      <c r="C53">
        <f t="shared" si="3"/>
        <v>139.97825717260201</v>
      </c>
    </row>
    <row r="54" spans="1:3">
      <c r="A54" s="2">
        <v>54</v>
      </c>
      <c r="B54">
        <f t="shared" si="2"/>
        <v>64.893728488400001</v>
      </c>
      <c r="C54">
        <f t="shared" si="3"/>
        <v>141.11340610517493</v>
      </c>
    </row>
    <row r="55" spans="1:3">
      <c r="A55" s="2">
        <v>55</v>
      </c>
      <c r="B55">
        <f t="shared" si="2"/>
        <v>66.018445737000008</v>
      </c>
      <c r="C55">
        <f t="shared" si="3"/>
        <v>142.24896865507844</v>
      </c>
    </row>
    <row r="56" spans="1:3">
      <c r="A56" s="2">
        <v>56</v>
      </c>
      <c r="B56">
        <f t="shared" si="2"/>
        <v>67.1431629856</v>
      </c>
      <c r="C56">
        <f t="shared" si="3"/>
        <v>143.38494464580276</v>
      </c>
    </row>
    <row r="57" spans="1:3">
      <c r="A57" s="2">
        <v>57</v>
      </c>
      <c r="B57">
        <f t="shared" si="2"/>
        <v>68.267880234200007</v>
      </c>
      <c r="C57">
        <f t="shared" si="3"/>
        <v>144.52133389421567</v>
      </c>
    </row>
    <row r="58" spans="1:3">
      <c r="A58" s="2">
        <v>58</v>
      </c>
      <c r="B58">
        <f t="shared" si="2"/>
        <v>69.392597482799999</v>
      </c>
      <c r="C58">
        <f t="shared" si="3"/>
        <v>145.65813621057703</v>
      </c>
    </row>
    <row r="59" spans="1:3">
      <c r="A59" s="2">
        <v>59</v>
      </c>
      <c r="B59">
        <f t="shared" si="2"/>
        <v>70.517314731400006</v>
      </c>
      <c r="C59">
        <f t="shared" si="3"/>
        <v>146.79535139855426</v>
      </c>
    </row>
    <row r="60" spans="1:3">
      <c r="A60" s="2">
        <v>60</v>
      </c>
      <c r="B60">
        <f t="shared" si="2"/>
        <v>71.642031979999999</v>
      </c>
      <c r="C60">
        <f t="shared" si="3"/>
        <v>147.93297925523819</v>
      </c>
    </row>
    <row r="61" spans="1:3">
      <c r="A61" s="2">
        <v>61</v>
      </c>
      <c r="B61">
        <f t="shared" si="2"/>
        <v>72.766749228600005</v>
      </c>
      <c r="C61">
        <f t="shared" si="3"/>
        <v>149.07101957115944</v>
      </c>
    </row>
    <row r="62" spans="1:3">
      <c r="A62" s="2">
        <v>62</v>
      </c>
      <c r="B62">
        <f t="shared" si="2"/>
        <v>73.891466477199998</v>
      </c>
      <c r="C62">
        <f t="shared" si="3"/>
        <v>150.20947213030516</v>
      </c>
    </row>
    <row r="63" spans="1:3">
      <c r="A63" s="2">
        <v>63</v>
      </c>
      <c r="B63">
        <f t="shared" si="2"/>
        <v>75.016183725800005</v>
      </c>
      <c r="C63">
        <f t="shared" si="3"/>
        <v>151.34833671013655</v>
      </c>
    </row>
    <row r="64" spans="1:3">
      <c r="A64" s="2">
        <v>64</v>
      </c>
      <c r="B64">
        <f t="shared" si="2"/>
        <v>76.140900974399997</v>
      </c>
      <c r="C64">
        <f t="shared" si="3"/>
        <v>152.4876130816067</v>
      </c>
    </row>
    <row r="65" spans="1:3">
      <c r="A65" s="2">
        <v>65</v>
      </c>
      <c r="B65">
        <f t="shared" ref="B65:B70" si="4">5.2837143126+(A65-1)*1.1247172486</f>
        <v>77.265618223000004</v>
      </c>
      <c r="C65">
        <f t="shared" ref="C65:C70" si="5">0+1*B65+75.846578674157*(1.00625+(B65-36.06875)^2/230004.299521756)^0.5</f>
        <v>153.62730100917895</v>
      </c>
    </row>
    <row r="66" spans="1:3">
      <c r="A66" s="2">
        <v>66</v>
      </c>
      <c r="B66">
        <f t="shared" si="4"/>
        <v>78.390335471600011</v>
      </c>
      <c r="C66">
        <f t="shared" si="5"/>
        <v>154.76740025084581</v>
      </c>
    </row>
    <row r="67" spans="1:3">
      <c r="A67" s="2">
        <v>67</v>
      </c>
      <c r="B67">
        <f t="shared" si="4"/>
        <v>79.515052720200003</v>
      </c>
      <c r="C67">
        <f t="shared" si="5"/>
        <v>155.9079105581483</v>
      </c>
    </row>
    <row r="68" spans="1:3">
      <c r="A68" s="2">
        <v>68</v>
      </c>
      <c r="B68">
        <f t="shared" si="4"/>
        <v>80.63976996880001</v>
      </c>
      <c r="C68">
        <f t="shared" si="5"/>
        <v>157.04883167619582</v>
      </c>
    </row>
    <row r="69" spans="1:3">
      <c r="A69" s="2">
        <v>69</v>
      </c>
      <c r="B69">
        <f t="shared" si="4"/>
        <v>81.764487217400003</v>
      </c>
      <c r="C69">
        <f t="shared" si="5"/>
        <v>158.19016334368649</v>
      </c>
    </row>
    <row r="70" spans="1:3">
      <c r="A70" s="2">
        <v>70</v>
      </c>
      <c r="B70">
        <f t="shared" si="4"/>
        <v>82.88920446600001</v>
      </c>
      <c r="C70">
        <f t="shared" si="5"/>
        <v>159.33190529292801</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enableFormatConditionsCalculation="0"/>
  <dimension ref="A1:C100"/>
  <sheetViews>
    <sheetView workbookViewId="0"/>
  </sheetViews>
  <sheetFormatPr baseColWidth="10" defaultRowHeight="15.75"/>
  <sheetData>
    <row r="1" spans="1:3">
      <c r="A1" s="2">
        <v>1</v>
      </c>
      <c r="B1">
        <f t="shared" ref="B1:B32" si="0">-4.198+(A1-1)*1.0021818182</f>
        <v>-4.1980000000000004</v>
      </c>
      <c r="C1">
        <f t="shared" ref="C1:C32" si="1">0.0112635992641968+0.000393196037102469*B1-0.0543737267268454*(1.00219298245614+(B1-26.2795394736842)^2/259256.71280329)^0.5</f>
        <v>-4.4917565367869505E-2</v>
      </c>
    </row>
    <row r="2" spans="1:3">
      <c r="A2" s="2">
        <v>2</v>
      </c>
      <c r="B2">
        <f t="shared" si="0"/>
        <v>-3.1958181818000004</v>
      </c>
      <c r="C2">
        <f t="shared" si="1"/>
        <v>-4.4517228547616958E-2</v>
      </c>
    </row>
    <row r="3" spans="1:3">
      <c r="A3" s="2">
        <v>3</v>
      </c>
      <c r="B3">
        <f t="shared" si="0"/>
        <v>-2.1936363636000005</v>
      </c>
      <c r="C3">
        <f t="shared" si="1"/>
        <v>-4.4117101091071351E-2</v>
      </c>
    </row>
    <row r="4" spans="1:3">
      <c r="A4" s="2">
        <v>4</v>
      </c>
      <c r="B4">
        <f t="shared" si="0"/>
        <v>-1.1914545454000005</v>
      </c>
      <c r="C4">
        <f t="shared" si="1"/>
        <v>-4.3717183068212026E-2</v>
      </c>
    </row>
    <row r="5" spans="1:3">
      <c r="A5" s="2">
        <v>5</v>
      </c>
      <c r="B5">
        <f t="shared" si="0"/>
        <v>-0.18927272720000055</v>
      </c>
      <c r="C5">
        <f t="shared" si="1"/>
        <v>-4.3317474546634815E-2</v>
      </c>
    </row>
    <row r="6" spans="1:3">
      <c r="A6" s="2">
        <v>6</v>
      </c>
      <c r="B6">
        <f t="shared" si="0"/>
        <v>0.81290909099999986</v>
      </c>
      <c r="C6">
        <f t="shared" si="1"/>
        <v>-4.2917975591548148E-2</v>
      </c>
    </row>
    <row r="7" spans="1:3">
      <c r="A7" s="2">
        <v>7</v>
      </c>
      <c r="B7">
        <f t="shared" si="0"/>
        <v>1.8150909091999994</v>
      </c>
      <c r="C7">
        <f t="shared" si="1"/>
        <v>-4.2518686265769379E-2</v>
      </c>
    </row>
    <row r="8" spans="1:3">
      <c r="A8" s="2">
        <v>8</v>
      </c>
      <c r="B8">
        <f t="shared" si="0"/>
        <v>2.8172727273999989</v>
      </c>
      <c r="C8">
        <f t="shared" si="1"/>
        <v>-4.2119606629721064E-2</v>
      </c>
    </row>
    <row r="9" spans="1:3">
      <c r="A9" s="2">
        <v>9</v>
      </c>
      <c r="B9">
        <f t="shared" si="0"/>
        <v>3.8194545455999993</v>
      </c>
      <c r="C9">
        <f t="shared" si="1"/>
        <v>-4.1720736741427587E-2</v>
      </c>
    </row>
    <row r="10" spans="1:3">
      <c r="A10" s="2">
        <v>10</v>
      </c>
      <c r="B10">
        <f t="shared" si="0"/>
        <v>4.8216363637999997</v>
      </c>
      <c r="C10">
        <f t="shared" si="1"/>
        <v>-4.1322076656511754E-2</v>
      </c>
    </row>
    <row r="11" spans="1:3">
      <c r="A11" s="2">
        <v>11</v>
      </c>
      <c r="B11">
        <f t="shared" si="0"/>
        <v>5.8238181820000001</v>
      </c>
      <c r="C11">
        <f t="shared" si="1"/>
        <v>-4.0923626428191667E-2</v>
      </c>
    </row>
    <row r="12" spans="1:3">
      <c r="A12" s="2">
        <v>12</v>
      </c>
      <c r="B12">
        <f t="shared" si="0"/>
        <v>6.8260000001999988</v>
      </c>
      <c r="C12">
        <f t="shared" si="1"/>
        <v>-4.0525386107277531E-2</v>
      </c>
    </row>
    <row r="13" spans="1:3">
      <c r="A13" s="2">
        <v>13</v>
      </c>
      <c r="B13">
        <f t="shared" si="0"/>
        <v>7.8281818183999992</v>
      </c>
      <c r="C13">
        <f t="shared" si="1"/>
        <v>-4.0127355742168844E-2</v>
      </c>
    </row>
    <row r="14" spans="1:3">
      <c r="A14" s="2">
        <v>14</v>
      </c>
      <c r="B14">
        <f t="shared" si="0"/>
        <v>8.8303636365999996</v>
      </c>
      <c r="C14">
        <f t="shared" si="1"/>
        <v>-3.9729535378851558E-2</v>
      </c>
    </row>
    <row r="15" spans="1:3">
      <c r="A15" s="2">
        <v>15</v>
      </c>
      <c r="B15">
        <f t="shared" si="0"/>
        <v>9.8325454547999982</v>
      </c>
      <c r="C15">
        <f t="shared" si="1"/>
        <v>-3.9331925060895424E-2</v>
      </c>
    </row>
    <row r="16" spans="1:3">
      <c r="A16" s="2">
        <v>16</v>
      </c>
      <c r="B16">
        <f t="shared" si="0"/>
        <v>10.834727272999999</v>
      </c>
      <c r="C16">
        <f t="shared" si="1"/>
        <v>-3.8934524829451443E-2</v>
      </c>
    </row>
    <row r="17" spans="1:3">
      <c r="A17" s="2">
        <v>17</v>
      </c>
      <c r="B17">
        <f t="shared" si="0"/>
        <v>11.836909091199999</v>
      </c>
      <c r="C17">
        <f t="shared" si="1"/>
        <v>-3.8537334723249606E-2</v>
      </c>
    </row>
    <row r="18" spans="1:3">
      <c r="A18" s="2">
        <v>18</v>
      </c>
      <c r="B18">
        <f t="shared" si="0"/>
        <v>12.839090909399999</v>
      </c>
      <c r="C18">
        <f t="shared" si="1"/>
        <v>-3.8140354778596466E-2</v>
      </c>
    </row>
    <row r="19" spans="1:3">
      <c r="A19" s="2">
        <v>19</v>
      </c>
      <c r="B19">
        <f t="shared" si="0"/>
        <v>13.8412727276</v>
      </c>
      <c r="C19">
        <f t="shared" si="1"/>
        <v>-3.7743585029373243E-2</v>
      </c>
    </row>
    <row r="20" spans="1:3">
      <c r="A20" s="2">
        <v>20</v>
      </c>
      <c r="B20">
        <f t="shared" si="0"/>
        <v>14.8434545458</v>
      </c>
      <c r="C20">
        <f t="shared" si="1"/>
        <v>-3.7347025507033713E-2</v>
      </c>
    </row>
    <row r="21" spans="1:3">
      <c r="A21" s="2">
        <v>21</v>
      </c>
      <c r="B21">
        <f t="shared" si="0"/>
        <v>15.845636364000001</v>
      </c>
      <c r="C21">
        <f t="shared" si="1"/>
        <v>-3.6950676240602484E-2</v>
      </c>
    </row>
    <row r="22" spans="1:3">
      <c r="A22" s="2">
        <v>22</v>
      </c>
      <c r="B22">
        <f t="shared" si="0"/>
        <v>16.847818182199997</v>
      </c>
      <c r="C22">
        <f t="shared" si="1"/>
        <v>-3.6554537256673236E-2</v>
      </c>
    </row>
    <row r="23" spans="1:3">
      <c r="A23" s="2">
        <v>23</v>
      </c>
      <c r="B23">
        <f t="shared" si="0"/>
        <v>17.850000000399998</v>
      </c>
      <c r="C23">
        <f t="shared" si="1"/>
        <v>-3.6158608579407225E-2</v>
      </c>
    </row>
    <row r="24" spans="1:3">
      <c r="A24" s="2">
        <v>24</v>
      </c>
      <c r="B24">
        <f t="shared" si="0"/>
        <v>18.852181818599998</v>
      </c>
      <c r="C24">
        <f t="shared" si="1"/>
        <v>-3.5762890230531919E-2</v>
      </c>
    </row>
    <row r="25" spans="1:3">
      <c r="A25" s="2">
        <v>25</v>
      </c>
      <c r="B25">
        <f t="shared" si="0"/>
        <v>19.854363636799999</v>
      </c>
      <c r="C25">
        <f t="shared" si="1"/>
        <v>-3.5367382229339661E-2</v>
      </c>
    </row>
    <row r="26" spans="1:3">
      <c r="A26" s="2">
        <v>26</v>
      </c>
      <c r="B26">
        <f t="shared" si="0"/>
        <v>20.856545454999999</v>
      </c>
      <c r="C26">
        <f t="shared" si="1"/>
        <v>-3.4972084592686602E-2</v>
      </c>
    </row>
    <row r="27" spans="1:3">
      <c r="A27" s="2">
        <v>27</v>
      </c>
      <c r="B27">
        <f t="shared" si="0"/>
        <v>21.8587272732</v>
      </c>
      <c r="C27">
        <f t="shared" si="1"/>
        <v>-3.457699733499172E-2</v>
      </c>
    </row>
    <row r="28" spans="1:3">
      <c r="A28" s="2">
        <v>28</v>
      </c>
      <c r="B28">
        <f t="shared" si="0"/>
        <v>22.8609090914</v>
      </c>
      <c r="C28">
        <f t="shared" si="1"/>
        <v>-3.4182120468235974E-2</v>
      </c>
    </row>
    <row r="29" spans="1:3">
      <c r="A29" s="2">
        <v>29</v>
      </c>
      <c r="B29">
        <f t="shared" si="0"/>
        <v>23.863090909599997</v>
      </c>
      <c r="C29">
        <f t="shared" si="1"/>
        <v>-3.3787454001961613E-2</v>
      </c>
    </row>
    <row r="30" spans="1:3">
      <c r="A30" s="2">
        <v>30</v>
      </c>
      <c r="B30">
        <f t="shared" si="0"/>
        <v>24.865272727799997</v>
      </c>
      <c r="C30">
        <f t="shared" si="1"/>
        <v>-3.3392997943271621E-2</v>
      </c>
    </row>
    <row r="31" spans="1:3">
      <c r="A31" s="2">
        <v>31</v>
      </c>
      <c r="B31">
        <f t="shared" si="0"/>
        <v>25.867454545999998</v>
      </c>
      <c r="C31">
        <f t="shared" si="1"/>
        <v>-3.299875229682931E-2</v>
      </c>
    </row>
    <row r="32" spans="1:3">
      <c r="A32" s="2">
        <v>32</v>
      </c>
      <c r="B32">
        <f t="shared" si="0"/>
        <v>26.869636364199998</v>
      </c>
      <c r="C32">
        <f t="shared" si="1"/>
        <v>-3.2604717064858027E-2</v>
      </c>
    </row>
    <row r="33" spans="1:3">
      <c r="A33" s="2">
        <v>33</v>
      </c>
      <c r="B33">
        <f t="shared" ref="B33:B64" si="2">-4.198+(A33-1)*1.0021818182</f>
        <v>27.871818182399998</v>
      </c>
      <c r="C33">
        <f t="shared" ref="C33:C64" si="3">0.0112635992641968+0.000393196037102469*B33-0.0543737267268454*(1.00219298245614+(B33-26.2795394736842)^2/259256.71280329)^0.5</f>
        <v>-3.2210892247141083E-2</v>
      </c>
    </row>
    <row r="34" spans="1:3">
      <c r="A34" s="2">
        <v>34</v>
      </c>
      <c r="B34">
        <f t="shared" si="2"/>
        <v>28.874000000599999</v>
      </c>
      <c r="C34">
        <f t="shared" si="3"/>
        <v>-3.1817277841021702E-2</v>
      </c>
    </row>
    <row r="35" spans="1:3">
      <c r="A35" s="2">
        <v>35</v>
      </c>
      <c r="B35">
        <f t="shared" si="2"/>
        <v>29.876181818799999</v>
      </c>
      <c r="C35">
        <f t="shared" si="3"/>
        <v>-3.1423873841403202E-2</v>
      </c>
    </row>
    <row r="36" spans="1:3">
      <c r="A36" s="2">
        <v>36</v>
      </c>
      <c r="B36">
        <f t="shared" si="2"/>
        <v>30.878363637</v>
      </c>
      <c r="C36">
        <f t="shared" si="3"/>
        <v>-3.103068024074928E-2</v>
      </c>
    </row>
    <row r="37" spans="1:3">
      <c r="A37" s="2">
        <v>37</v>
      </c>
      <c r="B37">
        <f t="shared" si="2"/>
        <v>31.8805454552</v>
      </c>
      <c r="C37">
        <f t="shared" si="3"/>
        <v>-3.0637697029084483E-2</v>
      </c>
    </row>
    <row r="38" spans="1:3">
      <c r="A38" s="2">
        <v>38</v>
      </c>
      <c r="B38">
        <f t="shared" si="2"/>
        <v>32.8827272734</v>
      </c>
      <c r="C38">
        <f t="shared" si="3"/>
        <v>-3.0244924193994761E-2</v>
      </c>
    </row>
    <row r="39" spans="1:3">
      <c r="A39" s="2">
        <v>39</v>
      </c>
      <c r="B39">
        <f t="shared" si="2"/>
        <v>33.884909091600001</v>
      </c>
      <c r="C39">
        <f t="shared" si="3"/>
        <v>-2.9852361720628141E-2</v>
      </c>
    </row>
    <row r="40" spans="1:3">
      <c r="A40" s="2">
        <v>40</v>
      </c>
      <c r="B40">
        <f t="shared" si="2"/>
        <v>34.887090909800001</v>
      </c>
      <c r="C40">
        <f t="shared" si="3"/>
        <v>-2.9460009591695674E-2</v>
      </c>
    </row>
    <row r="41" spans="1:3">
      <c r="A41" s="2">
        <v>41</v>
      </c>
      <c r="B41">
        <f t="shared" si="2"/>
        <v>35.889272728000002</v>
      </c>
      <c r="C41">
        <f t="shared" si="3"/>
        <v>-2.90678677874724E-2</v>
      </c>
    </row>
    <row r="42" spans="1:3">
      <c r="A42" s="2">
        <v>42</v>
      </c>
      <c r="B42">
        <f t="shared" si="2"/>
        <v>36.891454546199995</v>
      </c>
      <c r="C42">
        <f t="shared" si="3"/>
        <v>-2.8675936285798481E-2</v>
      </c>
    </row>
    <row r="43" spans="1:3">
      <c r="A43" s="2">
        <v>43</v>
      </c>
      <c r="B43">
        <f t="shared" si="2"/>
        <v>37.893636364399995</v>
      </c>
      <c r="C43">
        <f t="shared" si="3"/>
        <v>-2.8284215062080446E-2</v>
      </c>
    </row>
    <row r="44" spans="1:3">
      <c r="A44" s="2">
        <v>44</v>
      </c>
      <c r="B44">
        <f t="shared" si="2"/>
        <v>38.895818182599996</v>
      </c>
      <c r="C44">
        <f t="shared" si="3"/>
        <v>-2.7892704089292734E-2</v>
      </c>
    </row>
    <row r="45" spans="1:3">
      <c r="A45" s="2">
        <v>45</v>
      </c>
      <c r="B45">
        <f t="shared" si="2"/>
        <v>39.898000000799996</v>
      </c>
      <c r="C45">
        <f t="shared" si="3"/>
        <v>-2.7501403337979131E-2</v>
      </c>
    </row>
    <row r="46" spans="1:3">
      <c r="A46" s="2">
        <v>46</v>
      </c>
      <c r="B46">
        <f t="shared" si="2"/>
        <v>40.900181818999997</v>
      </c>
      <c r="C46">
        <f t="shared" si="3"/>
        <v>-2.7110312776254537E-2</v>
      </c>
    </row>
    <row r="47" spans="1:3">
      <c r="A47" s="2">
        <v>47</v>
      </c>
      <c r="B47">
        <f t="shared" si="2"/>
        <v>41.902363637199997</v>
      </c>
      <c r="C47">
        <f t="shared" si="3"/>
        <v>-2.6719432369806818E-2</v>
      </c>
    </row>
    <row r="48" spans="1:3">
      <c r="A48" s="2">
        <v>48</v>
      </c>
      <c r="B48">
        <f t="shared" si="2"/>
        <v>42.904545455399997</v>
      </c>
      <c r="C48">
        <f t="shared" si="3"/>
        <v>-2.6328762081898778E-2</v>
      </c>
    </row>
    <row r="49" spans="1:3">
      <c r="A49" s="2">
        <v>49</v>
      </c>
      <c r="B49">
        <f t="shared" si="2"/>
        <v>43.906727273599998</v>
      </c>
      <c r="C49">
        <f t="shared" si="3"/>
        <v>-2.5938301873370234E-2</v>
      </c>
    </row>
    <row r="50" spans="1:3">
      <c r="A50" s="2">
        <v>50</v>
      </c>
      <c r="B50">
        <f t="shared" si="2"/>
        <v>44.908909091799998</v>
      </c>
      <c r="C50">
        <f t="shared" si="3"/>
        <v>-2.5548051702640365E-2</v>
      </c>
    </row>
    <row r="51" spans="1:3">
      <c r="A51" s="2">
        <v>51</v>
      </c>
      <c r="B51">
        <f t="shared" si="2"/>
        <v>45.911090909999999</v>
      </c>
      <c r="C51">
        <f t="shared" si="3"/>
        <v>-2.5158011525710067E-2</v>
      </c>
    </row>
    <row r="52" spans="1:3">
      <c r="A52" s="2">
        <v>52</v>
      </c>
      <c r="B52">
        <f t="shared" si="2"/>
        <v>46.913272728199999</v>
      </c>
      <c r="C52">
        <f t="shared" si="3"/>
        <v>-2.4768181296164482E-2</v>
      </c>
    </row>
    <row r="53" spans="1:3">
      <c r="A53" s="2">
        <v>53</v>
      </c>
      <c r="B53">
        <f t="shared" si="2"/>
        <v>47.915454546399999</v>
      </c>
      <c r="C53">
        <f t="shared" si="3"/>
        <v>-2.4378560965175711E-2</v>
      </c>
    </row>
    <row r="54" spans="1:3">
      <c r="A54" s="2">
        <v>54</v>
      </c>
      <c r="B54">
        <f t="shared" si="2"/>
        <v>48.9176363646</v>
      </c>
      <c r="C54">
        <f t="shared" si="3"/>
        <v>-2.3989150481505607E-2</v>
      </c>
    </row>
    <row r="55" spans="1:3">
      <c r="A55" s="2">
        <v>55</v>
      </c>
      <c r="B55">
        <f t="shared" si="2"/>
        <v>49.9198181828</v>
      </c>
      <c r="C55">
        <f t="shared" si="3"/>
        <v>-2.3599949791508749E-2</v>
      </c>
    </row>
    <row r="56" spans="1:3">
      <c r="A56" s="2">
        <v>56</v>
      </c>
      <c r="B56">
        <f t="shared" si="2"/>
        <v>50.922000001000001</v>
      </c>
      <c r="C56">
        <f t="shared" si="3"/>
        <v>-2.3210958839135487E-2</v>
      </c>
    </row>
    <row r="57" spans="1:3">
      <c r="A57" s="2">
        <v>57</v>
      </c>
      <c r="B57">
        <f t="shared" si="2"/>
        <v>51.924181819199994</v>
      </c>
      <c r="C57">
        <f t="shared" si="3"/>
        <v>-2.2822177565935228E-2</v>
      </c>
    </row>
    <row r="58" spans="1:3">
      <c r="A58" s="2">
        <v>58</v>
      </c>
      <c r="B58">
        <f t="shared" si="2"/>
        <v>52.926363637399994</v>
      </c>
      <c r="C58">
        <f t="shared" si="3"/>
        <v>-2.2433605911059751E-2</v>
      </c>
    </row>
    <row r="59" spans="1:3">
      <c r="A59" s="2">
        <v>59</v>
      </c>
      <c r="B59">
        <f t="shared" si="2"/>
        <v>53.928545455599995</v>
      </c>
      <c r="C59">
        <f t="shared" si="3"/>
        <v>-2.2045243811266754E-2</v>
      </c>
    </row>
    <row r="60" spans="1:3">
      <c r="A60" s="2">
        <v>60</v>
      </c>
      <c r="B60">
        <f t="shared" si="2"/>
        <v>54.930727273799995</v>
      </c>
      <c r="C60">
        <f t="shared" si="3"/>
        <v>-2.1657091200923469E-2</v>
      </c>
    </row>
    <row r="61" spans="1:3">
      <c r="A61" s="2">
        <v>61</v>
      </c>
      <c r="B61">
        <f t="shared" si="2"/>
        <v>55.932909091999996</v>
      </c>
      <c r="C61">
        <f t="shared" si="3"/>
        <v>-2.1269148012010373E-2</v>
      </c>
    </row>
    <row r="62" spans="1:3">
      <c r="A62" s="2">
        <v>62</v>
      </c>
      <c r="B62">
        <f t="shared" si="2"/>
        <v>56.935090910199996</v>
      </c>
      <c r="C62">
        <f t="shared" si="3"/>
        <v>-2.0881414174125215E-2</v>
      </c>
    </row>
    <row r="63" spans="1:3">
      <c r="A63" s="2">
        <v>63</v>
      </c>
      <c r="B63">
        <f t="shared" si="2"/>
        <v>57.937272728399996</v>
      </c>
      <c r="C63">
        <f t="shared" si="3"/>
        <v>-2.0493889614486935E-2</v>
      </c>
    </row>
    <row r="64" spans="1:3">
      <c r="A64" s="2">
        <v>64</v>
      </c>
      <c r="B64">
        <f t="shared" si="2"/>
        <v>58.939454546599997</v>
      </c>
      <c r="C64">
        <f t="shared" si="3"/>
        <v>-2.0106574257939915E-2</v>
      </c>
    </row>
    <row r="65" spans="1:3">
      <c r="A65" s="2">
        <v>65</v>
      </c>
      <c r="B65">
        <f t="shared" ref="B65:B96" si="4">-4.198+(A65-1)*1.0021818182</f>
        <v>59.941636364799997</v>
      </c>
      <c r="C65">
        <f t="shared" ref="C65:C96" si="5">0.0112635992641968+0.000393196037102469*B65-0.0543737267268454*(1.00219298245614+(B65-26.2795394736842)^2/259256.71280329)^0.5</f>
        <v>-1.9719468026958231E-2</v>
      </c>
    </row>
    <row r="66" spans="1:3">
      <c r="A66" s="2">
        <v>66</v>
      </c>
      <c r="B66">
        <f t="shared" si="4"/>
        <v>60.943818182999998</v>
      </c>
      <c r="C66">
        <f t="shared" si="5"/>
        <v>-1.9332570841650125E-2</v>
      </c>
    </row>
    <row r="67" spans="1:3">
      <c r="A67" s="2">
        <v>67</v>
      </c>
      <c r="B67">
        <f t="shared" si="4"/>
        <v>61.946000001199998</v>
      </c>
      <c r="C67">
        <f t="shared" si="5"/>
        <v>-1.8945882619762544E-2</v>
      </c>
    </row>
    <row r="68" spans="1:3">
      <c r="A68" s="2">
        <v>68</v>
      </c>
      <c r="B68">
        <f t="shared" si="4"/>
        <v>62.948181819399998</v>
      </c>
      <c r="C68">
        <f t="shared" si="5"/>
        <v>-1.8559403276685878E-2</v>
      </c>
    </row>
    <row r="69" spans="1:3">
      <c r="A69" s="2">
        <v>69</v>
      </c>
      <c r="B69">
        <f t="shared" si="4"/>
        <v>63.950363637599999</v>
      </c>
      <c r="C69">
        <f t="shared" si="5"/>
        <v>-1.8173132725458715E-2</v>
      </c>
    </row>
    <row r="70" spans="1:3">
      <c r="A70" s="2">
        <v>70</v>
      </c>
      <c r="B70">
        <f t="shared" si="4"/>
        <v>64.952545455799992</v>
      </c>
      <c r="C70">
        <f t="shared" si="5"/>
        <v>-1.7787070876772892E-2</v>
      </c>
    </row>
    <row r="71" spans="1:3">
      <c r="A71" s="2">
        <v>71</v>
      </c>
      <c r="B71">
        <f t="shared" si="4"/>
        <v>65.954727273999993</v>
      </c>
      <c r="C71">
        <f t="shared" si="5"/>
        <v>-1.7401217638978513E-2</v>
      </c>
    </row>
    <row r="72" spans="1:3">
      <c r="A72" s="2">
        <v>72</v>
      </c>
      <c r="B72">
        <f t="shared" si="4"/>
        <v>66.956909092199993</v>
      </c>
      <c r="C72">
        <f t="shared" si="5"/>
        <v>-1.7015572918089215E-2</v>
      </c>
    </row>
    <row r="73" spans="1:3">
      <c r="A73" s="2">
        <v>73</v>
      </c>
      <c r="B73">
        <f t="shared" si="4"/>
        <v>67.959090910399993</v>
      </c>
      <c r="C73">
        <f t="shared" si="5"/>
        <v>-1.6630136617787457E-2</v>
      </c>
    </row>
    <row r="74" spans="1:3">
      <c r="A74" s="2">
        <v>74</v>
      </c>
      <c r="B74">
        <f t="shared" si="4"/>
        <v>68.961272728599994</v>
      </c>
      <c r="C74">
        <f t="shared" si="5"/>
        <v>-1.6244908639430039E-2</v>
      </c>
    </row>
    <row r="75" spans="1:3">
      <c r="A75" s="2">
        <v>75</v>
      </c>
      <c r="B75">
        <f t="shared" si="4"/>
        <v>69.963454546799994</v>
      </c>
      <c r="C75">
        <f t="shared" si="5"/>
        <v>-1.5859888882053634E-2</v>
      </c>
    </row>
    <row r="76" spans="1:3">
      <c r="A76" s="2">
        <v>76</v>
      </c>
      <c r="B76">
        <f t="shared" si="4"/>
        <v>70.965636364999995</v>
      </c>
      <c r="C76">
        <f t="shared" si="5"/>
        <v>-1.5475077242380619E-2</v>
      </c>
    </row>
    <row r="77" spans="1:3">
      <c r="A77" s="2">
        <v>77</v>
      </c>
      <c r="B77">
        <f t="shared" si="4"/>
        <v>71.967818183199995</v>
      </c>
      <c r="C77">
        <f t="shared" si="5"/>
        <v>-1.5090473614824816E-2</v>
      </c>
    </row>
    <row r="78" spans="1:3">
      <c r="A78" s="2">
        <v>78</v>
      </c>
      <c r="B78">
        <f t="shared" si="4"/>
        <v>72.970000001399995</v>
      </c>
      <c r="C78">
        <f t="shared" si="5"/>
        <v>-1.4706077891497533E-2</v>
      </c>
    </row>
    <row r="79" spans="1:3">
      <c r="A79" s="2">
        <v>79</v>
      </c>
      <c r="B79">
        <f t="shared" si="4"/>
        <v>73.972181819599996</v>
      </c>
      <c r="C79">
        <f t="shared" si="5"/>
        <v>-1.4321889962213556E-2</v>
      </c>
    </row>
    <row r="80" spans="1:3">
      <c r="A80" s="2">
        <v>80</v>
      </c>
      <c r="B80">
        <f t="shared" si="4"/>
        <v>74.974363637799996</v>
      </c>
      <c r="C80">
        <f t="shared" si="5"/>
        <v>-1.3937909714497543E-2</v>
      </c>
    </row>
    <row r="81" spans="1:3">
      <c r="A81" s="2">
        <v>81</v>
      </c>
      <c r="B81">
        <f t="shared" si="4"/>
        <v>75.976545455999997</v>
      </c>
      <c r="C81">
        <f t="shared" si="5"/>
        <v>-1.355413703359018E-2</v>
      </c>
    </row>
    <row r="82" spans="1:3">
      <c r="A82" s="2">
        <v>82</v>
      </c>
      <c r="B82">
        <f t="shared" si="4"/>
        <v>76.978727274199997</v>
      </c>
      <c r="C82">
        <f t="shared" si="5"/>
        <v>-1.3170571802454734E-2</v>
      </c>
    </row>
    <row r="83" spans="1:3">
      <c r="A83" s="2">
        <v>83</v>
      </c>
      <c r="B83">
        <f t="shared" si="4"/>
        <v>77.980909092399997</v>
      </c>
      <c r="C83">
        <f t="shared" si="5"/>
        <v>-1.2787213901783626E-2</v>
      </c>
    </row>
    <row r="84" spans="1:3">
      <c r="A84" s="2">
        <v>84</v>
      </c>
      <c r="B84">
        <f t="shared" si="4"/>
        <v>78.983090910599998</v>
      </c>
      <c r="C84">
        <f t="shared" si="5"/>
        <v>-1.2404063210005117E-2</v>
      </c>
    </row>
    <row r="85" spans="1:3">
      <c r="A85" s="2">
        <v>85</v>
      </c>
      <c r="B85">
        <f t="shared" si="4"/>
        <v>79.985272728799998</v>
      </c>
      <c r="C85">
        <f t="shared" si="5"/>
        <v>-1.2021119603290095E-2</v>
      </c>
    </row>
    <row r="86" spans="1:3">
      <c r="A86" s="2">
        <v>86</v>
      </c>
      <c r="B86">
        <f t="shared" si="4"/>
        <v>80.987454546999999</v>
      </c>
      <c r="C86">
        <f t="shared" si="5"/>
        <v>-1.1638382955559093E-2</v>
      </c>
    </row>
    <row r="87" spans="1:3">
      <c r="A87" s="2">
        <v>87</v>
      </c>
      <c r="B87">
        <f t="shared" si="4"/>
        <v>81.989636365199999</v>
      </c>
      <c r="C87">
        <f t="shared" si="5"/>
        <v>-1.1255853138489209E-2</v>
      </c>
    </row>
    <row r="88" spans="1:3">
      <c r="A88" s="2">
        <v>88</v>
      </c>
      <c r="B88">
        <f t="shared" si="4"/>
        <v>82.991818183399999</v>
      </c>
      <c r="C88">
        <f t="shared" si="5"/>
        <v>-1.0873530021521402E-2</v>
      </c>
    </row>
    <row r="89" spans="1:3">
      <c r="A89" s="2">
        <v>89</v>
      </c>
      <c r="B89">
        <f t="shared" si="4"/>
        <v>83.9940000016</v>
      </c>
      <c r="C89">
        <f t="shared" si="5"/>
        <v>-1.0491413471867703E-2</v>
      </c>
    </row>
    <row r="90" spans="1:3">
      <c r="A90" s="2">
        <v>90</v>
      </c>
      <c r="B90">
        <f t="shared" si="4"/>
        <v>84.9961818198</v>
      </c>
      <c r="C90">
        <f t="shared" si="5"/>
        <v>-1.0109503354518587E-2</v>
      </c>
    </row>
    <row r="91" spans="1:3">
      <c r="A91" s="2">
        <v>91</v>
      </c>
      <c r="B91">
        <f t="shared" si="4"/>
        <v>85.998363638000001</v>
      </c>
      <c r="C91">
        <f t="shared" si="5"/>
        <v>-9.7277995322505723E-3</v>
      </c>
    </row>
    <row r="92" spans="1:3">
      <c r="A92" s="2">
        <v>92</v>
      </c>
      <c r="B92">
        <f t="shared" si="4"/>
        <v>87.000545456200001</v>
      </c>
      <c r="C92">
        <f t="shared" si="5"/>
        <v>-9.3463018656337118E-3</v>
      </c>
    </row>
    <row r="93" spans="1:3">
      <c r="A93" s="2">
        <v>93</v>
      </c>
      <c r="B93">
        <f t="shared" si="4"/>
        <v>88.002727274400002</v>
      </c>
      <c r="C93">
        <f t="shared" si="5"/>
        <v>-8.9650102130394566E-3</v>
      </c>
    </row>
    <row r="94" spans="1:3">
      <c r="A94" s="2">
        <v>94</v>
      </c>
      <c r="B94">
        <f t="shared" si="4"/>
        <v>89.004909092600002</v>
      </c>
      <c r="C94">
        <f t="shared" si="5"/>
        <v>-8.583924430648357E-3</v>
      </c>
    </row>
    <row r="95" spans="1:3">
      <c r="A95" s="2">
        <v>95</v>
      </c>
      <c r="B95">
        <f t="shared" si="4"/>
        <v>90.007090910800002</v>
      </c>
      <c r="C95">
        <f t="shared" si="5"/>
        <v>-8.2030443724581334E-3</v>
      </c>
    </row>
    <row r="96" spans="1:3">
      <c r="A96" s="2">
        <v>96</v>
      </c>
      <c r="B96">
        <f t="shared" si="4"/>
        <v>91.009272729000003</v>
      </c>
      <c r="C96">
        <f t="shared" si="5"/>
        <v>-7.8223698902916694E-3</v>
      </c>
    </row>
    <row r="97" spans="1:3">
      <c r="A97" s="2">
        <v>97</v>
      </c>
      <c r="B97">
        <f t="shared" ref="B97:B100" si="6">-4.198+(A97-1)*1.0021818182</f>
        <v>92.011454547200003</v>
      </c>
      <c r="C97">
        <f t="shared" ref="C97:C100" si="7">0.0112635992641968+0.000393196037102469*B97-0.0543737267268454*(1.00219298245614+(B97-26.2795394736842)^2/259256.71280329)^0.5</f>
        <v>-7.441900833805172E-3</v>
      </c>
    </row>
    <row r="98" spans="1:3">
      <c r="A98" s="2">
        <v>98</v>
      </c>
      <c r="B98">
        <f t="shared" si="6"/>
        <v>93.013636365400004</v>
      </c>
      <c r="C98">
        <f t="shared" si="7"/>
        <v>-7.061637050496429E-3</v>
      </c>
    </row>
    <row r="99" spans="1:3">
      <c r="A99" s="2">
        <v>99</v>
      </c>
      <c r="B99">
        <f t="shared" si="6"/>
        <v>94.015818183600004</v>
      </c>
      <c r="C99">
        <f t="shared" si="7"/>
        <v>-6.6815783857132605E-3</v>
      </c>
    </row>
    <row r="100" spans="1:3">
      <c r="A100" s="2">
        <v>100</v>
      </c>
      <c r="B100">
        <f t="shared" si="6"/>
        <v>95.018000001800004</v>
      </c>
      <c r="C100">
        <f t="shared" si="7"/>
        <v>-6.301724682661887E-3</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enableFormatConditionsCalculation="0"/>
  <dimension ref="A1:C100"/>
  <sheetViews>
    <sheetView workbookViewId="0"/>
  </sheetViews>
  <sheetFormatPr baseColWidth="10" defaultRowHeight="15.75"/>
  <sheetData>
    <row r="1" spans="1:3">
      <c r="A1" s="2">
        <v>1</v>
      </c>
      <c r="B1">
        <f t="shared" ref="B1:B32" si="0">-4.198+(A1-1)*1.0021818182</f>
        <v>-4.1980000000000004</v>
      </c>
      <c r="C1">
        <f t="shared" ref="C1:C32" si="1">0.0112635992641968+0.000393196037102469*B1+0.0543737267268454*(1.00219298245614+(B1-26.2795394736842)^2/259256.71280329)^0.5</f>
        <v>6.4143489968750772E-2</v>
      </c>
    </row>
    <row r="2" spans="1:3">
      <c r="A2" s="2">
        <v>2</v>
      </c>
      <c r="B2">
        <f t="shared" si="0"/>
        <v>-3.1958181818000004</v>
      </c>
      <c r="C2">
        <f t="shared" si="1"/>
        <v>6.4531260987243003E-2</v>
      </c>
    </row>
    <row r="3" spans="1:3">
      <c r="A3" s="2">
        <v>3</v>
      </c>
      <c r="B3">
        <f t="shared" si="0"/>
        <v>-2.1936363636000005</v>
      </c>
      <c r="C3">
        <f t="shared" si="1"/>
        <v>6.4919241369442174E-2</v>
      </c>
    </row>
    <row r="4" spans="1:3">
      <c r="A4" s="2">
        <v>4</v>
      </c>
      <c r="B4">
        <f t="shared" si="0"/>
        <v>-1.1914545454000005</v>
      </c>
      <c r="C4">
        <f t="shared" si="1"/>
        <v>6.5307431185327627E-2</v>
      </c>
    </row>
    <row r="5" spans="1:3">
      <c r="A5" s="2">
        <v>5</v>
      </c>
      <c r="B5">
        <f t="shared" si="0"/>
        <v>-0.18927272720000055</v>
      </c>
      <c r="C5">
        <f t="shared" si="1"/>
        <v>6.5695830502495181E-2</v>
      </c>
    </row>
    <row r="6" spans="1:3">
      <c r="A6" s="2">
        <v>6</v>
      </c>
      <c r="B6">
        <f t="shared" si="0"/>
        <v>0.81290909099999986</v>
      </c>
      <c r="C6">
        <f t="shared" si="1"/>
        <v>6.6084439386153299E-2</v>
      </c>
    </row>
    <row r="7" spans="1:3">
      <c r="A7" s="2">
        <v>7</v>
      </c>
      <c r="B7">
        <f t="shared" si="0"/>
        <v>1.8150909091999994</v>
      </c>
      <c r="C7">
        <f t="shared" si="1"/>
        <v>6.6473257899119287E-2</v>
      </c>
    </row>
    <row r="8" spans="1:3">
      <c r="A8" s="2">
        <v>8</v>
      </c>
      <c r="B8">
        <f t="shared" si="0"/>
        <v>2.8172727273999989</v>
      </c>
      <c r="C8">
        <f t="shared" si="1"/>
        <v>6.6862286101815757E-2</v>
      </c>
    </row>
    <row r="9" spans="1:3">
      <c r="A9" s="2">
        <v>9</v>
      </c>
      <c r="B9">
        <f t="shared" si="0"/>
        <v>3.8194545455999993</v>
      </c>
      <c r="C9">
        <f t="shared" si="1"/>
        <v>6.7251524052267059E-2</v>
      </c>
    </row>
    <row r="10" spans="1:3">
      <c r="A10" s="2">
        <v>10</v>
      </c>
      <c r="B10">
        <f t="shared" si="0"/>
        <v>4.8216363637999997</v>
      </c>
      <c r="C10">
        <f t="shared" si="1"/>
        <v>6.764097180609599E-2</v>
      </c>
    </row>
    <row r="11" spans="1:3">
      <c r="A11" s="2">
        <v>11</v>
      </c>
      <c r="B11">
        <f t="shared" si="0"/>
        <v>5.8238181820000001</v>
      </c>
      <c r="C11">
        <f t="shared" si="1"/>
        <v>6.8030629416520674E-2</v>
      </c>
    </row>
    <row r="12" spans="1:3">
      <c r="A12" s="2">
        <v>12</v>
      </c>
      <c r="B12">
        <f t="shared" si="0"/>
        <v>6.8260000001999988</v>
      </c>
      <c r="C12">
        <f t="shared" si="1"/>
        <v>6.8420496934351316E-2</v>
      </c>
    </row>
    <row r="13" spans="1:3">
      <c r="A13" s="2">
        <v>13</v>
      </c>
      <c r="B13">
        <f t="shared" si="0"/>
        <v>7.8281818183999992</v>
      </c>
      <c r="C13">
        <f t="shared" si="1"/>
        <v>6.8810574407987407E-2</v>
      </c>
    </row>
    <row r="14" spans="1:3">
      <c r="A14" s="2">
        <v>14</v>
      </c>
      <c r="B14">
        <f t="shared" si="0"/>
        <v>8.8303636365999996</v>
      </c>
      <c r="C14">
        <f t="shared" si="1"/>
        <v>6.9200861883414899E-2</v>
      </c>
    </row>
    <row r="15" spans="1:3">
      <c r="A15" s="2">
        <v>15</v>
      </c>
      <c r="B15">
        <f t="shared" si="0"/>
        <v>9.8325454547999982</v>
      </c>
      <c r="C15">
        <f t="shared" si="1"/>
        <v>6.9591359404203523E-2</v>
      </c>
    </row>
    <row r="16" spans="1:3">
      <c r="A16" s="2">
        <v>16</v>
      </c>
      <c r="B16">
        <f t="shared" si="0"/>
        <v>10.834727272999999</v>
      </c>
      <c r="C16">
        <f t="shared" si="1"/>
        <v>6.9982067011504334E-2</v>
      </c>
    </row>
    <row r="17" spans="1:3">
      <c r="A17" s="2">
        <v>17</v>
      </c>
      <c r="B17">
        <f t="shared" si="0"/>
        <v>11.836909091199999</v>
      </c>
      <c r="C17">
        <f t="shared" si="1"/>
        <v>7.0372984744047254E-2</v>
      </c>
    </row>
    <row r="18" spans="1:3">
      <c r="A18" s="2">
        <v>18</v>
      </c>
      <c r="B18">
        <f t="shared" si="0"/>
        <v>12.839090909399999</v>
      </c>
      <c r="C18">
        <f t="shared" si="1"/>
        <v>7.0764112638138893E-2</v>
      </c>
    </row>
    <row r="19" spans="1:3">
      <c r="A19" s="2">
        <v>19</v>
      </c>
      <c r="B19">
        <f t="shared" si="0"/>
        <v>13.8412727276</v>
      </c>
      <c r="C19">
        <f t="shared" si="1"/>
        <v>7.1155450727660441E-2</v>
      </c>
    </row>
    <row r="20" spans="1:3">
      <c r="A20" s="2">
        <v>20</v>
      </c>
      <c r="B20">
        <f t="shared" si="0"/>
        <v>14.8434545458</v>
      </c>
      <c r="C20">
        <f t="shared" si="1"/>
        <v>7.1546999044065696E-2</v>
      </c>
    </row>
    <row r="21" spans="1:3">
      <c r="A21" s="2">
        <v>21</v>
      </c>
      <c r="B21">
        <f t="shared" si="0"/>
        <v>15.845636364000001</v>
      </c>
      <c r="C21">
        <f t="shared" si="1"/>
        <v>7.1938757616379231E-2</v>
      </c>
    </row>
    <row r="22" spans="1:3">
      <c r="A22" s="2">
        <v>22</v>
      </c>
      <c r="B22">
        <f t="shared" si="0"/>
        <v>16.847818182199997</v>
      </c>
      <c r="C22">
        <f t="shared" si="1"/>
        <v>7.2330726471194762E-2</v>
      </c>
    </row>
    <row r="23" spans="1:3">
      <c r="A23" s="2">
        <v>23</v>
      </c>
      <c r="B23">
        <f t="shared" si="0"/>
        <v>17.850000000399998</v>
      </c>
      <c r="C23">
        <f t="shared" si="1"/>
        <v>7.2722905632673529E-2</v>
      </c>
    </row>
    <row r="24" spans="1:3">
      <c r="A24" s="2">
        <v>24</v>
      </c>
      <c r="B24">
        <f t="shared" si="0"/>
        <v>18.852181818599998</v>
      </c>
      <c r="C24">
        <f t="shared" si="1"/>
        <v>7.3115295122543E-2</v>
      </c>
    </row>
    <row r="25" spans="1:3">
      <c r="A25" s="2">
        <v>25</v>
      </c>
      <c r="B25">
        <f t="shared" si="0"/>
        <v>19.854363636799999</v>
      </c>
      <c r="C25">
        <f t="shared" si="1"/>
        <v>7.3507894960095507E-2</v>
      </c>
    </row>
    <row r="26" spans="1:3">
      <c r="A26" s="2">
        <v>26</v>
      </c>
      <c r="B26">
        <f t="shared" si="0"/>
        <v>20.856545454999999</v>
      </c>
      <c r="C26">
        <f t="shared" si="1"/>
        <v>7.3900705162187219E-2</v>
      </c>
    </row>
    <row r="27" spans="1:3">
      <c r="A27" s="2">
        <v>27</v>
      </c>
      <c r="B27">
        <f t="shared" si="0"/>
        <v>21.8587272732</v>
      </c>
      <c r="C27">
        <f t="shared" si="1"/>
        <v>7.4293725743237116E-2</v>
      </c>
    </row>
    <row r="28" spans="1:3">
      <c r="A28" s="2">
        <v>28</v>
      </c>
      <c r="B28">
        <f t="shared" si="0"/>
        <v>22.8609090914</v>
      </c>
      <c r="C28">
        <f t="shared" si="1"/>
        <v>7.4686956715226141E-2</v>
      </c>
    </row>
    <row r="29" spans="1:3">
      <c r="A29" s="2">
        <v>29</v>
      </c>
      <c r="B29">
        <f t="shared" si="0"/>
        <v>23.863090909599997</v>
      </c>
      <c r="C29">
        <f t="shared" si="1"/>
        <v>7.5080398087696565E-2</v>
      </c>
    </row>
    <row r="30" spans="1:3">
      <c r="A30" s="2">
        <v>30</v>
      </c>
      <c r="B30">
        <f t="shared" si="0"/>
        <v>24.865272727799997</v>
      </c>
      <c r="C30">
        <f t="shared" si="1"/>
        <v>7.5474049867751344E-2</v>
      </c>
    </row>
    <row r="31" spans="1:3">
      <c r="A31" s="2">
        <v>31</v>
      </c>
      <c r="B31">
        <f t="shared" si="0"/>
        <v>25.867454545999998</v>
      </c>
      <c r="C31">
        <f t="shared" si="1"/>
        <v>7.5867912060053805E-2</v>
      </c>
    </row>
    <row r="32" spans="1:3">
      <c r="A32" s="2">
        <v>32</v>
      </c>
      <c r="B32">
        <f t="shared" si="0"/>
        <v>26.869636364199998</v>
      </c>
      <c r="C32">
        <f t="shared" si="1"/>
        <v>7.6261984666827293E-2</v>
      </c>
    </row>
    <row r="33" spans="1:3">
      <c r="A33" s="2">
        <v>33</v>
      </c>
      <c r="B33">
        <f t="shared" ref="B33:B64" si="2">-4.198+(A33-1)*1.0021818182</f>
        <v>27.871818182399998</v>
      </c>
      <c r="C33">
        <f t="shared" ref="C33:C64" si="3">0.0112635992641968+0.000393196037102469*B33+0.0543737267268454*(1.00219298245614+(B33-26.2795394736842)^2/259256.71280329)^0.5</f>
        <v>7.6656267687855134E-2</v>
      </c>
    </row>
    <row r="34" spans="1:3">
      <c r="A34" s="2">
        <v>34</v>
      </c>
      <c r="B34">
        <f t="shared" si="2"/>
        <v>28.874000000599999</v>
      </c>
      <c r="C34">
        <f t="shared" si="3"/>
        <v>7.7050761120480524E-2</v>
      </c>
    </row>
    <row r="35" spans="1:3">
      <c r="A35" s="2">
        <v>35</v>
      </c>
      <c r="B35">
        <f t="shared" si="2"/>
        <v>29.876181818799999</v>
      </c>
      <c r="C35">
        <f t="shared" si="3"/>
        <v>7.7445464959606788E-2</v>
      </c>
    </row>
    <row r="36" spans="1:3">
      <c r="A36" s="2">
        <v>36</v>
      </c>
      <c r="B36">
        <f t="shared" si="2"/>
        <v>30.878363637</v>
      </c>
      <c r="C36">
        <f t="shared" si="3"/>
        <v>7.7840379197697651E-2</v>
      </c>
    </row>
    <row r="37" spans="1:3">
      <c r="A37" s="2">
        <v>37</v>
      </c>
      <c r="B37">
        <f t="shared" si="2"/>
        <v>31.8805454552</v>
      </c>
      <c r="C37">
        <f t="shared" si="3"/>
        <v>7.8235503824777619E-2</v>
      </c>
    </row>
    <row r="38" spans="1:3">
      <c r="A38" s="2">
        <v>38</v>
      </c>
      <c r="B38">
        <f t="shared" si="2"/>
        <v>32.8827272734</v>
      </c>
      <c r="C38">
        <f t="shared" si="3"/>
        <v>7.8630838828432678E-2</v>
      </c>
    </row>
    <row r="39" spans="1:3">
      <c r="A39" s="2">
        <v>39</v>
      </c>
      <c r="B39">
        <f t="shared" si="2"/>
        <v>33.884909091600001</v>
      </c>
      <c r="C39">
        <f t="shared" si="3"/>
        <v>7.9026384193810834E-2</v>
      </c>
    </row>
    <row r="40" spans="1:3">
      <c r="A40" s="2">
        <v>40</v>
      </c>
      <c r="B40">
        <f t="shared" si="2"/>
        <v>34.887090909800001</v>
      </c>
      <c r="C40">
        <f t="shared" si="3"/>
        <v>7.9422139903623137E-2</v>
      </c>
    </row>
    <row r="41" spans="1:3">
      <c r="A41" s="2">
        <v>41</v>
      </c>
      <c r="B41">
        <f t="shared" si="2"/>
        <v>35.889272728000002</v>
      </c>
      <c r="C41">
        <f t="shared" si="3"/>
        <v>7.9818105938144632E-2</v>
      </c>
    </row>
    <row r="42" spans="1:3">
      <c r="A42" s="2">
        <v>42</v>
      </c>
      <c r="B42">
        <f t="shared" si="2"/>
        <v>36.891454546199995</v>
      </c>
      <c r="C42">
        <f t="shared" si="3"/>
        <v>8.0214282275215487E-2</v>
      </c>
    </row>
    <row r="43" spans="1:3">
      <c r="A43" s="2">
        <v>43</v>
      </c>
      <c r="B43">
        <f t="shared" si="2"/>
        <v>37.893636364399995</v>
      </c>
      <c r="C43">
        <f t="shared" si="3"/>
        <v>8.0610668890242237E-2</v>
      </c>
    </row>
    <row r="44" spans="1:3">
      <c r="A44" s="2">
        <v>44</v>
      </c>
      <c r="B44">
        <f t="shared" si="2"/>
        <v>38.895818182599996</v>
      </c>
      <c r="C44">
        <f t="shared" si="3"/>
        <v>8.1007265756199293E-2</v>
      </c>
    </row>
    <row r="45" spans="1:3">
      <c r="A45" s="2">
        <v>45</v>
      </c>
      <c r="B45">
        <f t="shared" si="2"/>
        <v>39.898000000799996</v>
      </c>
      <c r="C45">
        <f t="shared" si="3"/>
        <v>8.1404072843630465E-2</v>
      </c>
    </row>
    <row r="46" spans="1:3">
      <c r="A46" s="2">
        <v>46</v>
      </c>
      <c r="B46">
        <f t="shared" si="2"/>
        <v>40.900181818999997</v>
      </c>
      <c r="C46">
        <f t="shared" si="3"/>
        <v>8.1801090120650649E-2</v>
      </c>
    </row>
    <row r="47" spans="1:3">
      <c r="A47" s="2">
        <v>47</v>
      </c>
      <c r="B47">
        <f t="shared" si="2"/>
        <v>41.902363637199997</v>
      </c>
      <c r="C47">
        <f t="shared" si="3"/>
        <v>8.2198317552947708E-2</v>
      </c>
    </row>
    <row r="48" spans="1:3">
      <c r="A48" s="2">
        <v>48</v>
      </c>
      <c r="B48">
        <f t="shared" si="2"/>
        <v>42.904545455399997</v>
      </c>
      <c r="C48">
        <f t="shared" si="3"/>
        <v>8.2595755103784418E-2</v>
      </c>
    </row>
    <row r="49" spans="1:3">
      <c r="A49" s="2">
        <v>49</v>
      </c>
      <c r="B49">
        <f t="shared" si="2"/>
        <v>43.906727273599998</v>
      </c>
      <c r="C49">
        <f t="shared" si="3"/>
        <v>8.299340273400066E-2</v>
      </c>
    </row>
    <row r="50" spans="1:3">
      <c r="A50" s="2">
        <v>50</v>
      </c>
      <c r="B50">
        <f t="shared" si="2"/>
        <v>44.908909091799998</v>
      </c>
      <c r="C50">
        <f t="shared" si="3"/>
        <v>8.3391260402015568E-2</v>
      </c>
    </row>
    <row r="51" spans="1:3">
      <c r="A51" s="2">
        <v>51</v>
      </c>
      <c r="B51">
        <f t="shared" si="2"/>
        <v>45.911090909999999</v>
      </c>
      <c r="C51">
        <f t="shared" si="3"/>
        <v>8.3789328063830035E-2</v>
      </c>
    </row>
    <row r="52" spans="1:3">
      <c r="A52" s="2">
        <v>52</v>
      </c>
      <c r="B52">
        <f t="shared" si="2"/>
        <v>46.913272728199999</v>
      </c>
      <c r="C52">
        <f t="shared" si="3"/>
        <v>8.4187605673029228E-2</v>
      </c>
    </row>
    <row r="53" spans="1:3">
      <c r="A53" s="2">
        <v>53</v>
      </c>
      <c r="B53">
        <f t="shared" si="2"/>
        <v>47.915454546399999</v>
      </c>
      <c r="C53">
        <f t="shared" si="3"/>
        <v>8.4586093180785235E-2</v>
      </c>
    </row>
    <row r="54" spans="1:3">
      <c r="A54" s="2">
        <v>54</v>
      </c>
      <c r="B54">
        <f t="shared" si="2"/>
        <v>48.9176363646</v>
      </c>
      <c r="C54">
        <f t="shared" si="3"/>
        <v>8.4984790535859916E-2</v>
      </c>
    </row>
    <row r="55" spans="1:3">
      <c r="A55" s="2">
        <v>55</v>
      </c>
      <c r="B55">
        <f t="shared" si="2"/>
        <v>49.9198181828</v>
      </c>
      <c r="C55">
        <f t="shared" si="3"/>
        <v>8.5383697684607823E-2</v>
      </c>
    </row>
    <row r="56" spans="1:3">
      <c r="A56" s="2">
        <v>56</v>
      </c>
      <c r="B56">
        <f t="shared" si="2"/>
        <v>50.922000001000001</v>
      </c>
      <c r="C56">
        <f t="shared" si="3"/>
        <v>8.5782814570979332E-2</v>
      </c>
    </row>
    <row r="57" spans="1:3">
      <c r="A57" s="2">
        <v>57</v>
      </c>
      <c r="B57">
        <f t="shared" si="2"/>
        <v>51.924181819199994</v>
      </c>
      <c r="C57">
        <f t="shared" si="3"/>
        <v>8.6182141136523838E-2</v>
      </c>
    </row>
    <row r="58" spans="1:3">
      <c r="A58" s="2">
        <v>58</v>
      </c>
      <c r="B58">
        <f t="shared" si="2"/>
        <v>52.926363637399994</v>
      </c>
      <c r="C58">
        <f t="shared" si="3"/>
        <v>8.6581677320393138E-2</v>
      </c>
    </row>
    <row r="59" spans="1:3">
      <c r="A59" s="2">
        <v>59</v>
      </c>
      <c r="B59">
        <f t="shared" si="2"/>
        <v>53.928545455599995</v>
      </c>
      <c r="C59">
        <f t="shared" si="3"/>
        <v>8.698142305934492E-2</v>
      </c>
    </row>
    <row r="60" spans="1:3">
      <c r="A60" s="2">
        <v>60</v>
      </c>
      <c r="B60">
        <f t="shared" si="2"/>
        <v>54.930727273799995</v>
      </c>
      <c r="C60">
        <f t="shared" si="3"/>
        <v>8.738137828774642E-2</v>
      </c>
    </row>
    <row r="61" spans="1:3">
      <c r="A61" s="2">
        <v>61</v>
      </c>
      <c r="B61">
        <f t="shared" si="2"/>
        <v>55.932909091999996</v>
      </c>
      <c r="C61">
        <f t="shared" si="3"/>
        <v>8.7781542937578089E-2</v>
      </c>
    </row>
    <row r="62" spans="1:3">
      <c r="A62" s="2">
        <v>62</v>
      </c>
      <c r="B62">
        <f t="shared" si="2"/>
        <v>56.935090910199996</v>
      </c>
      <c r="C62">
        <f t="shared" si="3"/>
        <v>8.8181916938437702E-2</v>
      </c>
    </row>
    <row r="63" spans="1:3">
      <c r="A63" s="2">
        <v>63</v>
      </c>
      <c r="B63">
        <f t="shared" si="2"/>
        <v>57.937272728399996</v>
      </c>
      <c r="C63">
        <f t="shared" si="3"/>
        <v>8.8582500217544199E-2</v>
      </c>
    </row>
    <row r="64" spans="1:3">
      <c r="A64" s="2">
        <v>64</v>
      </c>
      <c r="B64">
        <f t="shared" si="2"/>
        <v>58.939454546599997</v>
      </c>
      <c r="C64">
        <f t="shared" si="3"/>
        <v>8.898329269974195E-2</v>
      </c>
    </row>
    <row r="65" spans="1:3">
      <c r="A65" s="2">
        <v>65</v>
      </c>
      <c r="B65">
        <f t="shared" ref="B65:B96" si="4">-4.198+(A65-1)*1.0021818182</f>
        <v>59.941636364799997</v>
      </c>
      <c r="C65">
        <f t="shared" ref="C65:C96" si="5">0.0112635992641968+0.000393196037102469*B65+0.0543737267268454*(1.00219298245614+(B65-26.2795394736842)^2/259256.71280329)^0.5</f>
        <v>8.9384294307505038E-2</v>
      </c>
    </row>
    <row r="66" spans="1:3">
      <c r="A66" s="2">
        <v>66</v>
      </c>
      <c r="B66">
        <f t="shared" si="4"/>
        <v>60.943818182999998</v>
      </c>
      <c r="C66">
        <f t="shared" si="5"/>
        <v>8.9785504960941703E-2</v>
      </c>
    </row>
    <row r="67" spans="1:3">
      <c r="A67" s="2">
        <v>67</v>
      </c>
      <c r="B67">
        <f t="shared" si="4"/>
        <v>61.946000001199998</v>
      </c>
      <c r="C67">
        <f t="shared" si="5"/>
        <v>9.0186924577798908E-2</v>
      </c>
    </row>
    <row r="68" spans="1:3">
      <c r="A68" s="2">
        <v>68</v>
      </c>
      <c r="B68">
        <f t="shared" si="4"/>
        <v>62.948181819399998</v>
      </c>
      <c r="C68">
        <f t="shared" si="5"/>
        <v>9.0588553073466999E-2</v>
      </c>
    </row>
    <row r="69" spans="1:3">
      <c r="A69" s="2">
        <v>69</v>
      </c>
      <c r="B69">
        <f t="shared" si="4"/>
        <v>63.950363637599999</v>
      </c>
      <c r="C69">
        <f t="shared" si="5"/>
        <v>9.0990390360984622E-2</v>
      </c>
    </row>
    <row r="70" spans="1:3">
      <c r="A70" s="2">
        <v>70</v>
      </c>
      <c r="B70">
        <f t="shared" si="4"/>
        <v>64.952545455799992</v>
      </c>
      <c r="C70">
        <f t="shared" si="5"/>
        <v>9.1392436351043577E-2</v>
      </c>
    </row>
    <row r="71" spans="1:3">
      <c r="A71" s="2">
        <v>71</v>
      </c>
      <c r="B71">
        <f t="shared" si="4"/>
        <v>65.954727273999993</v>
      </c>
      <c r="C71">
        <f t="shared" si="5"/>
        <v>9.1794690951993968E-2</v>
      </c>
    </row>
    <row r="72" spans="1:3">
      <c r="A72" s="2">
        <v>72</v>
      </c>
      <c r="B72">
        <f t="shared" si="4"/>
        <v>66.956909092199993</v>
      </c>
      <c r="C72">
        <f t="shared" si="5"/>
        <v>9.2197154069849435E-2</v>
      </c>
    </row>
    <row r="73" spans="1:3">
      <c r="A73" s="2">
        <v>73</v>
      </c>
      <c r="B73">
        <f t="shared" si="4"/>
        <v>67.959090910399993</v>
      </c>
      <c r="C73">
        <f t="shared" si="5"/>
        <v>9.2599825608292469E-2</v>
      </c>
    </row>
    <row r="74" spans="1:3">
      <c r="A74" s="2">
        <v>74</v>
      </c>
      <c r="B74">
        <f t="shared" si="4"/>
        <v>68.961272728599994</v>
      </c>
      <c r="C74">
        <f t="shared" si="5"/>
        <v>9.3002705468679808E-2</v>
      </c>
    </row>
    <row r="75" spans="1:3">
      <c r="A75" s="2">
        <v>75</v>
      </c>
      <c r="B75">
        <f t="shared" si="4"/>
        <v>69.963454546799994</v>
      </c>
      <c r="C75">
        <f t="shared" si="5"/>
        <v>9.3405793550048188E-2</v>
      </c>
    </row>
    <row r="76" spans="1:3">
      <c r="A76" s="2">
        <v>76</v>
      </c>
      <c r="B76">
        <f t="shared" si="4"/>
        <v>70.965636364999995</v>
      </c>
      <c r="C76">
        <f t="shared" si="5"/>
        <v>9.3809089749119945E-2</v>
      </c>
    </row>
    <row r="77" spans="1:3">
      <c r="A77" s="2">
        <v>77</v>
      </c>
      <c r="B77">
        <f t="shared" si="4"/>
        <v>71.967818183199995</v>
      </c>
      <c r="C77">
        <f t="shared" si="5"/>
        <v>9.4212593960308927E-2</v>
      </c>
    </row>
    <row r="78" spans="1:3">
      <c r="A78" s="2">
        <v>78</v>
      </c>
      <c r="B78">
        <f t="shared" si="4"/>
        <v>72.970000001399995</v>
      </c>
      <c r="C78">
        <f t="shared" si="5"/>
        <v>9.4616306075726408E-2</v>
      </c>
    </row>
    <row r="79" spans="1:3">
      <c r="A79" s="2">
        <v>79</v>
      </c>
      <c r="B79">
        <f t="shared" si="4"/>
        <v>73.972181819599996</v>
      </c>
      <c r="C79">
        <f t="shared" si="5"/>
        <v>9.5020225985187196E-2</v>
      </c>
    </row>
    <row r="80" spans="1:3">
      <c r="A80" s="2">
        <v>80</v>
      </c>
      <c r="B80">
        <f t="shared" si="4"/>
        <v>74.974363637799996</v>
      </c>
      <c r="C80">
        <f t="shared" si="5"/>
        <v>9.5424353576215967E-2</v>
      </c>
    </row>
    <row r="81" spans="1:3">
      <c r="A81" s="2">
        <v>81</v>
      </c>
      <c r="B81">
        <f t="shared" si="4"/>
        <v>75.976545455999997</v>
      </c>
      <c r="C81">
        <f t="shared" si="5"/>
        <v>9.5828688734053383E-2</v>
      </c>
    </row>
    <row r="82" spans="1:3">
      <c r="A82" s="2">
        <v>82</v>
      </c>
      <c r="B82">
        <f t="shared" si="4"/>
        <v>76.978727274199997</v>
      </c>
      <c r="C82">
        <f t="shared" si="5"/>
        <v>9.6233231341662701E-2</v>
      </c>
    </row>
    <row r="83" spans="1:3">
      <c r="A83" s="2">
        <v>83</v>
      </c>
      <c r="B83">
        <f t="shared" si="4"/>
        <v>77.980909092399997</v>
      </c>
      <c r="C83">
        <f t="shared" si="5"/>
        <v>9.6637981279736371E-2</v>
      </c>
    </row>
    <row r="84" spans="1:3">
      <c r="A84" s="2">
        <v>84</v>
      </c>
      <c r="B84">
        <f t="shared" si="4"/>
        <v>78.983090910599998</v>
      </c>
      <c r="C84">
        <f t="shared" si="5"/>
        <v>9.7042938426702641E-2</v>
      </c>
    </row>
    <row r="85" spans="1:3">
      <c r="A85" s="2">
        <v>85</v>
      </c>
      <c r="B85">
        <f t="shared" si="4"/>
        <v>79.985272728799998</v>
      </c>
      <c r="C85">
        <f t="shared" si="5"/>
        <v>9.7448102658732397E-2</v>
      </c>
    </row>
    <row r="86" spans="1:3">
      <c r="A86" s="2">
        <v>86</v>
      </c>
      <c r="B86">
        <f t="shared" si="4"/>
        <v>80.987454546999999</v>
      </c>
      <c r="C86">
        <f t="shared" si="5"/>
        <v>9.7853473849746159E-2</v>
      </c>
    </row>
    <row r="87" spans="1:3">
      <c r="A87" s="2">
        <v>87</v>
      </c>
      <c r="B87">
        <f t="shared" si="4"/>
        <v>81.989636365199999</v>
      </c>
      <c r="C87">
        <f t="shared" si="5"/>
        <v>9.825905187142106E-2</v>
      </c>
    </row>
    <row r="88" spans="1:3">
      <c r="A88" s="2">
        <v>88</v>
      </c>
      <c r="B88">
        <f t="shared" si="4"/>
        <v>82.991818183399999</v>
      </c>
      <c r="C88">
        <f t="shared" si="5"/>
        <v>9.8664836593198024E-2</v>
      </c>
    </row>
    <row r="89" spans="1:3">
      <c r="A89" s="2">
        <v>89</v>
      </c>
      <c r="B89">
        <f t="shared" si="4"/>
        <v>83.9940000016</v>
      </c>
      <c r="C89">
        <f t="shared" si="5"/>
        <v>9.9070827882289103E-2</v>
      </c>
    </row>
    <row r="90" spans="1:3">
      <c r="A90" s="2">
        <v>90</v>
      </c>
      <c r="B90">
        <f t="shared" si="4"/>
        <v>84.9961818198</v>
      </c>
      <c r="C90">
        <f t="shared" si="5"/>
        <v>9.9477025603684752E-2</v>
      </c>
    </row>
    <row r="91" spans="1:3">
      <c r="A91" s="2">
        <v>91</v>
      </c>
      <c r="B91">
        <f t="shared" si="4"/>
        <v>85.998363638000001</v>
      </c>
      <c r="C91">
        <f t="shared" si="5"/>
        <v>9.9883429620161515E-2</v>
      </c>
    </row>
    <row r="92" spans="1:3">
      <c r="A92" s="2">
        <v>92</v>
      </c>
      <c r="B92">
        <f t="shared" si="4"/>
        <v>87.000545456200001</v>
      </c>
      <c r="C92">
        <f t="shared" si="5"/>
        <v>0.10029003979228943</v>
      </c>
    </row>
    <row r="93" spans="1:3">
      <c r="A93" s="2">
        <v>93</v>
      </c>
      <c r="B93">
        <f t="shared" si="4"/>
        <v>88.002727274400002</v>
      </c>
      <c r="C93">
        <f t="shared" si="5"/>
        <v>0.10069685597843994</v>
      </c>
    </row>
    <row r="94" spans="1:3">
      <c r="A94" s="2">
        <v>94</v>
      </c>
      <c r="B94">
        <f t="shared" si="4"/>
        <v>89.004909092600002</v>
      </c>
      <c r="C94">
        <f t="shared" si="5"/>
        <v>0.10110387803479362</v>
      </c>
    </row>
    <row r="95" spans="1:3">
      <c r="A95" s="2">
        <v>95</v>
      </c>
      <c r="B95">
        <f t="shared" si="4"/>
        <v>90.007090910800002</v>
      </c>
      <c r="C95">
        <f t="shared" si="5"/>
        <v>0.10151110581534817</v>
      </c>
    </row>
    <row r="96" spans="1:3">
      <c r="A96" s="2">
        <v>96</v>
      </c>
      <c r="B96">
        <f t="shared" si="4"/>
        <v>91.009272729000003</v>
      </c>
      <c r="C96">
        <f t="shared" si="5"/>
        <v>0.10191853917192649</v>
      </c>
    </row>
    <row r="97" spans="1:3">
      <c r="A97" s="2">
        <v>97</v>
      </c>
      <c r="B97">
        <f t="shared" ref="B97:B100" si="6">-4.198+(A97-1)*1.0021818182</f>
        <v>92.011454547200003</v>
      </c>
      <c r="C97">
        <f t="shared" ref="C97:C100" si="7">0.0112635992641968+0.000393196037102469*B97+0.0543737267268454*(1.00219298245614+(B97-26.2795394736842)^2/259256.71280329)^0.5</f>
        <v>0.10232617795418475</v>
      </c>
    </row>
    <row r="98" spans="1:3">
      <c r="A98" s="2">
        <v>98</v>
      </c>
      <c r="B98">
        <f t="shared" si="6"/>
        <v>93.013636365400004</v>
      </c>
      <c r="C98">
        <f t="shared" si="7"/>
        <v>0.10273402200962078</v>
      </c>
    </row>
    <row r="99" spans="1:3">
      <c r="A99" s="2">
        <v>99</v>
      </c>
      <c r="B99">
        <f t="shared" si="6"/>
        <v>94.015818183600004</v>
      </c>
      <c r="C99">
        <f t="shared" si="7"/>
        <v>0.1031420711835824</v>
      </c>
    </row>
    <row r="100" spans="1:3">
      <c r="A100" s="2">
        <v>100</v>
      </c>
      <c r="B100">
        <f t="shared" si="6"/>
        <v>95.018000001800004</v>
      </c>
      <c r="C100">
        <f t="shared" si="7"/>
        <v>0.1035503253192758</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enableFormatConditionsCalculation="0"/>
  <dimension ref="A1:C70"/>
  <sheetViews>
    <sheetView workbookViewId="0"/>
  </sheetViews>
  <sheetFormatPr baseColWidth="10" defaultRowHeight="15.75"/>
  <sheetData>
    <row r="1" spans="1:3">
      <c r="A1" s="2">
        <v>1</v>
      </c>
      <c r="B1">
        <f t="shared" ref="B1:B32" si="0">0.0115635292+(A1-1)*0.0006215145</f>
        <v>1.15635292E-2</v>
      </c>
      <c r="C1">
        <f t="shared" ref="C1:C32" si="1">0+1*B1-0.0543737267268454*(1.00219298245614+(B1-0.0215966100421274)^2/0.347551548973984)^0.5</f>
        <v>-4.2877650239700124E-2</v>
      </c>
    </row>
    <row r="2" spans="1:3">
      <c r="A2" s="2">
        <v>2</v>
      </c>
      <c r="B2">
        <f t="shared" si="0"/>
        <v>1.21850437E-2</v>
      </c>
      <c r="C2">
        <f t="shared" si="1"/>
        <v>-4.2255191555889422E-2</v>
      </c>
    </row>
    <row r="3" spans="1:3">
      <c r="A3" s="2">
        <v>3</v>
      </c>
      <c r="B3">
        <f t="shared" si="0"/>
        <v>1.28065582E-2</v>
      </c>
      <c r="C3">
        <f t="shared" si="1"/>
        <v>-4.1632793215643178E-2</v>
      </c>
    </row>
    <row r="4" spans="1:3">
      <c r="A4" s="2">
        <v>4</v>
      </c>
      <c r="B4">
        <f t="shared" si="0"/>
        <v>1.34280727E-2</v>
      </c>
      <c r="C4">
        <f t="shared" si="1"/>
        <v>-4.1010455221900513E-2</v>
      </c>
    </row>
    <row r="5" spans="1:3">
      <c r="A5" s="2">
        <v>5</v>
      </c>
      <c r="B5">
        <f t="shared" si="0"/>
        <v>1.4049587200000001E-2</v>
      </c>
      <c r="C5">
        <f t="shared" si="1"/>
        <v>-4.0388177577400083E-2</v>
      </c>
    </row>
    <row r="6" spans="1:3">
      <c r="A6" s="2">
        <v>6</v>
      </c>
      <c r="B6">
        <f t="shared" si="0"/>
        <v>1.4671101700000001E-2</v>
      </c>
      <c r="C6">
        <f t="shared" si="1"/>
        <v>-3.9765960284679956E-2</v>
      </c>
    </row>
    <row r="7" spans="1:3">
      <c r="A7" s="2">
        <v>7</v>
      </c>
      <c r="B7">
        <f t="shared" si="0"/>
        <v>1.5292616200000001E-2</v>
      </c>
      <c r="C7">
        <f t="shared" si="1"/>
        <v>-3.914380334607763E-2</v>
      </c>
    </row>
    <row r="8" spans="1:3">
      <c r="A8" s="2">
        <v>8</v>
      </c>
      <c r="B8">
        <f t="shared" si="0"/>
        <v>1.5914130700000001E-2</v>
      </c>
      <c r="C8">
        <f t="shared" si="1"/>
        <v>-3.8521706763729915E-2</v>
      </c>
    </row>
    <row r="9" spans="1:3">
      <c r="A9" s="2">
        <v>9</v>
      </c>
      <c r="B9">
        <f t="shared" si="0"/>
        <v>1.6535645200000001E-2</v>
      </c>
      <c r="C9">
        <f t="shared" si="1"/>
        <v>-3.7899670539573063E-2</v>
      </c>
    </row>
    <row r="10" spans="1:3">
      <c r="A10" s="2">
        <v>10</v>
      </c>
      <c r="B10">
        <f t="shared" si="0"/>
        <v>1.7157159700000001E-2</v>
      </c>
      <c r="C10">
        <f t="shared" si="1"/>
        <v>-3.7277694675342511E-2</v>
      </c>
    </row>
    <row r="11" spans="1:3">
      <c r="A11" s="2">
        <v>11</v>
      </c>
      <c r="B11">
        <f t="shared" si="0"/>
        <v>1.77786742E-2</v>
      </c>
      <c r="C11">
        <f t="shared" si="1"/>
        <v>-3.6655779172573039E-2</v>
      </c>
    </row>
    <row r="12" spans="1:3">
      <c r="A12" s="2">
        <v>12</v>
      </c>
      <c r="B12">
        <f t="shared" si="0"/>
        <v>1.84001887E-2</v>
      </c>
      <c r="C12">
        <f t="shared" si="1"/>
        <v>-3.6033924032598641E-2</v>
      </c>
    </row>
    <row r="13" spans="1:3">
      <c r="A13" s="2">
        <v>13</v>
      </c>
      <c r="B13">
        <f t="shared" si="0"/>
        <v>1.90217032E-2</v>
      </c>
      <c r="C13">
        <f t="shared" si="1"/>
        <v>-3.5412129256552544E-2</v>
      </c>
    </row>
    <row r="14" spans="1:3">
      <c r="A14" s="2">
        <v>14</v>
      </c>
      <c r="B14">
        <f t="shared" si="0"/>
        <v>1.96432177E-2</v>
      </c>
      <c r="C14">
        <f t="shared" si="1"/>
        <v>-3.4790394845367195E-2</v>
      </c>
    </row>
    <row r="15" spans="1:3">
      <c r="A15" s="2">
        <v>15</v>
      </c>
      <c r="B15">
        <f t="shared" si="0"/>
        <v>2.0264732200000003E-2</v>
      </c>
      <c r="C15">
        <f t="shared" si="1"/>
        <v>-3.4168720799774198E-2</v>
      </c>
    </row>
    <row r="16" spans="1:3">
      <c r="A16" s="2">
        <v>16</v>
      </c>
      <c r="B16">
        <f t="shared" si="0"/>
        <v>2.08862467E-2</v>
      </c>
      <c r="C16">
        <f t="shared" si="1"/>
        <v>-3.3547107120304384E-2</v>
      </c>
    </row>
    <row r="17" spans="1:3">
      <c r="A17" s="2">
        <v>17</v>
      </c>
      <c r="B17">
        <f t="shared" si="0"/>
        <v>2.1507761200000003E-2</v>
      </c>
      <c r="C17">
        <f t="shared" si="1"/>
        <v>-3.2925553807287677E-2</v>
      </c>
    </row>
    <row r="18" spans="1:3">
      <c r="A18" s="2">
        <v>18</v>
      </c>
      <c r="B18">
        <f t="shared" si="0"/>
        <v>2.2129275699999999E-2</v>
      </c>
      <c r="C18">
        <f t="shared" si="1"/>
        <v>-3.2304060860853245E-2</v>
      </c>
    </row>
    <row r="19" spans="1:3">
      <c r="A19" s="2">
        <v>19</v>
      </c>
      <c r="B19">
        <f t="shared" si="0"/>
        <v>2.2750790200000003E-2</v>
      </c>
      <c r="C19">
        <f t="shared" si="1"/>
        <v>-3.1682628280929354E-2</v>
      </c>
    </row>
    <row r="20" spans="1:3">
      <c r="A20" s="2">
        <v>20</v>
      </c>
      <c r="B20">
        <f t="shared" si="0"/>
        <v>2.3372304699999999E-2</v>
      </c>
      <c r="C20">
        <f t="shared" si="1"/>
        <v>-3.1061256067243477E-2</v>
      </c>
    </row>
    <row r="21" spans="1:3">
      <c r="A21" s="2">
        <v>21</v>
      </c>
      <c r="B21">
        <f t="shared" si="0"/>
        <v>2.3993819200000002E-2</v>
      </c>
      <c r="C21">
        <f t="shared" si="1"/>
        <v>-3.0439944219322224E-2</v>
      </c>
    </row>
    <row r="22" spans="1:3">
      <c r="A22" s="2">
        <v>22</v>
      </c>
      <c r="B22">
        <f t="shared" si="0"/>
        <v>2.4615333700000002E-2</v>
      </c>
      <c r="C22">
        <f t="shared" si="1"/>
        <v>-2.9818692736491379E-2</v>
      </c>
    </row>
    <row r="23" spans="1:3">
      <c r="A23" s="2">
        <v>23</v>
      </c>
      <c r="B23">
        <f t="shared" si="0"/>
        <v>2.5236848200000002E-2</v>
      </c>
      <c r="C23">
        <f t="shared" si="1"/>
        <v>-2.9197501617875939E-2</v>
      </c>
    </row>
    <row r="24" spans="1:3">
      <c r="A24" s="2">
        <v>24</v>
      </c>
      <c r="B24">
        <f t="shared" si="0"/>
        <v>2.5858362700000002E-2</v>
      </c>
      <c r="C24">
        <f t="shared" si="1"/>
        <v>-2.8576370862400075E-2</v>
      </c>
    </row>
    <row r="25" spans="1:3">
      <c r="A25" s="2">
        <v>25</v>
      </c>
      <c r="B25">
        <f t="shared" si="0"/>
        <v>2.6479877200000002E-2</v>
      </c>
      <c r="C25">
        <f t="shared" si="1"/>
        <v>-2.7955300468787185E-2</v>
      </c>
    </row>
    <row r="26" spans="1:3">
      <c r="A26" s="2">
        <v>26</v>
      </c>
      <c r="B26">
        <f t="shared" si="0"/>
        <v>2.7101391700000001E-2</v>
      </c>
      <c r="C26">
        <f t="shared" si="1"/>
        <v>-2.7334290435559894E-2</v>
      </c>
    </row>
    <row r="27" spans="1:3">
      <c r="A27" s="2">
        <v>27</v>
      </c>
      <c r="B27">
        <f t="shared" si="0"/>
        <v>2.7722906200000001E-2</v>
      </c>
      <c r="C27">
        <f t="shared" si="1"/>
        <v>-2.6713340761040143E-2</v>
      </c>
    </row>
    <row r="28" spans="1:3">
      <c r="A28" s="2">
        <v>28</v>
      </c>
      <c r="B28">
        <f t="shared" si="0"/>
        <v>2.8344420700000005E-2</v>
      </c>
      <c r="C28">
        <f t="shared" si="1"/>
        <v>-2.6092451443349082E-2</v>
      </c>
    </row>
    <row r="29" spans="1:3">
      <c r="A29" s="2">
        <v>29</v>
      </c>
      <c r="B29">
        <f t="shared" si="0"/>
        <v>2.8965935200000001E-2</v>
      </c>
      <c r="C29">
        <f t="shared" si="1"/>
        <v>-2.5471622480407248E-2</v>
      </c>
    </row>
    <row r="30" spans="1:3">
      <c r="A30" s="2">
        <v>30</v>
      </c>
      <c r="B30">
        <f t="shared" si="0"/>
        <v>2.9587449700000004E-2</v>
      </c>
      <c r="C30">
        <f t="shared" si="1"/>
        <v>-2.4850853869934499E-2</v>
      </c>
    </row>
    <row r="31" spans="1:3">
      <c r="A31" s="2">
        <v>31</v>
      </c>
      <c r="B31">
        <f t="shared" si="0"/>
        <v>3.0208964200000001E-2</v>
      </c>
      <c r="C31">
        <f t="shared" si="1"/>
        <v>-2.4230145609450131E-2</v>
      </c>
    </row>
    <row r="32" spans="1:3">
      <c r="A32" s="2">
        <v>32</v>
      </c>
      <c r="B32">
        <f t="shared" si="0"/>
        <v>3.0830478700000004E-2</v>
      </c>
      <c r="C32">
        <f t="shared" si="1"/>
        <v>-2.360949769627281E-2</v>
      </c>
    </row>
    <row r="33" spans="1:3">
      <c r="A33" s="2">
        <v>33</v>
      </c>
      <c r="B33">
        <f t="shared" ref="B33:B64" si="2">0.0115635292+(A33-1)*0.0006215145</f>
        <v>3.14519932E-2</v>
      </c>
      <c r="C33">
        <f t="shared" ref="C33:C64" si="3">0+1*B33-0.0543737267268454*(1.00219298245614+(B33-0.0215966100421274)^2/0.347551548973984)^0.5</f>
        <v>-2.2988910127520752E-2</v>
      </c>
    </row>
    <row r="34" spans="1:3">
      <c r="A34" s="2">
        <v>34</v>
      </c>
      <c r="B34">
        <f t="shared" si="2"/>
        <v>3.2073507700000004E-2</v>
      </c>
      <c r="C34">
        <f t="shared" si="3"/>
        <v>-2.2368382900111651E-2</v>
      </c>
    </row>
    <row r="35" spans="1:3">
      <c r="A35" s="2">
        <v>35</v>
      </c>
      <c r="B35">
        <f t="shared" si="2"/>
        <v>3.26950222E-2</v>
      </c>
      <c r="C35">
        <f t="shared" si="3"/>
        <v>-2.1747916010762834E-2</v>
      </c>
    </row>
    <row r="36" spans="1:3">
      <c r="A36" s="2">
        <v>36</v>
      </c>
      <c r="B36">
        <f t="shared" si="2"/>
        <v>3.3316536700000003E-2</v>
      </c>
      <c r="C36">
        <f t="shared" si="3"/>
        <v>-2.1127509455991199E-2</v>
      </c>
    </row>
    <row r="37" spans="1:3">
      <c r="A37" s="2">
        <v>37</v>
      </c>
      <c r="B37">
        <f t="shared" si="2"/>
        <v>3.39380512E-2</v>
      </c>
      <c r="C37">
        <f t="shared" si="3"/>
        <v>-2.0507163232113393E-2</v>
      </c>
    </row>
    <row r="38" spans="1:3">
      <c r="A38" s="2">
        <v>38</v>
      </c>
      <c r="B38">
        <f t="shared" si="2"/>
        <v>3.4559565700000003E-2</v>
      </c>
      <c r="C38">
        <f t="shared" si="3"/>
        <v>-1.9886877335245773E-2</v>
      </c>
    </row>
    <row r="39" spans="1:3">
      <c r="A39" s="2">
        <v>39</v>
      </c>
      <c r="B39">
        <f t="shared" si="2"/>
        <v>3.5181080199999999E-2</v>
      </c>
      <c r="C39">
        <f t="shared" si="3"/>
        <v>-1.926665176130455E-2</v>
      </c>
    </row>
    <row r="40" spans="1:3">
      <c r="A40" s="2">
        <v>40</v>
      </c>
      <c r="B40">
        <f t="shared" si="2"/>
        <v>3.5802594700000002E-2</v>
      </c>
      <c r="C40">
        <f t="shared" si="3"/>
        <v>-1.8646486506005804E-2</v>
      </c>
    </row>
    <row r="41" spans="1:3">
      <c r="A41" s="2">
        <v>41</v>
      </c>
      <c r="B41">
        <f t="shared" si="2"/>
        <v>3.6424109199999999E-2</v>
      </c>
      <c r="C41">
        <f t="shared" si="3"/>
        <v>-1.8026381564865565E-2</v>
      </c>
    </row>
    <row r="42" spans="1:3">
      <c r="A42" s="2">
        <v>42</v>
      </c>
      <c r="B42">
        <f t="shared" si="2"/>
        <v>3.7045623700000002E-2</v>
      </c>
      <c r="C42">
        <f t="shared" si="3"/>
        <v>-1.7406336933199915E-2</v>
      </c>
    </row>
    <row r="43" spans="1:3">
      <c r="A43" s="2">
        <v>43</v>
      </c>
      <c r="B43">
        <f t="shared" si="2"/>
        <v>3.7667138200000005E-2</v>
      </c>
      <c r="C43">
        <f t="shared" si="3"/>
        <v>-1.678635260612503E-2</v>
      </c>
    </row>
    <row r="44" spans="1:3">
      <c r="A44" s="2">
        <v>44</v>
      </c>
      <c r="B44">
        <f t="shared" si="2"/>
        <v>3.8288652700000002E-2</v>
      </c>
      <c r="C44">
        <f t="shared" si="3"/>
        <v>-1.6166428578557303E-2</v>
      </c>
    </row>
    <row r="45" spans="1:3">
      <c r="A45" s="2">
        <v>45</v>
      </c>
      <c r="B45">
        <f t="shared" si="2"/>
        <v>3.8910167200000005E-2</v>
      </c>
      <c r="C45">
        <f t="shared" si="3"/>
        <v>-1.5546564845213343E-2</v>
      </c>
    </row>
    <row r="46" spans="1:3">
      <c r="A46" s="2">
        <v>46</v>
      </c>
      <c r="B46">
        <f t="shared" si="2"/>
        <v>3.9531681700000001E-2</v>
      </c>
      <c r="C46">
        <f t="shared" si="3"/>
        <v>-1.4926761400610195E-2</v>
      </c>
    </row>
    <row r="47" spans="1:3">
      <c r="A47" s="2">
        <v>47</v>
      </c>
      <c r="B47">
        <f t="shared" si="2"/>
        <v>4.0153196200000005E-2</v>
      </c>
      <c r="C47">
        <f t="shared" si="3"/>
        <v>-1.4307018239065307E-2</v>
      </c>
    </row>
    <row r="48" spans="1:3">
      <c r="A48" s="2">
        <v>48</v>
      </c>
      <c r="B48">
        <f t="shared" si="2"/>
        <v>4.0774710700000001E-2</v>
      </c>
      <c r="C48">
        <f t="shared" si="3"/>
        <v>-1.3687335354696691E-2</v>
      </c>
    </row>
    <row r="49" spans="1:3">
      <c r="A49" s="2">
        <v>49</v>
      </c>
      <c r="B49">
        <f t="shared" si="2"/>
        <v>4.1396225200000004E-2</v>
      </c>
      <c r="C49">
        <f t="shared" si="3"/>
        <v>-1.3067712741423002E-2</v>
      </c>
    </row>
    <row r="50" spans="1:3">
      <c r="A50" s="2">
        <v>50</v>
      </c>
      <c r="B50">
        <f t="shared" si="2"/>
        <v>4.2017739700000001E-2</v>
      </c>
      <c r="C50">
        <f t="shared" si="3"/>
        <v>-1.244815039296366E-2</v>
      </c>
    </row>
    <row r="51" spans="1:3">
      <c r="A51" s="2">
        <v>51</v>
      </c>
      <c r="B51">
        <f t="shared" si="2"/>
        <v>4.2639254200000004E-2</v>
      </c>
      <c r="C51">
        <f t="shared" si="3"/>
        <v>-1.1828648302838911E-2</v>
      </c>
    </row>
    <row r="52" spans="1:3">
      <c r="A52" s="2">
        <v>52</v>
      </c>
      <c r="B52">
        <f t="shared" si="2"/>
        <v>4.32607687E-2</v>
      </c>
      <c r="C52">
        <f t="shared" si="3"/>
        <v>-1.1209206464369952E-2</v>
      </c>
    </row>
    <row r="53" spans="1:3">
      <c r="A53" s="2">
        <v>53</v>
      </c>
      <c r="B53">
        <f t="shared" si="2"/>
        <v>4.3882283200000004E-2</v>
      </c>
      <c r="C53">
        <f t="shared" si="3"/>
        <v>-1.0589824870679082E-2</v>
      </c>
    </row>
    <row r="54" spans="1:3">
      <c r="A54" s="2">
        <v>54</v>
      </c>
      <c r="B54">
        <f t="shared" si="2"/>
        <v>4.45037977E-2</v>
      </c>
      <c r="C54">
        <f t="shared" si="3"/>
        <v>-9.9705035146897547E-3</v>
      </c>
    </row>
    <row r="55" spans="1:3">
      <c r="A55" s="2">
        <v>55</v>
      </c>
      <c r="B55">
        <f t="shared" si="2"/>
        <v>4.5125312200000003E-2</v>
      </c>
      <c r="C55">
        <f t="shared" si="3"/>
        <v>-9.3512423891267474E-3</v>
      </c>
    </row>
    <row r="56" spans="1:3">
      <c r="A56" s="2">
        <v>56</v>
      </c>
      <c r="B56">
        <f t="shared" si="2"/>
        <v>4.57468267E-2</v>
      </c>
      <c r="C56">
        <f t="shared" si="3"/>
        <v>-8.7320414865162191E-3</v>
      </c>
    </row>
    <row r="57" spans="1:3">
      <c r="A57" s="2">
        <v>57</v>
      </c>
      <c r="B57">
        <f t="shared" si="2"/>
        <v>4.6368341200000003E-2</v>
      </c>
      <c r="C57">
        <f t="shared" si="3"/>
        <v>-8.1129007991859181E-3</v>
      </c>
    </row>
    <row r="58" spans="1:3">
      <c r="A58" s="2">
        <v>58</v>
      </c>
      <c r="B58">
        <f t="shared" si="2"/>
        <v>4.6989855699999999E-2</v>
      </c>
      <c r="C58">
        <f t="shared" si="3"/>
        <v>-7.4938203192652375E-3</v>
      </c>
    </row>
    <row r="59" spans="1:3">
      <c r="A59" s="2">
        <v>59</v>
      </c>
      <c r="B59">
        <f t="shared" si="2"/>
        <v>4.7611370200000003E-2</v>
      </c>
      <c r="C59">
        <f t="shared" si="3"/>
        <v>-6.8748000386853608E-3</v>
      </c>
    </row>
    <row r="60" spans="1:3">
      <c r="A60" s="2">
        <v>60</v>
      </c>
      <c r="B60">
        <f t="shared" si="2"/>
        <v>4.8232884699999999E-2</v>
      </c>
      <c r="C60">
        <f t="shared" si="3"/>
        <v>-6.2558399491794356E-3</v>
      </c>
    </row>
    <row r="61" spans="1:3">
      <c r="A61" s="2">
        <v>61</v>
      </c>
      <c r="B61">
        <f t="shared" si="2"/>
        <v>4.8854399200000002E-2</v>
      </c>
      <c r="C61">
        <f t="shared" si="3"/>
        <v>-5.6369400422826496E-3</v>
      </c>
    </row>
    <row r="62" spans="1:3">
      <c r="A62" s="2">
        <v>62</v>
      </c>
      <c r="B62">
        <f t="shared" si="2"/>
        <v>4.9475913699999999E-2</v>
      </c>
      <c r="C62">
        <f t="shared" si="3"/>
        <v>-5.0181003093324392E-3</v>
      </c>
    </row>
    <row r="63" spans="1:3">
      <c r="A63" s="2">
        <v>63</v>
      </c>
      <c r="B63">
        <f t="shared" si="2"/>
        <v>5.0097428200000002E-2</v>
      </c>
      <c r="C63">
        <f t="shared" si="3"/>
        <v>-4.3993207414685376E-3</v>
      </c>
    </row>
    <row r="64" spans="1:3">
      <c r="A64" s="2">
        <v>64</v>
      </c>
      <c r="B64">
        <f t="shared" si="2"/>
        <v>5.0718942699999998E-2</v>
      </c>
      <c r="C64">
        <f t="shared" si="3"/>
        <v>-3.7806013296332458E-3</v>
      </c>
    </row>
    <row r="65" spans="1:3">
      <c r="A65" s="2">
        <v>65</v>
      </c>
      <c r="B65">
        <f t="shared" ref="B65:B70" si="4">0.0115635292+(A65-1)*0.0006215145</f>
        <v>5.1340457200000002E-2</v>
      </c>
      <c r="C65">
        <f t="shared" ref="C65:C70" si="5">0+1*B65-0.0543737267268454*(1.00219298245614+(B65-0.0215966100421274)^2/0.347551548973984)^0.5</f>
        <v>-3.1619420645714602E-3</v>
      </c>
    </row>
    <row r="66" spans="1:3">
      <c r="A66" s="2">
        <v>66</v>
      </c>
      <c r="B66">
        <f t="shared" si="4"/>
        <v>5.1961971700000005E-2</v>
      </c>
      <c r="C66">
        <f t="shared" si="5"/>
        <v>-2.5433429368309224E-3</v>
      </c>
    </row>
    <row r="67" spans="1:3">
      <c r="A67" s="2">
        <v>67</v>
      </c>
      <c r="B67">
        <f t="shared" si="4"/>
        <v>5.2583486200000001E-2</v>
      </c>
      <c r="C67">
        <f t="shared" si="5"/>
        <v>-1.9248039367622816E-3</v>
      </c>
    </row>
    <row r="68" spans="1:3">
      <c r="A68" s="2">
        <v>68</v>
      </c>
      <c r="B68">
        <f t="shared" si="4"/>
        <v>5.3205000700000005E-2</v>
      </c>
      <c r="C68">
        <f t="shared" si="5"/>
        <v>-1.3063250545193583E-3</v>
      </c>
    </row>
    <row r="69" spans="1:3">
      <c r="A69" s="2">
        <v>69</v>
      </c>
      <c r="B69">
        <f t="shared" si="4"/>
        <v>5.3826515200000001E-2</v>
      </c>
      <c r="C69">
        <f t="shared" si="5"/>
        <v>-6.8790628005922089E-4</v>
      </c>
    </row>
    <row r="70" spans="1:3">
      <c r="A70" s="2">
        <v>70</v>
      </c>
      <c r="B70">
        <f t="shared" si="4"/>
        <v>5.4448029700000004E-2</v>
      </c>
      <c r="C70">
        <f t="shared" si="5"/>
        <v>-6.9547603142372516E-5</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enableFormatConditionsCalculation="0"/>
  <dimension ref="A1:C70"/>
  <sheetViews>
    <sheetView workbookViewId="0"/>
  </sheetViews>
  <sheetFormatPr baseColWidth="10" defaultRowHeight="15.75"/>
  <sheetData>
    <row r="1" spans="1:3">
      <c r="A1" s="2">
        <v>1</v>
      </c>
      <c r="B1">
        <f t="shared" ref="B1:B32" si="0">0.0102911257+(A1-1)*0.0006399551</f>
        <v>1.0291125700000001E-2</v>
      </c>
      <c r="C1">
        <f t="shared" ref="C1:C32" si="1">0+1*B1+0.0543737267268454*(1.00219298245614+(B1-0.0215966100421274)^2/0.347551548973984)^0.5</f>
        <v>6.4734426346736804E-2</v>
      </c>
    </row>
    <row r="2" spans="1:3">
      <c r="A2" s="2">
        <v>2</v>
      </c>
      <c r="B2">
        <f t="shared" si="0"/>
        <v>1.0931080800000001E-2</v>
      </c>
      <c r="C2">
        <f t="shared" si="1"/>
        <v>6.5373282975959138E-2</v>
      </c>
    </row>
    <row r="3" spans="1:3">
      <c r="A3" s="2">
        <v>3</v>
      </c>
      <c r="B3">
        <f t="shared" si="0"/>
        <v>1.15710359E-2</v>
      </c>
      <c r="C3">
        <f t="shared" si="1"/>
        <v>6.6012203575771908E-2</v>
      </c>
    </row>
    <row r="4" spans="1:3">
      <c r="A4" s="2">
        <v>4</v>
      </c>
      <c r="B4">
        <f t="shared" si="0"/>
        <v>1.2210991000000001E-2</v>
      </c>
      <c r="C4">
        <f t="shared" si="1"/>
        <v>6.6651188149821905E-2</v>
      </c>
    </row>
    <row r="5" spans="1:3">
      <c r="A5" s="2">
        <v>5</v>
      </c>
      <c r="B5">
        <f t="shared" si="0"/>
        <v>1.28509461E-2</v>
      </c>
      <c r="C5">
        <f t="shared" si="1"/>
        <v>6.7290236701530656E-2</v>
      </c>
    </row>
    <row r="6" spans="1:3">
      <c r="A6" s="2">
        <v>6</v>
      </c>
      <c r="B6">
        <f t="shared" si="0"/>
        <v>1.3490901200000001E-2</v>
      </c>
      <c r="C6">
        <f t="shared" si="1"/>
        <v>6.7929349234094411E-2</v>
      </c>
    </row>
    <row r="7" spans="1:3">
      <c r="A7" s="2">
        <v>7</v>
      </c>
      <c r="B7">
        <f t="shared" si="0"/>
        <v>1.4130856300000001E-2</v>
      </c>
      <c r="C7">
        <f t="shared" si="1"/>
        <v>6.8568525750483944E-2</v>
      </c>
    </row>
    <row r="8" spans="1:3">
      <c r="A8" s="2">
        <v>8</v>
      </c>
      <c r="B8">
        <f t="shared" si="0"/>
        <v>1.47708114E-2</v>
      </c>
      <c r="C8">
        <f t="shared" si="1"/>
        <v>6.9207766253444658E-2</v>
      </c>
    </row>
    <row r="9" spans="1:3">
      <c r="A9" s="2">
        <v>9</v>
      </c>
      <c r="B9">
        <f t="shared" si="0"/>
        <v>1.5410766500000001E-2</v>
      </c>
      <c r="C9">
        <f t="shared" si="1"/>
        <v>6.9847070745496453E-2</v>
      </c>
    </row>
    <row r="10" spans="1:3">
      <c r="A10" s="2">
        <v>10</v>
      </c>
      <c r="B10">
        <f t="shared" si="0"/>
        <v>1.6050721600000002E-2</v>
      </c>
      <c r="C10">
        <f t="shared" si="1"/>
        <v>7.0486439228933703E-2</v>
      </c>
    </row>
    <row r="11" spans="1:3">
      <c r="A11" s="2">
        <v>11</v>
      </c>
      <c r="B11">
        <f t="shared" si="0"/>
        <v>1.66906767E-2</v>
      </c>
      <c r="C11">
        <f t="shared" si="1"/>
        <v>7.1125871705825183E-2</v>
      </c>
    </row>
    <row r="12" spans="1:3">
      <c r="A12" s="2">
        <v>12</v>
      </c>
      <c r="B12">
        <f t="shared" si="0"/>
        <v>1.7330631800000003E-2</v>
      </c>
      <c r="C12">
        <f t="shared" si="1"/>
        <v>7.1765368178014072E-2</v>
      </c>
    </row>
    <row r="13" spans="1:3">
      <c r="A13" s="2">
        <v>13</v>
      </c>
      <c r="B13">
        <f t="shared" si="0"/>
        <v>1.7970586900000002E-2</v>
      </c>
      <c r="C13">
        <f t="shared" si="1"/>
        <v>7.2404928647117936E-2</v>
      </c>
    </row>
    <row r="14" spans="1:3">
      <c r="A14" s="2">
        <v>14</v>
      </c>
      <c r="B14">
        <f t="shared" si="0"/>
        <v>1.8610542000000001E-2</v>
      </c>
      <c r="C14">
        <f t="shared" si="1"/>
        <v>7.3044553114528649E-2</v>
      </c>
    </row>
    <row r="15" spans="1:3">
      <c r="A15" s="2">
        <v>15</v>
      </c>
      <c r="B15">
        <f t="shared" si="0"/>
        <v>1.92504971E-2</v>
      </c>
      <c r="C15">
        <f t="shared" si="1"/>
        <v>7.3684241581412402E-2</v>
      </c>
    </row>
    <row r="16" spans="1:3">
      <c r="A16" s="2">
        <v>16</v>
      </c>
      <c r="B16">
        <f t="shared" si="0"/>
        <v>1.9890452199999999E-2</v>
      </c>
      <c r="C16">
        <f t="shared" si="1"/>
        <v>7.4323994048709652E-2</v>
      </c>
    </row>
    <row r="17" spans="1:3">
      <c r="A17" s="2">
        <v>17</v>
      </c>
      <c r="B17">
        <f t="shared" si="0"/>
        <v>2.0530407300000001E-2</v>
      </c>
      <c r="C17">
        <f t="shared" si="1"/>
        <v>7.4963810517135132E-2</v>
      </c>
    </row>
    <row r="18" spans="1:3">
      <c r="A18" s="2">
        <v>18</v>
      </c>
      <c r="B18">
        <f t="shared" si="0"/>
        <v>2.1170362400000003E-2</v>
      </c>
      <c r="C18">
        <f t="shared" si="1"/>
        <v>7.5603690987177855E-2</v>
      </c>
    </row>
    <row r="19" spans="1:3">
      <c r="A19" s="2">
        <v>19</v>
      </c>
      <c r="B19">
        <f t="shared" si="0"/>
        <v>2.1810317500000002E-2</v>
      </c>
      <c r="C19">
        <f t="shared" si="1"/>
        <v>7.6243635459101067E-2</v>
      </c>
    </row>
    <row r="20" spans="1:3">
      <c r="A20" s="2">
        <v>20</v>
      </c>
      <c r="B20">
        <f t="shared" si="0"/>
        <v>2.2450272600000001E-2</v>
      </c>
      <c r="C20">
        <f t="shared" si="1"/>
        <v>7.6883643932942253E-2</v>
      </c>
    </row>
    <row r="21" spans="1:3">
      <c r="A21" s="2">
        <v>21</v>
      </c>
      <c r="B21">
        <f t="shared" si="0"/>
        <v>2.30902277E-2</v>
      </c>
      <c r="C21">
        <f t="shared" si="1"/>
        <v>7.7523716408513119E-2</v>
      </c>
    </row>
    <row r="22" spans="1:3">
      <c r="A22" s="2">
        <v>22</v>
      </c>
      <c r="B22">
        <f t="shared" si="0"/>
        <v>2.3730182799999999E-2</v>
      </c>
      <c r="C22">
        <f t="shared" si="1"/>
        <v>7.8163852885399704E-2</v>
      </c>
    </row>
    <row r="23" spans="1:3">
      <c r="A23" s="2">
        <v>23</v>
      </c>
      <c r="B23">
        <f t="shared" si="0"/>
        <v>2.4370137900000002E-2</v>
      </c>
      <c r="C23">
        <f t="shared" si="1"/>
        <v>7.8804053362962173E-2</v>
      </c>
    </row>
    <row r="24" spans="1:3">
      <c r="A24" s="2">
        <v>24</v>
      </c>
      <c r="B24">
        <f t="shared" si="0"/>
        <v>2.5010093000000001E-2</v>
      </c>
      <c r="C24">
        <f t="shared" si="1"/>
        <v>7.9444317840335066E-2</v>
      </c>
    </row>
    <row r="25" spans="1:3">
      <c r="A25" s="2">
        <v>25</v>
      </c>
      <c r="B25">
        <f t="shared" si="0"/>
        <v>2.5650048100000003E-2</v>
      </c>
      <c r="C25">
        <f t="shared" si="1"/>
        <v>8.0084646316427144E-2</v>
      </c>
    </row>
    <row r="26" spans="1:3">
      <c r="A26" s="2">
        <v>26</v>
      </c>
      <c r="B26">
        <f t="shared" si="0"/>
        <v>2.6290003200000002E-2</v>
      </c>
      <c r="C26">
        <f t="shared" si="1"/>
        <v>8.0725038789921502E-2</v>
      </c>
    </row>
    <row r="27" spans="1:3">
      <c r="A27" s="2">
        <v>27</v>
      </c>
      <c r="B27">
        <f t="shared" si="0"/>
        <v>2.6929958300000001E-2</v>
      </c>
      <c r="C27">
        <f t="shared" si="1"/>
        <v>8.13654952592755E-2</v>
      </c>
    </row>
    <row r="28" spans="1:3">
      <c r="A28" s="2">
        <v>28</v>
      </c>
      <c r="B28">
        <f t="shared" si="0"/>
        <v>2.75699134E-2</v>
      </c>
      <c r="C28">
        <f t="shared" si="1"/>
        <v>8.2006015722720926E-2</v>
      </c>
    </row>
    <row r="29" spans="1:3">
      <c r="A29" s="2">
        <v>29</v>
      </c>
      <c r="B29">
        <f t="shared" si="0"/>
        <v>2.8209868500000002E-2</v>
      </c>
      <c r="C29">
        <f t="shared" si="1"/>
        <v>8.2646600178263918E-2</v>
      </c>
    </row>
    <row r="30" spans="1:3">
      <c r="A30" s="2">
        <v>30</v>
      </c>
      <c r="B30">
        <f t="shared" si="0"/>
        <v>2.8849823600000001E-2</v>
      </c>
      <c r="C30">
        <f t="shared" si="1"/>
        <v>8.3287248623684973E-2</v>
      </c>
    </row>
    <row r="31" spans="1:3">
      <c r="A31" s="2">
        <v>31</v>
      </c>
      <c r="B31">
        <f t="shared" si="0"/>
        <v>2.94897787E-2</v>
      </c>
      <c r="C31">
        <f t="shared" si="1"/>
        <v>8.3927961056539116E-2</v>
      </c>
    </row>
    <row r="32" spans="1:3">
      <c r="A32" s="2">
        <v>32</v>
      </c>
      <c r="B32">
        <f t="shared" si="0"/>
        <v>3.0129733800000003E-2</v>
      </c>
      <c r="C32">
        <f t="shared" si="1"/>
        <v>8.4568737474155858E-2</v>
      </c>
    </row>
    <row r="33" spans="1:3">
      <c r="A33" s="2">
        <v>33</v>
      </c>
      <c r="B33">
        <f t="shared" ref="B33:B64" si="2">0.0102911257+(A33-1)*0.0006399551</f>
        <v>3.0769688900000002E-2</v>
      </c>
      <c r="C33">
        <f t="shared" ref="C33:C64" si="3">0+1*B33+0.0543737267268454*(1.00219298245614+(B33-0.0215966100421274)^2/0.347551548973984)^0.5</f>
        <v>8.5209577873639253E-2</v>
      </c>
    </row>
    <row r="34" spans="1:3">
      <c r="A34" s="2">
        <v>34</v>
      </c>
      <c r="B34">
        <f t="shared" si="2"/>
        <v>3.1409644E-2</v>
      </c>
      <c r="C34">
        <f t="shared" si="3"/>
        <v>8.5850482251867893E-2</v>
      </c>
    </row>
    <row r="35" spans="1:3">
      <c r="A35" s="2">
        <v>35</v>
      </c>
      <c r="B35">
        <f t="shared" si="2"/>
        <v>3.2049599100000006E-2</v>
      </c>
      <c r="C35">
        <f t="shared" si="3"/>
        <v>8.6491450605495138E-2</v>
      </c>
    </row>
    <row r="36" spans="1:3">
      <c r="A36" s="2">
        <v>36</v>
      </c>
      <c r="B36">
        <f t="shared" si="2"/>
        <v>3.2689554199999998E-2</v>
      </c>
      <c r="C36">
        <f t="shared" si="3"/>
        <v>8.713248293094894E-2</v>
      </c>
    </row>
    <row r="37" spans="1:3">
      <c r="A37" s="2">
        <v>37</v>
      </c>
      <c r="B37">
        <f t="shared" si="2"/>
        <v>3.3329509300000004E-2</v>
      </c>
      <c r="C37">
        <f t="shared" si="3"/>
        <v>8.7773579224432116E-2</v>
      </c>
    </row>
    <row r="38" spans="1:3">
      <c r="A38" s="2">
        <v>38</v>
      </c>
      <c r="B38">
        <f t="shared" si="2"/>
        <v>3.3969464400000003E-2</v>
      </c>
      <c r="C38">
        <f t="shared" si="3"/>
        <v>8.8414739481922244E-2</v>
      </c>
    </row>
    <row r="39" spans="1:3">
      <c r="A39" s="2">
        <v>39</v>
      </c>
      <c r="B39">
        <f t="shared" si="2"/>
        <v>3.4609419500000002E-2</v>
      </c>
      <c r="C39">
        <f t="shared" si="3"/>
        <v>8.9055963699171889E-2</v>
      </c>
    </row>
    <row r="40" spans="1:3">
      <c r="A40" s="2">
        <v>40</v>
      </c>
      <c r="B40">
        <f t="shared" si="2"/>
        <v>3.5249374600000001E-2</v>
      </c>
      <c r="C40">
        <f t="shared" si="3"/>
        <v>8.9697251871708544E-2</v>
      </c>
    </row>
    <row r="41" spans="1:3">
      <c r="A41" s="2">
        <v>41</v>
      </c>
      <c r="B41">
        <f t="shared" si="2"/>
        <v>3.58893297E-2</v>
      </c>
      <c r="C41">
        <f t="shared" si="3"/>
        <v>9.0338603994834787E-2</v>
      </c>
    </row>
    <row r="42" spans="1:3">
      <c r="A42" s="2">
        <v>42</v>
      </c>
      <c r="B42">
        <f t="shared" si="2"/>
        <v>3.6529284800000006E-2</v>
      </c>
      <c r="C42">
        <f t="shared" si="3"/>
        <v>9.0980020063628375E-2</v>
      </c>
    </row>
    <row r="43" spans="1:3">
      <c r="A43" s="2">
        <v>43</v>
      </c>
      <c r="B43">
        <f t="shared" si="2"/>
        <v>3.7169239899999998E-2</v>
      </c>
      <c r="C43">
        <f t="shared" si="3"/>
        <v>9.162150007294223E-2</v>
      </c>
    </row>
    <row r="44" spans="1:3">
      <c r="A44" s="2">
        <v>44</v>
      </c>
      <c r="B44">
        <f t="shared" si="2"/>
        <v>3.7809195000000004E-2</v>
      </c>
      <c r="C44">
        <f t="shared" si="3"/>
        <v>9.2263044017404677E-2</v>
      </c>
    </row>
    <row r="45" spans="1:3">
      <c r="A45" s="2">
        <v>45</v>
      </c>
      <c r="B45">
        <f t="shared" si="2"/>
        <v>3.8449150100000003E-2</v>
      </c>
      <c r="C45">
        <f t="shared" si="3"/>
        <v>9.2904651891419388E-2</v>
      </c>
    </row>
    <row r="46" spans="1:3">
      <c r="A46" s="2">
        <v>46</v>
      </c>
      <c r="B46">
        <f t="shared" si="2"/>
        <v>3.9089105200000002E-2</v>
      </c>
      <c r="C46">
        <f t="shared" si="3"/>
        <v>9.3546323689165614E-2</v>
      </c>
    </row>
    <row r="47" spans="1:3">
      <c r="A47" s="2">
        <v>47</v>
      </c>
      <c r="B47">
        <f t="shared" si="2"/>
        <v>3.9729060300000001E-2</v>
      </c>
      <c r="C47">
        <f t="shared" si="3"/>
        <v>9.4188059404598179E-2</v>
      </c>
    </row>
    <row r="48" spans="1:3">
      <c r="A48" s="2">
        <v>48</v>
      </c>
      <c r="B48">
        <f t="shared" si="2"/>
        <v>4.03690154E-2</v>
      </c>
      <c r="C48">
        <f t="shared" si="3"/>
        <v>9.4829859031447639E-2</v>
      </c>
    </row>
    <row r="49" spans="1:3">
      <c r="A49" s="2">
        <v>49</v>
      </c>
      <c r="B49">
        <f t="shared" si="2"/>
        <v>4.1008970500000005E-2</v>
      </c>
      <c r="C49">
        <f t="shared" si="3"/>
        <v>9.5471722563220451E-2</v>
      </c>
    </row>
    <row r="50" spans="1:3">
      <c r="A50" s="2">
        <v>50</v>
      </c>
      <c r="B50">
        <f t="shared" si="2"/>
        <v>4.1648925600000004E-2</v>
      </c>
      <c r="C50">
        <f t="shared" si="3"/>
        <v>9.6113649993198935E-2</v>
      </c>
    </row>
    <row r="51" spans="1:3">
      <c r="A51" s="2">
        <v>51</v>
      </c>
      <c r="B51">
        <f t="shared" si="2"/>
        <v>4.2288880700000003E-2</v>
      </c>
      <c r="C51">
        <f t="shared" si="3"/>
        <v>9.6755641314441504E-2</v>
      </c>
    </row>
    <row r="52" spans="1:3">
      <c r="A52" s="2">
        <v>52</v>
      </c>
      <c r="B52">
        <f t="shared" si="2"/>
        <v>4.2928835800000002E-2</v>
      </c>
      <c r="C52">
        <f t="shared" si="3"/>
        <v>9.739769651978282E-2</v>
      </c>
    </row>
    <row r="53" spans="1:3">
      <c r="A53" s="2">
        <v>53</v>
      </c>
      <c r="B53">
        <f t="shared" si="2"/>
        <v>4.3568790900000001E-2</v>
      </c>
      <c r="C53">
        <f t="shared" si="3"/>
        <v>9.8039815601833766E-2</v>
      </c>
    </row>
    <row r="54" spans="1:3">
      <c r="A54" s="2">
        <v>54</v>
      </c>
      <c r="B54">
        <f t="shared" si="2"/>
        <v>4.4208746E-2</v>
      </c>
      <c r="C54">
        <f t="shared" si="3"/>
        <v>9.8681998552981764E-2</v>
      </c>
    </row>
    <row r="55" spans="1:3">
      <c r="A55" s="2">
        <v>55</v>
      </c>
      <c r="B55">
        <f t="shared" si="2"/>
        <v>4.4848701099999999E-2</v>
      </c>
      <c r="C55">
        <f t="shared" si="3"/>
        <v>9.9324245365390751E-2</v>
      </c>
    </row>
    <row r="56" spans="1:3">
      <c r="A56" s="2">
        <v>56</v>
      </c>
      <c r="B56">
        <f t="shared" si="2"/>
        <v>4.5488656200000005E-2</v>
      </c>
      <c r="C56">
        <f t="shared" si="3"/>
        <v>9.9966556031001422E-2</v>
      </c>
    </row>
    <row r="57" spans="1:3">
      <c r="A57" s="2">
        <v>57</v>
      </c>
      <c r="B57">
        <f t="shared" si="2"/>
        <v>4.6128611300000004E-2</v>
      </c>
      <c r="C57">
        <f t="shared" si="3"/>
        <v>0.10060893054153131</v>
      </c>
    </row>
    <row r="58" spans="1:3">
      <c r="A58" s="2">
        <v>58</v>
      </c>
      <c r="B58">
        <f t="shared" si="2"/>
        <v>4.6768566400000003E-2</v>
      </c>
      <c r="C58">
        <f t="shared" si="3"/>
        <v>0.10125136888847493</v>
      </c>
    </row>
    <row r="59" spans="1:3">
      <c r="A59" s="2">
        <v>59</v>
      </c>
      <c r="B59">
        <f t="shared" si="2"/>
        <v>4.7408521500000002E-2</v>
      </c>
      <c r="C59">
        <f t="shared" si="3"/>
        <v>0.10189387106310402</v>
      </c>
    </row>
    <row r="60" spans="1:3">
      <c r="A60" s="2">
        <v>60</v>
      </c>
      <c r="B60">
        <f t="shared" si="2"/>
        <v>4.8048476600000001E-2</v>
      </c>
      <c r="C60">
        <f t="shared" si="3"/>
        <v>0.10253643705646753</v>
      </c>
    </row>
    <row r="61" spans="1:3">
      <c r="A61" s="2">
        <v>61</v>
      </c>
      <c r="B61">
        <f t="shared" si="2"/>
        <v>4.86884317E-2</v>
      </c>
      <c r="C61">
        <f t="shared" si="3"/>
        <v>0.10317906685939199</v>
      </c>
    </row>
    <row r="62" spans="1:3">
      <c r="A62" s="2">
        <v>62</v>
      </c>
      <c r="B62">
        <f t="shared" si="2"/>
        <v>4.9328386800000006E-2</v>
      </c>
      <c r="C62">
        <f t="shared" si="3"/>
        <v>0.10382176046248143</v>
      </c>
    </row>
    <row r="63" spans="1:3">
      <c r="A63" s="2">
        <v>63</v>
      </c>
      <c r="B63">
        <f t="shared" si="2"/>
        <v>4.9968341900000005E-2</v>
      </c>
      <c r="C63">
        <f t="shared" si="3"/>
        <v>0.10446451785611777</v>
      </c>
    </row>
    <row r="64" spans="1:3">
      <c r="A64" s="2">
        <v>64</v>
      </c>
      <c r="B64">
        <f t="shared" si="2"/>
        <v>5.0608297000000003E-2</v>
      </c>
      <c r="C64">
        <f t="shared" si="3"/>
        <v>0.10510733903046082</v>
      </c>
    </row>
    <row r="65" spans="1:3">
      <c r="A65" s="2">
        <v>65</v>
      </c>
      <c r="B65">
        <f t="shared" ref="B65:B70" si="4">0.0102911257+(A65-1)*0.0006399551</f>
        <v>5.1248252100000002E-2</v>
      </c>
      <c r="C65">
        <f t="shared" ref="C65:C70" si="5">0+1*B65+0.0543737267268454*(1.00219298245614+(B65-0.0215966100421274)^2/0.347551548973984)^0.5</f>
        <v>0.10575022397544856</v>
      </c>
    </row>
    <row r="66" spans="1:3">
      <c r="A66" s="2">
        <v>66</v>
      </c>
      <c r="B66">
        <f t="shared" si="4"/>
        <v>5.1888207200000001E-2</v>
      </c>
      <c r="C66">
        <f t="shared" si="5"/>
        <v>0.10639317268079723</v>
      </c>
    </row>
    <row r="67" spans="1:3">
      <c r="A67" s="2">
        <v>67</v>
      </c>
      <c r="B67">
        <f t="shared" si="4"/>
        <v>5.25281623E-2</v>
      </c>
      <c r="C67">
        <f t="shared" si="5"/>
        <v>0.10703618513600163</v>
      </c>
    </row>
    <row r="68" spans="1:3">
      <c r="A68" s="2">
        <v>68</v>
      </c>
      <c r="B68">
        <f t="shared" si="4"/>
        <v>5.3168117399999999E-2</v>
      </c>
      <c r="C68">
        <f t="shared" si="5"/>
        <v>0.10767926133033517</v>
      </c>
    </row>
    <row r="69" spans="1:3">
      <c r="A69" s="2">
        <v>69</v>
      </c>
      <c r="B69">
        <f t="shared" si="4"/>
        <v>5.3808072500000005E-2</v>
      </c>
      <c r="C69">
        <f t="shared" si="5"/>
        <v>0.10832240125285014</v>
      </c>
    </row>
    <row r="70" spans="1:3">
      <c r="A70" s="2">
        <v>70</v>
      </c>
      <c r="B70">
        <f t="shared" si="4"/>
        <v>5.4448027600000004E-2</v>
      </c>
      <c r="C70">
        <f t="shared" si="5"/>
        <v>0.10896560489237783</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0.00676417221889024+0.000415518861505181*B1-0.053991847617027*(0.00219298245614035+(B1-35.6961842105263)^2/260324.819360526)^0.5</f>
        <v>-1.0711261190386292E-3</v>
      </c>
    </row>
    <row r="2" spans="1:3">
      <c r="A2" s="2">
        <v>2</v>
      </c>
      <c r="B2">
        <f t="shared" si="0"/>
        <v>-5.045826087</v>
      </c>
      <c r="C2">
        <f t="shared" si="1"/>
        <v>-3.3051417228488304E-4</v>
      </c>
    </row>
    <row r="3" spans="1:3">
      <c r="A3" s="2">
        <v>3</v>
      </c>
      <c r="B3">
        <f t="shared" si="0"/>
        <v>-3.5856521740000002</v>
      </c>
      <c r="C3">
        <f t="shared" si="1"/>
        <v>4.0887450562685987E-4</v>
      </c>
    </row>
    <row r="4" spans="1:3">
      <c r="A4" s="2">
        <v>4</v>
      </c>
      <c r="B4">
        <f t="shared" si="0"/>
        <v>-2.1254782610000005</v>
      </c>
      <c r="C4">
        <f t="shared" si="1"/>
        <v>1.1469370774244841E-3</v>
      </c>
    </row>
    <row r="5" spans="1:3">
      <c r="A5" s="2">
        <v>5</v>
      </c>
      <c r="B5">
        <f t="shared" si="0"/>
        <v>-0.66530434800000027</v>
      </c>
      <c r="C5">
        <f t="shared" si="1"/>
        <v>1.8835600610906493E-3</v>
      </c>
    </row>
    <row r="6" spans="1:3">
      <c r="A6" s="2">
        <v>6</v>
      </c>
      <c r="B6">
        <f t="shared" si="0"/>
        <v>0.79486956499999994</v>
      </c>
      <c r="C6">
        <f t="shared" si="1"/>
        <v>2.6186181201009462E-3</v>
      </c>
    </row>
    <row r="7" spans="1:3">
      <c r="A7" s="2">
        <v>7</v>
      </c>
      <c r="B7">
        <f t="shared" si="0"/>
        <v>2.2550434779999993</v>
      </c>
      <c r="C7">
        <f t="shared" si="1"/>
        <v>3.3519727278271544E-3</v>
      </c>
    </row>
    <row r="8" spans="1:3">
      <c r="A8" s="2">
        <v>8</v>
      </c>
      <c r="B8">
        <f t="shared" si="0"/>
        <v>3.7152173909999995</v>
      </c>
      <c r="C8">
        <f t="shared" si="1"/>
        <v>4.0834707021623383E-3</v>
      </c>
    </row>
    <row r="9" spans="1:3">
      <c r="A9" s="2">
        <v>9</v>
      </c>
      <c r="B9">
        <f t="shared" si="0"/>
        <v>5.1753913039999997</v>
      </c>
      <c r="C9">
        <f t="shared" si="1"/>
        <v>4.8129426108644378E-3</v>
      </c>
    </row>
    <row r="10" spans="1:3">
      <c r="A10" s="2">
        <v>10</v>
      </c>
      <c r="B10">
        <f t="shared" si="0"/>
        <v>6.6355652169999999</v>
      </c>
      <c r="C10">
        <f t="shared" si="1"/>
        <v>5.5402010548611883E-3</v>
      </c>
    </row>
    <row r="11" spans="1:3">
      <c r="A11" s="2">
        <v>11</v>
      </c>
      <c r="B11">
        <f t="shared" si="0"/>
        <v>8.0957391300000001</v>
      </c>
      <c r="C11">
        <f t="shared" si="1"/>
        <v>6.2650388465934001E-3</v>
      </c>
    </row>
    <row r="12" spans="1:3">
      <c r="A12" s="2">
        <v>12</v>
      </c>
      <c r="B12">
        <f t="shared" si="0"/>
        <v>9.5559130430000003</v>
      </c>
      <c r="C12">
        <f t="shared" si="1"/>
        <v>6.9872271143407057E-3</v>
      </c>
    </row>
    <row r="13" spans="1:3">
      <c r="A13" s="2">
        <v>13</v>
      </c>
      <c r="B13">
        <f t="shared" si="0"/>
        <v>11.016086955999999</v>
      </c>
      <c r="C13">
        <f t="shared" si="1"/>
        <v>7.7065133824544057E-3</v>
      </c>
    </row>
    <row r="14" spans="1:3">
      <c r="A14" s="2">
        <v>14</v>
      </c>
      <c r="B14">
        <f t="shared" si="0"/>
        <v>12.476260869000001</v>
      </c>
      <c r="C14">
        <f t="shared" si="1"/>
        <v>8.4226197026514103E-3</v>
      </c>
    </row>
    <row r="15" spans="1:3">
      <c r="A15" s="2">
        <v>15</v>
      </c>
      <c r="B15">
        <f t="shared" si="0"/>
        <v>13.936434781999999</v>
      </c>
      <c r="C15">
        <f t="shared" si="1"/>
        <v>9.1352409440181373E-3</v>
      </c>
    </row>
    <row r="16" spans="1:3">
      <c r="A16" s="2">
        <v>16</v>
      </c>
      <c r="B16">
        <f t="shared" si="0"/>
        <v>15.396608695000001</v>
      </c>
      <c r="C16">
        <f t="shared" si="1"/>
        <v>9.8440433897207802E-3</v>
      </c>
    </row>
    <row r="17" spans="1:3">
      <c r="A17" s="2">
        <v>17</v>
      </c>
      <c r="B17">
        <f t="shared" si="0"/>
        <v>16.856782608</v>
      </c>
      <c r="C17">
        <f t="shared" si="1"/>
        <v>1.0548663836273372E-2</v>
      </c>
    </row>
    <row r="18" spans="1:3">
      <c r="A18" s="2">
        <v>18</v>
      </c>
      <c r="B18">
        <f t="shared" si="0"/>
        <v>18.316956520999998</v>
      </c>
      <c r="C18">
        <f t="shared" si="1"/>
        <v>1.1248709444562553E-2</v>
      </c>
    </row>
    <row r="19" spans="1:3">
      <c r="A19" s="2">
        <v>19</v>
      </c>
      <c r="B19">
        <f t="shared" si="0"/>
        <v>19.777130434</v>
      </c>
      <c r="C19">
        <f t="shared" si="1"/>
        <v>1.1943758646013035E-2</v>
      </c>
    </row>
    <row r="20" spans="1:3">
      <c r="A20" s="2">
        <v>20</v>
      </c>
      <c r="B20">
        <f t="shared" si="0"/>
        <v>21.237304346999998</v>
      </c>
      <c r="C20">
        <f t="shared" si="1"/>
        <v>1.2633363453909384E-2</v>
      </c>
    </row>
    <row r="21" spans="1:3">
      <c r="A21" s="2">
        <v>21</v>
      </c>
      <c r="B21">
        <f t="shared" si="0"/>
        <v>22.69747826</v>
      </c>
      <c r="C21">
        <f t="shared" si="1"/>
        <v>1.3317053555913849E-2</v>
      </c>
    </row>
    <row r="22" spans="1:3">
      <c r="A22" s="2">
        <v>22</v>
      </c>
      <c r="B22">
        <f t="shared" si="0"/>
        <v>24.157652172999999</v>
      </c>
      <c r="C22">
        <f t="shared" si="1"/>
        <v>1.3994342551329308E-2</v>
      </c>
    </row>
    <row r="23" spans="1:3">
      <c r="A23" s="2">
        <v>23</v>
      </c>
      <c r="B23">
        <f t="shared" si="0"/>
        <v>25.617826086000001</v>
      </c>
      <c r="C23">
        <f t="shared" si="1"/>
        <v>1.4664736624304349E-2</v>
      </c>
    </row>
    <row r="24" spans="1:3">
      <c r="A24" s="2">
        <v>24</v>
      </c>
      <c r="B24">
        <f t="shared" si="0"/>
        <v>27.077999998999999</v>
      </c>
      <c r="C24">
        <f t="shared" si="1"/>
        <v>1.5327745791187643E-2</v>
      </c>
    </row>
    <row r="25" spans="1:3">
      <c r="A25" s="2">
        <v>25</v>
      </c>
      <c r="B25">
        <f t="shared" si="0"/>
        <v>28.538173911999998</v>
      </c>
      <c r="C25">
        <f t="shared" si="1"/>
        <v>1.5982897613671148E-2</v>
      </c>
    </row>
    <row r="26" spans="1:3">
      <c r="A26" s="2">
        <v>26</v>
      </c>
      <c r="B26">
        <f t="shared" si="0"/>
        <v>29.998347824999996</v>
      </c>
      <c r="C26">
        <f t="shared" si="1"/>
        <v>1.6629752934092489E-2</v>
      </c>
    </row>
    <row r="27" spans="1:3">
      <c r="A27" s="2">
        <v>27</v>
      </c>
      <c r="B27">
        <f t="shared" si="0"/>
        <v>31.458521738000002</v>
      </c>
      <c r="C27">
        <f t="shared" si="1"/>
        <v>1.7267922798013199E-2</v>
      </c>
    </row>
    <row r="28" spans="1:3">
      <c r="A28" s="2">
        <v>28</v>
      </c>
      <c r="B28">
        <f t="shared" si="0"/>
        <v>32.918695651</v>
      </c>
      <c r="C28">
        <f t="shared" si="1"/>
        <v>1.7897085347430074E-2</v>
      </c>
    </row>
    <row r="29" spans="1:3">
      <c r="A29" s="2">
        <v>29</v>
      </c>
      <c r="B29">
        <f t="shared" si="0"/>
        <v>34.378869563999999</v>
      </c>
      <c r="C29">
        <f t="shared" si="1"/>
        <v>1.8517001187520806E-2</v>
      </c>
    </row>
    <row r="30" spans="1:3">
      <c r="A30" s="2">
        <v>30</v>
      </c>
      <c r="B30">
        <f t="shared" si="0"/>
        <v>35.839043476999997</v>
      </c>
      <c r="C30">
        <f t="shared" si="1"/>
        <v>1.9127525647219038E-2</v>
      </c>
    </row>
    <row r="31" spans="1:3">
      <c r="A31" s="2">
        <v>31</v>
      </c>
      <c r="B31">
        <f t="shared" si="0"/>
        <v>37.299217390000003</v>
      </c>
      <c r="C31">
        <f t="shared" si="1"/>
        <v>1.9728616536876541E-2</v>
      </c>
    </row>
    <row r="32" spans="1:3">
      <c r="A32" s="2">
        <v>32</v>
      </c>
      <c r="B32">
        <f t="shared" si="0"/>
        <v>38.759391303000001</v>
      </c>
      <c r="C32">
        <f t="shared" si="1"/>
        <v>2.0320336460409798E-2</v>
      </c>
    </row>
    <row r="33" spans="1:3">
      <c r="A33" s="2">
        <v>33</v>
      </c>
      <c r="B33">
        <f t="shared" ref="B33:B64" si="2">-6.506+(A33-1)*1.460173913</f>
        <v>40.219565215999999</v>
      </c>
      <c r="C33">
        <f t="shared" ref="C33:C64" si="3">0.00676417221889024+0.000415518861505181*B33-0.053991847617027*(0.00219298245614035+(B33-35.6961842105263)^2/260324.819360526)^0.5</f>
        <v>2.090284939247207E-2</v>
      </c>
    </row>
    <row r="34" spans="1:3">
      <c r="A34" s="2">
        <v>34</v>
      </c>
      <c r="B34">
        <f t="shared" si="2"/>
        <v>41.679739128999998</v>
      </c>
      <c r="C34">
        <f t="shared" si="3"/>
        <v>2.1476411947779394E-2</v>
      </c>
    </row>
    <row r="35" spans="1:3">
      <c r="A35" s="2">
        <v>35</v>
      </c>
      <c r="B35">
        <f t="shared" si="2"/>
        <v>43.139913041999996</v>
      </c>
      <c r="C35">
        <f t="shared" si="3"/>
        <v>2.2041360393061957E-2</v>
      </c>
    </row>
    <row r="36" spans="1:3">
      <c r="A36" s="2">
        <v>36</v>
      </c>
      <c r="B36">
        <f t="shared" si="2"/>
        <v>44.600086955000002</v>
      </c>
      <c r="C36">
        <f t="shared" si="3"/>
        <v>2.259809485642901E-2</v>
      </c>
    </row>
    <row r="37" spans="1:3">
      <c r="A37" s="2">
        <v>37</v>
      </c>
      <c r="B37">
        <f t="shared" si="2"/>
        <v>46.060260868</v>
      </c>
      <c r="C37">
        <f t="shared" si="3"/>
        <v>2.3147062317162289E-2</v>
      </c>
    </row>
    <row r="38" spans="1:3">
      <c r="A38" s="2">
        <v>38</v>
      </c>
      <c r="B38">
        <f t="shared" si="2"/>
        <v>47.520434780999999</v>
      </c>
      <c r="C38">
        <f t="shared" si="3"/>
        <v>2.3688739830878776E-2</v>
      </c>
    </row>
    <row r="39" spans="1:3">
      <c r="A39" s="2">
        <v>39</v>
      </c>
      <c r="B39">
        <f t="shared" si="2"/>
        <v>48.980608693999997</v>
      </c>
      <c r="C39">
        <f t="shared" si="3"/>
        <v>2.4223619136851213E-2</v>
      </c>
    </row>
    <row r="40" spans="1:3">
      <c r="A40" s="2">
        <v>40</v>
      </c>
      <c r="B40">
        <f t="shared" si="2"/>
        <v>50.440782607000003</v>
      </c>
      <c r="C40">
        <f t="shared" si="3"/>
        <v>2.4752193404050524E-2</v>
      </c>
    </row>
    <row r="41" spans="1:3">
      <c r="A41" s="2">
        <v>41</v>
      </c>
      <c r="B41">
        <f t="shared" si="2"/>
        <v>51.900956520000001</v>
      </c>
      <c r="C41">
        <f t="shared" si="3"/>
        <v>2.5274946488046533E-2</v>
      </c>
    </row>
    <row r="42" spans="1:3">
      <c r="A42" s="2">
        <v>42</v>
      </c>
      <c r="B42">
        <f t="shared" si="2"/>
        <v>53.361130433</v>
      </c>
      <c r="C42">
        <f t="shared" si="3"/>
        <v>2.5792344751409329E-2</v>
      </c>
    </row>
    <row r="43" spans="1:3">
      <c r="A43" s="2">
        <v>43</v>
      </c>
      <c r="B43">
        <f t="shared" si="2"/>
        <v>54.821304345999998</v>
      </c>
      <c r="C43">
        <f t="shared" si="3"/>
        <v>2.6304831272324931E-2</v>
      </c>
    </row>
    <row r="44" spans="1:3">
      <c r="A44" s="2">
        <v>44</v>
      </c>
      <c r="B44">
        <f t="shared" si="2"/>
        <v>56.281478258999996</v>
      </c>
      <c r="C44">
        <f t="shared" si="3"/>
        <v>2.6812822130321008E-2</v>
      </c>
    </row>
    <row r="45" spans="1:3">
      <c r="A45" s="2">
        <v>45</v>
      </c>
      <c r="B45">
        <f t="shared" si="2"/>
        <v>57.741652172000002</v>
      </c>
      <c r="C45">
        <f t="shared" si="3"/>
        <v>2.7316704399093939E-2</v>
      </c>
    </row>
    <row r="46" spans="1:3">
      <c r="A46" s="2">
        <v>46</v>
      </c>
      <c r="B46">
        <f t="shared" si="2"/>
        <v>59.201826084999993</v>
      </c>
      <c r="C46">
        <f t="shared" si="3"/>
        <v>2.7816835473084379E-2</v>
      </c>
    </row>
    <row r="47" spans="1:3">
      <c r="A47" s="2">
        <v>47</v>
      </c>
      <c r="B47">
        <f t="shared" si="2"/>
        <v>60.661999997999999</v>
      </c>
      <c r="C47">
        <f t="shared" si="3"/>
        <v>2.831354338576892E-2</v>
      </c>
    </row>
    <row r="48" spans="1:3">
      <c r="A48" s="2">
        <v>48</v>
      </c>
      <c r="B48">
        <f t="shared" si="2"/>
        <v>62.122173911000004</v>
      </c>
      <c r="C48">
        <f t="shared" si="3"/>
        <v>2.8807127826616489E-2</v>
      </c>
    </row>
    <row r="49" spans="1:3">
      <c r="A49" s="2">
        <v>49</v>
      </c>
      <c r="B49">
        <f t="shared" si="2"/>
        <v>63.582347823999996</v>
      </c>
      <c r="C49">
        <f t="shared" si="3"/>
        <v>2.9297861618207421E-2</v>
      </c>
    </row>
    <row r="50" spans="1:3">
      <c r="A50" s="2">
        <v>50</v>
      </c>
      <c r="B50">
        <f t="shared" si="2"/>
        <v>65.042521737000001</v>
      </c>
      <c r="C50">
        <f t="shared" si="3"/>
        <v>2.9785992467553778E-2</v>
      </c>
    </row>
    <row r="51" spans="1:3">
      <c r="A51" s="2">
        <v>51</v>
      </c>
      <c r="B51">
        <f t="shared" si="2"/>
        <v>66.502695649999993</v>
      </c>
      <c r="C51">
        <f t="shared" si="3"/>
        <v>3.0271744852139418E-2</v>
      </c>
    </row>
    <row r="52" spans="1:3">
      <c r="A52" s="2">
        <v>52</v>
      </c>
      <c r="B52">
        <f t="shared" si="2"/>
        <v>67.962869562999998</v>
      </c>
      <c r="C52">
        <f t="shared" si="3"/>
        <v>3.0755321939998408E-2</v>
      </c>
    </row>
    <row r="53" spans="1:3">
      <c r="A53" s="2">
        <v>53</v>
      </c>
      <c r="B53">
        <f t="shared" si="2"/>
        <v>69.423043476000004</v>
      </c>
      <c r="C53">
        <f t="shared" si="3"/>
        <v>3.1236907474157978E-2</v>
      </c>
    </row>
    <row r="54" spans="1:3">
      <c r="A54" s="2">
        <v>54</v>
      </c>
      <c r="B54">
        <f t="shared" si="2"/>
        <v>70.883217388999995</v>
      </c>
      <c r="C54">
        <f t="shared" si="3"/>
        <v>3.1716667575691741E-2</v>
      </c>
    </row>
    <row r="55" spans="1:3">
      <c r="A55" s="2">
        <v>55</v>
      </c>
      <c r="B55">
        <f t="shared" si="2"/>
        <v>72.343391302000001</v>
      </c>
      <c r="C55">
        <f t="shared" si="3"/>
        <v>3.219475243751968E-2</v>
      </c>
    </row>
    <row r="56" spans="1:3">
      <c r="A56" s="2">
        <v>56</v>
      </c>
      <c r="B56">
        <f t="shared" si="2"/>
        <v>73.803565215000006</v>
      </c>
      <c r="C56">
        <f t="shared" si="3"/>
        <v>3.2671297894087452E-2</v>
      </c>
    </row>
    <row r="57" spans="1:3">
      <c r="A57" s="2">
        <v>57</v>
      </c>
      <c r="B57">
        <f t="shared" si="2"/>
        <v>75.263739127999997</v>
      </c>
      <c r="C57">
        <f t="shared" si="3"/>
        <v>3.3146426861218589E-2</v>
      </c>
    </row>
    <row r="58" spans="1:3">
      <c r="A58" s="2">
        <v>58</v>
      </c>
      <c r="B58">
        <f t="shared" si="2"/>
        <v>76.723913041000003</v>
      </c>
      <c r="C58">
        <f t="shared" si="3"/>
        <v>3.362025064667136E-2</v>
      </c>
    </row>
    <row r="59" spans="1:3">
      <c r="A59" s="2">
        <v>59</v>
      </c>
      <c r="B59">
        <f t="shared" si="2"/>
        <v>78.184086953999994</v>
      </c>
      <c r="C59">
        <f t="shared" si="3"/>
        <v>3.4092870135998564E-2</v>
      </c>
    </row>
    <row r="60" spans="1:3">
      <c r="A60" s="2">
        <v>60</v>
      </c>
      <c r="B60">
        <f t="shared" si="2"/>
        <v>79.644260867</v>
      </c>
      <c r="C60">
        <f t="shared" si="3"/>
        <v>3.4564376860796067E-2</v>
      </c>
    </row>
    <row r="61" spans="1:3">
      <c r="A61" s="2">
        <v>61</v>
      </c>
      <c r="B61">
        <f t="shared" si="2"/>
        <v>81.104434780000005</v>
      </c>
      <c r="C61">
        <f t="shared" si="3"/>
        <v>3.5034853957792392E-2</v>
      </c>
    </row>
    <row r="62" spans="1:3">
      <c r="A62" s="2">
        <v>62</v>
      </c>
      <c r="B62">
        <f t="shared" si="2"/>
        <v>82.564608692999997</v>
      </c>
      <c r="C62">
        <f t="shared" si="3"/>
        <v>3.5504377027820701E-2</v>
      </c>
    </row>
    <row r="63" spans="1:3">
      <c r="A63" s="2">
        <v>63</v>
      </c>
      <c r="B63">
        <f t="shared" si="2"/>
        <v>84.024782606000002</v>
      </c>
      <c r="C63">
        <f t="shared" si="3"/>
        <v>3.5973014903780492E-2</v>
      </c>
    </row>
    <row r="64" spans="1:3">
      <c r="A64" s="2">
        <v>64</v>
      </c>
      <c r="B64">
        <f t="shared" si="2"/>
        <v>85.484956518999994</v>
      </c>
      <c r="C64">
        <f t="shared" si="3"/>
        <v>3.6440830336424403E-2</v>
      </c>
    </row>
    <row r="65" spans="1:3">
      <c r="A65" s="2">
        <v>65</v>
      </c>
      <c r="B65">
        <f t="shared" ref="B65:B70" si="4">-6.506+(A65-1)*1.460173913</f>
        <v>86.945130431999999</v>
      </c>
      <c r="C65">
        <f t="shared" ref="C65:C70" si="5">0.00676417221889024+0.000415518861505181*B65-0.053991847617027*(0.00219298245614035+(B65-35.6961842105263)^2/260324.819360526)^0.5</f>
        <v>3.6907880606326E-2</v>
      </c>
    </row>
    <row r="66" spans="1:3">
      <c r="A66" s="2">
        <v>66</v>
      </c>
      <c r="B66">
        <f t="shared" si="4"/>
        <v>88.405304345000005</v>
      </c>
      <c r="C66">
        <f t="shared" si="5"/>
        <v>3.7374218069790362E-2</v>
      </c>
    </row>
    <row r="67" spans="1:3">
      <c r="A67" s="2">
        <v>67</v>
      </c>
      <c r="B67">
        <f t="shared" si="4"/>
        <v>89.865478257999996</v>
      </c>
      <c r="C67">
        <f t="shared" si="5"/>
        <v>3.7839890645823507E-2</v>
      </c>
    </row>
    <row r="68" spans="1:3">
      <c r="A68" s="2">
        <v>68</v>
      </c>
      <c r="B68">
        <f t="shared" si="4"/>
        <v>91.325652171000002</v>
      </c>
      <c r="C68">
        <f t="shared" si="5"/>
        <v>3.8304942250620533E-2</v>
      </c>
    </row>
    <row r="69" spans="1:3">
      <c r="A69" s="2">
        <v>69</v>
      </c>
      <c r="B69">
        <f t="shared" si="4"/>
        <v>92.785826083999993</v>
      </c>
      <c r="C69">
        <f t="shared" si="5"/>
        <v>3.8769413185394369E-2</v>
      </c>
    </row>
    <row r="70" spans="1:3">
      <c r="A70" s="2">
        <v>70</v>
      </c>
      <c r="B70">
        <f t="shared" si="4"/>
        <v>94.245999996999998</v>
      </c>
      <c r="C70">
        <f t="shared" si="5"/>
        <v>3.9233340482761878E-2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enableFormatConditionsCalculation="0"/>
  <dimension ref="A1:C70"/>
  <sheetViews>
    <sheetView workbookViewId="0"/>
  </sheetViews>
  <sheetFormatPr baseColWidth="10" defaultRowHeight="15.75"/>
  <sheetData>
    <row r="1" spans="1:3">
      <c r="A1" s="2">
        <v>1</v>
      </c>
      <c r="B1">
        <f t="shared" ref="B1:B32" si="0">-6.506+(A1-1)*1.460173913</f>
        <v>-6.5060000000000002</v>
      </c>
      <c r="C1">
        <f t="shared" ref="C1:C32" si="1">0.00676417221889024+0.000415518861505181*B1+0.053991847617027*(0.00219298245614035+(B1-35.6961842105263)^2/260324.819360526)^0.5</f>
        <v>9.1927391309136915E-3</v>
      </c>
    </row>
    <row r="2" spans="1:3">
      <c r="A2" s="2">
        <v>2</v>
      </c>
      <c r="B2">
        <f t="shared" si="0"/>
        <v>-5.045826087</v>
      </c>
      <c r="C2">
        <f t="shared" si="1"/>
        <v>9.6655867880185969E-3</v>
      </c>
    </row>
    <row r="3" spans="1:3">
      <c r="A3" s="2">
        <v>3</v>
      </c>
      <c r="B3">
        <f t="shared" si="0"/>
        <v>-3.5856521740000002</v>
      </c>
      <c r="C3">
        <f t="shared" si="1"/>
        <v>1.0139657713965505E-2</v>
      </c>
    </row>
    <row r="4" spans="1:3">
      <c r="A4" s="2">
        <v>4</v>
      </c>
      <c r="B4">
        <f t="shared" si="0"/>
        <v>-2.1254782610000005</v>
      </c>
      <c r="C4">
        <f t="shared" si="1"/>
        <v>1.0615054746026531E-2</v>
      </c>
    </row>
    <row r="5" spans="1:3">
      <c r="A5" s="2">
        <v>5</v>
      </c>
      <c r="B5">
        <f t="shared" si="0"/>
        <v>-0.66530434800000027</v>
      </c>
      <c r="C5">
        <f t="shared" si="1"/>
        <v>1.1091891366219016E-2</v>
      </c>
    </row>
    <row r="6" spans="1:3">
      <c r="A6" s="2">
        <v>6</v>
      </c>
      <c r="B6">
        <f t="shared" si="0"/>
        <v>0.79486956499999994</v>
      </c>
      <c r="C6">
        <f t="shared" si="1"/>
        <v>1.157029291106737E-2</v>
      </c>
    </row>
    <row r="7" spans="1:3">
      <c r="A7" s="2">
        <v>7</v>
      </c>
      <c r="B7">
        <f t="shared" si="0"/>
        <v>2.2550434779999993</v>
      </c>
      <c r="C7">
        <f t="shared" si="1"/>
        <v>1.2050397907199813E-2</v>
      </c>
    </row>
    <row r="8" spans="1:3">
      <c r="A8" s="2">
        <v>8</v>
      </c>
      <c r="B8">
        <f t="shared" si="0"/>
        <v>3.7152173909999995</v>
      </c>
      <c r="C8">
        <f t="shared" si="1"/>
        <v>1.253235953672328E-2</v>
      </c>
    </row>
    <row r="9" spans="1:3">
      <c r="A9" s="2">
        <v>9</v>
      </c>
      <c r="B9">
        <f t="shared" si="0"/>
        <v>5.1753913039999997</v>
      </c>
      <c r="C9">
        <f t="shared" si="1"/>
        <v>1.3016347231879831E-2</v>
      </c>
    </row>
    <row r="10" spans="1:3">
      <c r="A10" s="2">
        <v>10</v>
      </c>
      <c r="B10">
        <f t="shared" si="0"/>
        <v>6.6355652169999999</v>
      </c>
      <c r="C10">
        <f t="shared" si="1"/>
        <v>1.3502548391741731E-2</v>
      </c>
    </row>
    <row r="11" spans="1:3">
      <c r="A11" s="2">
        <v>11</v>
      </c>
      <c r="B11">
        <f t="shared" si="0"/>
        <v>8.0957391300000001</v>
      </c>
      <c r="C11">
        <f t="shared" si="1"/>
        <v>1.399117020386817E-2</v>
      </c>
    </row>
    <row r="12" spans="1:3">
      <c r="A12" s="2">
        <v>12</v>
      </c>
      <c r="B12">
        <f t="shared" si="0"/>
        <v>9.5559130430000003</v>
      </c>
      <c r="C12">
        <f t="shared" si="1"/>
        <v>1.4482441539979515E-2</v>
      </c>
    </row>
    <row r="13" spans="1:3">
      <c r="A13" s="2">
        <v>13</v>
      </c>
      <c r="B13">
        <f t="shared" si="0"/>
        <v>11.016086955999999</v>
      </c>
      <c r="C13">
        <f t="shared" si="1"/>
        <v>1.4976614875724464E-2</v>
      </c>
    </row>
    <row r="14" spans="1:3">
      <c r="A14" s="2">
        <v>14</v>
      </c>
      <c r="B14">
        <f t="shared" si="0"/>
        <v>12.476260869000001</v>
      </c>
      <c r="C14">
        <f t="shared" si="1"/>
        <v>1.5473968159386111E-2</v>
      </c>
    </row>
    <row r="15" spans="1:3">
      <c r="A15" s="2">
        <v>15</v>
      </c>
      <c r="B15">
        <f t="shared" si="0"/>
        <v>13.936434781999999</v>
      </c>
      <c r="C15">
        <f t="shared" si="1"/>
        <v>1.5974806521878035E-2</v>
      </c>
    </row>
    <row r="16" spans="1:3">
      <c r="A16" s="2">
        <v>16</v>
      </c>
      <c r="B16">
        <f t="shared" si="0"/>
        <v>15.396608695000001</v>
      </c>
      <c r="C16">
        <f t="shared" si="1"/>
        <v>1.6479463680034043E-2</v>
      </c>
    </row>
    <row r="17" spans="1:3">
      <c r="A17" s="2">
        <v>17</v>
      </c>
      <c r="B17">
        <f t="shared" si="0"/>
        <v>16.856782608</v>
      </c>
      <c r="C17">
        <f t="shared" si="1"/>
        <v>1.6988302837340104E-2</v>
      </c>
    </row>
    <row r="18" spans="1:3">
      <c r="A18" s="2">
        <v>18</v>
      </c>
      <c r="B18">
        <f t="shared" si="0"/>
        <v>18.316956520999998</v>
      </c>
      <c r="C18">
        <f t="shared" si="1"/>
        <v>1.7501716832909568E-2</v>
      </c>
    </row>
    <row r="19" spans="1:3">
      <c r="A19" s="2">
        <v>19</v>
      </c>
      <c r="B19">
        <f t="shared" si="0"/>
        <v>19.777130434</v>
      </c>
      <c r="C19">
        <f t="shared" si="1"/>
        <v>1.8020127235317734E-2</v>
      </c>
    </row>
    <row r="20" spans="1:3">
      <c r="A20" s="2">
        <v>20</v>
      </c>
      <c r="B20">
        <f t="shared" si="0"/>
        <v>21.237304346999998</v>
      </c>
      <c r="C20">
        <f t="shared" si="1"/>
        <v>1.8543982031280038E-2</v>
      </c>
    </row>
    <row r="21" spans="1:3">
      <c r="A21" s="2">
        <v>21</v>
      </c>
      <c r="B21">
        <f t="shared" si="0"/>
        <v>22.69747826</v>
      </c>
      <c r="C21">
        <f t="shared" si="1"/>
        <v>1.9073751533134228E-2</v>
      </c>
    </row>
    <row r="22" spans="1:3">
      <c r="A22" s="2">
        <v>22</v>
      </c>
      <c r="B22">
        <f t="shared" si="0"/>
        <v>24.157652172999999</v>
      </c>
      <c r="C22">
        <f t="shared" si="1"/>
        <v>1.9609922141577418E-2</v>
      </c>
    </row>
    <row r="23" spans="1:3">
      <c r="A23" s="2">
        <v>23</v>
      </c>
      <c r="B23">
        <f t="shared" si="0"/>
        <v>25.617826086000001</v>
      </c>
      <c r="C23">
        <f t="shared" si="1"/>
        <v>2.0152987672461029E-2</v>
      </c>
    </row>
    <row r="24" spans="1:3">
      <c r="A24" s="2">
        <v>24</v>
      </c>
      <c r="B24">
        <f t="shared" si="0"/>
        <v>27.077999998999999</v>
      </c>
      <c r="C24">
        <f t="shared" si="1"/>
        <v>2.0703438109436385E-2</v>
      </c>
    </row>
    <row r="25" spans="1:3">
      <c r="A25" s="2">
        <v>25</v>
      </c>
      <c r="B25">
        <f t="shared" si="0"/>
        <v>28.538173911999998</v>
      </c>
      <c r="C25">
        <f t="shared" si="1"/>
        <v>2.1261745890811524E-2</v>
      </c>
    </row>
    <row r="26" spans="1:3">
      <c r="A26" s="2">
        <v>26</v>
      </c>
      <c r="B26">
        <f t="shared" si="0"/>
        <v>29.998347824999996</v>
      </c>
      <c r="C26">
        <f t="shared" si="1"/>
        <v>2.1828350174248834E-2</v>
      </c>
    </row>
    <row r="27" spans="1:3">
      <c r="A27" s="2">
        <v>27</v>
      </c>
      <c r="B27">
        <f t="shared" si="0"/>
        <v>31.458521738000002</v>
      </c>
      <c r="C27">
        <f t="shared" si="1"/>
        <v>2.2403639914186781E-2</v>
      </c>
    </row>
    <row r="28" spans="1:3">
      <c r="A28" s="2">
        <v>28</v>
      </c>
      <c r="B28">
        <f t="shared" si="0"/>
        <v>32.918695651</v>
      </c>
      <c r="C28">
        <f t="shared" si="1"/>
        <v>2.2987936968628556E-2</v>
      </c>
    </row>
    <row r="29" spans="1:3">
      <c r="A29" s="2">
        <v>29</v>
      </c>
      <c r="B29">
        <f t="shared" si="0"/>
        <v>34.378869563999999</v>
      </c>
      <c r="C29">
        <f t="shared" si="1"/>
        <v>2.3581480732396468E-2</v>
      </c>
    </row>
    <row r="30" spans="1:3">
      <c r="A30" s="2">
        <v>30</v>
      </c>
      <c r="B30">
        <f t="shared" si="0"/>
        <v>35.839043476999997</v>
      </c>
      <c r="C30">
        <f t="shared" si="1"/>
        <v>2.4184415876556887E-2</v>
      </c>
    </row>
    <row r="31" spans="1:3">
      <c r="A31" s="2">
        <v>31</v>
      </c>
      <c r="B31">
        <f t="shared" si="0"/>
        <v>37.299217390000003</v>
      </c>
      <c r="C31">
        <f t="shared" si="1"/>
        <v>2.4796784590758042E-2</v>
      </c>
    </row>
    <row r="32" spans="1:3">
      <c r="A32" s="2">
        <v>32</v>
      </c>
      <c r="B32">
        <f t="shared" si="0"/>
        <v>38.759391303000001</v>
      </c>
      <c r="C32">
        <f t="shared" si="1"/>
        <v>2.5418524271083435E-2</v>
      </c>
    </row>
    <row r="33" spans="1:3">
      <c r="A33" s="2">
        <v>33</v>
      </c>
      <c r="B33">
        <f t="shared" ref="B33:B64" si="2">-6.506+(A33-1)*1.460173913</f>
        <v>40.219565215999999</v>
      </c>
      <c r="C33">
        <f t="shared" ref="C33:C64" si="3">0.00676417221889024+0.000415518861505181*B33+0.053991847617027*(0.00219298245614035+(B33-35.6961842105263)^2/260324.819360526)^0.5</f>
        <v>2.6049470942879807E-2</v>
      </c>
    </row>
    <row r="34" spans="1:3">
      <c r="A34" s="2">
        <v>34</v>
      </c>
      <c r="B34">
        <f t="shared" si="2"/>
        <v>41.679739128999998</v>
      </c>
      <c r="C34">
        <f t="shared" si="3"/>
        <v>2.6689367991431141E-2</v>
      </c>
    </row>
    <row r="35" spans="1:3">
      <c r="A35" s="2">
        <v>35</v>
      </c>
      <c r="B35">
        <f t="shared" si="2"/>
        <v>43.139913041999996</v>
      </c>
      <c r="C35">
        <f t="shared" si="3"/>
        <v>2.7337879150007221E-2</v>
      </c>
    </row>
    <row r="36" spans="1:3">
      <c r="A36" s="2">
        <v>36</v>
      </c>
      <c r="B36">
        <f t="shared" si="2"/>
        <v>44.600086955000002</v>
      </c>
      <c r="C36">
        <f t="shared" si="3"/>
        <v>2.7994604290498826E-2</v>
      </c>
    </row>
    <row r="37" spans="1:3">
      <c r="A37" s="2">
        <v>37</v>
      </c>
      <c r="B37">
        <f t="shared" si="2"/>
        <v>46.060260868</v>
      </c>
      <c r="C37">
        <f t="shared" si="3"/>
        <v>2.8659096433624191E-2</v>
      </c>
    </row>
    <row r="38" spans="1:3">
      <c r="A38" s="2">
        <v>38</v>
      </c>
      <c r="B38">
        <f t="shared" si="2"/>
        <v>47.520434780999999</v>
      </c>
      <c r="C38">
        <f t="shared" si="3"/>
        <v>2.9330878523766361E-2</v>
      </c>
    </row>
    <row r="39" spans="1:3">
      <c r="A39" s="2">
        <v>39</v>
      </c>
      <c r="B39">
        <f t="shared" si="2"/>
        <v>48.980608693999997</v>
      </c>
      <c r="C39">
        <f t="shared" si="3"/>
        <v>3.0009458821652568E-2</v>
      </c>
    </row>
    <row r="40" spans="1:3">
      <c r="A40" s="2">
        <v>40</v>
      </c>
      <c r="B40">
        <f t="shared" si="2"/>
        <v>50.440782607000003</v>
      </c>
      <c r="C40">
        <f t="shared" si="3"/>
        <v>3.0694344158311914E-2</v>
      </c>
    </row>
    <row r="41" spans="1:3">
      <c r="A41" s="2">
        <v>41</v>
      </c>
      <c r="B41">
        <f t="shared" si="2"/>
        <v>51.900956520000001</v>
      </c>
      <c r="C41">
        <f t="shared" si="3"/>
        <v>3.1385050678174549E-2</v>
      </c>
    </row>
    <row r="42" spans="1:3">
      <c r="A42" s="2">
        <v>42</v>
      </c>
      <c r="B42">
        <f t="shared" si="2"/>
        <v>53.361130433</v>
      </c>
      <c r="C42">
        <f t="shared" si="3"/>
        <v>3.2081112018670414E-2</v>
      </c>
    </row>
    <row r="43" spans="1:3">
      <c r="A43" s="2">
        <v>43</v>
      </c>
      <c r="B43">
        <f t="shared" si="2"/>
        <v>54.821304345999998</v>
      </c>
      <c r="C43">
        <f t="shared" si="3"/>
        <v>3.2782085101613456E-2</v>
      </c>
    </row>
    <row r="44" spans="1:3">
      <c r="A44" s="2">
        <v>44</v>
      </c>
      <c r="B44">
        <f t="shared" si="2"/>
        <v>56.281478258999996</v>
      </c>
      <c r="C44">
        <f t="shared" si="3"/>
        <v>3.3487553847476016E-2</v>
      </c>
    </row>
    <row r="45" spans="1:3">
      <c r="A45" s="2">
        <v>45</v>
      </c>
      <c r="B45">
        <f t="shared" si="2"/>
        <v>57.741652172000002</v>
      </c>
      <c r="C45">
        <f t="shared" si="3"/>
        <v>3.4197131182561742E-2</v>
      </c>
    </row>
    <row r="46" spans="1:3">
      <c r="A46" s="2">
        <v>46</v>
      </c>
      <c r="B46">
        <f t="shared" si="2"/>
        <v>59.201826084999993</v>
      </c>
      <c r="C46">
        <f t="shared" si="3"/>
        <v>3.4910459712429946E-2</v>
      </c>
    </row>
    <row r="47" spans="1:3">
      <c r="A47" s="2">
        <v>47</v>
      </c>
      <c r="B47">
        <f t="shared" si="2"/>
        <v>60.661999997999999</v>
      </c>
      <c r="C47">
        <f t="shared" si="3"/>
        <v>3.5627211403604066E-2</v>
      </c>
    </row>
    <row r="48" spans="1:3">
      <c r="A48" s="2">
        <v>48</v>
      </c>
      <c r="B48">
        <f t="shared" si="2"/>
        <v>62.122173911000004</v>
      </c>
      <c r="C48">
        <f t="shared" si="3"/>
        <v>3.6347086566615158E-2</v>
      </c>
    </row>
    <row r="49" spans="1:3">
      <c r="A49" s="2">
        <v>49</v>
      </c>
      <c r="B49">
        <f t="shared" si="2"/>
        <v>63.582347823999996</v>
      </c>
      <c r="C49">
        <f t="shared" si="3"/>
        <v>3.7069812378882863E-2</v>
      </c>
    </row>
    <row r="50" spans="1:3">
      <c r="A50" s="2">
        <v>50</v>
      </c>
      <c r="B50">
        <f t="shared" si="2"/>
        <v>65.042521737000001</v>
      </c>
      <c r="C50">
        <f t="shared" si="3"/>
        <v>3.7795141133395167E-2</v>
      </c>
    </row>
    <row r="51" spans="1:3">
      <c r="A51" s="2">
        <v>51</v>
      </c>
      <c r="B51">
        <f t="shared" si="2"/>
        <v>66.502695649999993</v>
      </c>
      <c r="C51">
        <f t="shared" si="3"/>
        <v>3.8522848352668171E-2</v>
      </c>
    </row>
    <row r="52" spans="1:3">
      <c r="A52" s="2">
        <v>52</v>
      </c>
      <c r="B52">
        <f t="shared" si="2"/>
        <v>67.962869562999998</v>
      </c>
      <c r="C52">
        <f t="shared" si="3"/>
        <v>3.9252730868667825E-2</v>
      </c>
    </row>
    <row r="53" spans="1:3">
      <c r="A53" s="2">
        <v>53</v>
      </c>
      <c r="B53">
        <f t="shared" si="2"/>
        <v>69.423043476000004</v>
      </c>
      <c r="C53">
        <f t="shared" si="3"/>
        <v>3.9984604938366912E-2</v>
      </c>
    </row>
    <row r="54" spans="1:3">
      <c r="A54" s="2">
        <v>54</v>
      </c>
      <c r="B54">
        <f t="shared" si="2"/>
        <v>70.883217388999995</v>
      </c>
      <c r="C54">
        <f t="shared" si="3"/>
        <v>4.0718304440691792E-2</v>
      </c>
    </row>
    <row r="55" spans="1:3">
      <c r="A55" s="2">
        <v>55</v>
      </c>
      <c r="B55">
        <f t="shared" si="2"/>
        <v>72.343391302000001</v>
      </c>
      <c r="C55">
        <f t="shared" si="3"/>
        <v>4.1453679182722511E-2</v>
      </c>
    </row>
    <row r="56" spans="1:3">
      <c r="A56" s="2">
        <v>56</v>
      </c>
      <c r="B56">
        <f t="shared" si="2"/>
        <v>73.803565215000006</v>
      </c>
      <c r="C56">
        <f t="shared" si="3"/>
        <v>4.2190593330013397E-2</v>
      </c>
    </row>
    <row r="57" spans="1:3">
      <c r="A57" s="2">
        <v>57</v>
      </c>
      <c r="B57">
        <f t="shared" si="2"/>
        <v>75.263739127999997</v>
      </c>
      <c r="C57">
        <f t="shared" si="3"/>
        <v>4.2928923966740903E-2</v>
      </c>
    </row>
    <row r="58" spans="1:3">
      <c r="A58" s="2">
        <v>58</v>
      </c>
      <c r="B58">
        <f t="shared" si="2"/>
        <v>76.723913041000003</v>
      </c>
      <c r="C58">
        <f t="shared" si="3"/>
        <v>4.3668559785146777E-2</v>
      </c>
    </row>
    <row r="59" spans="1:3">
      <c r="A59" s="2">
        <v>59</v>
      </c>
      <c r="B59">
        <f t="shared" si="2"/>
        <v>78.184086953999994</v>
      </c>
      <c r="C59">
        <f t="shared" si="3"/>
        <v>4.4409399899678216E-2</v>
      </c>
    </row>
    <row r="60" spans="1:3">
      <c r="A60" s="2">
        <v>60</v>
      </c>
      <c r="B60">
        <f t="shared" si="2"/>
        <v>79.644260867</v>
      </c>
      <c r="C60">
        <f t="shared" si="3"/>
        <v>4.515135277873937E-2</v>
      </c>
    </row>
    <row r="61" spans="1:3">
      <c r="A61" s="2">
        <v>61</v>
      </c>
      <c r="B61">
        <f t="shared" si="2"/>
        <v>81.104434780000005</v>
      </c>
      <c r="C61">
        <f t="shared" si="3"/>
        <v>4.5894335285601703E-2</v>
      </c>
    </row>
    <row r="62" spans="1:3">
      <c r="A62" s="2">
        <v>62</v>
      </c>
      <c r="B62">
        <f t="shared" si="2"/>
        <v>82.564608692999997</v>
      </c>
      <c r="C62">
        <f t="shared" si="3"/>
        <v>4.6638271819432038E-2</v>
      </c>
    </row>
    <row r="63" spans="1:3">
      <c r="A63" s="2">
        <v>63</v>
      </c>
      <c r="B63">
        <f t="shared" si="2"/>
        <v>84.024782606000002</v>
      </c>
      <c r="C63">
        <f t="shared" si="3"/>
        <v>4.7383093547330904E-2</v>
      </c>
    </row>
    <row r="64" spans="1:3">
      <c r="A64" s="2">
        <v>64</v>
      </c>
      <c r="B64">
        <f t="shared" si="2"/>
        <v>85.484956518999994</v>
      </c>
      <c r="C64">
        <f t="shared" si="3"/>
        <v>4.8128737718545637E-2</v>
      </c>
    </row>
    <row r="65" spans="1:3">
      <c r="A65" s="2">
        <v>65</v>
      </c>
      <c r="B65">
        <f t="shared" ref="B65:B70" si="4">-6.506+(A65-1)*1.460173913</f>
        <v>86.945130431999999</v>
      </c>
      <c r="C65">
        <f t="shared" ref="C65:C70" si="5">0.00676417221889024+0.000415518861505181*B65+0.053991847617027*(0.00219298245614035+(B65-35.6961842105263)^2/260324.819360526)^0.5</f>
        <v>4.8875147052502697E-2</v>
      </c>
    </row>
    <row r="66" spans="1:3">
      <c r="A66" s="2">
        <v>66</v>
      </c>
      <c r="B66">
        <f t="shared" si="4"/>
        <v>88.405304345000005</v>
      </c>
      <c r="C66">
        <f t="shared" si="5"/>
        <v>4.962226919289698E-2</v>
      </c>
    </row>
    <row r="67" spans="1:3">
      <c r="A67" s="2">
        <v>67</v>
      </c>
      <c r="B67">
        <f t="shared" si="4"/>
        <v>89.865478257999996</v>
      </c>
      <c r="C67">
        <f t="shared" si="5"/>
        <v>5.0370056220722478E-2</v>
      </c>
    </row>
    <row r="68" spans="1:3">
      <c r="A68" s="2">
        <v>68</v>
      </c>
      <c r="B68">
        <f t="shared" si="4"/>
        <v>91.325652171000002</v>
      </c>
      <c r="C68">
        <f t="shared" si="5"/>
        <v>5.111846421978411E-2</v>
      </c>
    </row>
    <row r="69" spans="1:3">
      <c r="A69" s="2">
        <v>69</v>
      </c>
      <c r="B69">
        <f t="shared" si="4"/>
        <v>92.785826083999993</v>
      </c>
      <c r="C69">
        <f t="shared" si="5"/>
        <v>5.1867452888868917E-2</v>
      </c>
    </row>
    <row r="70" spans="1:3">
      <c r="A70" s="2">
        <v>70</v>
      </c>
      <c r="B70">
        <f t="shared" si="4"/>
        <v>94.245999996999998</v>
      </c>
      <c r="C70">
        <f t="shared" si="5"/>
        <v>5.2616985195360066E-2</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0.00676417221889024+0.000415518861505181*B1-0.053991847617027*(1.00219298245614+(B1-35.6961842105263)^2/260324.819360526)^0.5</f>
        <v>-5.0174388170283163E-2</v>
      </c>
    </row>
    <row r="2" spans="1:3">
      <c r="A2" s="2">
        <v>2</v>
      </c>
      <c r="B2">
        <f t="shared" si="0"/>
        <v>-5.4883030303</v>
      </c>
      <c r="C2">
        <f t="shared" si="1"/>
        <v>-4.9742754357054018E-2</v>
      </c>
    </row>
    <row r="3" spans="1:3">
      <c r="A3" s="2">
        <v>3</v>
      </c>
      <c r="B3">
        <f t="shared" si="0"/>
        <v>-4.4706060605999998</v>
      </c>
      <c r="C3">
        <f t="shared" si="1"/>
        <v>-4.9311333040417862E-2</v>
      </c>
    </row>
    <row r="4" spans="1:3">
      <c r="A4" s="2">
        <v>4</v>
      </c>
      <c r="B4">
        <f t="shared" si="0"/>
        <v>-3.4529090909000004</v>
      </c>
      <c r="C4">
        <f t="shared" si="1"/>
        <v>-4.8880124320908977E-2</v>
      </c>
    </row>
    <row r="5" spans="1:3">
      <c r="A5" s="2">
        <v>5</v>
      </c>
      <c r="B5">
        <f t="shared" si="0"/>
        <v>-2.4352121212000002</v>
      </c>
      <c r="C5">
        <f t="shared" si="1"/>
        <v>-4.8449128296622714E-2</v>
      </c>
    </row>
    <row r="6" spans="1:3">
      <c r="A6" s="2">
        <v>6</v>
      </c>
      <c r="B6">
        <f t="shared" si="0"/>
        <v>-1.4175151515</v>
      </c>
      <c r="C6">
        <f t="shared" si="1"/>
        <v>-4.8018345063209622E-2</v>
      </c>
    </row>
    <row r="7" spans="1:3">
      <c r="A7" s="2">
        <v>7</v>
      </c>
      <c r="B7">
        <f t="shared" si="0"/>
        <v>-0.39981818180000062</v>
      </c>
      <c r="C7">
        <f t="shared" si="1"/>
        <v>-4.7587774713869956E-2</v>
      </c>
    </row>
    <row r="8" spans="1:3">
      <c r="A8" s="2">
        <v>8</v>
      </c>
      <c r="B8">
        <f t="shared" si="0"/>
        <v>0.61787878789999962</v>
      </c>
      <c r="C8">
        <f t="shared" si="1"/>
        <v>-4.7157417339348244E-2</v>
      </c>
    </row>
    <row r="9" spans="1:3">
      <c r="A9" s="2">
        <v>9</v>
      </c>
      <c r="B9">
        <f t="shared" si="0"/>
        <v>1.6355757575999998</v>
      </c>
      <c r="C9">
        <f t="shared" si="1"/>
        <v>-4.6727273027927868E-2</v>
      </c>
    </row>
    <row r="10" spans="1:3">
      <c r="A10" s="2">
        <v>10</v>
      </c>
      <c r="B10">
        <f t="shared" si="0"/>
        <v>2.6532727272999992</v>
      </c>
      <c r="C10">
        <f t="shared" si="1"/>
        <v>-4.6297341865425994E-2</v>
      </c>
    </row>
    <row r="11" spans="1:3">
      <c r="A11" s="2">
        <v>11</v>
      </c>
      <c r="B11">
        <f t="shared" si="0"/>
        <v>3.6709696970000003</v>
      </c>
      <c r="C11">
        <f t="shared" si="1"/>
        <v>-4.586762393518852E-2</v>
      </c>
    </row>
    <row r="12" spans="1:3">
      <c r="A12" s="2">
        <v>12</v>
      </c>
      <c r="B12">
        <f t="shared" si="0"/>
        <v>4.6886666666999997</v>
      </c>
      <c r="C12">
        <f t="shared" si="1"/>
        <v>-4.5438119318085127E-2</v>
      </c>
    </row>
    <row r="13" spans="1:3">
      <c r="A13" s="2">
        <v>13</v>
      </c>
      <c r="B13">
        <f t="shared" si="0"/>
        <v>5.706363636399999</v>
      </c>
      <c r="C13">
        <f t="shared" si="1"/>
        <v>-4.5008828092504609E-2</v>
      </c>
    </row>
    <row r="14" spans="1:3">
      <c r="A14" s="2">
        <v>14</v>
      </c>
      <c r="B14">
        <f t="shared" si="0"/>
        <v>6.7240606061000001</v>
      </c>
      <c r="C14">
        <f t="shared" si="1"/>
        <v>-4.4579750334350209E-2</v>
      </c>
    </row>
    <row r="15" spans="1:3">
      <c r="A15" s="2">
        <v>15</v>
      </c>
      <c r="B15">
        <f t="shared" si="0"/>
        <v>7.7417575757999995</v>
      </c>
      <c r="C15">
        <f t="shared" si="1"/>
        <v>-4.4150886117035146E-2</v>
      </c>
    </row>
    <row r="16" spans="1:3">
      <c r="A16" s="2">
        <v>16</v>
      </c>
      <c r="B16">
        <f t="shared" si="0"/>
        <v>8.7594545455000006</v>
      </c>
      <c r="C16">
        <f t="shared" si="1"/>
        <v>-4.3722235511478344E-2</v>
      </c>
    </row>
    <row r="17" spans="1:3">
      <c r="A17" s="2">
        <v>17</v>
      </c>
      <c r="B17">
        <f t="shared" si="0"/>
        <v>9.7771515151999999</v>
      </c>
      <c r="C17">
        <f t="shared" si="1"/>
        <v>-4.3293798586100204E-2</v>
      </c>
    </row>
    <row r="18" spans="1:3">
      <c r="A18" s="2">
        <v>18</v>
      </c>
      <c r="B18">
        <f t="shared" si="0"/>
        <v>10.794848484900001</v>
      </c>
      <c r="C18">
        <f t="shared" si="1"/>
        <v>-4.2865575406818589E-2</v>
      </c>
    </row>
    <row r="19" spans="1:3">
      <c r="A19" s="2">
        <v>19</v>
      </c>
      <c r="B19">
        <f t="shared" si="0"/>
        <v>11.812545454599999</v>
      </c>
      <c r="C19">
        <f t="shared" si="1"/>
        <v>-4.2437566037044946E-2</v>
      </c>
    </row>
    <row r="20" spans="1:3">
      <c r="A20" s="2">
        <v>20</v>
      </c>
      <c r="B20">
        <f t="shared" si="0"/>
        <v>12.8302424243</v>
      </c>
      <c r="C20">
        <f t="shared" si="1"/>
        <v>-4.2009770537680541E-2</v>
      </c>
    </row>
    <row r="21" spans="1:3">
      <c r="A21" s="2">
        <v>21</v>
      </c>
      <c r="B21">
        <f t="shared" si="0"/>
        <v>13.847939394000001</v>
      </c>
      <c r="C21">
        <f t="shared" si="1"/>
        <v>-4.158218896711284E-2</v>
      </c>
    </row>
    <row r="22" spans="1:3">
      <c r="A22" s="2">
        <v>22</v>
      </c>
      <c r="B22">
        <f t="shared" si="0"/>
        <v>14.865636363699998</v>
      </c>
      <c r="C22">
        <f t="shared" si="1"/>
        <v>-4.1154821381212132E-2</v>
      </c>
    </row>
    <row r="23" spans="1:3">
      <c r="A23" s="2">
        <v>23</v>
      </c>
      <c r="B23">
        <f t="shared" si="0"/>
        <v>15.8833333334</v>
      </c>
      <c r="C23">
        <f t="shared" si="1"/>
        <v>-4.0727667833328138E-2</v>
      </c>
    </row>
    <row r="24" spans="1:3">
      <c r="A24" s="2">
        <v>24</v>
      </c>
      <c r="B24">
        <f t="shared" si="0"/>
        <v>16.901030303100001</v>
      </c>
      <c r="C24">
        <f t="shared" si="1"/>
        <v>-4.0300728374286873E-2</v>
      </c>
    </row>
    <row r="25" spans="1:3">
      <c r="A25" s="2">
        <v>25</v>
      </c>
      <c r="B25">
        <f t="shared" si="0"/>
        <v>17.918727272799998</v>
      </c>
      <c r="C25">
        <f t="shared" si="1"/>
        <v>-3.9874003052387703E-2</v>
      </c>
    </row>
    <row r="26" spans="1:3">
      <c r="A26" s="2">
        <v>26</v>
      </c>
      <c r="B26">
        <f t="shared" si="0"/>
        <v>18.936424242499999</v>
      </c>
      <c r="C26">
        <f t="shared" si="1"/>
        <v>-3.944749191340037E-2</v>
      </c>
    </row>
    <row r="27" spans="1:3">
      <c r="A27" s="2">
        <v>27</v>
      </c>
      <c r="B27">
        <f t="shared" si="0"/>
        <v>19.9541212122</v>
      </c>
      <c r="C27">
        <f t="shared" si="1"/>
        <v>-3.9021195000562406E-2</v>
      </c>
    </row>
    <row r="28" spans="1:3">
      <c r="A28" s="2">
        <v>28</v>
      </c>
      <c r="B28">
        <f t="shared" si="0"/>
        <v>20.971818181900002</v>
      </c>
      <c r="C28">
        <f t="shared" si="1"/>
        <v>-3.8595112354576439E-2</v>
      </c>
    </row>
    <row r="29" spans="1:3">
      <c r="A29" s="2">
        <v>29</v>
      </c>
      <c r="B29">
        <f t="shared" si="0"/>
        <v>21.989515151599999</v>
      </c>
      <c r="C29">
        <f t="shared" si="1"/>
        <v>-3.8169244013607877E-2</v>
      </c>
    </row>
    <row r="30" spans="1:3">
      <c r="A30" s="2">
        <v>30</v>
      </c>
      <c r="B30">
        <f t="shared" si="0"/>
        <v>23.0072121213</v>
      </c>
      <c r="C30">
        <f t="shared" si="1"/>
        <v>-3.7743590013282584E-2</v>
      </c>
    </row>
    <row r="31" spans="1:3">
      <c r="A31" s="2">
        <v>31</v>
      </c>
      <c r="B31">
        <f t="shared" si="0"/>
        <v>24.024909091000001</v>
      </c>
      <c r="C31">
        <f t="shared" si="1"/>
        <v>-3.7318150386684783E-2</v>
      </c>
    </row>
    <row r="32" spans="1:3">
      <c r="A32" s="2">
        <v>32</v>
      </c>
      <c r="B32">
        <f t="shared" si="0"/>
        <v>25.042606060699999</v>
      </c>
      <c r="C32">
        <f t="shared" si="1"/>
        <v>-3.6892925164355127E-2</v>
      </c>
    </row>
    <row r="33" spans="1:3">
      <c r="A33" s="2">
        <v>33</v>
      </c>
      <c r="B33">
        <f t="shared" ref="B33:B64" si="2">-6.506+(A33-1)*1.0176969697</f>
        <v>26.0603030304</v>
      </c>
      <c r="C33">
        <f t="shared" ref="C33:C64" si="3">0.00676417221889024+0.000415518861505181*B33-0.053991847617027*(1.00219298245614+(B33-35.6961842105263)^2/260324.819360526)^0.5</f>
        <v>-3.6467914374288812E-2</v>
      </c>
    </row>
    <row r="34" spans="1:3">
      <c r="A34" s="2">
        <v>34</v>
      </c>
      <c r="B34">
        <f t="shared" si="2"/>
        <v>27.078000000099998</v>
      </c>
      <c r="C34">
        <f t="shared" si="3"/>
        <v>-3.6043118041933955E-2</v>
      </c>
    </row>
    <row r="35" spans="1:3">
      <c r="A35" s="2">
        <v>35</v>
      </c>
      <c r="B35">
        <f t="shared" si="2"/>
        <v>28.095696969800002</v>
      </c>
      <c r="C35">
        <f t="shared" si="3"/>
        <v>-3.5618536190190078E-2</v>
      </c>
    </row>
    <row r="36" spans="1:3">
      <c r="A36" s="2">
        <v>36</v>
      </c>
      <c r="B36">
        <f t="shared" si="2"/>
        <v>29.1133939395</v>
      </c>
      <c r="C36">
        <f t="shared" si="3"/>
        <v>-3.519416883940675E-2</v>
      </c>
    </row>
    <row r="37" spans="1:3">
      <c r="A37" s="2">
        <v>37</v>
      </c>
      <c r="B37">
        <f t="shared" si="2"/>
        <v>30.131090909199997</v>
      </c>
      <c r="C37">
        <f t="shared" si="3"/>
        <v>-3.4770016007382373E-2</v>
      </c>
    </row>
    <row r="38" spans="1:3">
      <c r="A38" s="2">
        <v>38</v>
      </c>
      <c r="B38">
        <f t="shared" si="2"/>
        <v>31.148787878900002</v>
      </c>
      <c r="C38">
        <f t="shared" si="3"/>
        <v>-3.4346077709363099E-2</v>
      </c>
    </row>
    <row r="39" spans="1:3">
      <c r="A39" s="2">
        <v>39</v>
      </c>
      <c r="B39">
        <f t="shared" si="2"/>
        <v>32.1664848486</v>
      </c>
      <c r="C39">
        <f t="shared" si="3"/>
        <v>-3.3922353958041954E-2</v>
      </c>
    </row>
    <row r="40" spans="1:3">
      <c r="A40" s="2">
        <v>40</v>
      </c>
      <c r="B40">
        <f t="shared" si="2"/>
        <v>33.184181818299997</v>
      </c>
      <c r="C40">
        <f t="shared" si="3"/>
        <v>-3.3498844763558078E-2</v>
      </c>
    </row>
    <row r="41" spans="1:3">
      <c r="A41" s="2">
        <v>41</v>
      </c>
      <c r="B41">
        <f t="shared" si="2"/>
        <v>34.201878788000002</v>
      </c>
      <c r="C41">
        <f t="shared" si="3"/>
        <v>-3.3075550133496105E-2</v>
      </c>
    </row>
    <row r="42" spans="1:3">
      <c r="A42" s="2">
        <v>42</v>
      </c>
      <c r="B42">
        <f t="shared" si="2"/>
        <v>35.219575757699999</v>
      </c>
      <c r="C42">
        <f t="shared" si="3"/>
        <v>-3.2652470072885714E-2</v>
      </c>
    </row>
    <row r="43" spans="1:3">
      <c r="A43" s="2">
        <v>43</v>
      </c>
      <c r="B43">
        <f t="shared" si="2"/>
        <v>36.237272727399997</v>
      </c>
      <c r="C43">
        <f t="shared" si="3"/>
        <v>-3.2229604584201377E-2</v>
      </c>
    </row>
    <row r="44" spans="1:3">
      <c r="A44" s="2">
        <v>44</v>
      </c>
      <c r="B44">
        <f t="shared" si="2"/>
        <v>37.254969697100002</v>
      </c>
      <c r="C44">
        <f t="shared" si="3"/>
        <v>-3.1806953667362109E-2</v>
      </c>
    </row>
    <row r="45" spans="1:3">
      <c r="A45" s="2">
        <v>45</v>
      </c>
      <c r="B45">
        <f t="shared" si="2"/>
        <v>38.272666666799999</v>
      </c>
      <c r="C45">
        <f t="shared" si="3"/>
        <v>-3.1384517319731568E-2</v>
      </c>
    </row>
    <row r="46" spans="1:3">
      <c r="A46" s="2">
        <v>46</v>
      </c>
      <c r="B46">
        <f t="shared" si="2"/>
        <v>39.290363636499997</v>
      </c>
      <c r="C46">
        <f t="shared" si="3"/>
        <v>-3.0962295536118185E-2</v>
      </c>
    </row>
    <row r="47" spans="1:3">
      <c r="A47" s="2">
        <v>47</v>
      </c>
      <c r="B47">
        <f t="shared" si="2"/>
        <v>40.308060606200002</v>
      </c>
      <c r="C47">
        <f t="shared" si="3"/>
        <v>-3.0540288308775455E-2</v>
      </c>
    </row>
    <row r="48" spans="1:3">
      <c r="A48" s="2">
        <v>48</v>
      </c>
      <c r="B48">
        <f t="shared" si="2"/>
        <v>41.325757575899999</v>
      </c>
      <c r="C48">
        <f t="shared" si="3"/>
        <v>-3.0118495627402424E-2</v>
      </c>
    </row>
    <row r="49" spans="1:3">
      <c r="A49" s="2">
        <v>49</v>
      </c>
      <c r="B49">
        <f t="shared" si="2"/>
        <v>42.343454545599997</v>
      </c>
      <c r="C49">
        <f t="shared" si="3"/>
        <v>-2.9696917479144262E-2</v>
      </c>
    </row>
    <row r="50" spans="1:3">
      <c r="A50" s="2">
        <v>50</v>
      </c>
      <c r="B50">
        <f t="shared" si="2"/>
        <v>43.361151515300001</v>
      </c>
      <c r="C50">
        <f t="shared" si="3"/>
        <v>-2.9275553848593081E-2</v>
      </c>
    </row>
    <row r="51" spans="1:3">
      <c r="A51" s="2">
        <v>51</v>
      </c>
      <c r="B51">
        <f t="shared" si="2"/>
        <v>44.378848484999999</v>
      </c>
      <c r="C51">
        <f t="shared" si="3"/>
        <v>-2.8854404717788822E-2</v>
      </c>
    </row>
    <row r="52" spans="1:3">
      <c r="A52" s="2">
        <v>52</v>
      </c>
      <c r="B52">
        <f t="shared" si="2"/>
        <v>45.396545454700004</v>
      </c>
      <c r="C52">
        <f t="shared" si="3"/>
        <v>-2.8433470066220295E-2</v>
      </c>
    </row>
    <row r="53" spans="1:3">
      <c r="A53" s="2">
        <v>53</v>
      </c>
      <c r="B53">
        <f t="shared" si="2"/>
        <v>46.414242424400001</v>
      </c>
      <c r="C53">
        <f t="shared" si="3"/>
        <v>-2.8012749870826484E-2</v>
      </c>
    </row>
    <row r="54" spans="1:3">
      <c r="A54" s="2">
        <v>54</v>
      </c>
      <c r="B54">
        <f t="shared" si="2"/>
        <v>47.431939394099999</v>
      </c>
      <c r="C54">
        <f t="shared" si="3"/>
        <v>-2.7592244105997817E-2</v>
      </c>
    </row>
    <row r="55" spans="1:3">
      <c r="A55" s="2">
        <v>55</v>
      </c>
      <c r="B55">
        <f t="shared" si="2"/>
        <v>48.449636363800003</v>
      </c>
      <c r="C55">
        <f t="shared" si="3"/>
        <v>-2.7171952743577789E-2</v>
      </c>
    </row>
    <row r="56" spans="1:3">
      <c r="A56" s="2">
        <v>56</v>
      </c>
      <c r="B56">
        <f t="shared" si="2"/>
        <v>49.467333333500001</v>
      </c>
      <c r="C56">
        <f t="shared" si="3"/>
        <v>-2.6751875752864543E-2</v>
      </c>
    </row>
    <row r="57" spans="1:3">
      <c r="A57" s="2">
        <v>57</v>
      </c>
      <c r="B57">
        <f t="shared" si="2"/>
        <v>50.485030303199999</v>
      </c>
      <c r="C57">
        <f t="shared" si="3"/>
        <v>-2.6332013100612742E-2</v>
      </c>
    </row>
    <row r="58" spans="1:3">
      <c r="A58" s="2">
        <v>58</v>
      </c>
      <c r="B58">
        <f t="shared" si="2"/>
        <v>51.502727272900003</v>
      </c>
      <c r="C58">
        <f t="shared" si="3"/>
        <v>-2.5912364751035553E-2</v>
      </c>
    </row>
    <row r="59" spans="1:3">
      <c r="A59" s="2">
        <v>59</v>
      </c>
      <c r="B59">
        <f t="shared" si="2"/>
        <v>52.520424242600001</v>
      </c>
      <c r="C59">
        <f t="shared" si="3"/>
        <v>-2.5492930665806775E-2</v>
      </c>
    </row>
    <row r="60" spans="1:3">
      <c r="A60" s="2">
        <v>60</v>
      </c>
      <c r="B60">
        <f t="shared" si="2"/>
        <v>53.538121212299998</v>
      </c>
      <c r="C60">
        <f t="shared" si="3"/>
        <v>-2.5073710804063044E-2</v>
      </c>
    </row>
    <row r="61" spans="1:3">
      <c r="A61" s="2">
        <v>61</v>
      </c>
      <c r="B61">
        <f t="shared" si="2"/>
        <v>54.555818182000003</v>
      </c>
      <c r="C61">
        <f t="shared" si="3"/>
        <v>-2.4654705122406369E-2</v>
      </c>
    </row>
    <row r="62" spans="1:3">
      <c r="A62" s="2">
        <v>62</v>
      </c>
      <c r="B62">
        <f t="shared" si="2"/>
        <v>55.573515151700001</v>
      </c>
      <c r="C62">
        <f t="shared" si="3"/>
        <v>-2.4235913574906606E-2</v>
      </c>
    </row>
    <row r="63" spans="1:3">
      <c r="A63" s="2">
        <v>63</v>
      </c>
      <c r="B63">
        <f t="shared" si="2"/>
        <v>56.591212121399998</v>
      </c>
      <c r="C63">
        <f t="shared" si="3"/>
        <v>-2.381733611310427E-2</v>
      </c>
    </row>
    <row r="64" spans="1:3">
      <c r="A64" s="2">
        <v>64</v>
      </c>
      <c r="B64">
        <f t="shared" si="2"/>
        <v>57.608909091100003</v>
      </c>
      <c r="C64">
        <f t="shared" si="3"/>
        <v>-2.3398972686013313E-2</v>
      </c>
    </row>
    <row r="65" spans="1:3">
      <c r="A65" s="2">
        <v>65</v>
      </c>
      <c r="B65">
        <f t="shared" ref="B65:B96" si="4">-6.506+(A65-1)*1.0176969697</f>
        <v>58.6266060608</v>
      </c>
      <c r="C65">
        <f t="shared" ref="C65:C96" si="5">0.00676417221889024+0.000415518861505181*B65-0.053991847617027*(1.00219298245614+(B65-35.6961842105263)^2/260324.819360526)^0.5</f>
        <v>-2.298082324012421E-2</v>
      </c>
    </row>
    <row r="66" spans="1:3">
      <c r="A66" s="2">
        <v>66</v>
      </c>
      <c r="B66">
        <f t="shared" si="4"/>
        <v>59.644303030499998</v>
      </c>
      <c r="C66">
        <f t="shared" si="5"/>
        <v>-2.2562887719407135E-2</v>
      </c>
    </row>
    <row r="67" spans="1:3">
      <c r="A67" s="2">
        <v>67</v>
      </c>
      <c r="B67">
        <f t="shared" si="4"/>
        <v>60.662000000199995</v>
      </c>
      <c r="C67">
        <f t="shared" si="5"/>
        <v>-2.2145166065315192E-2</v>
      </c>
    </row>
    <row r="68" spans="1:3">
      <c r="A68" s="2">
        <v>68</v>
      </c>
      <c r="B68">
        <f t="shared" si="4"/>
        <v>61.679696969900007</v>
      </c>
      <c r="C68">
        <f t="shared" si="5"/>
        <v>-2.1727658216787987E-2</v>
      </c>
    </row>
    <row r="69" spans="1:3">
      <c r="A69" s="2">
        <v>69</v>
      </c>
      <c r="B69">
        <f t="shared" si="4"/>
        <v>62.697393939600005</v>
      </c>
      <c r="C69">
        <f t="shared" si="5"/>
        <v>-2.1310364110255192E-2</v>
      </c>
    </row>
    <row r="70" spans="1:3">
      <c r="A70" s="2">
        <v>70</v>
      </c>
      <c r="B70">
        <f t="shared" si="4"/>
        <v>63.715090909300002</v>
      </c>
      <c r="C70">
        <f t="shared" si="5"/>
        <v>-2.0893283679640218E-2</v>
      </c>
    </row>
    <row r="71" spans="1:3">
      <c r="A71" s="2">
        <v>71</v>
      </c>
      <c r="B71">
        <f t="shared" si="4"/>
        <v>64.732787879</v>
      </c>
      <c r="C71">
        <f t="shared" si="5"/>
        <v>-2.0476416856364275E-2</v>
      </c>
    </row>
    <row r="72" spans="1:3">
      <c r="A72" s="2">
        <v>72</v>
      </c>
      <c r="B72">
        <f t="shared" si="4"/>
        <v>65.750484848699998</v>
      </c>
      <c r="C72">
        <f t="shared" si="5"/>
        <v>-2.005976356935027E-2</v>
      </c>
    </row>
    <row r="73" spans="1:3">
      <c r="A73" s="2">
        <v>73</v>
      </c>
      <c r="B73">
        <f t="shared" si="4"/>
        <v>66.768181818399995</v>
      </c>
      <c r="C73">
        <f t="shared" si="5"/>
        <v>-1.9643323745027051E-2</v>
      </c>
    </row>
    <row r="74" spans="1:3">
      <c r="A74" s="2">
        <v>74</v>
      </c>
      <c r="B74">
        <f t="shared" si="4"/>
        <v>67.785878788100007</v>
      </c>
      <c r="C74">
        <f t="shared" si="5"/>
        <v>-1.9227097307333789E-2</v>
      </c>
    </row>
    <row r="75" spans="1:3">
      <c r="A75" s="2">
        <v>75</v>
      </c>
      <c r="B75">
        <f t="shared" si="4"/>
        <v>68.803575757800004</v>
      </c>
      <c r="C75">
        <f t="shared" si="5"/>
        <v>-1.8811084177724396E-2</v>
      </c>
    </row>
    <row r="76" spans="1:3">
      <c r="A76" s="2">
        <v>76</v>
      </c>
      <c r="B76">
        <f t="shared" si="4"/>
        <v>69.821272727500002</v>
      </c>
      <c r="C76">
        <f t="shared" si="5"/>
        <v>-1.8395284275172112E-2</v>
      </c>
    </row>
    <row r="77" spans="1:3">
      <c r="A77" s="2">
        <v>77</v>
      </c>
      <c r="B77">
        <f t="shared" si="4"/>
        <v>70.8389696972</v>
      </c>
      <c r="C77">
        <f t="shared" si="5"/>
        <v>-1.7979697516174335E-2</v>
      </c>
    </row>
    <row r="78" spans="1:3">
      <c r="A78" s="2">
        <v>78</v>
      </c>
      <c r="B78">
        <f t="shared" si="4"/>
        <v>71.856666666899997</v>
      </c>
      <c r="C78">
        <f t="shared" si="5"/>
        <v>-1.7564323814757504E-2</v>
      </c>
    </row>
    <row r="79" spans="1:3">
      <c r="A79" s="2">
        <v>79</v>
      </c>
      <c r="B79">
        <f t="shared" si="4"/>
        <v>72.874363636599995</v>
      </c>
      <c r="C79">
        <f t="shared" si="5"/>
        <v>-1.7149163082482106E-2</v>
      </c>
    </row>
    <row r="80" spans="1:3">
      <c r="A80" s="2">
        <v>80</v>
      </c>
      <c r="B80">
        <f t="shared" si="4"/>
        <v>73.892060606300006</v>
      </c>
      <c r="C80">
        <f t="shared" si="5"/>
        <v>-1.6734215228447903E-2</v>
      </c>
    </row>
    <row r="81" spans="1:3">
      <c r="A81" s="2">
        <v>81</v>
      </c>
      <c r="B81">
        <f t="shared" si="4"/>
        <v>74.909757576000004</v>
      </c>
      <c r="C81">
        <f t="shared" si="5"/>
        <v>-1.6319480159299231E-2</v>
      </c>
    </row>
    <row r="82" spans="1:3">
      <c r="A82" s="2">
        <v>82</v>
      </c>
      <c r="B82">
        <f t="shared" si="4"/>
        <v>75.927454545700002</v>
      </c>
      <c r="C82">
        <f t="shared" si="5"/>
        <v>-1.5904957779230434E-2</v>
      </c>
    </row>
    <row r="83" spans="1:3">
      <c r="A83" s="2">
        <v>83</v>
      </c>
      <c r="B83">
        <f t="shared" si="4"/>
        <v>76.945151515399999</v>
      </c>
      <c r="C83">
        <f t="shared" si="5"/>
        <v>-1.5490647989991502E-2</v>
      </c>
    </row>
    <row r="84" spans="1:3">
      <c r="A84" s="2">
        <v>84</v>
      </c>
      <c r="B84">
        <f t="shared" si="4"/>
        <v>77.962848485099997</v>
      </c>
      <c r="C84">
        <f t="shared" si="5"/>
        <v>-1.5076550690893781E-2</v>
      </c>
    </row>
    <row r="85" spans="1:3">
      <c r="A85" s="2">
        <v>85</v>
      </c>
      <c r="B85">
        <f t="shared" si="4"/>
        <v>78.980545454799994</v>
      </c>
      <c r="C85">
        <f t="shared" si="5"/>
        <v>-1.4662665778815878E-2</v>
      </c>
    </row>
    <row r="86" spans="1:3">
      <c r="A86" s="2">
        <v>86</v>
      </c>
      <c r="B86">
        <f t="shared" si="4"/>
        <v>79.998242424500006</v>
      </c>
      <c r="C86">
        <f t="shared" si="5"/>
        <v>-1.4248993148209599E-2</v>
      </c>
    </row>
    <row r="87" spans="1:3">
      <c r="A87" s="2">
        <v>87</v>
      </c>
      <c r="B87">
        <f t="shared" si="4"/>
        <v>81.015939394200004</v>
      </c>
      <c r="C87">
        <f t="shared" si="5"/>
        <v>-1.383553269110617E-2</v>
      </c>
    </row>
    <row r="88" spans="1:3">
      <c r="A88" s="2">
        <v>88</v>
      </c>
      <c r="B88">
        <f t="shared" si="4"/>
        <v>82.033636363900001</v>
      </c>
      <c r="C88">
        <f t="shared" si="5"/>
        <v>-1.342228429712241E-2</v>
      </c>
    </row>
    <row r="89" spans="1:3">
      <c r="A89" s="2">
        <v>89</v>
      </c>
      <c r="B89">
        <f t="shared" si="4"/>
        <v>83.051333333599999</v>
      </c>
      <c r="C89">
        <f t="shared" si="5"/>
        <v>-1.3009247853467271E-2</v>
      </c>
    </row>
    <row r="90" spans="1:3">
      <c r="A90" s="2">
        <v>90</v>
      </c>
      <c r="B90">
        <f t="shared" si="4"/>
        <v>84.069030303299996</v>
      </c>
      <c r="C90">
        <f t="shared" si="5"/>
        <v>-1.2596423244948217E-2</v>
      </c>
    </row>
    <row r="91" spans="1:3">
      <c r="A91" s="2">
        <v>91</v>
      </c>
      <c r="B91">
        <f t="shared" si="4"/>
        <v>85.086727272999994</v>
      </c>
      <c r="C91">
        <f t="shared" si="5"/>
        <v>-1.2183810353978058E-2</v>
      </c>
    </row>
    <row r="92" spans="1:3">
      <c r="A92" s="2">
        <v>92</v>
      </c>
      <c r="B92">
        <f t="shared" si="4"/>
        <v>86.104424242700006</v>
      </c>
      <c r="C92">
        <f t="shared" si="5"/>
        <v>-1.1771409060581613E-2</v>
      </c>
    </row>
    <row r="93" spans="1:3">
      <c r="A93" s="2">
        <v>93</v>
      </c>
      <c r="B93">
        <f t="shared" si="4"/>
        <v>87.122121212400003</v>
      </c>
      <c r="C93">
        <f t="shared" si="5"/>
        <v>-1.1359219242402747E-2</v>
      </c>
    </row>
    <row r="94" spans="1:3">
      <c r="A94" s="2">
        <v>94</v>
      </c>
      <c r="B94">
        <f t="shared" si="4"/>
        <v>88.139818182100001</v>
      </c>
      <c r="C94">
        <f t="shared" si="5"/>
        <v>-1.0947240774711327E-2</v>
      </c>
    </row>
    <row r="95" spans="1:3">
      <c r="A95" s="2">
        <v>95</v>
      </c>
      <c r="B95">
        <f t="shared" si="4"/>
        <v>89.157515151799998</v>
      </c>
      <c r="C95">
        <f t="shared" si="5"/>
        <v>-1.0535473530410476E-2</v>
      </c>
    </row>
    <row r="96" spans="1:3">
      <c r="A96" s="2">
        <v>96</v>
      </c>
      <c r="B96">
        <f t="shared" si="4"/>
        <v>90.175212121499996</v>
      </c>
      <c r="C96">
        <f t="shared" si="5"/>
        <v>-1.0123917380043888E-2</v>
      </c>
    </row>
    <row r="97" spans="1:3">
      <c r="A97" s="2">
        <v>97</v>
      </c>
      <c r="B97">
        <f t="shared" ref="B97:B100" si="6">-6.506+(A97-1)*1.0176969697</f>
        <v>91.192909091199994</v>
      </c>
      <c r="C97">
        <f t="shared" ref="C97:C100" si="7">0.00676417221889024+0.000415518861505181*B97-0.053991847617027*(1.00219298245614+(B97-35.6961842105263)^2/260324.819360526)^0.5</f>
        <v>-9.7125721918032287E-3</v>
      </c>
    </row>
    <row r="98" spans="1:3">
      <c r="A98" s="2">
        <v>98</v>
      </c>
      <c r="B98">
        <f t="shared" si="6"/>
        <v>92.210606060900005</v>
      </c>
      <c r="C98">
        <f t="shared" si="7"/>
        <v>-9.3014378315356902E-3</v>
      </c>
    </row>
    <row r="99" spans="1:3">
      <c r="A99" s="2">
        <v>99</v>
      </c>
      <c r="B99">
        <f t="shared" si="6"/>
        <v>93.228303030600003</v>
      </c>
      <c r="C99">
        <f t="shared" si="7"/>
        <v>-8.8905141627517517E-3</v>
      </c>
    </row>
    <row r="100" spans="1:3">
      <c r="A100" s="2">
        <v>100</v>
      </c>
      <c r="B100">
        <f t="shared" si="6"/>
        <v>94.2460000003</v>
      </c>
      <c r="C100">
        <f t="shared" si="7"/>
        <v>-8.4798010466328802E-3</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enableFormatConditionsCalculation="0"/>
  <dimension ref="A1:C100"/>
  <sheetViews>
    <sheetView workbookViewId="0"/>
  </sheetViews>
  <sheetFormatPr baseColWidth="10" defaultRowHeight="15.75"/>
  <sheetData>
    <row r="1" spans="1:3">
      <c r="A1" s="2">
        <v>1</v>
      </c>
      <c r="B1">
        <f t="shared" ref="B1:B32" si="0">-6.506+(A1-1)*1.0176969697</f>
        <v>-6.5060000000000002</v>
      </c>
      <c r="C1">
        <f t="shared" ref="C1:C32" si="1">0.00676417221889024+0.000415518861505181*B1+0.053991847617027*(1.00219298245614+(B1-35.6961842105263)^2/260324.819360526)^0.5</f>
        <v>5.8296001182158233E-2</v>
      </c>
    </row>
    <row r="2" spans="1:3">
      <c r="A2" s="2">
        <v>2</v>
      </c>
      <c r="B2">
        <f t="shared" si="0"/>
        <v>-5.4883030303</v>
      </c>
      <c r="C2">
        <f t="shared" si="1"/>
        <v>5.8710111941343117E-2</v>
      </c>
    </row>
    <row r="3" spans="1:3">
      <c r="A3" s="2">
        <v>3</v>
      </c>
      <c r="B3">
        <f t="shared" si="0"/>
        <v>-4.4706060605999998</v>
      </c>
      <c r="C3">
        <f t="shared" si="1"/>
        <v>5.9124435197120989E-2</v>
      </c>
    </row>
    <row r="4" spans="1:3">
      <c r="A4" s="2">
        <v>4</v>
      </c>
      <c r="B4">
        <f t="shared" si="0"/>
        <v>-3.4529090909000004</v>
      </c>
      <c r="C4">
        <f t="shared" si="1"/>
        <v>5.9538971050026146E-2</v>
      </c>
    </row>
    <row r="5" spans="1:3">
      <c r="A5" s="2">
        <v>5</v>
      </c>
      <c r="B5">
        <f t="shared" si="0"/>
        <v>-2.4352121212000002</v>
      </c>
      <c r="C5">
        <f t="shared" si="1"/>
        <v>5.9953719598153911E-2</v>
      </c>
    </row>
    <row r="6" spans="1:3">
      <c r="A6" s="2">
        <v>6</v>
      </c>
      <c r="B6">
        <f t="shared" si="0"/>
        <v>-1.4175151515</v>
      </c>
      <c r="C6">
        <f t="shared" si="1"/>
        <v>6.0368680937154848E-2</v>
      </c>
    </row>
    <row r="7" spans="1:3">
      <c r="A7" s="2">
        <v>7</v>
      </c>
      <c r="B7">
        <f t="shared" si="0"/>
        <v>-0.39981818180000062</v>
      </c>
      <c r="C7">
        <f t="shared" si="1"/>
        <v>6.0783855160229223E-2</v>
      </c>
    </row>
    <row r="8" spans="1:3">
      <c r="A8" s="2">
        <v>8</v>
      </c>
      <c r="B8">
        <f t="shared" si="0"/>
        <v>0.61787878789999962</v>
      </c>
      <c r="C8">
        <f t="shared" si="1"/>
        <v>6.119924235812154E-2</v>
      </c>
    </row>
    <row r="9" spans="1:3">
      <c r="A9" s="2">
        <v>9</v>
      </c>
      <c r="B9">
        <f t="shared" si="0"/>
        <v>1.6355757575999998</v>
      </c>
      <c r="C9">
        <f t="shared" si="1"/>
        <v>6.1614842619115193E-2</v>
      </c>
    </row>
    <row r="10" spans="1:3">
      <c r="A10" s="2">
        <v>10</v>
      </c>
      <c r="B10">
        <f t="shared" si="0"/>
        <v>2.6532727272999992</v>
      </c>
      <c r="C10">
        <f t="shared" si="1"/>
        <v>6.203065602902736E-2</v>
      </c>
    </row>
    <row r="11" spans="1:3">
      <c r="A11" s="2">
        <v>11</v>
      </c>
      <c r="B11">
        <f t="shared" si="0"/>
        <v>3.6709696970000003</v>
      </c>
      <c r="C11">
        <f t="shared" si="1"/>
        <v>6.2446682671203915E-2</v>
      </c>
    </row>
    <row r="12" spans="1:3">
      <c r="A12" s="2">
        <v>12</v>
      </c>
      <c r="B12">
        <f t="shared" si="0"/>
        <v>4.6886666666999997</v>
      </c>
      <c r="C12">
        <f t="shared" si="1"/>
        <v>6.2862922626514564E-2</v>
      </c>
    </row>
    <row r="13" spans="1:3">
      <c r="A13" s="2">
        <v>13</v>
      </c>
      <c r="B13">
        <f t="shared" si="0"/>
        <v>5.706363636399999</v>
      </c>
      <c r="C13">
        <f t="shared" si="1"/>
        <v>6.3279375973348068E-2</v>
      </c>
    </row>
    <row r="14" spans="1:3">
      <c r="A14" s="2">
        <v>14</v>
      </c>
      <c r="B14">
        <f t="shared" si="0"/>
        <v>6.7240606061000001</v>
      </c>
      <c r="C14">
        <f t="shared" si="1"/>
        <v>6.369604278760771E-2</v>
      </c>
    </row>
    <row r="15" spans="1:3">
      <c r="A15" s="2">
        <v>15</v>
      </c>
      <c r="B15">
        <f t="shared" si="0"/>
        <v>7.7417575757999995</v>
      </c>
      <c r="C15">
        <f t="shared" si="1"/>
        <v>6.4112923142706682E-2</v>
      </c>
    </row>
    <row r="16" spans="1:3">
      <c r="A16" s="2">
        <v>16</v>
      </c>
      <c r="B16">
        <f t="shared" si="0"/>
        <v>8.7594545455000006</v>
      </c>
      <c r="C16">
        <f t="shared" si="1"/>
        <v>6.4530017109563909E-2</v>
      </c>
    </row>
    <row r="17" spans="1:3">
      <c r="A17" s="2">
        <v>17</v>
      </c>
      <c r="B17">
        <f t="shared" si="0"/>
        <v>9.7771515151999999</v>
      </c>
      <c r="C17">
        <f t="shared" si="1"/>
        <v>6.4947324756599797E-2</v>
      </c>
    </row>
    <row r="18" spans="1:3">
      <c r="A18" s="2">
        <v>18</v>
      </c>
      <c r="B18">
        <f t="shared" si="0"/>
        <v>10.794848484900001</v>
      </c>
      <c r="C18">
        <f t="shared" si="1"/>
        <v>6.5364846149732231E-2</v>
      </c>
    </row>
    <row r="19" spans="1:3">
      <c r="A19" s="2">
        <v>19</v>
      </c>
      <c r="B19">
        <f t="shared" si="0"/>
        <v>11.812545454599999</v>
      </c>
      <c r="C19">
        <f t="shared" si="1"/>
        <v>6.578258135237261E-2</v>
      </c>
    </row>
    <row r="20" spans="1:3">
      <c r="A20" s="2">
        <v>20</v>
      </c>
      <c r="B20">
        <f t="shared" si="0"/>
        <v>12.8302424243</v>
      </c>
      <c r="C20">
        <f t="shared" si="1"/>
        <v>6.6200530425422233E-2</v>
      </c>
    </row>
    <row r="21" spans="1:3">
      <c r="A21" s="2">
        <v>21</v>
      </c>
      <c r="B21">
        <f t="shared" si="0"/>
        <v>13.847939394000001</v>
      </c>
      <c r="C21">
        <f t="shared" si="1"/>
        <v>6.6618693427268574E-2</v>
      </c>
    </row>
    <row r="22" spans="1:3">
      <c r="A22" s="2">
        <v>22</v>
      </c>
      <c r="B22">
        <f t="shared" si="0"/>
        <v>14.865636363699998</v>
      </c>
      <c r="C22">
        <f t="shared" si="1"/>
        <v>6.7037070413781902E-2</v>
      </c>
    </row>
    <row r="23" spans="1:3">
      <c r="A23" s="2">
        <v>23</v>
      </c>
      <c r="B23">
        <f t="shared" si="0"/>
        <v>15.8833333334</v>
      </c>
      <c r="C23">
        <f t="shared" si="1"/>
        <v>6.7455661438311929E-2</v>
      </c>
    </row>
    <row r="24" spans="1:3">
      <c r="A24" s="2">
        <v>24</v>
      </c>
      <c r="B24">
        <f t="shared" si="0"/>
        <v>16.901030303100001</v>
      </c>
      <c r="C24">
        <f t="shared" si="1"/>
        <v>6.7874466551684706E-2</v>
      </c>
    </row>
    <row r="25" spans="1:3">
      <c r="A25" s="2">
        <v>25</v>
      </c>
      <c r="B25">
        <f t="shared" si="0"/>
        <v>17.918727272799998</v>
      </c>
      <c r="C25">
        <f t="shared" si="1"/>
        <v>6.8293485802199572E-2</v>
      </c>
    </row>
    <row r="26" spans="1:3">
      <c r="A26" s="2">
        <v>26</v>
      </c>
      <c r="B26">
        <f t="shared" si="0"/>
        <v>18.936424242499999</v>
      </c>
      <c r="C26">
        <f t="shared" si="1"/>
        <v>6.8712719235626274E-2</v>
      </c>
    </row>
    <row r="27" spans="1:3">
      <c r="A27" s="2">
        <v>27</v>
      </c>
      <c r="B27">
        <f t="shared" si="0"/>
        <v>19.9541212122</v>
      </c>
      <c r="C27">
        <f t="shared" si="1"/>
        <v>6.9132166895202338E-2</v>
      </c>
    </row>
    <row r="28" spans="1:3">
      <c r="A28" s="2">
        <v>28</v>
      </c>
      <c r="B28">
        <f t="shared" si="0"/>
        <v>20.971818181900002</v>
      </c>
      <c r="C28">
        <f t="shared" si="1"/>
        <v>6.9551828821630413E-2</v>
      </c>
    </row>
    <row r="29" spans="1:3">
      <c r="A29" s="2">
        <v>29</v>
      </c>
      <c r="B29">
        <f t="shared" si="0"/>
        <v>21.989515151599999</v>
      </c>
      <c r="C29">
        <f t="shared" si="1"/>
        <v>6.9971705053075872E-2</v>
      </c>
    </row>
    <row r="30" spans="1:3">
      <c r="A30" s="2">
        <v>30</v>
      </c>
      <c r="B30">
        <f t="shared" si="0"/>
        <v>23.0072121213</v>
      </c>
      <c r="C30">
        <f t="shared" si="1"/>
        <v>7.0391795625164622E-2</v>
      </c>
    </row>
    <row r="31" spans="1:3">
      <c r="A31" s="2">
        <v>31</v>
      </c>
      <c r="B31">
        <f t="shared" si="0"/>
        <v>24.024909091000001</v>
      </c>
      <c r="C31">
        <f t="shared" si="1"/>
        <v>7.0812100570980863E-2</v>
      </c>
    </row>
    <row r="32" spans="1:3">
      <c r="A32" s="2">
        <v>32</v>
      </c>
      <c r="B32">
        <f t="shared" si="0"/>
        <v>25.042606060699999</v>
      </c>
      <c r="C32">
        <f t="shared" si="1"/>
        <v>7.1232619921065221E-2</v>
      </c>
    </row>
    <row r="33" spans="1:3">
      <c r="A33" s="2">
        <v>33</v>
      </c>
      <c r="B33">
        <f t="shared" ref="B33:B64" si="2">-6.506+(A33-1)*1.0176969697</f>
        <v>26.0603030304</v>
      </c>
      <c r="C33">
        <f t="shared" ref="C33:C64" si="3">0.00676417221889024+0.000415518861505181*B33+0.053991847617027*(1.00219298245614+(B33-35.6961842105263)^2/260324.819360526)^0.5</f>
        <v>7.1653353703412942E-2</v>
      </c>
    </row>
    <row r="34" spans="1:3">
      <c r="A34" s="2">
        <v>34</v>
      </c>
      <c r="B34">
        <f t="shared" si="2"/>
        <v>27.078000000099998</v>
      </c>
      <c r="C34">
        <f t="shared" si="3"/>
        <v>7.2074301943472113E-2</v>
      </c>
    </row>
    <row r="35" spans="1:3">
      <c r="A35" s="2">
        <v>35</v>
      </c>
      <c r="B35">
        <f t="shared" si="2"/>
        <v>28.095696969800002</v>
      </c>
      <c r="C35">
        <f t="shared" si="3"/>
        <v>7.2495464664142278E-2</v>
      </c>
    </row>
    <row r="36" spans="1:3">
      <c r="A36" s="2">
        <v>36</v>
      </c>
      <c r="B36">
        <f t="shared" si="2"/>
        <v>29.1133939395</v>
      </c>
      <c r="C36">
        <f t="shared" si="3"/>
        <v>7.2916841885772979E-2</v>
      </c>
    </row>
    <row r="37" spans="1:3">
      <c r="A37" s="2">
        <v>37</v>
      </c>
      <c r="B37">
        <f t="shared" si="2"/>
        <v>30.131090909199997</v>
      </c>
      <c r="C37">
        <f t="shared" si="3"/>
        <v>7.3338433626162644E-2</v>
      </c>
    </row>
    <row r="38" spans="1:3">
      <c r="A38" s="2">
        <v>38</v>
      </c>
      <c r="B38">
        <f t="shared" si="2"/>
        <v>31.148787878900002</v>
      </c>
      <c r="C38">
        <f t="shared" si="3"/>
        <v>7.3760239900557398E-2</v>
      </c>
    </row>
    <row r="39" spans="1:3">
      <c r="A39" s="2">
        <v>39</v>
      </c>
      <c r="B39">
        <f t="shared" si="2"/>
        <v>32.1664848486</v>
      </c>
      <c r="C39">
        <f t="shared" si="3"/>
        <v>7.4182260721650281E-2</v>
      </c>
    </row>
    <row r="40" spans="1:3">
      <c r="A40" s="2">
        <v>40</v>
      </c>
      <c r="B40">
        <f t="shared" si="2"/>
        <v>33.184181818299997</v>
      </c>
      <c r="C40">
        <f t="shared" si="3"/>
        <v>7.4604496099580447E-2</v>
      </c>
    </row>
    <row r="41" spans="1:3">
      <c r="A41" s="2">
        <v>41</v>
      </c>
      <c r="B41">
        <f t="shared" si="2"/>
        <v>34.201878788000002</v>
      </c>
      <c r="C41">
        <f t="shared" si="3"/>
        <v>7.5026946041932496E-2</v>
      </c>
    </row>
    <row r="42" spans="1:3">
      <c r="A42" s="2">
        <v>42</v>
      </c>
      <c r="B42">
        <f t="shared" si="2"/>
        <v>35.219575757699999</v>
      </c>
      <c r="C42">
        <f t="shared" si="3"/>
        <v>7.5449610553736154E-2</v>
      </c>
    </row>
    <row r="43" spans="1:3">
      <c r="A43" s="2">
        <v>43</v>
      </c>
      <c r="B43">
        <f t="shared" si="2"/>
        <v>36.237272727399997</v>
      </c>
      <c r="C43">
        <f t="shared" si="3"/>
        <v>7.5872489637465845E-2</v>
      </c>
    </row>
    <row r="44" spans="1:3">
      <c r="A44" s="2">
        <v>44</v>
      </c>
      <c r="B44">
        <f t="shared" si="2"/>
        <v>37.254969697100002</v>
      </c>
      <c r="C44">
        <f t="shared" si="3"/>
        <v>7.6295583293040606E-2</v>
      </c>
    </row>
    <row r="45" spans="1:3">
      <c r="A45" s="2">
        <v>45</v>
      </c>
      <c r="B45">
        <f t="shared" si="2"/>
        <v>38.272666666799999</v>
      </c>
      <c r="C45">
        <f t="shared" si="3"/>
        <v>7.67188915178241E-2</v>
      </c>
    </row>
    <row r="46" spans="1:3">
      <c r="A46" s="2">
        <v>46</v>
      </c>
      <c r="B46">
        <f t="shared" si="2"/>
        <v>39.290363636499997</v>
      </c>
      <c r="C46">
        <f t="shared" si="3"/>
        <v>7.7142414306624746E-2</v>
      </c>
    </row>
    <row r="47" spans="1:3">
      <c r="A47" s="2">
        <v>47</v>
      </c>
      <c r="B47">
        <f t="shared" si="2"/>
        <v>40.308060606200002</v>
      </c>
      <c r="C47">
        <f t="shared" si="3"/>
        <v>7.7566151651696058E-2</v>
      </c>
    </row>
    <row r="48" spans="1:3">
      <c r="A48" s="2">
        <v>48</v>
      </c>
      <c r="B48">
        <f t="shared" si="2"/>
        <v>41.325757575899999</v>
      </c>
      <c r="C48">
        <f t="shared" si="3"/>
        <v>7.7990103542737055E-2</v>
      </c>
    </row>
    <row r="49" spans="1:3">
      <c r="A49" s="2">
        <v>49</v>
      </c>
      <c r="B49">
        <f t="shared" si="2"/>
        <v>42.343454545599997</v>
      </c>
      <c r="C49">
        <f t="shared" si="3"/>
        <v>7.8414269966892935E-2</v>
      </c>
    </row>
    <row r="50" spans="1:3">
      <c r="A50" s="2">
        <v>50</v>
      </c>
      <c r="B50">
        <f t="shared" si="2"/>
        <v>43.361151515300001</v>
      </c>
      <c r="C50">
        <f t="shared" si="3"/>
        <v>7.8838650908755789E-2</v>
      </c>
    </row>
    <row r="51" spans="1:3">
      <c r="A51" s="2">
        <v>51</v>
      </c>
      <c r="B51">
        <f t="shared" si="2"/>
        <v>44.378848484999999</v>
      </c>
      <c r="C51">
        <f t="shared" si="3"/>
        <v>7.9263246350365552E-2</v>
      </c>
    </row>
    <row r="52" spans="1:3">
      <c r="A52" s="2">
        <v>52</v>
      </c>
      <c r="B52">
        <f t="shared" si="2"/>
        <v>45.396545454700004</v>
      </c>
      <c r="C52">
        <f t="shared" si="3"/>
        <v>7.9688056271211061E-2</v>
      </c>
    </row>
    <row r="53" spans="1:3">
      <c r="A53" s="2">
        <v>53</v>
      </c>
      <c r="B53">
        <f t="shared" si="2"/>
        <v>46.414242424400001</v>
      </c>
      <c r="C53">
        <f t="shared" si="3"/>
        <v>8.0113080648231291E-2</v>
      </c>
    </row>
    <row r="54" spans="1:3">
      <c r="A54" s="2">
        <v>54</v>
      </c>
      <c r="B54">
        <f t="shared" si="2"/>
        <v>47.431939394099999</v>
      </c>
      <c r="C54">
        <f t="shared" si="3"/>
        <v>8.0538319455816659E-2</v>
      </c>
    </row>
    <row r="55" spans="1:3">
      <c r="A55" s="2">
        <v>55</v>
      </c>
      <c r="B55">
        <f t="shared" si="2"/>
        <v>48.449636363800003</v>
      </c>
      <c r="C55">
        <f t="shared" si="3"/>
        <v>8.0963772665810674E-2</v>
      </c>
    </row>
    <row r="56" spans="1:3">
      <c r="A56" s="2">
        <v>56</v>
      </c>
      <c r="B56">
        <f t="shared" si="2"/>
        <v>49.467333333500001</v>
      </c>
      <c r="C56">
        <f t="shared" si="3"/>
        <v>8.1389440247511449E-2</v>
      </c>
    </row>
    <row r="57" spans="1:3">
      <c r="A57" s="2">
        <v>57</v>
      </c>
      <c r="B57">
        <f t="shared" si="2"/>
        <v>50.485030303199999</v>
      </c>
      <c r="C57">
        <f t="shared" si="3"/>
        <v>8.1815322167673676E-2</v>
      </c>
    </row>
    <row r="58" spans="1:3">
      <c r="A58" s="2">
        <v>58</v>
      </c>
      <c r="B58">
        <f t="shared" si="2"/>
        <v>51.502727272900003</v>
      </c>
      <c r="C58">
        <f t="shared" si="3"/>
        <v>8.2241418390510523E-2</v>
      </c>
    </row>
    <row r="59" spans="1:3">
      <c r="A59" s="2">
        <v>59</v>
      </c>
      <c r="B59">
        <f t="shared" si="2"/>
        <v>52.520424242600001</v>
      </c>
      <c r="C59">
        <f t="shared" si="3"/>
        <v>8.2667728877695773E-2</v>
      </c>
    </row>
    <row r="60" spans="1:3">
      <c r="A60" s="2">
        <v>60</v>
      </c>
      <c r="B60">
        <f t="shared" si="2"/>
        <v>53.538121212299998</v>
      </c>
      <c r="C60">
        <f t="shared" si="3"/>
        <v>8.3094253588366085E-2</v>
      </c>
    </row>
    <row r="61" spans="1:3">
      <c r="A61" s="2">
        <v>61</v>
      </c>
      <c r="B61">
        <f t="shared" si="2"/>
        <v>54.555818182000003</v>
      </c>
      <c r="C61">
        <f t="shared" si="3"/>
        <v>8.3520992479123451E-2</v>
      </c>
    </row>
    <row r="62" spans="1:3">
      <c r="A62" s="2">
        <v>62</v>
      </c>
      <c r="B62">
        <f t="shared" si="2"/>
        <v>55.573515151700001</v>
      </c>
      <c r="C62">
        <f t="shared" si="3"/>
        <v>8.394794550403771E-2</v>
      </c>
    </row>
    <row r="63" spans="1:3">
      <c r="A63" s="2">
        <v>63</v>
      </c>
      <c r="B63">
        <f t="shared" si="2"/>
        <v>56.591212121399998</v>
      </c>
      <c r="C63">
        <f t="shared" si="3"/>
        <v>8.4375112614649403E-2</v>
      </c>
    </row>
    <row r="64" spans="1:3">
      <c r="A64" s="2">
        <v>64</v>
      </c>
      <c r="B64">
        <f t="shared" si="2"/>
        <v>57.608909091100003</v>
      </c>
      <c r="C64">
        <f t="shared" si="3"/>
        <v>8.480249375997248E-2</v>
      </c>
    </row>
    <row r="65" spans="1:3">
      <c r="A65" s="2">
        <v>65</v>
      </c>
      <c r="B65">
        <f t="shared" ref="B65:B96" si="4">-6.506+(A65-1)*1.0176969697</f>
        <v>58.6266060608</v>
      </c>
      <c r="C65">
        <f t="shared" ref="C65:C96" si="5">0.00676417221889024+0.000415518861505181*B65+0.053991847617027*(1.00219298245614+(B65-35.6961842105263)^2/260324.819360526)^0.5</f>
        <v>8.5230088886497413E-2</v>
      </c>
    </row>
    <row r="66" spans="1:3">
      <c r="A66" s="2">
        <v>66</v>
      </c>
      <c r="B66">
        <f t="shared" si="4"/>
        <v>59.644303030499998</v>
      </c>
      <c r="C66">
        <f t="shared" si="5"/>
        <v>8.5657897938194366E-2</v>
      </c>
    </row>
    <row r="67" spans="1:3">
      <c r="A67" s="2">
        <v>67</v>
      </c>
      <c r="B67">
        <f t="shared" si="4"/>
        <v>60.662000000199995</v>
      </c>
      <c r="C67">
        <f t="shared" si="5"/>
        <v>8.6085920856516451E-2</v>
      </c>
    </row>
    <row r="68" spans="1:3">
      <c r="A68" s="2">
        <v>68</v>
      </c>
      <c r="B68">
        <f t="shared" si="4"/>
        <v>61.679696969900007</v>
      </c>
      <c r="C68">
        <f t="shared" si="5"/>
        <v>8.6514157580403303E-2</v>
      </c>
    </row>
    <row r="69" spans="1:3">
      <c r="A69" s="2">
        <v>69</v>
      </c>
      <c r="B69">
        <f t="shared" si="4"/>
        <v>62.697393939600005</v>
      </c>
      <c r="C69">
        <f t="shared" si="5"/>
        <v>8.6942608046284536E-2</v>
      </c>
    </row>
    <row r="70" spans="1:3">
      <c r="A70" s="2">
        <v>70</v>
      </c>
      <c r="B70">
        <f t="shared" si="4"/>
        <v>63.715090909300002</v>
      </c>
      <c r="C70">
        <f t="shared" si="5"/>
        <v>8.737127218808359E-2</v>
      </c>
    </row>
    <row r="71" spans="1:3">
      <c r="A71" s="2">
        <v>71</v>
      </c>
      <c r="B71">
        <f t="shared" si="4"/>
        <v>64.732787879</v>
      </c>
      <c r="C71">
        <f t="shared" si="5"/>
        <v>8.7800149937221683E-2</v>
      </c>
    </row>
    <row r="72" spans="1:3">
      <c r="A72" s="2">
        <v>72</v>
      </c>
      <c r="B72">
        <f t="shared" si="4"/>
        <v>65.750484848699998</v>
      </c>
      <c r="C72">
        <f t="shared" si="5"/>
        <v>8.8229241222621699E-2</v>
      </c>
    </row>
    <row r="73" spans="1:3">
      <c r="A73" s="2">
        <v>73</v>
      </c>
      <c r="B73">
        <f t="shared" si="4"/>
        <v>66.768181818399995</v>
      </c>
      <c r="C73">
        <f t="shared" si="5"/>
        <v>8.8658545970712516E-2</v>
      </c>
    </row>
    <row r="74" spans="1:3">
      <c r="A74" s="2">
        <v>74</v>
      </c>
      <c r="B74">
        <f t="shared" si="4"/>
        <v>67.785878788100007</v>
      </c>
      <c r="C74">
        <f t="shared" si="5"/>
        <v>8.9088064105433296E-2</v>
      </c>
    </row>
    <row r="75" spans="1:3">
      <c r="A75" s="2">
        <v>75</v>
      </c>
      <c r="B75">
        <f t="shared" si="4"/>
        <v>68.803575757800004</v>
      </c>
      <c r="C75">
        <f t="shared" si="5"/>
        <v>8.9517795548237938E-2</v>
      </c>
    </row>
    <row r="76" spans="1:3">
      <c r="A76" s="2">
        <v>76</v>
      </c>
      <c r="B76">
        <f t="shared" si="4"/>
        <v>69.821272727500002</v>
      </c>
      <c r="C76">
        <f t="shared" si="5"/>
        <v>8.9947740218099675E-2</v>
      </c>
    </row>
    <row r="77" spans="1:3">
      <c r="A77" s="2">
        <v>77</v>
      </c>
      <c r="B77">
        <f t="shared" si="4"/>
        <v>70.8389696972</v>
      </c>
      <c r="C77">
        <f t="shared" si="5"/>
        <v>9.0377898031515941E-2</v>
      </c>
    </row>
    <row r="78" spans="1:3">
      <c r="A78" s="2">
        <v>78</v>
      </c>
      <c r="B78">
        <f t="shared" si="4"/>
        <v>71.856666666899997</v>
      </c>
      <c r="C78">
        <f t="shared" si="5"/>
        <v>9.0808268902513145E-2</v>
      </c>
    </row>
    <row r="79" spans="1:3">
      <c r="A79" s="2">
        <v>79</v>
      </c>
      <c r="B79">
        <f t="shared" si="4"/>
        <v>72.874363636599995</v>
      </c>
      <c r="C79">
        <f t="shared" si="5"/>
        <v>9.1238852742651783E-2</v>
      </c>
    </row>
    <row r="80" spans="1:3">
      <c r="A80" s="2">
        <v>80</v>
      </c>
      <c r="B80">
        <f t="shared" si="4"/>
        <v>73.892060606300006</v>
      </c>
      <c r="C80">
        <f t="shared" si="5"/>
        <v>9.1669649461031621E-2</v>
      </c>
    </row>
    <row r="81" spans="1:3">
      <c r="A81" s="2">
        <v>81</v>
      </c>
      <c r="B81">
        <f t="shared" si="4"/>
        <v>74.909757576000004</v>
      </c>
      <c r="C81">
        <f t="shared" si="5"/>
        <v>9.2100658964296978E-2</v>
      </c>
    </row>
    <row r="82" spans="1:3">
      <c r="A82" s="2">
        <v>82</v>
      </c>
      <c r="B82">
        <f t="shared" si="4"/>
        <v>75.927454545700002</v>
      </c>
      <c r="C82">
        <f t="shared" si="5"/>
        <v>9.2531881156642209E-2</v>
      </c>
    </row>
    <row r="83" spans="1:3">
      <c r="A83" s="2">
        <v>83</v>
      </c>
      <c r="B83">
        <f t="shared" si="4"/>
        <v>76.945151515399999</v>
      </c>
      <c r="C83">
        <f t="shared" si="5"/>
        <v>9.2963315939817298E-2</v>
      </c>
    </row>
    <row r="84" spans="1:3">
      <c r="A84" s="2">
        <v>84</v>
      </c>
      <c r="B84">
        <f t="shared" si="4"/>
        <v>77.962848485099997</v>
      </c>
      <c r="C84">
        <f t="shared" si="5"/>
        <v>9.3394963213133619E-2</v>
      </c>
    </row>
    <row r="85" spans="1:3">
      <c r="A85" s="2">
        <v>85</v>
      </c>
      <c r="B85">
        <f t="shared" si="4"/>
        <v>78.980545454799994</v>
      </c>
      <c r="C85">
        <f t="shared" si="5"/>
        <v>9.3826822873469745E-2</v>
      </c>
    </row>
    <row r="86" spans="1:3">
      <c r="A86" s="2">
        <v>86</v>
      </c>
      <c r="B86">
        <f t="shared" si="4"/>
        <v>79.998242424500006</v>
      </c>
      <c r="C86">
        <f t="shared" si="5"/>
        <v>9.4258894815277508E-2</v>
      </c>
    </row>
    <row r="87" spans="1:3">
      <c r="A87" s="2">
        <v>87</v>
      </c>
      <c r="B87">
        <f t="shared" si="4"/>
        <v>81.015939394200004</v>
      </c>
      <c r="C87">
        <f t="shared" si="5"/>
        <v>9.4691178930588107E-2</v>
      </c>
    </row>
    <row r="88" spans="1:3">
      <c r="A88" s="2">
        <v>88</v>
      </c>
      <c r="B88">
        <f t="shared" si="4"/>
        <v>82.033636363900001</v>
      </c>
      <c r="C88">
        <f t="shared" si="5"/>
        <v>9.5123675109018369E-2</v>
      </c>
    </row>
    <row r="89" spans="1:3">
      <c r="A89" s="2">
        <v>89</v>
      </c>
      <c r="B89">
        <f t="shared" si="4"/>
        <v>83.051333333599999</v>
      </c>
      <c r="C89">
        <f t="shared" si="5"/>
        <v>9.5556383237777265E-2</v>
      </c>
    </row>
    <row r="90" spans="1:3">
      <c r="A90" s="2">
        <v>90</v>
      </c>
      <c r="B90">
        <f t="shared" si="4"/>
        <v>84.069030303299996</v>
      </c>
      <c r="C90">
        <f t="shared" si="5"/>
        <v>9.598930320167226E-2</v>
      </c>
    </row>
    <row r="91" spans="1:3">
      <c r="A91" s="2">
        <v>91</v>
      </c>
      <c r="B91">
        <f t="shared" si="4"/>
        <v>85.086727272999994</v>
      </c>
      <c r="C91">
        <f t="shared" si="5"/>
        <v>9.6422434883116123E-2</v>
      </c>
    </row>
    <row r="92" spans="1:3">
      <c r="A92" s="2">
        <v>92</v>
      </c>
      <c r="B92">
        <f t="shared" si="4"/>
        <v>86.104424242700006</v>
      </c>
      <c r="C92">
        <f t="shared" si="5"/>
        <v>9.6855778162133727E-2</v>
      </c>
    </row>
    <row r="93" spans="1:3">
      <c r="A93" s="2">
        <v>93</v>
      </c>
      <c r="B93">
        <f t="shared" si="4"/>
        <v>87.122121212400003</v>
      </c>
      <c r="C93">
        <f t="shared" si="5"/>
        <v>9.7289332916368876E-2</v>
      </c>
    </row>
    <row r="94" spans="1:3">
      <c r="A94" s="2">
        <v>94</v>
      </c>
      <c r="B94">
        <f t="shared" si="4"/>
        <v>88.139818182100001</v>
      </c>
      <c r="C94">
        <f t="shared" si="5"/>
        <v>9.7723099021091497E-2</v>
      </c>
    </row>
    <row r="95" spans="1:3">
      <c r="A95" s="2">
        <v>95</v>
      </c>
      <c r="B95">
        <f t="shared" si="4"/>
        <v>89.157515151799998</v>
      </c>
      <c r="C95">
        <f t="shared" si="5"/>
        <v>9.8157076349204675E-2</v>
      </c>
    </row>
    <row r="96" spans="1:3">
      <c r="A96" s="2">
        <v>96</v>
      </c>
      <c r="B96">
        <f t="shared" si="4"/>
        <v>90.175212121499996</v>
      </c>
      <c r="C96">
        <f t="shared" si="5"/>
        <v>9.859126477125213E-2</v>
      </c>
    </row>
    <row r="97" spans="1:3">
      <c r="A97" s="2">
        <v>97</v>
      </c>
      <c r="B97">
        <f t="shared" ref="B97:B100" si="6">-6.506+(A97-1)*1.0176969697</f>
        <v>91.192909091199994</v>
      </c>
      <c r="C97">
        <f t="shared" ref="C97:C100" si="7">0.00676417221889024+0.000415518861505181*B97+0.053991847617027*(1.00219298245614+(B97-35.6961842105263)^2/260324.819360526)^0.5</f>
        <v>9.9025664155425491E-2</v>
      </c>
    </row>
    <row r="98" spans="1:3">
      <c r="A98" s="2">
        <v>98</v>
      </c>
      <c r="B98">
        <f t="shared" si="6"/>
        <v>92.210606060900005</v>
      </c>
      <c r="C98">
        <f t="shared" si="7"/>
        <v>9.9460274367571988E-2</v>
      </c>
    </row>
    <row r="99" spans="1:3">
      <c r="A99" s="2">
        <v>99</v>
      </c>
      <c r="B99">
        <f t="shared" si="6"/>
        <v>93.228303030600003</v>
      </c>
      <c r="C99">
        <f t="shared" si="7"/>
        <v>9.9895095271202078E-2</v>
      </c>
    </row>
    <row r="100" spans="1:3">
      <c r="A100" s="2">
        <v>100</v>
      </c>
      <c r="B100">
        <f t="shared" si="6"/>
        <v>94.2460000003</v>
      </c>
      <c r="C100">
        <f t="shared" si="7"/>
        <v>0.10033012672749725</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enableFormatConditionsCalculation="0"/>
  <dimension ref="A1:C70"/>
  <sheetViews>
    <sheetView workbookViewId="0"/>
  </sheetViews>
  <sheetFormatPr baseColWidth="10" defaultRowHeight="15.75"/>
  <sheetData>
    <row r="1" spans="1:3">
      <c r="A1" s="2">
        <v>1</v>
      </c>
      <c r="B1">
        <f t="shared" ref="B1:B32" si="0">0.0061540243+(A1-1)*0.0006488367</f>
        <v>6.1540242999999998E-3</v>
      </c>
      <c r="C1">
        <f t="shared" ref="C1:C32" si="1">0+1*B1-0.053991847617027*(1.00219298245614+(B1-0.0215966100421274)^2/0.34268682428963)^0.5</f>
        <v>-4.7915754942890521E-2</v>
      </c>
    </row>
    <row r="2" spans="1:3">
      <c r="A2" s="2">
        <v>2</v>
      </c>
      <c r="B2">
        <f t="shared" si="0"/>
        <v>6.8028609999999995E-3</v>
      </c>
      <c r="C2">
        <f t="shared" si="1"/>
        <v>-4.726537496146245E-2</v>
      </c>
    </row>
    <row r="3" spans="1:3">
      <c r="A3" s="2">
        <v>3</v>
      </c>
      <c r="B3">
        <f t="shared" si="0"/>
        <v>7.4516977E-3</v>
      </c>
      <c r="C3">
        <f t="shared" si="1"/>
        <v>-4.6615061172839756E-2</v>
      </c>
    </row>
    <row r="4" spans="1:3">
      <c r="A4" s="2">
        <v>4</v>
      </c>
      <c r="B4">
        <f t="shared" si="0"/>
        <v>8.1005343999999996E-3</v>
      </c>
      <c r="C4">
        <f t="shared" si="1"/>
        <v>-4.5964813582447729E-2</v>
      </c>
    </row>
    <row r="5" spans="1:3">
      <c r="A5" s="2">
        <v>5</v>
      </c>
      <c r="B5">
        <f t="shared" si="0"/>
        <v>8.7493711000000002E-3</v>
      </c>
      <c r="C5">
        <f t="shared" si="1"/>
        <v>-4.5314632195468996E-2</v>
      </c>
    </row>
    <row r="6" spans="1:3">
      <c r="A6" s="2">
        <v>6</v>
      </c>
      <c r="B6">
        <f t="shared" si="0"/>
        <v>9.398207799999999E-3</v>
      </c>
      <c r="C6">
        <f t="shared" si="1"/>
        <v>-4.4664517016843555E-2</v>
      </c>
    </row>
    <row r="7" spans="1:3">
      <c r="A7" s="2">
        <v>7</v>
      </c>
      <c r="B7">
        <f t="shared" si="0"/>
        <v>1.00470445E-2</v>
      </c>
      <c r="C7">
        <f t="shared" si="1"/>
        <v>-4.4014468051268588E-2</v>
      </c>
    </row>
    <row r="8" spans="1:3">
      <c r="A8" s="2">
        <v>8</v>
      </c>
      <c r="B8">
        <f t="shared" si="0"/>
        <v>1.06958812E-2</v>
      </c>
      <c r="C8">
        <f t="shared" si="1"/>
        <v>-4.336448530319844E-2</v>
      </c>
    </row>
    <row r="9" spans="1:3">
      <c r="A9" s="2">
        <v>9</v>
      </c>
      <c r="B9">
        <f t="shared" si="0"/>
        <v>1.1344717899999999E-2</v>
      </c>
      <c r="C9">
        <f t="shared" si="1"/>
        <v>-4.2714568776844528E-2</v>
      </c>
    </row>
    <row r="10" spans="1:3">
      <c r="A10" s="2">
        <v>10</v>
      </c>
      <c r="B10">
        <f t="shared" si="0"/>
        <v>1.1993554599999999E-2</v>
      </c>
      <c r="C10">
        <f t="shared" si="1"/>
        <v>-4.2064718476175239E-2</v>
      </c>
    </row>
    <row r="11" spans="1:3">
      <c r="A11" s="2">
        <v>11</v>
      </c>
      <c r="B11">
        <f t="shared" si="0"/>
        <v>1.26423913E-2</v>
      </c>
      <c r="C11">
        <f t="shared" si="1"/>
        <v>-4.1414934404915824E-2</v>
      </c>
    </row>
    <row r="12" spans="1:3">
      <c r="A12" s="2">
        <v>12</v>
      </c>
      <c r="B12">
        <f t="shared" si="0"/>
        <v>1.3291227999999999E-2</v>
      </c>
      <c r="C12">
        <f t="shared" si="1"/>
        <v>-4.076521656654844E-2</v>
      </c>
    </row>
    <row r="13" spans="1:3">
      <c r="A13" s="2">
        <v>13</v>
      </c>
      <c r="B13">
        <f t="shared" si="0"/>
        <v>1.3940064699999999E-2</v>
      </c>
      <c r="C13">
        <f t="shared" si="1"/>
        <v>-4.0115564964311998E-2</v>
      </c>
    </row>
    <row r="14" spans="1:3">
      <c r="A14" s="2">
        <v>14</v>
      </c>
      <c r="B14">
        <f t="shared" si="0"/>
        <v>1.45889014E-2</v>
      </c>
      <c r="C14">
        <f t="shared" si="1"/>
        <v>-3.94659796012021E-2</v>
      </c>
    </row>
    <row r="15" spans="1:3">
      <c r="A15" s="2">
        <v>15</v>
      </c>
      <c r="B15">
        <f t="shared" si="0"/>
        <v>1.52377381E-2</v>
      </c>
      <c r="C15">
        <f t="shared" si="1"/>
        <v>-3.8816460479971053E-2</v>
      </c>
    </row>
    <row r="16" spans="1:3">
      <c r="A16" s="2">
        <v>16</v>
      </c>
      <c r="B16">
        <f t="shared" si="0"/>
        <v>1.5886574799999997E-2</v>
      </c>
      <c r="C16">
        <f t="shared" si="1"/>
        <v>-3.8167007603127717E-2</v>
      </c>
    </row>
    <row r="17" spans="1:3">
      <c r="A17" s="2">
        <v>17</v>
      </c>
      <c r="B17">
        <f t="shared" si="0"/>
        <v>1.65354115E-2</v>
      </c>
      <c r="C17">
        <f t="shared" si="1"/>
        <v>-3.7517620972937565E-2</v>
      </c>
    </row>
    <row r="18" spans="1:3">
      <c r="A18" s="2">
        <v>18</v>
      </c>
      <c r="B18">
        <f t="shared" si="0"/>
        <v>1.7184248200000002E-2</v>
      </c>
      <c r="C18">
        <f t="shared" si="1"/>
        <v>-3.6868300591422577E-2</v>
      </c>
    </row>
    <row r="19" spans="1:3">
      <c r="A19" s="2">
        <v>19</v>
      </c>
      <c r="B19">
        <f t="shared" si="0"/>
        <v>1.7833084899999997E-2</v>
      </c>
      <c r="C19">
        <f t="shared" si="1"/>
        <v>-3.6219046460361219E-2</v>
      </c>
    </row>
    <row r="20" spans="1:3">
      <c r="A20" s="2">
        <v>20</v>
      </c>
      <c r="B20">
        <f t="shared" si="0"/>
        <v>1.8481921599999999E-2</v>
      </c>
      <c r="C20">
        <f t="shared" si="1"/>
        <v>-3.5569858581288409E-2</v>
      </c>
    </row>
    <row r="21" spans="1:3">
      <c r="A21" s="2">
        <v>21</v>
      </c>
      <c r="B21">
        <f t="shared" si="0"/>
        <v>1.9130758300000002E-2</v>
      </c>
      <c r="C21">
        <f t="shared" si="1"/>
        <v>-3.4920736955495468E-2</v>
      </c>
    </row>
    <row r="22" spans="1:3">
      <c r="A22" s="2">
        <v>22</v>
      </c>
      <c r="B22">
        <f t="shared" si="0"/>
        <v>1.9779594999999997E-2</v>
      </c>
      <c r="C22">
        <f t="shared" si="1"/>
        <v>-3.4271681584030156E-2</v>
      </c>
    </row>
    <row r="23" spans="1:3">
      <c r="A23" s="2">
        <v>23</v>
      </c>
      <c r="B23">
        <f t="shared" si="0"/>
        <v>2.0428431699999999E-2</v>
      </c>
      <c r="C23">
        <f t="shared" si="1"/>
        <v>-3.3622692467696592E-2</v>
      </c>
    </row>
    <row r="24" spans="1:3">
      <c r="A24" s="2">
        <v>24</v>
      </c>
      <c r="B24">
        <f t="shared" si="0"/>
        <v>2.1077268400000002E-2</v>
      </c>
      <c r="C24">
        <f t="shared" si="1"/>
        <v>-3.2973769607055267E-2</v>
      </c>
    </row>
    <row r="25" spans="1:3">
      <c r="A25" s="2">
        <v>25</v>
      </c>
      <c r="B25">
        <f t="shared" si="0"/>
        <v>2.1726105099999997E-2</v>
      </c>
      <c r="C25">
        <f t="shared" si="1"/>
        <v>-3.2324913002423052E-2</v>
      </c>
    </row>
    <row r="26" spans="1:3">
      <c r="A26" s="2">
        <v>26</v>
      </c>
      <c r="B26">
        <f t="shared" si="0"/>
        <v>2.2374941799999999E-2</v>
      </c>
      <c r="C26">
        <f t="shared" si="1"/>
        <v>-3.1676122653873096E-2</v>
      </c>
    </row>
    <row r="27" spans="1:3">
      <c r="A27" s="2">
        <v>27</v>
      </c>
      <c r="B27">
        <f t="shared" si="0"/>
        <v>2.3023778500000001E-2</v>
      </c>
      <c r="C27">
        <f t="shared" si="1"/>
        <v>-3.1027398561234973E-2</v>
      </c>
    </row>
    <row r="28" spans="1:3">
      <c r="A28" s="2">
        <v>28</v>
      </c>
      <c r="B28">
        <f t="shared" si="0"/>
        <v>2.3672615199999997E-2</v>
      </c>
      <c r="C28">
        <f t="shared" si="1"/>
        <v>-3.0378740724094591E-2</v>
      </c>
    </row>
    <row r="29" spans="1:3">
      <c r="A29" s="2">
        <v>29</v>
      </c>
      <c r="B29">
        <f t="shared" si="0"/>
        <v>2.4321451899999999E-2</v>
      </c>
      <c r="C29">
        <f t="shared" si="1"/>
        <v>-2.9730149141794192E-2</v>
      </c>
    </row>
    <row r="30" spans="1:3">
      <c r="A30" s="2">
        <v>30</v>
      </c>
      <c r="B30">
        <f t="shared" si="0"/>
        <v>2.4970288600000001E-2</v>
      </c>
      <c r="C30">
        <f t="shared" si="1"/>
        <v>-2.9081623813432413E-2</v>
      </c>
    </row>
    <row r="31" spans="1:3">
      <c r="A31" s="2">
        <v>31</v>
      </c>
      <c r="B31">
        <f t="shared" si="0"/>
        <v>2.5619125299999997E-2</v>
      </c>
      <c r="C31">
        <f t="shared" si="1"/>
        <v>-2.8433164737864287E-2</v>
      </c>
    </row>
    <row r="32" spans="1:3">
      <c r="A32" s="2">
        <v>32</v>
      </c>
      <c r="B32">
        <f t="shared" si="0"/>
        <v>2.6267961999999999E-2</v>
      </c>
      <c r="C32">
        <f t="shared" si="1"/>
        <v>-2.7784771913701226E-2</v>
      </c>
    </row>
    <row r="33" spans="1:3">
      <c r="A33" s="2">
        <v>33</v>
      </c>
      <c r="B33">
        <f t="shared" ref="B33:B64" si="2">0.0061540243+(A33-1)*0.0006488367</f>
        <v>2.6916798700000001E-2</v>
      </c>
      <c r="C33">
        <f t="shared" ref="C33:C64" si="3">0+1*B33-0.053991847617027*(1.00219298245614+(B33-0.0215966100421274)^2/0.34268682428963)^0.5</f>
        <v>-2.7136445339311095E-2</v>
      </c>
    </row>
    <row r="34" spans="1:3">
      <c r="A34" s="2">
        <v>34</v>
      </c>
      <c r="B34">
        <f t="shared" si="2"/>
        <v>2.7565635399999996E-2</v>
      </c>
      <c r="C34">
        <f t="shared" si="3"/>
        <v>-2.6488185012818237E-2</v>
      </c>
    </row>
    <row r="35" spans="1:3">
      <c r="A35" s="2">
        <v>35</v>
      </c>
      <c r="B35">
        <f t="shared" si="2"/>
        <v>2.8214472099999999E-2</v>
      </c>
      <c r="C35">
        <f t="shared" si="3"/>
        <v>-2.5839990932103471E-2</v>
      </c>
    </row>
    <row r="36" spans="1:3">
      <c r="A36" s="2">
        <v>36</v>
      </c>
      <c r="B36">
        <f t="shared" si="2"/>
        <v>2.8863308800000001E-2</v>
      </c>
      <c r="C36">
        <f t="shared" si="3"/>
        <v>-2.5191863094804166E-2</v>
      </c>
    </row>
    <row r="37" spans="1:3">
      <c r="A37" s="2">
        <v>37</v>
      </c>
      <c r="B37">
        <f t="shared" si="2"/>
        <v>2.9512145499999996E-2</v>
      </c>
      <c r="C37">
        <f t="shared" si="3"/>
        <v>-2.4543801498314283E-2</v>
      </c>
    </row>
    <row r="38" spans="1:3">
      <c r="A38" s="2">
        <v>38</v>
      </c>
      <c r="B38">
        <f t="shared" si="2"/>
        <v>3.0160982199999999E-2</v>
      </c>
      <c r="C38">
        <f t="shared" si="3"/>
        <v>-2.3895806139784398E-2</v>
      </c>
    </row>
    <row r="39" spans="1:3">
      <c r="A39" s="2">
        <v>39</v>
      </c>
      <c r="B39">
        <f t="shared" si="2"/>
        <v>3.0809818900000001E-2</v>
      </c>
      <c r="C39">
        <f t="shared" si="3"/>
        <v>-2.3247877016121757E-2</v>
      </c>
    </row>
    <row r="40" spans="1:3">
      <c r="A40" s="2">
        <v>40</v>
      </c>
      <c r="B40">
        <f t="shared" si="2"/>
        <v>3.1458655599999996E-2</v>
      </c>
      <c r="C40">
        <f t="shared" si="3"/>
        <v>-2.2600014123990396E-2</v>
      </c>
    </row>
    <row r="41" spans="1:3">
      <c r="A41" s="2">
        <v>41</v>
      </c>
      <c r="B41">
        <f t="shared" si="2"/>
        <v>3.2107492299999998E-2</v>
      </c>
      <c r="C41">
        <f t="shared" si="3"/>
        <v>-2.1952217459811088E-2</v>
      </c>
    </row>
    <row r="42" spans="1:3">
      <c r="A42" s="2">
        <v>42</v>
      </c>
      <c r="B42">
        <f t="shared" si="2"/>
        <v>3.2756329000000001E-2</v>
      </c>
      <c r="C42">
        <f t="shared" si="3"/>
        <v>-2.1304487019761516E-2</v>
      </c>
    </row>
    <row r="43" spans="1:3">
      <c r="A43" s="2">
        <v>43</v>
      </c>
      <c r="B43">
        <f t="shared" si="2"/>
        <v>3.3405165699999996E-2</v>
      </c>
      <c r="C43">
        <f t="shared" si="3"/>
        <v>-2.0656822799776285E-2</v>
      </c>
    </row>
    <row r="44" spans="1:3">
      <c r="A44" s="2">
        <v>44</v>
      </c>
      <c r="B44">
        <f t="shared" si="2"/>
        <v>3.4054002399999998E-2</v>
      </c>
      <c r="C44">
        <f t="shared" si="3"/>
        <v>-2.0009224795547016E-2</v>
      </c>
    </row>
    <row r="45" spans="1:3">
      <c r="A45" s="2">
        <v>45</v>
      </c>
      <c r="B45">
        <f t="shared" si="2"/>
        <v>3.4702839100000001E-2</v>
      </c>
      <c r="C45">
        <f t="shared" si="3"/>
        <v>-1.9361693002522405E-2</v>
      </c>
    </row>
    <row r="46" spans="1:3">
      <c r="A46" s="2">
        <v>46</v>
      </c>
      <c r="B46">
        <f t="shared" si="2"/>
        <v>3.5351675799999996E-2</v>
      </c>
      <c r="C46">
        <f t="shared" si="3"/>
        <v>-1.8714227415908329E-2</v>
      </c>
    </row>
    <row r="47" spans="1:3">
      <c r="A47" s="2">
        <v>47</v>
      </c>
      <c r="B47">
        <f t="shared" si="2"/>
        <v>3.6000512499999998E-2</v>
      </c>
      <c r="C47">
        <f t="shared" si="3"/>
        <v>-1.8066828030667947E-2</v>
      </c>
    </row>
    <row r="48" spans="1:3">
      <c r="A48" s="2">
        <v>48</v>
      </c>
      <c r="B48">
        <f t="shared" si="2"/>
        <v>3.66493492E-2</v>
      </c>
      <c r="C48">
        <f t="shared" si="3"/>
        <v>-1.7419494841521742E-2</v>
      </c>
    </row>
    <row r="49" spans="1:3">
      <c r="A49" s="2">
        <v>49</v>
      </c>
      <c r="B49">
        <f t="shared" si="2"/>
        <v>3.7298185899999996E-2</v>
      </c>
      <c r="C49">
        <f t="shared" si="3"/>
        <v>-1.6772227842947671E-2</v>
      </c>
    </row>
    <row r="50" spans="1:3">
      <c r="A50" s="2">
        <v>50</v>
      </c>
      <c r="B50">
        <f t="shared" si="2"/>
        <v>3.7947022599999998E-2</v>
      </c>
      <c r="C50">
        <f t="shared" si="3"/>
        <v>-1.6125027029181241E-2</v>
      </c>
    </row>
    <row r="51" spans="1:3">
      <c r="A51" s="2">
        <v>51</v>
      </c>
      <c r="B51">
        <f t="shared" si="2"/>
        <v>3.85958593E-2</v>
      </c>
      <c r="C51">
        <f t="shared" si="3"/>
        <v>-1.5477892394215598E-2</v>
      </c>
    </row>
    <row r="52" spans="1:3">
      <c r="A52" s="2">
        <v>52</v>
      </c>
      <c r="B52">
        <f t="shared" si="2"/>
        <v>3.9244695999999996E-2</v>
      </c>
      <c r="C52">
        <f t="shared" si="3"/>
        <v>-1.4830823931801664E-2</v>
      </c>
    </row>
    <row r="53" spans="1:3">
      <c r="A53" s="2">
        <v>53</v>
      </c>
      <c r="B53">
        <f t="shared" si="2"/>
        <v>3.9893532699999998E-2</v>
      </c>
      <c r="C53">
        <f t="shared" si="3"/>
        <v>-1.4183821635448256E-2</v>
      </c>
    </row>
    <row r="54" spans="1:3">
      <c r="A54" s="2">
        <v>54</v>
      </c>
      <c r="B54">
        <f t="shared" si="2"/>
        <v>4.05423694E-2</v>
      </c>
      <c r="C54">
        <f t="shared" si="3"/>
        <v>-1.3536885498422191E-2</v>
      </c>
    </row>
    <row r="55" spans="1:3">
      <c r="A55" s="2">
        <v>55</v>
      </c>
      <c r="B55">
        <f t="shared" si="2"/>
        <v>4.1191206099999995E-2</v>
      </c>
      <c r="C55">
        <f t="shared" si="3"/>
        <v>-1.2890015513748403E-2</v>
      </c>
    </row>
    <row r="56" spans="1:3">
      <c r="A56" s="2">
        <v>56</v>
      </c>
      <c r="B56">
        <f t="shared" si="2"/>
        <v>4.1840042799999998E-2</v>
      </c>
      <c r="C56">
        <f t="shared" si="3"/>
        <v>-1.224321167421008E-2</v>
      </c>
    </row>
    <row r="57" spans="1:3">
      <c r="A57" s="2">
        <v>57</v>
      </c>
      <c r="B57">
        <f t="shared" si="2"/>
        <v>4.24888795E-2</v>
      </c>
      <c r="C57">
        <f t="shared" si="3"/>
        <v>-1.1596473972348809E-2</v>
      </c>
    </row>
    <row r="58" spans="1:3">
      <c r="A58" s="2">
        <v>58</v>
      </c>
      <c r="B58">
        <f t="shared" si="2"/>
        <v>4.3137716199999995E-2</v>
      </c>
      <c r="C58">
        <f t="shared" si="3"/>
        <v>-1.0949802400464663E-2</v>
      </c>
    </row>
    <row r="59" spans="1:3">
      <c r="A59" s="2">
        <v>59</v>
      </c>
      <c r="B59">
        <f t="shared" si="2"/>
        <v>4.3786552899999998E-2</v>
      </c>
      <c r="C59">
        <f t="shared" si="3"/>
        <v>-1.030319695061644E-2</v>
      </c>
    </row>
    <row r="60" spans="1:3">
      <c r="A60" s="2">
        <v>60</v>
      </c>
      <c r="B60">
        <f t="shared" si="2"/>
        <v>4.44353896E-2</v>
      </c>
      <c r="C60">
        <f t="shared" si="3"/>
        <v>-9.656657614621672E-3</v>
      </c>
    </row>
    <row r="61" spans="1:3">
      <c r="A61" s="2">
        <v>61</v>
      </c>
      <c r="B61">
        <f t="shared" si="2"/>
        <v>4.5084226299999995E-2</v>
      </c>
      <c r="C61">
        <f t="shared" si="3"/>
        <v>-9.0101843840569157E-3</v>
      </c>
    </row>
    <row r="62" spans="1:3">
      <c r="A62" s="2">
        <v>62</v>
      </c>
      <c r="B62">
        <f t="shared" si="2"/>
        <v>4.5733062999999997E-2</v>
      </c>
      <c r="C62">
        <f t="shared" si="3"/>
        <v>-8.3637772502577895E-3</v>
      </c>
    </row>
    <row r="63" spans="1:3">
      <c r="A63" s="2">
        <v>63</v>
      </c>
      <c r="B63">
        <f t="shared" si="2"/>
        <v>4.63818997E-2</v>
      </c>
      <c r="C63">
        <f t="shared" si="3"/>
        <v>-7.7174362043192224E-3</v>
      </c>
    </row>
    <row r="64" spans="1:3">
      <c r="A64" s="2">
        <v>64</v>
      </c>
      <c r="B64">
        <f t="shared" si="2"/>
        <v>4.7030736399999995E-2</v>
      </c>
      <c r="C64">
        <f t="shared" si="3"/>
        <v>-7.0711612370955579E-3</v>
      </c>
    </row>
    <row r="65" spans="1:3">
      <c r="A65" s="2">
        <v>65</v>
      </c>
      <c r="B65">
        <f t="shared" ref="B65:B70" si="4">0.0061540243+(A65-1)*0.0006488367</f>
        <v>4.7679573099999997E-2</v>
      </c>
      <c r="C65">
        <f t="shared" ref="C65:C70" si="5">0+1*B65-0.053991847617027*(1.00219298245614+(B65-0.0215966100421274)^2/0.34268682428963)^0.5</f>
        <v>-6.4249523392007207E-3</v>
      </c>
    </row>
    <row r="66" spans="1:3">
      <c r="A66" s="2">
        <v>66</v>
      </c>
      <c r="B66">
        <f t="shared" si="4"/>
        <v>4.83284098E-2</v>
      </c>
      <c r="C66">
        <f t="shared" si="5"/>
        <v>-5.7788095010084528E-3</v>
      </c>
    </row>
    <row r="67" spans="1:3">
      <c r="A67" s="2">
        <v>67</v>
      </c>
      <c r="B67">
        <f t="shared" si="4"/>
        <v>4.8977246499999995E-2</v>
      </c>
      <c r="C67">
        <f t="shared" si="5"/>
        <v>-5.1327327126524033E-3</v>
      </c>
    </row>
    <row r="68" spans="1:3">
      <c r="A68" s="2">
        <v>68</v>
      </c>
      <c r="B68">
        <f t="shared" si="4"/>
        <v>4.9626083199999997E-2</v>
      </c>
      <c r="C68">
        <f t="shared" si="5"/>
        <v>-4.4867219640263717E-3</v>
      </c>
    </row>
    <row r="69" spans="1:3">
      <c r="A69" s="2">
        <v>69</v>
      </c>
      <c r="B69">
        <f t="shared" si="4"/>
        <v>5.0274919899999999E-2</v>
      </c>
      <c r="C69">
        <f t="shared" si="5"/>
        <v>-3.8407772447844671E-3</v>
      </c>
    </row>
    <row r="70" spans="1:3">
      <c r="A70" s="2">
        <v>70</v>
      </c>
      <c r="B70">
        <f t="shared" si="4"/>
        <v>5.0923756599999995E-2</v>
      </c>
      <c r="C70">
        <f t="shared" si="5"/>
        <v>-3.1948985443413097E-3</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enableFormatConditionsCalculation="0"/>
  <dimension ref="A1:C70"/>
  <sheetViews>
    <sheetView workbookViewId="0"/>
  </sheetViews>
  <sheetFormatPr baseColWidth="10" defaultRowHeight="15.75"/>
  <sheetData>
    <row r="1" spans="1:3">
      <c r="A1" s="2">
        <v>1</v>
      </c>
      <c r="B1">
        <f t="shared" ref="B1:B32" si="0">0.0060396023+(A1-1)*0.000650495</f>
        <v>6.0396023000000004E-3</v>
      </c>
      <c r="C1">
        <f t="shared" ref="C1:C32" si="1">0+1*B1+0.053991847617027*(1.00219298245614+(B1-0.0215966100421274)^2/0.34268682428963)^0.5</f>
        <v>6.0109660565112313E-2</v>
      </c>
    </row>
    <row r="2" spans="1:3">
      <c r="A2" s="2">
        <v>2</v>
      </c>
      <c r="B2">
        <f t="shared" si="0"/>
        <v>6.6900973000000004E-3</v>
      </c>
      <c r="C2">
        <f t="shared" si="1"/>
        <v>6.0758596721841619E-2</v>
      </c>
    </row>
    <row r="3" spans="1:3">
      <c r="A3" s="2">
        <v>3</v>
      </c>
      <c r="B3">
        <f t="shared" si="0"/>
        <v>7.3405923000000005E-3</v>
      </c>
      <c r="C3">
        <f t="shared" si="1"/>
        <v>6.1407599409187816E-2</v>
      </c>
    </row>
    <row r="4" spans="1:3">
      <c r="A4" s="2">
        <v>4</v>
      </c>
      <c r="B4">
        <f t="shared" si="0"/>
        <v>7.9910872999999997E-3</v>
      </c>
      <c r="C4">
        <f t="shared" si="1"/>
        <v>6.2056668632660017E-2</v>
      </c>
    </row>
    <row r="5" spans="1:3">
      <c r="A5" s="2">
        <v>5</v>
      </c>
      <c r="B5">
        <f t="shared" si="0"/>
        <v>8.6415823000000006E-3</v>
      </c>
      <c r="C5">
        <f t="shared" si="1"/>
        <v>6.2705804397522297E-2</v>
      </c>
    </row>
    <row r="6" spans="1:3">
      <c r="A6" s="2">
        <v>6</v>
      </c>
      <c r="B6">
        <f t="shared" si="0"/>
        <v>9.2920772999999998E-3</v>
      </c>
      <c r="C6">
        <f t="shared" si="1"/>
        <v>6.3355006708793543E-2</v>
      </c>
    </row>
    <row r="7" spans="1:3">
      <c r="A7" s="2">
        <v>7</v>
      </c>
      <c r="B7">
        <f t="shared" si="0"/>
        <v>9.9425723000000008E-3</v>
      </c>
      <c r="C7">
        <f t="shared" si="1"/>
        <v>6.4004275571247382E-2</v>
      </c>
    </row>
    <row r="8" spans="1:3">
      <c r="A8" s="2">
        <v>8</v>
      </c>
      <c r="B8">
        <f t="shared" si="0"/>
        <v>1.05930673E-2</v>
      </c>
      <c r="C8">
        <f t="shared" si="1"/>
        <v>6.4653610989412136E-2</v>
      </c>
    </row>
    <row r="9" spans="1:3">
      <c r="A9" s="2">
        <v>9</v>
      </c>
      <c r="B9">
        <f t="shared" si="0"/>
        <v>1.1243562299999999E-2</v>
      </c>
      <c r="C9">
        <f t="shared" si="1"/>
        <v>6.5303012967570684E-2</v>
      </c>
    </row>
    <row r="10" spans="1:3">
      <c r="A10" s="2">
        <v>10</v>
      </c>
      <c r="B10">
        <f t="shared" si="0"/>
        <v>1.18940573E-2</v>
      </c>
      <c r="C10">
        <f t="shared" si="1"/>
        <v>6.5952481509760436E-2</v>
      </c>
    </row>
    <row r="11" spans="1:3">
      <c r="A11" s="2">
        <v>11</v>
      </c>
      <c r="B11">
        <f t="shared" si="0"/>
        <v>1.2544552300000001E-2</v>
      </c>
      <c r="C11">
        <f t="shared" si="1"/>
        <v>6.6602016619773163E-2</v>
      </c>
    </row>
    <row r="12" spans="1:3">
      <c r="A12" s="2">
        <v>12</v>
      </c>
      <c r="B12">
        <f t="shared" si="0"/>
        <v>1.31950473E-2</v>
      </c>
      <c r="C12">
        <f t="shared" si="1"/>
        <v>6.7251618301155044E-2</v>
      </c>
    </row>
    <row r="13" spans="1:3">
      <c r="A13" s="2">
        <v>13</v>
      </c>
      <c r="B13">
        <f t="shared" si="0"/>
        <v>1.3845542299999999E-2</v>
      </c>
      <c r="C13">
        <f t="shared" si="1"/>
        <v>6.7901286557206508E-2</v>
      </c>
    </row>
    <row r="14" spans="1:3">
      <c r="A14" s="2">
        <v>14</v>
      </c>
      <c r="B14">
        <f t="shared" si="0"/>
        <v>1.44960373E-2</v>
      </c>
      <c r="C14">
        <f t="shared" si="1"/>
        <v>6.8551021390982292E-2</v>
      </c>
    </row>
    <row r="15" spans="1:3">
      <c r="A15" s="2">
        <v>15</v>
      </c>
      <c r="B15">
        <f t="shared" si="0"/>
        <v>1.51465323E-2</v>
      </c>
      <c r="C15">
        <f t="shared" si="1"/>
        <v>6.9200822805291176E-2</v>
      </c>
    </row>
    <row r="16" spans="1:3">
      <c r="A16" s="2">
        <v>16</v>
      </c>
      <c r="B16">
        <f t="shared" si="0"/>
        <v>1.5797027300000002E-2</v>
      </c>
      <c r="C16">
        <f t="shared" si="1"/>
        <v>6.9850690802696166E-2</v>
      </c>
    </row>
    <row r="17" spans="1:3">
      <c r="A17" s="2">
        <v>17</v>
      </c>
      <c r="B17">
        <f t="shared" si="0"/>
        <v>1.64475223E-2</v>
      </c>
      <c r="C17">
        <f t="shared" si="1"/>
        <v>7.0500625385514298E-2</v>
      </c>
    </row>
    <row r="18" spans="1:3">
      <c r="A18" s="2">
        <v>18</v>
      </c>
      <c r="B18">
        <f t="shared" si="0"/>
        <v>1.7098017299999997E-2</v>
      </c>
      <c r="C18">
        <f t="shared" si="1"/>
        <v>7.1150626555816637E-2</v>
      </c>
    </row>
    <row r="19" spans="1:3">
      <c r="A19" s="2">
        <v>19</v>
      </c>
      <c r="B19">
        <f t="shared" si="0"/>
        <v>1.7748512299999998E-2</v>
      </c>
      <c r="C19">
        <f t="shared" si="1"/>
        <v>7.1800694315428293E-2</v>
      </c>
    </row>
    <row r="20" spans="1:3">
      <c r="A20" s="2">
        <v>20</v>
      </c>
      <c r="B20">
        <f t="shared" si="0"/>
        <v>1.8399007299999999E-2</v>
      </c>
      <c r="C20">
        <f t="shared" si="1"/>
        <v>7.2450828665928196E-2</v>
      </c>
    </row>
    <row r="21" spans="1:3">
      <c r="A21" s="2">
        <v>21</v>
      </c>
      <c r="B21">
        <f t="shared" si="0"/>
        <v>1.90495023E-2</v>
      </c>
      <c r="C21">
        <f t="shared" si="1"/>
        <v>7.3101029608649379E-2</v>
      </c>
    </row>
    <row r="22" spans="1:3">
      <c r="A22" s="2">
        <v>22</v>
      </c>
      <c r="B22">
        <f t="shared" si="0"/>
        <v>1.9699997300000001E-2</v>
      </c>
      <c r="C22">
        <f t="shared" si="1"/>
        <v>7.3751297144678651E-2</v>
      </c>
    </row>
    <row r="23" spans="1:3">
      <c r="A23" s="2">
        <v>23</v>
      </c>
      <c r="B23">
        <f t="shared" si="0"/>
        <v>2.0350492300000002E-2</v>
      </c>
      <c r="C23">
        <f t="shared" si="1"/>
        <v>7.4401631274856758E-2</v>
      </c>
    </row>
    <row r="24" spans="1:3">
      <c r="A24" s="2">
        <v>24</v>
      </c>
      <c r="B24">
        <f t="shared" si="0"/>
        <v>2.1000987299999999E-2</v>
      </c>
      <c r="C24">
        <f t="shared" si="1"/>
        <v>7.5052031999778307E-2</v>
      </c>
    </row>
    <row r="25" spans="1:3">
      <c r="A25" s="2">
        <v>25</v>
      </c>
      <c r="B25">
        <f t="shared" si="0"/>
        <v>2.1651482299999997E-2</v>
      </c>
      <c r="C25">
        <f t="shared" si="1"/>
        <v>7.5702499319791755E-2</v>
      </c>
    </row>
    <row r="26" spans="1:3">
      <c r="A26" s="2">
        <v>26</v>
      </c>
      <c r="B26">
        <f t="shared" si="0"/>
        <v>2.2301977299999998E-2</v>
      </c>
      <c r="C26">
        <f t="shared" si="1"/>
        <v>7.635303323499941E-2</v>
      </c>
    </row>
    <row r="27" spans="1:3">
      <c r="A27" s="2">
        <v>27</v>
      </c>
      <c r="B27">
        <f t="shared" si="0"/>
        <v>2.2952472299999999E-2</v>
      </c>
      <c r="C27">
        <f t="shared" si="1"/>
        <v>7.7003633745257427E-2</v>
      </c>
    </row>
    <row r="28" spans="1:3">
      <c r="A28" s="2">
        <v>28</v>
      </c>
      <c r="B28">
        <f t="shared" si="0"/>
        <v>2.36029673E-2</v>
      </c>
      <c r="C28">
        <f t="shared" si="1"/>
        <v>7.7654300850175856E-2</v>
      </c>
    </row>
    <row r="29" spans="1:3">
      <c r="A29" s="2">
        <v>29</v>
      </c>
      <c r="B29">
        <f t="shared" si="0"/>
        <v>2.42534623E-2</v>
      </c>
      <c r="C29">
        <f t="shared" si="1"/>
        <v>7.8305034549118524E-2</v>
      </c>
    </row>
    <row r="30" spans="1:3">
      <c r="A30" s="2">
        <v>30</v>
      </c>
      <c r="B30">
        <f t="shared" si="0"/>
        <v>2.4903957300000001E-2</v>
      </c>
      <c r="C30">
        <f t="shared" si="1"/>
        <v>7.8955834841203193E-2</v>
      </c>
    </row>
    <row r="31" spans="1:3">
      <c r="A31" s="2">
        <v>31</v>
      </c>
      <c r="B31">
        <f t="shared" si="0"/>
        <v>2.5554452300000002E-2</v>
      </c>
      <c r="C31">
        <f t="shared" si="1"/>
        <v>7.9606701725301474E-2</v>
      </c>
    </row>
    <row r="32" spans="1:3">
      <c r="A32" s="2">
        <v>32</v>
      </c>
      <c r="B32">
        <f t="shared" si="0"/>
        <v>2.6204947299999996E-2</v>
      </c>
      <c r="C32">
        <f t="shared" si="1"/>
        <v>8.0257635200038924E-2</v>
      </c>
    </row>
    <row r="33" spans="1:3">
      <c r="A33" s="2">
        <v>33</v>
      </c>
      <c r="B33">
        <f t="shared" ref="B33:B64" si="2">0.0060396023+(A33-1)*0.000650495</f>
        <v>2.6855442299999997E-2</v>
      </c>
      <c r="C33">
        <f t="shared" ref="C33:C64" si="3">0+1*B33+0.053991847617027*(1.00219298245614+(B33-0.0215966100421274)^2/0.34268682428963)^0.5</f>
        <v>8.0908635263794992E-2</v>
      </c>
    </row>
    <row r="34" spans="1:3">
      <c r="A34" s="2">
        <v>34</v>
      </c>
      <c r="B34">
        <f t="shared" si="2"/>
        <v>2.7505937299999998E-2</v>
      </c>
      <c r="C34">
        <f t="shared" si="3"/>
        <v>8.1559701914703103E-2</v>
      </c>
    </row>
    <row r="35" spans="1:3">
      <c r="A35" s="2">
        <v>35</v>
      </c>
      <c r="B35">
        <f t="shared" si="2"/>
        <v>2.8156432299999999E-2</v>
      </c>
      <c r="C35">
        <f t="shared" si="3"/>
        <v>8.2210835150650724E-2</v>
      </c>
    </row>
    <row r="36" spans="1:3">
      <c r="A36" s="2">
        <v>36</v>
      </c>
      <c r="B36">
        <f t="shared" si="2"/>
        <v>2.88069273E-2</v>
      </c>
      <c r="C36">
        <f t="shared" si="3"/>
        <v>8.2862034969279283E-2</v>
      </c>
    </row>
    <row r="37" spans="1:3">
      <c r="A37" s="2">
        <v>37</v>
      </c>
      <c r="B37">
        <f t="shared" si="2"/>
        <v>2.9457422300000001E-2</v>
      </c>
      <c r="C37">
        <f t="shared" si="3"/>
        <v>8.3513301367984322E-2</v>
      </c>
    </row>
    <row r="38" spans="1:3">
      <c r="A38" s="2">
        <v>38</v>
      </c>
      <c r="B38">
        <f t="shared" si="2"/>
        <v>3.0107917300000002E-2</v>
      </c>
      <c r="C38">
        <f t="shared" si="3"/>
        <v>8.4164634343915551E-2</v>
      </c>
    </row>
    <row r="39" spans="1:3">
      <c r="A39" s="2">
        <v>39</v>
      </c>
      <c r="B39">
        <f t="shared" si="2"/>
        <v>3.0758412299999996E-2</v>
      </c>
      <c r="C39">
        <f t="shared" si="3"/>
        <v>8.4816033893976767E-2</v>
      </c>
    </row>
    <row r="40" spans="1:3">
      <c r="A40" s="2">
        <v>40</v>
      </c>
      <c r="B40">
        <f t="shared" si="2"/>
        <v>3.1408907299999997E-2</v>
      </c>
      <c r="C40">
        <f t="shared" si="3"/>
        <v>8.5467500014826114E-2</v>
      </c>
    </row>
    <row r="41" spans="1:3">
      <c r="A41" s="2">
        <v>41</v>
      </c>
      <c r="B41">
        <f t="shared" si="2"/>
        <v>3.2059402299999998E-2</v>
      </c>
      <c r="C41">
        <f t="shared" si="3"/>
        <v>8.611903270287595E-2</v>
      </c>
    </row>
    <row r="42" spans="1:3">
      <c r="A42" s="2">
        <v>42</v>
      </c>
      <c r="B42">
        <f t="shared" si="2"/>
        <v>3.2709897299999999E-2</v>
      </c>
      <c r="C42">
        <f t="shared" si="3"/>
        <v>8.6770631954293062E-2</v>
      </c>
    </row>
    <row r="43" spans="1:3">
      <c r="A43" s="2">
        <v>43</v>
      </c>
      <c r="B43">
        <f t="shared" si="2"/>
        <v>3.33603923E-2</v>
      </c>
      <c r="C43">
        <f t="shared" si="3"/>
        <v>8.7422297764998602E-2</v>
      </c>
    </row>
    <row r="44" spans="1:3">
      <c r="A44" s="2">
        <v>44</v>
      </c>
      <c r="B44">
        <f t="shared" si="2"/>
        <v>3.4010887300000001E-2</v>
      </c>
      <c r="C44">
        <f t="shared" si="3"/>
        <v>8.8074030130668307E-2</v>
      </c>
    </row>
    <row r="45" spans="1:3">
      <c r="A45" s="2">
        <v>45</v>
      </c>
      <c r="B45">
        <f t="shared" si="2"/>
        <v>3.4661382300000002E-2</v>
      </c>
      <c r="C45">
        <f t="shared" si="3"/>
        <v>8.8725829046732457E-2</v>
      </c>
    </row>
    <row r="46" spans="1:3">
      <c r="A46" s="2">
        <v>46</v>
      </c>
      <c r="B46">
        <f t="shared" si="2"/>
        <v>3.5311877299999996E-2</v>
      </c>
      <c r="C46">
        <f t="shared" si="3"/>
        <v>8.9377694508376015E-2</v>
      </c>
    </row>
    <row r="47" spans="1:3">
      <c r="A47" s="2">
        <v>47</v>
      </c>
      <c r="B47">
        <f t="shared" si="2"/>
        <v>3.5962372299999996E-2</v>
      </c>
      <c r="C47">
        <f t="shared" si="3"/>
        <v>9.0029626510538752E-2</v>
      </c>
    </row>
    <row r="48" spans="1:3">
      <c r="A48" s="2">
        <v>48</v>
      </c>
      <c r="B48">
        <f t="shared" si="2"/>
        <v>3.6612867299999997E-2</v>
      </c>
      <c r="C48">
        <f t="shared" si="3"/>
        <v>9.0681625047915243E-2</v>
      </c>
    </row>
    <row r="49" spans="1:3">
      <c r="A49" s="2">
        <v>49</v>
      </c>
      <c r="B49">
        <f t="shared" si="2"/>
        <v>3.7263362299999998E-2</v>
      </c>
      <c r="C49">
        <f t="shared" si="3"/>
        <v>9.1333690114955041E-2</v>
      </c>
    </row>
    <row r="50" spans="1:3">
      <c r="A50" s="2">
        <v>50</v>
      </c>
      <c r="B50">
        <f t="shared" si="2"/>
        <v>3.7913857299999999E-2</v>
      </c>
      <c r="C50">
        <f t="shared" si="3"/>
        <v>9.1985821705862753E-2</v>
      </c>
    </row>
    <row r="51" spans="1:3">
      <c r="A51" s="2">
        <v>51</v>
      </c>
      <c r="B51">
        <f t="shared" si="2"/>
        <v>3.85643523E-2</v>
      </c>
      <c r="C51">
        <f t="shared" si="3"/>
        <v>9.2638019814598183E-2</v>
      </c>
    </row>
    <row r="52" spans="1:3">
      <c r="A52" s="2">
        <v>52</v>
      </c>
      <c r="B52">
        <f t="shared" si="2"/>
        <v>3.9214847300000001E-2</v>
      </c>
      <c r="C52">
        <f t="shared" si="3"/>
        <v>9.329028443487633E-2</v>
      </c>
    </row>
    <row r="53" spans="1:3">
      <c r="A53" s="2">
        <v>53</v>
      </c>
      <c r="B53">
        <f t="shared" si="2"/>
        <v>3.9865342300000002E-2</v>
      </c>
      <c r="C53">
        <f t="shared" si="3"/>
        <v>9.3942615560167697E-2</v>
      </c>
    </row>
    <row r="54" spans="1:3">
      <c r="A54" s="2">
        <v>54</v>
      </c>
      <c r="B54">
        <f t="shared" si="2"/>
        <v>4.0515837300000003E-2</v>
      </c>
      <c r="C54">
        <f t="shared" si="3"/>
        <v>9.4595013183698201E-2</v>
      </c>
    </row>
    <row r="55" spans="1:3">
      <c r="A55" s="2">
        <v>55</v>
      </c>
      <c r="B55">
        <f t="shared" si="2"/>
        <v>4.1166332299999997E-2</v>
      </c>
      <c r="C55">
        <f t="shared" si="3"/>
        <v>9.5247477298449443E-2</v>
      </c>
    </row>
    <row r="56" spans="1:3">
      <c r="A56" s="2">
        <v>56</v>
      </c>
      <c r="B56">
        <f t="shared" si="2"/>
        <v>4.1816827299999998E-2</v>
      </c>
      <c r="C56">
        <f t="shared" si="3"/>
        <v>9.5900007897158801E-2</v>
      </c>
    </row>
    <row r="57" spans="1:3">
      <c r="A57" s="2">
        <v>57</v>
      </c>
      <c r="B57">
        <f t="shared" si="2"/>
        <v>4.2467322299999999E-2</v>
      </c>
      <c r="C57">
        <f t="shared" si="3"/>
        <v>9.6552604972319545E-2</v>
      </c>
    </row>
    <row r="58" spans="1:3">
      <c r="A58" s="2">
        <v>58</v>
      </c>
      <c r="B58">
        <f t="shared" si="2"/>
        <v>4.31178173E-2</v>
      </c>
      <c r="C58">
        <f t="shared" si="3"/>
        <v>9.7205268516180943E-2</v>
      </c>
    </row>
    <row r="59" spans="1:3">
      <c r="A59" s="2">
        <v>59</v>
      </c>
      <c r="B59">
        <f t="shared" si="2"/>
        <v>4.3768312300000001E-2</v>
      </c>
      <c r="C59">
        <f t="shared" si="3"/>
        <v>9.7857998520748515E-2</v>
      </c>
    </row>
    <row r="60" spans="1:3">
      <c r="A60" s="2">
        <v>60</v>
      </c>
      <c r="B60">
        <f t="shared" si="2"/>
        <v>4.4418807300000002E-2</v>
      </c>
      <c r="C60">
        <f t="shared" si="3"/>
        <v>9.8510794977784033E-2</v>
      </c>
    </row>
    <row r="61" spans="1:3">
      <c r="A61" s="2">
        <v>61</v>
      </c>
      <c r="B61">
        <f t="shared" si="2"/>
        <v>4.5069302300000003E-2</v>
      </c>
      <c r="C61">
        <f t="shared" si="3"/>
        <v>9.916365787880585E-2</v>
      </c>
    </row>
    <row r="62" spans="1:3">
      <c r="A62" s="2">
        <v>62</v>
      </c>
      <c r="B62">
        <f t="shared" si="2"/>
        <v>4.5719797299999997E-2</v>
      </c>
      <c r="C62">
        <f t="shared" si="3"/>
        <v>9.9816587215088834E-2</v>
      </c>
    </row>
    <row r="63" spans="1:3">
      <c r="A63" s="2">
        <v>63</v>
      </c>
      <c r="B63">
        <f t="shared" si="2"/>
        <v>4.6370292299999998E-2</v>
      </c>
      <c r="C63">
        <f t="shared" si="3"/>
        <v>0.10046958297766473</v>
      </c>
    </row>
    <row r="64" spans="1:3">
      <c r="A64" s="2">
        <v>64</v>
      </c>
      <c r="B64">
        <f t="shared" si="2"/>
        <v>4.7020787299999998E-2</v>
      </c>
      <c r="C64">
        <f t="shared" si="3"/>
        <v>0.10112264515732225</v>
      </c>
    </row>
    <row r="65" spans="1:3">
      <c r="A65" s="2">
        <v>65</v>
      </c>
      <c r="B65">
        <f t="shared" ref="B65:B70" si="4">0.0060396023+(A65-1)*0.000650495</f>
        <v>4.7671282299999999E-2</v>
      </c>
      <c r="C65">
        <f t="shared" ref="C65:C70" si="5">0+1*B65+0.053991847617027*(1.00219298245614+(B65-0.0215966100421274)^2/0.34268682428963)^0.5</f>
        <v>0.1017757737446072</v>
      </c>
    </row>
    <row r="66" spans="1:3">
      <c r="A66" s="2">
        <v>66</v>
      </c>
      <c r="B66">
        <f t="shared" si="4"/>
        <v>4.83217773E-2</v>
      </c>
      <c r="C66">
        <f t="shared" si="5"/>
        <v>0.10242896872982266</v>
      </c>
    </row>
    <row r="67" spans="1:3">
      <c r="A67" s="2">
        <v>67</v>
      </c>
      <c r="B67">
        <f t="shared" si="4"/>
        <v>4.8972272300000001E-2</v>
      </c>
      <c r="C67">
        <f t="shared" si="5"/>
        <v>0.10308223010302928</v>
      </c>
    </row>
    <row r="68" spans="1:3">
      <c r="A68" s="2">
        <v>68</v>
      </c>
      <c r="B68">
        <f t="shared" si="4"/>
        <v>4.9622767300000002E-2</v>
      </c>
      <c r="C68">
        <f t="shared" si="5"/>
        <v>0.10373555785404531</v>
      </c>
    </row>
    <row r="69" spans="1:3">
      <c r="A69" s="2">
        <v>69</v>
      </c>
      <c r="B69">
        <f t="shared" si="4"/>
        <v>5.0273262299999996E-2</v>
      </c>
      <c r="C69">
        <f t="shared" si="5"/>
        <v>0.10438895197244688</v>
      </c>
    </row>
    <row r="70" spans="1:3">
      <c r="A70" s="2">
        <v>70</v>
      </c>
      <c r="B70">
        <f t="shared" si="4"/>
        <v>5.0923757299999997E-2</v>
      </c>
      <c r="C70">
        <f t="shared" si="5"/>
        <v>0.10504241244756815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enableFormatConditionsCalculation="0"/>
  <dimension ref="A1:C70"/>
  <sheetViews>
    <sheetView workbookViewId="0"/>
  </sheetViews>
  <sheetFormatPr baseColWidth="10" defaultRowHeight="15.75"/>
  <sheetData>
    <row r="1" spans="1:3">
      <c r="A1" s="2">
        <v>1</v>
      </c>
      <c r="B1">
        <f t="shared" ref="B1:B32" si="0">3.6924325787+(A1-1)*1.7059156148</f>
        <v>3.6924325787000001</v>
      </c>
      <c r="C1">
        <f t="shared" ref="C1:C32" si="1">0+1*B1-75.5187880166093*(1.00625+(B1-36.06875)^2/225051.5074476)^0.5</f>
        <v>-72.237107118342863</v>
      </c>
    </row>
    <row r="2" spans="1:3">
      <c r="A2" s="2">
        <v>2</v>
      </c>
      <c r="B2">
        <f t="shared" si="0"/>
        <v>5.3983481935000004</v>
      </c>
      <c r="C2">
        <f t="shared" si="1"/>
        <v>-70.513241741025297</v>
      </c>
    </row>
    <row r="3" spans="1:3">
      <c r="A3" s="2">
        <v>3</v>
      </c>
      <c r="B3">
        <f t="shared" si="0"/>
        <v>7.1042638083000007</v>
      </c>
      <c r="C3">
        <f t="shared" si="1"/>
        <v>-68.790343824732915</v>
      </c>
    </row>
    <row r="4" spans="1:3">
      <c r="A4" s="2">
        <v>4</v>
      </c>
      <c r="B4">
        <f t="shared" si="0"/>
        <v>8.8101794230999992</v>
      </c>
      <c r="C4">
        <f t="shared" si="1"/>
        <v>-67.068414019044809</v>
      </c>
    </row>
    <row r="5" spans="1:3">
      <c r="A5" s="2">
        <v>5</v>
      </c>
      <c r="B5">
        <f t="shared" si="0"/>
        <v>10.516095037900001</v>
      </c>
      <c r="C5">
        <f t="shared" si="1"/>
        <v>-65.347452937042263</v>
      </c>
    </row>
    <row r="6" spans="1:3">
      <c r="A6" s="2">
        <v>6</v>
      </c>
      <c r="B6">
        <f t="shared" si="0"/>
        <v>12.2220106527</v>
      </c>
      <c r="C6">
        <f t="shared" si="1"/>
        <v>-63.627461155192059</v>
      </c>
    </row>
    <row r="7" spans="1:3">
      <c r="A7" s="2">
        <v>7</v>
      </c>
      <c r="B7">
        <f t="shared" si="0"/>
        <v>13.9279262675</v>
      </c>
      <c r="C7">
        <f t="shared" si="1"/>
        <v>-61.908439213236548</v>
      </c>
    </row>
    <row r="8" spans="1:3">
      <c r="A8" s="2">
        <v>8</v>
      </c>
      <c r="B8">
        <f t="shared" si="0"/>
        <v>15.6338418823</v>
      </c>
      <c r="C8">
        <f t="shared" si="1"/>
        <v>-60.190387614090312</v>
      </c>
    </row>
    <row r="9" spans="1:3">
      <c r="A9" s="2">
        <v>9</v>
      </c>
      <c r="B9">
        <f t="shared" si="0"/>
        <v>17.339757497100003</v>
      </c>
      <c r="C9">
        <f t="shared" si="1"/>
        <v>-58.473306823744245</v>
      </c>
    </row>
    <row r="10" spans="1:3">
      <c r="A10" s="2">
        <v>10</v>
      </c>
      <c r="B10">
        <f t="shared" si="0"/>
        <v>19.045673111900001</v>
      </c>
      <c r="C10">
        <f t="shared" si="1"/>
        <v>-56.757197271176224</v>
      </c>
    </row>
    <row r="11" spans="1:3">
      <c r="A11" s="2">
        <v>11</v>
      </c>
      <c r="B11">
        <f t="shared" si="0"/>
        <v>20.7515887267</v>
      </c>
      <c r="C11">
        <f t="shared" si="1"/>
        <v>-55.042059348268843</v>
      </c>
    </row>
    <row r="12" spans="1:3">
      <c r="A12" s="2">
        <v>12</v>
      </c>
      <c r="B12">
        <f t="shared" si="0"/>
        <v>22.457504341500002</v>
      </c>
      <c r="C12">
        <f t="shared" si="1"/>
        <v>-53.327893409734273</v>
      </c>
    </row>
    <row r="13" spans="1:3">
      <c r="A13" s="2">
        <v>13</v>
      </c>
      <c r="B13">
        <f t="shared" si="0"/>
        <v>24.1634199563</v>
      </c>
      <c r="C13">
        <f t="shared" si="1"/>
        <v>-51.614699773046169</v>
      </c>
    </row>
    <row r="14" spans="1:3">
      <c r="A14" s="2">
        <v>14</v>
      </c>
      <c r="B14">
        <f t="shared" si="0"/>
        <v>25.869335571100002</v>
      </c>
      <c r="C14">
        <f t="shared" si="1"/>
        <v>-49.90247871837871</v>
      </c>
    </row>
    <row r="15" spans="1:3">
      <c r="A15" s="2">
        <v>15</v>
      </c>
      <c r="B15">
        <f t="shared" si="0"/>
        <v>27.575251185900001</v>
      </c>
      <c r="C15">
        <f t="shared" si="1"/>
        <v>-48.191230488552591</v>
      </c>
    </row>
    <row r="16" spans="1:3">
      <c r="A16" s="2">
        <v>16</v>
      </c>
      <c r="B16">
        <f t="shared" si="0"/>
        <v>29.281166800700003</v>
      </c>
      <c r="C16">
        <f t="shared" si="1"/>
        <v>-46.480955288988397</v>
      </c>
    </row>
    <row r="17" spans="1:3">
      <c r="A17" s="2">
        <v>17</v>
      </c>
      <c r="B17">
        <f t="shared" si="0"/>
        <v>30.987082415500002</v>
      </c>
      <c r="C17">
        <f t="shared" si="1"/>
        <v>-44.771653287667135</v>
      </c>
    </row>
    <row r="18" spans="1:3">
      <c r="A18" s="2">
        <v>18</v>
      </c>
      <c r="B18">
        <f t="shared" si="0"/>
        <v>32.692998030300004</v>
      </c>
      <c r="C18">
        <f t="shared" si="1"/>
        <v>-43.063324615097699</v>
      </c>
    </row>
    <row r="19" spans="1:3">
      <c r="A19" s="2">
        <v>19</v>
      </c>
      <c r="B19">
        <f t="shared" si="0"/>
        <v>34.398913645100002</v>
      </c>
      <c r="C19">
        <f t="shared" si="1"/>
        <v>-41.355969364291816</v>
      </c>
    </row>
    <row r="20" spans="1:3">
      <c r="A20" s="2">
        <v>20</v>
      </c>
      <c r="B20">
        <f t="shared" si="0"/>
        <v>36.104829259900001</v>
      </c>
      <c r="C20">
        <f t="shared" si="1"/>
        <v>-39.649587590746236</v>
      </c>
    </row>
    <row r="21" spans="1:3">
      <c r="A21" s="2">
        <v>21</v>
      </c>
      <c r="B21">
        <f t="shared" si="0"/>
        <v>37.810744874699999</v>
      </c>
      <c r="C21">
        <f t="shared" si="1"/>
        <v>-37.944179312431821</v>
      </c>
    </row>
    <row r="22" spans="1:3">
      <c r="A22" s="2">
        <v>22</v>
      </c>
      <c r="B22">
        <f t="shared" si="0"/>
        <v>39.516660489500005</v>
      </c>
      <c r="C22">
        <f t="shared" si="1"/>
        <v>-36.239744509790249</v>
      </c>
    </row>
    <row r="23" spans="1:3">
      <c r="A23" s="2">
        <v>23</v>
      </c>
      <c r="B23">
        <f t="shared" si="0"/>
        <v>41.222576104300003</v>
      </c>
      <c r="C23">
        <f t="shared" si="1"/>
        <v>-34.536283125737739</v>
      </c>
    </row>
    <row r="24" spans="1:3">
      <c r="A24" s="2">
        <v>24</v>
      </c>
      <c r="B24">
        <f t="shared" si="0"/>
        <v>42.928491719100002</v>
      </c>
      <c r="C24">
        <f t="shared" si="1"/>
        <v>-32.833795065675993</v>
      </c>
    </row>
    <row r="25" spans="1:3">
      <c r="A25" s="2">
        <v>25</v>
      </c>
      <c r="B25">
        <f t="shared" si="0"/>
        <v>44.6344073339</v>
      </c>
      <c r="C25">
        <f t="shared" si="1"/>
        <v>-31.132280197510511</v>
      </c>
    </row>
    <row r="26" spans="1:3">
      <c r="A26" s="2">
        <v>26</v>
      </c>
      <c r="B26">
        <f t="shared" si="0"/>
        <v>46.340322948699999</v>
      </c>
      <c r="C26">
        <f t="shared" si="1"/>
        <v>-29.431738351675982</v>
      </c>
    </row>
    <row r="27" spans="1:3">
      <c r="A27" s="2">
        <v>27</v>
      </c>
      <c r="B27">
        <f t="shared" si="0"/>
        <v>48.046238563500005</v>
      </c>
      <c r="C27">
        <f t="shared" si="1"/>
        <v>-27.732169321168946</v>
      </c>
    </row>
    <row r="28" spans="1:3">
      <c r="A28" s="2">
        <v>28</v>
      </c>
      <c r="B28">
        <f t="shared" si="0"/>
        <v>49.752154178300003</v>
      </c>
      <c r="C28">
        <f t="shared" si="1"/>
        <v>-26.0335728615877</v>
      </c>
    </row>
    <row r="29" spans="1:3">
      <c r="A29" s="2">
        <v>29</v>
      </c>
      <c r="B29">
        <f t="shared" si="0"/>
        <v>51.458069793100002</v>
      </c>
      <c r="C29">
        <f t="shared" si="1"/>
        <v>-24.33594869117919</v>
      </c>
    </row>
    <row r="30" spans="1:3">
      <c r="A30" s="2">
        <v>30</v>
      </c>
      <c r="B30">
        <f t="shared" si="0"/>
        <v>53.1639854079</v>
      </c>
      <c r="C30">
        <f t="shared" si="1"/>
        <v>-22.639296490893358</v>
      </c>
    </row>
    <row r="31" spans="1:3">
      <c r="A31" s="2">
        <v>31</v>
      </c>
      <c r="B31">
        <f t="shared" si="0"/>
        <v>54.869901022700006</v>
      </c>
      <c r="C31">
        <f t="shared" si="1"/>
        <v>-20.943615904444286</v>
      </c>
    </row>
    <row r="32" spans="1:3">
      <c r="A32" s="2">
        <v>32</v>
      </c>
      <c r="B32">
        <f t="shared" si="0"/>
        <v>56.575816637500004</v>
      </c>
      <c r="C32">
        <f t="shared" si="1"/>
        <v>-19.248906538378712</v>
      </c>
    </row>
    <row r="33" spans="1:3">
      <c r="A33" s="2">
        <v>33</v>
      </c>
      <c r="B33">
        <f t="shared" ref="B33:B64" si="2">3.6924325787+(A33-1)*1.7059156148</f>
        <v>58.281732252300003</v>
      </c>
      <c r="C33">
        <f t="shared" ref="C33:C64" si="3">0+1*B33-75.5187880166093*(1.00625+(B33-36.06875)^2/225051.5074476)^0.5</f>
        <v>-17.555167962151458</v>
      </c>
    </row>
    <row r="34" spans="1:3">
      <c r="A34" s="2">
        <v>34</v>
      </c>
      <c r="B34">
        <f t="shared" si="2"/>
        <v>59.987647867100002</v>
      </c>
      <c r="C34">
        <f t="shared" si="3"/>
        <v>-15.862399708207953</v>
      </c>
    </row>
    <row r="35" spans="1:3">
      <c r="A35" s="2">
        <v>35</v>
      </c>
      <c r="B35">
        <f t="shared" si="2"/>
        <v>61.6935634819</v>
      </c>
      <c r="C35">
        <f t="shared" si="3"/>
        <v>-14.170601272073782</v>
      </c>
    </row>
    <row r="36" spans="1:3">
      <c r="A36" s="2">
        <v>36</v>
      </c>
      <c r="B36">
        <f t="shared" si="2"/>
        <v>63.399479096700006</v>
      </c>
      <c r="C36">
        <f t="shared" si="3"/>
        <v>-12.479772112451116</v>
      </c>
    </row>
    <row r="37" spans="1:3">
      <c r="A37" s="2">
        <v>37</v>
      </c>
      <c r="B37">
        <f t="shared" si="2"/>
        <v>65.105394711499997</v>
      </c>
      <c r="C37">
        <f t="shared" si="3"/>
        <v>-10.789911651322143</v>
      </c>
    </row>
    <row r="38" spans="1:3">
      <c r="A38" s="2">
        <v>38</v>
      </c>
      <c r="B38">
        <f t="shared" si="2"/>
        <v>66.811310326300003</v>
      </c>
      <c r="C38">
        <f t="shared" si="3"/>
        <v>-9.1010192740592544</v>
      </c>
    </row>
    <row r="39" spans="1:3">
      <c r="A39" s="2">
        <v>39</v>
      </c>
      <c r="B39">
        <f t="shared" si="2"/>
        <v>68.517225941100008</v>
      </c>
      <c r="C39">
        <f t="shared" si="3"/>
        <v>-7.413094329542318</v>
      </c>
    </row>
    <row r="40" spans="1:3">
      <c r="A40" s="2">
        <v>40</v>
      </c>
      <c r="B40">
        <f t="shared" si="2"/>
        <v>70.223141555900014</v>
      </c>
      <c r="C40">
        <f t="shared" si="3"/>
        <v>-5.7261361302823275</v>
      </c>
    </row>
    <row r="41" spans="1:3">
      <c r="A41" s="2">
        <v>41</v>
      </c>
      <c r="B41">
        <f t="shared" si="2"/>
        <v>71.929057170699991</v>
      </c>
      <c r="C41">
        <f t="shared" si="3"/>
        <v>-4.0401439525522136</v>
      </c>
    </row>
    <row r="42" spans="1:3">
      <c r="A42" s="2">
        <v>42</v>
      </c>
      <c r="B42">
        <f t="shared" si="2"/>
        <v>73.634972785499997</v>
      </c>
      <c r="C42">
        <f t="shared" si="3"/>
        <v>-2.3551170365237226</v>
      </c>
    </row>
    <row r="43" spans="1:3">
      <c r="A43" s="2">
        <v>43</v>
      </c>
      <c r="B43">
        <f t="shared" si="2"/>
        <v>75.340888400300003</v>
      </c>
      <c r="C43">
        <f t="shared" si="3"/>
        <v>-0.67105458641167104</v>
      </c>
    </row>
    <row r="44" spans="1:3">
      <c r="A44" s="2">
        <v>44</v>
      </c>
      <c r="B44">
        <f t="shared" si="2"/>
        <v>77.046804015100008</v>
      </c>
      <c r="C44">
        <f t="shared" si="3"/>
        <v>1.0120442293759311</v>
      </c>
    </row>
    <row r="45" spans="1:3">
      <c r="A45" s="2">
        <v>45</v>
      </c>
      <c r="B45">
        <f t="shared" si="2"/>
        <v>78.752719629900014</v>
      </c>
      <c r="C45">
        <f t="shared" si="3"/>
        <v>2.6941802780809638</v>
      </c>
    </row>
    <row r="46" spans="1:3">
      <c r="A46" s="2">
        <v>46</v>
      </c>
      <c r="B46">
        <f t="shared" si="2"/>
        <v>80.458635244699991</v>
      </c>
      <c r="C46">
        <f t="shared" si="3"/>
        <v>4.3753544624319716</v>
      </c>
    </row>
    <row r="47" spans="1:3">
      <c r="A47" s="2">
        <v>47</v>
      </c>
      <c r="B47">
        <f t="shared" si="2"/>
        <v>82.164550859499997</v>
      </c>
      <c r="C47">
        <f t="shared" si="3"/>
        <v>6.0555677204746416</v>
      </c>
    </row>
    <row r="48" spans="1:3">
      <c r="A48" s="2">
        <v>48</v>
      </c>
      <c r="B48">
        <f t="shared" si="2"/>
        <v>83.870466474300002</v>
      </c>
      <c r="C48">
        <f t="shared" si="3"/>
        <v>7.7348210253958456</v>
      </c>
    </row>
    <row r="49" spans="1:3">
      <c r="A49" s="2">
        <v>49</v>
      </c>
      <c r="B49">
        <f t="shared" si="2"/>
        <v>85.576382089100008</v>
      </c>
      <c r="C49">
        <f t="shared" si="3"/>
        <v>9.4131153853416833</v>
      </c>
    </row>
    <row r="50" spans="1:3">
      <c r="A50" s="2">
        <v>50</v>
      </c>
      <c r="B50">
        <f t="shared" si="2"/>
        <v>87.282297703900014</v>
      </c>
      <c r="C50">
        <f t="shared" si="3"/>
        <v>11.090451843229431</v>
      </c>
    </row>
    <row r="51" spans="1:3">
      <c r="A51" s="2">
        <v>51</v>
      </c>
      <c r="B51">
        <f t="shared" si="2"/>
        <v>88.988213318699991</v>
      </c>
      <c r="C51">
        <f t="shared" si="3"/>
        <v>12.766831476553264</v>
      </c>
    </row>
    <row r="52" spans="1:3">
      <c r="A52" s="2">
        <v>52</v>
      </c>
      <c r="B52">
        <f t="shared" si="2"/>
        <v>90.694128933499996</v>
      </c>
      <c r="C52">
        <f t="shared" si="3"/>
        <v>14.442255397184397</v>
      </c>
    </row>
    <row r="53" spans="1:3">
      <c r="A53" s="2">
        <v>53</v>
      </c>
      <c r="B53">
        <f t="shared" si="2"/>
        <v>92.400044548300002</v>
      </c>
      <c r="C53">
        <f t="shared" si="3"/>
        <v>16.116724751164881</v>
      </c>
    </row>
    <row r="54" spans="1:3">
      <c r="A54" s="2">
        <v>54</v>
      </c>
      <c r="B54">
        <f t="shared" si="2"/>
        <v>94.105960163100008</v>
      </c>
      <c r="C54">
        <f t="shared" si="3"/>
        <v>17.790240718496136</v>
      </c>
    </row>
    <row r="55" spans="1:3">
      <c r="A55" s="2">
        <v>55</v>
      </c>
      <c r="B55">
        <f t="shared" si="2"/>
        <v>95.811875777900013</v>
      </c>
      <c r="C55">
        <f t="shared" si="3"/>
        <v>19.462804512921451</v>
      </c>
    </row>
    <row r="56" spans="1:3">
      <c r="A56" s="2">
        <v>56</v>
      </c>
      <c r="B56">
        <f t="shared" si="2"/>
        <v>97.517791392700019</v>
      </c>
      <c r="C56">
        <f t="shared" si="3"/>
        <v>21.134417381703059</v>
      </c>
    </row>
    <row r="57" spans="1:3">
      <c r="A57" s="2">
        <v>57</v>
      </c>
      <c r="B57">
        <f t="shared" si="2"/>
        <v>99.223707007499996</v>
      </c>
      <c r="C57">
        <f t="shared" si="3"/>
        <v>22.805080605393655</v>
      </c>
    </row>
    <row r="58" spans="1:3">
      <c r="A58" s="2">
        <v>58</v>
      </c>
      <c r="B58">
        <f t="shared" si="2"/>
        <v>100.9296226223</v>
      </c>
      <c r="C58">
        <f t="shared" si="3"/>
        <v>24.474795497602742</v>
      </c>
    </row>
    <row r="59" spans="1:3">
      <c r="A59" s="2">
        <v>59</v>
      </c>
      <c r="B59">
        <f t="shared" si="2"/>
        <v>102.63553823710001</v>
      </c>
      <c r="C59">
        <f t="shared" si="3"/>
        <v>26.143563404757174</v>
      </c>
    </row>
    <row r="60" spans="1:3">
      <c r="A60" s="2">
        <v>60</v>
      </c>
      <c r="B60">
        <f t="shared" si="2"/>
        <v>104.34145385190001</v>
      </c>
      <c r="C60">
        <f t="shared" si="3"/>
        <v>27.811385705857077</v>
      </c>
    </row>
    <row r="61" spans="1:3">
      <c r="A61" s="2">
        <v>61</v>
      </c>
      <c r="B61">
        <f t="shared" si="2"/>
        <v>106.04736946670002</v>
      </c>
      <c r="C61">
        <f t="shared" si="3"/>
        <v>29.478263812226231</v>
      </c>
    </row>
    <row r="62" spans="1:3">
      <c r="A62" s="2">
        <v>62</v>
      </c>
      <c r="B62">
        <f t="shared" si="2"/>
        <v>107.7532850815</v>
      </c>
      <c r="C62">
        <f t="shared" si="3"/>
        <v>31.144199167257753</v>
      </c>
    </row>
    <row r="63" spans="1:3">
      <c r="A63" s="2">
        <v>63</v>
      </c>
      <c r="B63">
        <f t="shared" si="2"/>
        <v>109.4592006963</v>
      </c>
      <c r="C63">
        <f t="shared" si="3"/>
        <v>32.80919324615482</v>
      </c>
    </row>
    <row r="64" spans="1:3">
      <c r="A64" s="2">
        <v>64</v>
      </c>
      <c r="B64">
        <f t="shared" si="2"/>
        <v>111.16511631110001</v>
      </c>
      <c r="C64">
        <f t="shared" si="3"/>
        <v>34.473247555666362</v>
      </c>
    </row>
    <row r="65" spans="1:3">
      <c r="A65" s="2">
        <v>65</v>
      </c>
      <c r="B65">
        <f t="shared" ref="B65:B70" si="4">3.6924325787+(A65-1)*1.7059156148</f>
        <v>112.87103192590001</v>
      </c>
      <c r="C65">
        <f t="shared" ref="C65:C70" si="5">0+1*B65-75.5187880166093*(1.00625+(B65-36.06875)^2/225051.5074476)^0.5</f>
        <v>36.136363633818434</v>
      </c>
    </row>
    <row r="66" spans="1:3">
      <c r="A66" s="2">
        <v>66</v>
      </c>
      <c r="B66">
        <f t="shared" si="4"/>
        <v>114.57694754070002</v>
      </c>
      <c r="C66">
        <f t="shared" si="5"/>
        <v>37.79854304964077</v>
      </c>
    </row>
    <row r="67" spans="1:3">
      <c r="A67" s="2">
        <v>67</v>
      </c>
      <c r="B67">
        <f t="shared" si="4"/>
        <v>116.2828631555</v>
      </c>
      <c r="C67">
        <f t="shared" si="5"/>
        <v>39.45978740288902</v>
      </c>
    </row>
    <row r="68" spans="1:3">
      <c r="A68" s="2">
        <v>68</v>
      </c>
      <c r="B68">
        <f t="shared" si="4"/>
        <v>117.9887787703</v>
      </c>
      <c r="C68">
        <f t="shared" si="5"/>
        <v>41.120098323762548</v>
      </c>
    </row>
    <row r="69" spans="1:3">
      <c r="A69" s="2">
        <v>69</v>
      </c>
      <c r="B69">
        <f t="shared" si="4"/>
        <v>119.69469438510001</v>
      </c>
      <c r="C69">
        <f t="shared" si="5"/>
        <v>42.779477472617984</v>
      </c>
    </row>
    <row r="70" spans="1:3">
      <c r="A70" s="2">
        <v>70</v>
      </c>
      <c r="B70">
        <f t="shared" si="4"/>
        <v>121.40060999990001</v>
      </c>
      <c r="C70">
        <f t="shared" si="5"/>
        <v>44.437926539678756</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enableFormatConditionsCalculation="0"/>
  <dimension ref="A1:C70"/>
  <sheetViews>
    <sheetView workbookViewId="0"/>
  </sheetViews>
  <sheetFormatPr baseColWidth="10" defaultRowHeight="15.75"/>
  <sheetData>
    <row r="1" spans="1:3">
      <c r="A1" s="2">
        <v>1</v>
      </c>
      <c r="B1">
        <f t="shared" ref="B1:B32" si="0">0.0053611139+(A1-1)*0.0007280878</f>
        <v>5.3611138999999997E-3</v>
      </c>
      <c r="C1">
        <f t="shared" ref="C1:C32" si="1">0+1*B1-0.0539317902738627*(1.00219298245614+(B1-0.0215966100421274)^2/0.340410549997032)^0.5</f>
        <v>-4.8650633437595868E-2</v>
      </c>
    </row>
    <row r="2" spans="1:3">
      <c r="A2" s="2">
        <v>2</v>
      </c>
      <c r="B2">
        <f t="shared" si="0"/>
        <v>6.0892016999999996E-3</v>
      </c>
      <c r="C2">
        <f t="shared" si="1"/>
        <v>-4.7920717511257323E-2</v>
      </c>
    </row>
    <row r="3" spans="1:3">
      <c r="A3" s="2">
        <v>3</v>
      </c>
      <c r="B3">
        <f t="shared" si="0"/>
        <v>6.8172894999999996E-3</v>
      </c>
      <c r="C3">
        <f t="shared" si="1"/>
        <v>-4.719088539079113E-2</v>
      </c>
    </row>
    <row r="4" spans="1:3">
      <c r="A4" s="2">
        <v>4</v>
      </c>
      <c r="B4">
        <f t="shared" si="0"/>
        <v>7.5453772999999995E-3</v>
      </c>
      <c r="C4">
        <f t="shared" si="1"/>
        <v>-4.6461137084317677E-2</v>
      </c>
    </row>
    <row r="5" spans="1:3">
      <c r="A5" s="2">
        <v>5</v>
      </c>
      <c r="B5">
        <f t="shared" si="0"/>
        <v>8.2734651000000003E-3</v>
      </c>
      <c r="C5">
        <f t="shared" si="1"/>
        <v>-4.5731472599568092E-2</v>
      </c>
    </row>
    <row r="6" spans="1:3">
      <c r="A6" s="2">
        <v>6</v>
      </c>
      <c r="B6">
        <f t="shared" si="0"/>
        <v>9.0015528999999993E-3</v>
      </c>
      <c r="C6">
        <f t="shared" si="1"/>
        <v>-4.5001891943884181E-2</v>
      </c>
    </row>
    <row r="7" spans="1:3">
      <c r="A7" s="2">
        <v>7</v>
      </c>
      <c r="B7">
        <f t="shared" si="0"/>
        <v>9.7296407000000001E-3</v>
      </c>
      <c r="C7">
        <f t="shared" si="1"/>
        <v>-4.4272395124218163E-2</v>
      </c>
    </row>
    <row r="8" spans="1:3">
      <c r="A8" s="2">
        <v>8</v>
      </c>
      <c r="B8">
        <f t="shared" si="0"/>
        <v>1.0457728499999999E-2</v>
      </c>
      <c r="C8">
        <f t="shared" si="1"/>
        <v>-4.3542982147132543E-2</v>
      </c>
    </row>
    <row r="9" spans="1:3">
      <c r="A9" s="2">
        <v>9</v>
      </c>
      <c r="B9">
        <f t="shared" si="0"/>
        <v>1.11858163E-2</v>
      </c>
      <c r="C9">
        <f t="shared" si="1"/>
        <v>-4.2813653018799941E-2</v>
      </c>
    </row>
    <row r="10" spans="1:3">
      <c r="A10" s="2">
        <v>10</v>
      </c>
      <c r="B10">
        <f t="shared" si="0"/>
        <v>1.1913904100000001E-2</v>
      </c>
      <c r="C10">
        <f t="shared" si="1"/>
        <v>-4.2084407745002966E-2</v>
      </c>
    </row>
    <row r="11" spans="1:3">
      <c r="A11" s="2">
        <v>11</v>
      </c>
      <c r="B11">
        <f t="shared" si="0"/>
        <v>1.26419919E-2</v>
      </c>
      <c r="C11">
        <f t="shared" si="1"/>
        <v>-4.1355246331134105E-2</v>
      </c>
    </row>
    <row r="12" spans="1:3">
      <c r="A12" s="2">
        <v>12</v>
      </c>
      <c r="B12">
        <f t="shared" si="0"/>
        <v>1.3370079699999999E-2</v>
      </c>
      <c r="C12">
        <f t="shared" si="1"/>
        <v>-4.0626168782195535E-2</v>
      </c>
    </row>
    <row r="13" spans="1:3">
      <c r="A13" s="2">
        <v>13</v>
      </c>
      <c r="B13">
        <f t="shared" si="0"/>
        <v>1.4098167500000001E-2</v>
      </c>
      <c r="C13">
        <f t="shared" si="1"/>
        <v>-3.9897175102799068E-2</v>
      </c>
    </row>
    <row r="14" spans="1:3">
      <c r="A14" s="2">
        <v>14</v>
      </c>
      <c r="B14">
        <f t="shared" si="0"/>
        <v>1.4826255300000001E-2</v>
      </c>
      <c r="C14">
        <f t="shared" si="1"/>
        <v>-3.9168265297165994E-2</v>
      </c>
    </row>
    <row r="15" spans="1:3">
      <c r="A15" s="2">
        <v>15</v>
      </c>
      <c r="B15">
        <f t="shared" si="0"/>
        <v>1.55543431E-2</v>
      </c>
      <c r="C15">
        <f t="shared" si="1"/>
        <v>-3.8439439369127013E-2</v>
      </c>
    </row>
    <row r="16" spans="1:3">
      <c r="A16" s="2">
        <v>16</v>
      </c>
      <c r="B16">
        <f t="shared" si="0"/>
        <v>1.6282430899999999E-2</v>
      </c>
      <c r="C16">
        <f t="shared" si="1"/>
        <v>-3.771069732212215E-2</v>
      </c>
    </row>
    <row r="17" spans="1:3">
      <c r="A17" s="2">
        <v>17</v>
      </c>
      <c r="B17">
        <f t="shared" si="0"/>
        <v>1.7010518700000001E-2</v>
      </c>
      <c r="C17">
        <f t="shared" si="1"/>
        <v>-3.6982039159200633E-2</v>
      </c>
    </row>
    <row r="18" spans="1:3">
      <c r="A18" s="2">
        <v>18</v>
      </c>
      <c r="B18">
        <f t="shared" si="0"/>
        <v>1.77386065E-2</v>
      </c>
      <c r="C18">
        <f t="shared" si="1"/>
        <v>-3.6253464883020906E-2</v>
      </c>
    </row>
    <row r="19" spans="1:3">
      <c r="A19" s="2">
        <v>19</v>
      </c>
      <c r="B19">
        <f t="shared" si="0"/>
        <v>1.8466694299999999E-2</v>
      </c>
      <c r="C19">
        <f t="shared" si="1"/>
        <v>-3.5524974495850459E-2</v>
      </c>
    </row>
    <row r="20" spans="1:3">
      <c r="A20" s="2">
        <v>20</v>
      </c>
      <c r="B20">
        <f t="shared" si="0"/>
        <v>1.9194782100000002E-2</v>
      </c>
      <c r="C20">
        <f t="shared" si="1"/>
        <v>-3.4796567999565854E-2</v>
      </c>
    </row>
    <row r="21" spans="1:3">
      <c r="A21" s="2">
        <v>21</v>
      </c>
      <c r="B21">
        <f t="shared" si="0"/>
        <v>1.9922869900000001E-2</v>
      </c>
      <c r="C21">
        <f t="shared" si="1"/>
        <v>-3.4068245395652653E-2</v>
      </c>
    </row>
    <row r="22" spans="1:3">
      <c r="A22" s="2">
        <v>22</v>
      </c>
      <c r="B22">
        <f t="shared" si="0"/>
        <v>2.06509577E-2</v>
      </c>
      <c r="C22">
        <f t="shared" si="1"/>
        <v>-3.3340006685205391E-2</v>
      </c>
    </row>
    <row r="23" spans="1:3">
      <c r="A23" s="2">
        <v>23</v>
      </c>
      <c r="B23">
        <f t="shared" si="0"/>
        <v>2.1379045499999999E-2</v>
      </c>
      <c r="C23">
        <f t="shared" si="1"/>
        <v>-3.2611851868927531E-2</v>
      </c>
    </row>
    <row r="24" spans="1:3">
      <c r="A24" s="2">
        <v>24</v>
      </c>
      <c r="B24">
        <f t="shared" si="0"/>
        <v>2.2107133299999998E-2</v>
      </c>
      <c r="C24">
        <f t="shared" si="1"/>
        <v>-3.1883780947131478E-2</v>
      </c>
    </row>
    <row r="25" spans="1:3">
      <c r="A25" s="2">
        <v>25</v>
      </c>
      <c r="B25">
        <f t="shared" si="0"/>
        <v>2.2835221100000001E-2</v>
      </c>
      <c r="C25">
        <f t="shared" si="1"/>
        <v>-3.1155793919738554E-2</v>
      </c>
    </row>
    <row r="26" spans="1:3">
      <c r="A26" s="2">
        <v>26</v>
      </c>
      <c r="B26">
        <f t="shared" si="0"/>
        <v>2.35633089E-2</v>
      </c>
      <c r="C26">
        <f t="shared" si="1"/>
        <v>-3.042789078627901E-2</v>
      </c>
    </row>
    <row r="27" spans="1:3">
      <c r="A27" s="2">
        <v>27</v>
      </c>
      <c r="B27">
        <f t="shared" si="0"/>
        <v>2.4291396699999999E-2</v>
      </c>
      <c r="C27">
        <f t="shared" si="1"/>
        <v>-2.9700071545892024E-2</v>
      </c>
    </row>
    <row r="28" spans="1:3">
      <c r="A28" s="2">
        <v>28</v>
      </c>
      <c r="B28">
        <f t="shared" si="0"/>
        <v>2.5019484500000001E-2</v>
      </c>
      <c r="C28">
        <f t="shared" si="1"/>
        <v>-2.8972336197325685E-2</v>
      </c>
    </row>
    <row r="29" spans="1:3">
      <c r="A29" s="2">
        <v>29</v>
      </c>
      <c r="B29">
        <f t="shared" si="0"/>
        <v>2.57475723E-2</v>
      </c>
      <c r="C29">
        <f t="shared" si="1"/>
        <v>-2.8244684738937167E-2</v>
      </c>
    </row>
    <row r="30" spans="1:3">
      <c r="A30" s="2">
        <v>30</v>
      </c>
      <c r="B30">
        <f t="shared" si="0"/>
        <v>2.6475660099999999E-2</v>
      </c>
      <c r="C30">
        <f t="shared" si="1"/>
        <v>-2.7517117168692547E-2</v>
      </c>
    </row>
    <row r="31" spans="1:3">
      <c r="A31" s="2">
        <v>31</v>
      </c>
      <c r="B31">
        <f t="shared" si="0"/>
        <v>2.7203747899999998E-2</v>
      </c>
      <c r="C31">
        <f t="shared" si="1"/>
        <v>-2.678963348416704E-2</v>
      </c>
    </row>
    <row r="32" spans="1:3">
      <c r="A32" s="2">
        <v>32</v>
      </c>
      <c r="B32">
        <f t="shared" si="0"/>
        <v>2.7931835700000001E-2</v>
      </c>
      <c r="C32">
        <f t="shared" si="1"/>
        <v>-2.6062233682544952E-2</v>
      </c>
    </row>
    <row r="33" spans="1:3">
      <c r="A33" s="2">
        <v>33</v>
      </c>
      <c r="B33">
        <f t="shared" ref="B33:B64" si="2">0.0053611139+(A33-1)*0.0007280878</f>
        <v>2.86599235E-2</v>
      </c>
      <c r="C33">
        <f t="shared" ref="C33:C64" si="3">0+1*B33-0.0539317902738627*(1.00219298245614+(B33-0.0215966100421274)^2/0.340410549997032)^0.5</f>
        <v>-2.5334917760619819E-2</v>
      </c>
    </row>
    <row r="34" spans="1:3">
      <c r="A34" s="2">
        <v>34</v>
      </c>
      <c r="B34">
        <f t="shared" si="2"/>
        <v>2.9388011299999999E-2</v>
      </c>
      <c r="C34">
        <f t="shared" si="3"/>
        <v>-2.4607685714794398E-2</v>
      </c>
    </row>
    <row r="35" spans="1:3">
      <c r="A35" s="2">
        <v>35</v>
      </c>
      <c r="B35">
        <f t="shared" si="2"/>
        <v>3.0116099100000002E-2</v>
      </c>
      <c r="C35">
        <f t="shared" si="3"/>
        <v>-2.3880537541080826E-2</v>
      </c>
    </row>
    <row r="36" spans="1:3">
      <c r="A36" s="2">
        <v>36</v>
      </c>
      <c r="B36">
        <f t="shared" si="2"/>
        <v>3.0844186900000001E-2</v>
      </c>
      <c r="C36">
        <f t="shared" si="3"/>
        <v>-2.3153473235100648E-2</v>
      </c>
    </row>
    <row r="37" spans="1:3">
      <c r="A37" s="2">
        <v>37</v>
      </c>
      <c r="B37">
        <f t="shared" si="2"/>
        <v>3.15722747E-2</v>
      </c>
      <c r="C37">
        <f t="shared" si="3"/>
        <v>-2.242649279208498E-2</v>
      </c>
    </row>
    <row r="38" spans="1:3">
      <c r="A38" s="2">
        <v>38</v>
      </c>
      <c r="B38">
        <f t="shared" si="2"/>
        <v>3.2300362499999999E-2</v>
      </c>
      <c r="C38">
        <f t="shared" si="3"/>
        <v>-2.1699596206874582E-2</v>
      </c>
    </row>
    <row r="39" spans="1:3">
      <c r="A39" s="2">
        <v>39</v>
      </c>
      <c r="B39">
        <f t="shared" si="2"/>
        <v>3.3028450300000005E-2</v>
      </c>
      <c r="C39">
        <f t="shared" si="3"/>
        <v>-2.0972783473919981E-2</v>
      </c>
    </row>
    <row r="40" spans="1:3">
      <c r="A40" s="2">
        <v>40</v>
      </c>
      <c r="B40">
        <f t="shared" si="2"/>
        <v>3.3756538100000004E-2</v>
      </c>
      <c r="C40">
        <f t="shared" si="3"/>
        <v>-2.0246054587281626E-2</v>
      </c>
    </row>
    <row r="41" spans="1:3">
      <c r="A41" s="2">
        <v>41</v>
      </c>
      <c r="B41">
        <f t="shared" si="2"/>
        <v>3.4484625900000003E-2</v>
      </c>
      <c r="C41">
        <f t="shared" si="3"/>
        <v>-1.9519409540630007E-2</v>
      </c>
    </row>
    <row r="42" spans="1:3">
      <c r="A42" s="2">
        <v>42</v>
      </c>
      <c r="B42">
        <f t="shared" si="2"/>
        <v>3.5212713700000002E-2</v>
      </c>
      <c r="C42">
        <f t="shared" si="3"/>
        <v>-1.879284832724578E-2</v>
      </c>
    </row>
    <row r="43" spans="1:3">
      <c r="A43" s="2">
        <v>43</v>
      </c>
      <c r="B43">
        <f t="shared" si="2"/>
        <v>3.5940801500000001E-2</v>
      </c>
      <c r="C43">
        <f t="shared" si="3"/>
        <v>-1.8066370940019935E-2</v>
      </c>
    </row>
    <row r="44" spans="1:3">
      <c r="A44" s="2">
        <v>44</v>
      </c>
      <c r="B44">
        <f t="shared" si="2"/>
        <v>3.66688893E-2</v>
      </c>
      <c r="C44">
        <f t="shared" si="3"/>
        <v>-1.7339977371454034E-2</v>
      </c>
    </row>
    <row r="45" spans="1:3">
      <c r="A45" s="2">
        <v>45</v>
      </c>
      <c r="B45">
        <f t="shared" si="2"/>
        <v>3.7396977099999999E-2</v>
      </c>
      <c r="C45">
        <f t="shared" si="3"/>
        <v>-1.6613667613660281E-2</v>
      </c>
    </row>
    <row r="46" spans="1:3">
      <c r="A46" s="2">
        <v>46</v>
      </c>
      <c r="B46">
        <f t="shared" si="2"/>
        <v>3.8125064899999998E-2</v>
      </c>
      <c r="C46">
        <f t="shared" si="3"/>
        <v>-1.5887441658361735E-2</v>
      </c>
    </row>
    <row r="47" spans="1:3">
      <c r="A47" s="2">
        <v>47</v>
      </c>
      <c r="B47">
        <f t="shared" si="2"/>
        <v>3.8853152699999997E-2</v>
      </c>
      <c r="C47">
        <f t="shared" si="3"/>
        <v>-1.5161299496892551E-2</v>
      </c>
    </row>
    <row r="48" spans="1:3">
      <c r="A48" s="2">
        <v>48</v>
      </c>
      <c r="B48">
        <f t="shared" si="2"/>
        <v>3.9581240500000003E-2</v>
      </c>
      <c r="C48">
        <f t="shared" si="3"/>
        <v>-1.4435241120198131E-2</v>
      </c>
    </row>
    <row r="49" spans="1:3">
      <c r="A49" s="2">
        <v>49</v>
      </c>
      <c r="B49">
        <f t="shared" si="2"/>
        <v>4.0309328300000002E-2</v>
      </c>
      <c r="C49">
        <f t="shared" si="3"/>
        <v>-1.370926651883534E-2</v>
      </c>
    </row>
    <row r="50" spans="1:3">
      <c r="A50" s="2">
        <v>50</v>
      </c>
      <c r="B50">
        <f t="shared" si="2"/>
        <v>4.1037416100000002E-2</v>
      </c>
      <c r="C50">
        <f t="shared" si="3"/>
        <v>-1.2983375682972753E-2</v>
      </c>
    </row>
    <row r="51" spans="1:3">
      <c r="A51" s="2">
        <v>51</v>
      </c>
      <c r="B51">
        <f t="shared" si="2"/>
        <v>4.1765503900000001E-2</v>
      </c>
      <c r="C51">
        <f t="shared" si="3"/>
        <v>-1.2257568602390863E-2</v>
      </c>
    </row>
    <row r="52" spans="1:3">
      <c r="A52" s="2">
        <v>52</v>
      </c>
      <c r="B52">
        <f t="shared" si="2"/>
        <v>4.24935917E-2</v>
      </c>
      <c r="C52">
        <f t="shared" si="3"/>
        <v>-1.1531845266482307E-2</v>
      </c>
    </row>
    <row r="53" spans="1:3">
      <c r="A53" s="2">
        <v>53</v>
      </c>
      <c r="B53">
        <f t="shared" si="2"/>
        <v>4.3221679499999999E-2</v>
      </c>
      <c r="C53">
        <f t="shared" si="3"/>
        <v>-1.0806205664252146E-2</v>
      </c>
    </row>
    <row r="54" spans="1:3">
      <c r="A54" s="2">
        <v>54</v>
      </c>
      <c r="B54">
        <f t="shared" si="2"/>
        <v>4.3949767299999998E-2</v>
      </c>
      <c r="C54">
        <f t="shared" si="3"/>
        <v>-1.0080649784318094E-2</v>
      </c>
    </row>
    <row r="55" spans="1:3">
      <c r="A55" s="2">
        <v>55</v>
      </c>
      <c r="B55">
        <f t="shared" si="2"/>
        <v>4.4677855100000004E-2</v>
      </c>
      <c r="C55">
        <f t="shared" si="3"/>
        <v>-9.3551776149107604E-3</v>
      </c>
    </row>
    <row r="56" spans="1:3">
      <c r="A56" s="2">
        <v>56</v>
      </c>
      <c r="B56">
        <f t="shared" si="2"/>
        <v>4.5405942900000003E-2</v>
      </c>
      <c r="C56">
        <f t="shared" si="3"/>
        <v>-8.6297891438740087E-3</v>
      </c>
    </row>
    <row r="57" spans="1:3">
      <c r="A57" s="2">
        <v>57</v>
      </c>
      <c r="B57">
        <f t="shared" si="2"/>
        <v>4.6134030700000002E-2</v>
      </c>
      <c r="C57">
        <f t="shared" si="3"/>
        <v>-7.9044843586651356E-3</v>
      </c>
    </row>
    <row r="58" spans="1:3">
      <c r="A58" s="2">
        <v>58</v>
      </c>
      <c r="B58">
        <f t="shared" si="2"/>
        <v>4.6862118500000001E-2</v>
      </c>
      <c r="C58">
        <f t="shared" si="3"/>
        <v>-7.1792632463552192E-3</v>
      </c>
    </row>
    <row r="59" spans="1:3">
      <c r="A59" s="2">
        <v>59</v>
      </c>
      <c r="B59">
        <f t="shared" si="2"/>
        <v>4.75902063E-2</v>
      </c>
      <c r="C59">
        <f t="shared" si="3"/>
        <v>-6.4541257936294102E-3</v>
      </c>
    </row>
    <row r="60" spans="1:3">
      <c r="A60" s="2">
        <v>60</v>
      </c>
      <c r="B60">
        <f t="shared" si="2"/>
        <v>4.8318294099999999E-2</v>
      </c>
      <c r="C60">
        <f t="shared" si="3"/>
        <v>-5.7290719867872444E-3</v>
      </c>
    </row>
    <row r="61" spans="1:3">
      <c r="A61" s="2">
        <v>61</v>
      </c>
      <c r="B61">
        <f t="shared" si="2"/>
        <v>4.9046381899999998E-2</v>
      </c>
      <c r="C61">
        <f t="shared" si="3"/>
        <v>-5.0041018117429337E-3</v>
      </c>
    </row>
    <row r="62" spans="1:3">
      <c r="A62" s="2">
        <v>62</v>
      </c>
      <c r="B62">
        <f t="shared" si="2"/>
        <v>4.9774469700000004E-2</v>
      </c>
      <c r="C62">
        <f t="shared" si="3"/>
        <v>-4.27921525402572E-3</v>
      </c>
    </row>
    <row r="63" spans="1:3">
      <c r="A63" s="2">
        <v>63</v>
      </c>
      <c r="B63">
        <f t="shared" si="2"/>
        <v>5.0502557500000003E-2</v>
      </c>
      <c r="C63">
        <f t="shared" si="3"/>
        <v>-3.5544122987802018E-3</v>
      </c>
    </row>
    <row r="64" spans="1:3">
      <c r="A64" s="2">
        <v>64</v>
      </c>
      <c r="B64">
        <f t="shared" si="2"/>
        <v>5.1230645300000002E-2</v>
      </c>
      <c r="C64">
        <f t="shared" si="3"/>
        <v>-2.8296929307666877E-3</v>
      </c>
    </row>
    <row r="65" spans="1:3">
      <c r="A65" s="2">
        <v>65</v>
      </c>
      <c r="B65">
        <f t="shared" ref="B65:B70" si="4">0.0053611139+(A65-1)*0.0007280878</f>
        <v>5.1958733100000001E-2</v>
      </c>
      <c r="C65">
        <f t="shared" ref="C65:C70" si="5">0+1*B65-0.0539317902738627*(1.00219298245614+(B65-0.0215966100421274)^2/0.340410549997032)^0.5</f>
        <v>-2.1050571343615224E-3</v>
      </c>
    </row>
    <row r="66" spans="1:3">
      <c r="A66" s="2">
        <v>66</v>
      </c>
      <c r="B66">
        <f t="shared" si="4"/>
        <v>5.26868209E-2</v>
      </c>
      <c r="C66">
        <f t="shared" si="5"/>
        <v>-1.3805048935574757E-3</v>
      </c>
    </row>
    <row r="67" spans="1:3">
      <c r="A67" s="2">
        <v>67</v>
      </c>
      <c r="B67">
        <f t="shared" si="4"/>
        <v>5.3414908699999999E-2</v>
      </c>
      <c r="C67">
        <f t="shared" si="5"/>
        <v>-6.5603619196408225E-4</v>
      </c>
    </row>
    <row r="68" spans="1:3">
      <c r="A68" s="2">
        <v>68</v>
      </c>
      <c r="B68">
        <f t="shared" si="4"/>
        <v>5.4142996499999999E-2</v>
      </c>
      <c r="C68">
        <f t="shared" si="5"/>
        <v>6.8348987191942101E-5</v>
      </c>
    </row>
    <row r="69" spans="1:3">
      <c r="A69" s="2">
        <v>69</v>
      </c>
      <c r="B69">
        <f t="shared" si="4"/>
        <v>5.4871084300000005E-2</v>
      </c>
      <c r="C69">
        <f t="shared" si="5"/>
        <v>7.9265066106636028E-4</v>
      </c>
    </row>
    <row r="70" spans="1:3">
      <c r="A70" s="2">
        <v>70</v>
      </c>
      <c r="B70">
        <f t="shared" si="4"/>
        <v>5.5599172100000004E-2</v>
      </c>
      <c r="C70">
        <f t="shared" si="5"/>
        <v>1.5168688471969421E-3</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enableFormatConditionsCalculation="0"/>
  <dimension ref="A1:C70"/>
  <sheetViews>
    <sheetView workbookViewId="0"/>
  </sheetViews>
  <sheetFormatPr baseColWidth="10" defaultRowHeight="15.75"/>
  <sheetData>
    <row r="1" spans="1:3">
      <c r="A1" s="2">
        <v>1</v>
      </c>
      <c r="B1">
        <f t="shared" ref="B1:B32" si="0">0.0055495536+(A1-1)*0.0007253568</f>
        <v>5.5495535999999998E-3</v>
      </c>
      <c r="C1">
        <f t="shared" ref="C1:C32" si="1">0+1*B1+0.0539317902738627*(1.00219298245614+(B1-0.0215966100421274)^2/0.340410549997032)^0.5</f>
        <v>5.9560819754185937E-2</v>
      </c>
    </row>
    <row r="2" spans="1:3">
      <c r="A2" s="2">
        <v>2</v>
      </c>
      <c r="B2">
        <f t="shared" si="0"/>
        <v>6.2749104E-3</v>
      </c>
      <c r="C2">
        <f t="shared" si="1"/>
        <v>6.0284376736442997E-2</v>
      </c>
    </row>
    <row r="3" spans="1:3">
      <c r="A3" s="2">
        <v>3</v>
      </c>
      <c r="B3">
        <f t="shared" si="0"/>
        <v>7.0002672000000002E-3</v>
      </c>
      <c r="C3">
        <f t="shared" si="1"/>
        <v>6.100801689914568E-2</v>
      </c>
    </row>
    <row r="4" spans="1:3">
      <c r="A4" s="2">
        <v>4</v>
      </c>
      <c r="B4">
        <f t="shared" si="0"/>
        <v>7.7256239999999995E-3</v>
      </c>
      <c r="C4">
        <f t="shared" si="1"/>
        <v>6.1731740250225903E-2</v>
      </c>
    </row>
    <row r="5" spans="1:3">
      <c r="A5" s="2">
        <v>5</v>
      </c>
      <c r="B5">
        <f t="shared" si="0"/>
        <v>8.4509808000000006E-3</v>
      </c>
      <c r="C5">
        <f t="shared" si="1"/>
        <v>6.2455546797232156E-2</v>
      </c>
    </row>
    <row r="6" spans="1:3">
      <c r="A6" s="2">
        <v>6</v>
      </c>
      <c r="B6">
        <f t="shared" si="0"/>
        <v>9.1763376000000008E-3</v>
      </c>
      <c r="C6">
        <f t="shared" si="1"/>
        <v>6.3179436547329285E-2</v>
      </c>
    </row>
    <row r="7" spans="1:3">
      <c r="A7" s="2">
        <v>7</v>
      </c>
      <c r="B7">
        <f t="shared" si="0"/>
        <v>9.9016943999999992E-3</v>
      </c>
      <c r="C7">
        <f t="shared" si="1"/>
        <v>6.3903409507298337E-2</v>
      </c>
    </row>
    <row r="8" spans="1:3">
      <c r="A8" s="2">
        <v>8</v>
      </c>
      <c r="B8">
        <f t="shared" si="0"/>
        <v>1.0627051199999999E-2</v>
      </c>
      <c r="C8">
        <f t="shared" si="1"/>
        <v>6.4627465683536459E-2</v>
      </c>
    </row>
    <row r="9" spans="1:3">
      <c r="A9" s="2">
        <v>9</v>
      </c>
      <c r="B9">
        <f t="shared" si="0"/>
        <v>1.1352408E-2</v>
      </c>
      <c r="C9">
        <f t="shared" si="1"/>
        <v>6.5351605082056688E-2</v>
      </c>
    </row>
    <row r="10" spans="1:3">
      <c r="A10" s="2">
        <v>10</v>
      </c>
      <c r="B10">
        <f t="shared" si="0"/>
        <v>1.20777648E-2</v>
      </c>
      <c r="C10">
        <f t="shared" si="1"/>
        <v>6.6075827708487814E-2</v>
      </c>
    </row>
    <row r="11" spans="1:3">
      <c r="A11" s="2">
        <v>11</v>
      </c>
      <c r="B11">
        <f t="shared" si="0"/>
        <v>1.28031216E-2</v>
      </c>
      <c r="C11">
        <f t="shared" si="1"/>
        <v>6.6800133568074321E-2</v>
      </c>
    </row>
    <row r="12" spans="1:3">
      <c r="A12" s="2">
        <v>12</v>
      </c>
      <c r="B12">
        <f t="shared" si="0"/>
        <v>1.35284784E-2</v>
      </c>
      <c r="C12">
        <f t="shared" si="1"/>
        <v>6.7524522665676129E-2</v>
      </c>
    </row>
    <row r="13" spans="1:3">
      <c r="A13" s="2">
        <v>13</v>
      </c>
      <c r="B13">
        <f t="shared" si="0"/>
        <v>1.4253835199999999E-2</v>
      </c>
      <c r="C13">
        <f t="shared" si="1"/>
        <v>6.824899500576867E-2</v>
      </c>
    </row>
    <row r="14" spans="1:3">
      <c r="A14" s="2">
        <v>14</v>
      </c>
      <c r="B14">
        <f t="shared" si="0"/>
        <v>1.4979191999999999E-2</v>
      </c>
      <c r="C14">
        <f t="shared" si="1"/>
        <v>6.8973550592442617E-2</v>
      </c>
    </row>
    <row r="15" spans="1:3">
      <c r="A15" s="2">
        <v>15</v>
      </c>
      <c r="B15">
        <f t="shared" si="0"/>
        <v>1.5704548799999999E-2</v>
      </c>
      <c r="C15">
        <f t="shared" si="1"/>
        <v>6.969818942940384E-2</v>
      </c>
    </row>
    <row r="16" spans="1:3">
      <c r="A16" s="2">
        <v>16</v>
      </c>
      <c r="B16">
        <f t="shared" si="0"/>
        <v>1.6429905599999999E-2</v>
      </c>
      <c r="C16">
        <f t="shared" si="1"/>
        <v>7.0422911519973402E-2</v>
      </c>
    </row>
    <row r="17" spans="1:3">
      <c r="A17" s="2">
        <v>17</v>
      </c>
      <c r="B17">
        <f t="shared" si="0"/>
        <v>1.7155262399999999E-2</v>
      </c>
      <c r="C17">
        <f t="shared" si="1"/>
        <v>7.1147716867087318E-2</v>
      </c>
    </row>
    <row r="18" spans="1:3">
      <c r="A18" s="2">
        <v>18</v>
      </c>
      <c r="B18">
        <f t="shared" si="0"/>
        <v>1.78806192E-2</v>
      </c>
      <c r="C18">
        <f t="shared" si="1"/>
        <v>7.1872605473296686E-2</v>
      </c>
    </row>
    <row r="19" spans="1:3">
      <c r="A19" s="2">
        <v>19</v>
      </c>
      <c r="B19">
        <f t="shared" si="0"/>
        <v>1.8605976E-2</v>
      </c>
      <c r="C19">
        <f t="shared" si="1"/>
        <v>7.2597577340767452E-2</v>
      </c>
    </row>
    <row r="20" spans="1:3">
      <c r="A20" s="2">
        <v>20</v>
      </c>
      <c r="B20">
        <f t="shared" si="0"/>
        <v>1.93313328E-2</v>
      </c>
      <c r="C20">
        <f t="shared" si="1"/>
        <v>7.3322632471280458E-2</v>
      </c>
    </row>
    <row r="21" spans="1:3">
      <c r="A21" s="2">
        <v>21</v>
      </c>
      <c r="B21">
        <f t="shared" si="0"/>
        <v>2.00566896E-2</v>
      </c>
      <c r="C21">
        <f t="shared" si="1"/>
        <v>7.4047770866231377E-2</v>
      </c>
    </row>
    <row r="22" spans="1:3">
      <c r="A22" s="2">
        <v>22</v>
      </c>
      <c r="B22">
        <f t="shared" si="0"/>
        <v>2.0782046399999997E-2</v>
      </c>
      <c r="C22">
        <f t="shared" si="1"/>
        <v>7.477299252663068E-2</v>
      </c>
    </row>
    <row r="23" spans="1:3">
      <c r="A23" s="2">
        <v>23</v>
      </c>
      <c r="B23">
        <f t="shared" si="0"/>
        <v>2.1507403200000001E-2</v>
      </c>
      <c r="C23">
        <f t="shared" si="1"/>
        <v>7.5498297453103616E-2</v>
      </c>
    </row>
    <row r="24" spans="1:3">
      <c r="A24" s="2">
        <v>24</v>
      </c>
      <c r="B24">
        <f t="shared" si="0"/>
        <v>2.2232760000000001E-2</v>
      </c>
      <c r="C24">
        <f t="shared" si="1"/>
        <v>7.622368564589016E-2</v>
      </c>
    </row>
    <row r="25" spans="1:3">
      <c r="A25" s="2">
        <v>25</v>
      </c>
      <c r="B25">
        <f t="shared" si="0"/>
        <v>2.2958116799999997E-2</v>
      </c>
      <c r="C25">
        <f t="shared" si="1"/>
        <v>7.6949157104845095E-2</v>
      </c>
    </row>
    <row r="26" spans="1:3">
      <c r="A26" s="2">
        <v>26</v>
      </c>
      <c r="B26">
        <f t="shared" si="0"/>
        <v>2.3683473599999998E-2</v>
      </c>
      <c r="C26">
        <f t="shared" si="1"/>
        <v>7.7674711829437915E-2</v>
      </c>
    </row>
    <row r="27" spans="1:3">
      <c r="A27" s="2">
        <v>27</v>
      </c>
      <c r="B27">
        <f t="shared" si="0"/>
        <v>2.4408830399999998E-2</v>
      </c>
      <c r="C27">
        <f t="shared" si="1"/>
        <v>7.8400349818752935E-2</v>
      </c>
    </row>
    <row r="28" spans="1:3">
      <c r="A28" s="2">
        <v>28</v>
      </c>
      <c r="B28">
        <f t="shared" si="0"/>
        <v>2.5134187199999998E-2</v>
      </c>
      <c r="C28">
        <f t="shared" si="1"/>
        <v>7.9126071071489168E-2</v>
      </c>
    </row>
    <row r="29" spans="1:3">
      <c r="A29" s="2">
        <v>29</v>
      </c>
      <c r="B29">
        <f t="shared" si="0"/>
        <v>2.5859543999999998E-2</v>
      </c>
      <c r="C29">
        <f t="shared" si="1"/>
        <v>7.9851875585960574E-2</v>
      </c>
    </row>
    <row r="30" spans="1:3">
      <c r="A30" s="2">
        <v>30</v>
      </c>
      <c r="B30">
        <f t="shared" si="0"/>
        <v>2.6584900799999998E-2</v>
      </c>
      <c r="C30">
        <f t="shared" si="1"/>
        <v>8.057776336009588E-2</v>
      </c>
    </row>
    <row r="31" spans="1:3">
      <c r="A31" s="2">
        <v>31</v>
      </c>
      <c r="B31">
        <f t="shared" si="0"/>
        <v>2.7310257599999999E-2</v>
      </c>
      <c r="C31">
        <f t="shared" si="1"/>
        <v>8.1303734391438745E-2</v>
      </c>
    </row>
    <row r="32" spans="1:3">
      <c r="A32" s="2">
        <v>32</v>
      </c>
      <c r="B32">
        <f t="shared" si="0"/>
        <v>2.8035614399999999E-2</v>
      </c>
      <c r="C32">
        <f t="shared" si="1"/>
        <v>8.2029788677147802E-2</v>
      </c>
    </row>
    <row r="33" spans="1:3">
      <c r="A33" s="2">
        <v>33</v>
      </c>
      <c r="B33">
        <f t="shared" ref="B33:B64" si="2">0.0055495536+(A33-1)*0.0007253568</f>
        <v>2.8760971199999999E-2</v>
      </c>
      <c r="C33">
        <f t="shared" ref="C33:C64" si="3">0+1*B33+0.0539317902738627*(1.00219298245614+(B33-0.0215966100421274)^2/0.340410549997032)^0.5</f>
        <v>8.2755926213996703E-2</v>
      </c>
    </row>
    <row r="34" spans="1:3">
      <c r="A34" s="2">
        <v>34</v>
      </c>
      <c r="B34">
        <f t="shared" si="2"/>
        <v>2.9486327999999999E-2</v>
      </c>
      <c r="C34">
        <f t="shared" si="3"/>
        <v>8.3482146998374224E-2</v>
      </c>
    </row>
    <row r="35" spans="1:3">
      <c r="A35" s="2">
        <v>35</v>
      </c>
      <c r="B35">
        <f t="shared" si="2"/>
        <v>3.0211684799999999E-2</v>
      </c>
      <c r="C35">
        <f t="shared" si="3"/>
        <v>8.4208451026284298E-2</v>
      </c>
    </row>
    <row r="36" spans="1:3">
      <c r="A36" s="2">
        <v>36</v>
      </c>
      <c r="B36">
        <f t="shared" si="2"/>
        <v>3.09370416E-2</v>
      </c>
      <c r="C36">
        <f t="shared" si="3"/>
        <v>8.4934838293346193E-2</v>
      </c>
    </row>
    <row r="37" spans="1:3">
      <c r="A37" s="2">
        <v>37</v>
      </c>
      <c r="B37">
        <f t="shared" si="2"/>
        <v>3.16623984E-2</v>
      </c>
      <c r="C37">
        <f t="shared" si="3"/>
        <v>8.5661308794794472E-2</v>
      </c>
    </row>
    <row r="38" spans="1:3">
      <c r="A38" s="2">
        <v>38</v>
      </c>
      <c r="B38">
        <f t="shared" si="2"/>
        <v>3.23877552E-2</v>
      </c>
      <c r="C38">
        <f t="shared" si="3"/>
        <v>8.6387862525479281E-2</v>
      </c>
    </row>
    <row r="39" spans="1:3">
      <c r="A39" s="2">
        <v>39</v>
      </c>
      <c r="B39">
        <f t="shared" si="2"/>
        <v>3.3113112E-2</v>
      </c>
      <c r="C39">
        <f t="shared" si="3"/>
        <v>8.7114499479866325E-2</v>
      </c>
    </row>
    <row r="40" spans="1:3">
      <c r="A40" s="2">
        <v>40</v>
      </c>
      <c r="B40">
        <f t="shared" si="2"/>
        <v>3.38384688E-2</v>
      </c>
      <c r="C40">
        <f t="shared" si="3"/>
        <v>8.7841219652037061E-2</v>
      </c>
    </row>
    <row r="41" spans="1:3">
      <c r="A41" s="2">
        <v>41</v>
      </c>
      <c r="B41">
        <f t="shared" si="2"/>
        <v>3.45638256E-2</v>
      </c>
      <c r="C41">
        <f t="shared" si="3"/>
        <v>8.8568023035688836E-2</v>
      </c>
    </row>
    <row r="42" spans="1:3">
      <c r="A42" s="2">
        <v>42</v>
      </c>
      <c r="B42">
        <f t="shared" si="2"/>
        <v>3.5289182399999994E-2</v>
      </c>
      <c r="C42">
        <f t="shared" si="3"/>
        <v>8.9294909624134972E-2</v>
      </c>
    </row>
    <row r="43" spans="1:3">
      <c r="A43" s="2">
        <v>43</v>
      </c>
      <c r="B43">
        <f t="shared" si="2"/>
        <v>3.6014539200000001E-2</v>
      </c>
      <c r="C43">
        <f t="shared" si="3"/>
        <v>9.0021879410305039E-2</v>
      </c>
    </row>
    <row r="44" spans="1:3">
      <c r="A44" s="2">
        <v>44</v>
      </c>
      <c r="B44">
        <f t="shared" si="2"/>
        <v>3.6739895999999994E-2</v>
      </c>
      <c r="C44">
        <f t="shared" si="3"/>
        <v>9.074893238674489E-2</v>
      </c>
    </row>
    <row r="45" spans="1:3">
      <c r="A45" s="2">
        <v>45</v>
      </c>
      <c r="B45">
        <f t="shared" si="2"/>
        <v>3.7465252800000001E-2</v>
      </c>
      <c r="C45">
        <f t="shared" si="3"/>
        <v>9.1476068545616906E-2</v>
      </c>
    </row>
    <row r="46" spans="1:3">
      <c r="A46" s="2">
        <v>46</v>
      </c>
      <c r="B46">
        <f t="shared" si="2"/>
        <v>3.8190609600000001E-2</v>
      </c>
      <c r="C46">
        <f t="shared" si="3"/>
        <v>9.2203287878700163E-2</v>
      </c>
    </row>
    <row r="47" spans="1:3">
      <c r="A47" s="2">
        <v>47</v>
      </c>
      <c r="B47">
        <f t="shared" si="2"/>
        <v>3.8915966400000002E-2</v>
      </c>
      <c r="C47">
        <f t="shared" si="3"/>
        <v>9.293059037739064E-2</v>
      </c>
    </row>
    <row r="48" spans="1:3">
      <c r="A48" s="2">
        <v>48</v>
      </c>
      <c r="B48">
        <f t="shared" si="2"/>
        <v>3.9641323200000002E-2</v>
      </c>
      <c r="C48">
        <f t="shared" si="3"/>
        <v>9.3657976032701332E-2</v>
      </c>
    </row>
    <row r="49" spans="1:3">
      <c r="A49" s="2">
        <v>49</v>
      </c>
      <c r="B49">
        <f t="shared" si="2"/>
        <v>4.0366679999999995E-2</v>
      </c>
      <c r="C49">
        <f t="shared" si="3"/>
        <v>9.4385444835262594E-2</v>
      </c>
    </row>
    <row r="50" spans="1:3">
      <c r="A50" s="2">
        <v>50</v>
      </c>
      <c r="B50">
        <f t="shared" si="2"/>
        <v>4.1092036799999995E-2</v>
      </c>
      <c r="C50">
        <f t="shared" si="3"/>
        <v>9.5112996775322228E-2</v>
      </c>
    </row>
    <row r="51" spans="1:3">
      <c r="A51" s="2">
        <v>51</v>
      </c>
      <c r="B51">
        <f t="shared" si="2"/>
        <v>4.1817393599999995E-2</v>
      </c>
      <c r="C51">
        <f t="shared" si="3"/>
        <v>9.5840631842745855E-2</v>
      </c>
    </row>
    <row r="52" spans="1:3">
      <c r="A52" s="2">
        <v>52</v>
      </c>
      <c r="B52">
        <f t="shared" si="2"/>
        <v>4.2542750399999996E-2</v>
      </c>
      <c r="C52">
        <f t="shared" si="3"/>
        <v>9.6568350027016914E-2</v>
      </c>
    </row>
    <row r="53" spans="1:3">
      <c r="A53" s="2">
        <v>53</v>
      </c>
      <c r="B53">
        <f t="shared" si="2"/>
        <v>4.3268107199999996E-2</v>
      </c>
      <c r="C53">
        <f t="shared" si="3"/>
        <v>9.7296151317237178E-2</v>
      </c>
    </row>
    <row r="54" spans="1:3">
      <c r="A54" s="2">
        <v>54</v>
      </c>
      <c r="B54">
        <f t="shared" si="2"/>
        <v>4.3993463999999996E-2</v>
      </c>
      <c r="C54">
        <f t="shared" si="3"/>
        <v>9.8024035702126838E-2</v>
      </c>
    </row>
    <row r="55" spans="1:3">
      <c r="A55" s="2">
        <v>55</v>
      </c>
      <c r="B55">
        <f t="shared" si="2"/>
        <v>4.4718820799999996E-2</v>
      </c>
      <c r="C55">
        <f t="shared" si="3"/>
        <v>9.8752003170024749E-2</v>
      </c>
    </row>
    <row r="56" spans="1:3">
      <c r="A56" s="2">
        <v>56</v>
      </c>
      <c r="B56">
        <f t="shared" si="2"/>
        <v>4.5444177599999996E-2</v>
      </c>
      <c r="C56">
        <f t="shared" si="3"/>
        <v>9.9480053708888835E-2</v>
      </c>
    </row>
    <row r="57" spans="1:3">
      <c r="A57" s="2">
        <v>57</v>
      </c>
      <c r="B57">
        <f t="shared" si="2"/>
        <v>4.6169534399999997E-2</v>
      </c>
      <c r="C57">
        <f t="shared" si="3"/>
        <v>0.10020818730629621</v>
      </c>
    </row>
    <row r="58" spans="1:3">
      <c r="A58" s="2">
        <v>58</v>
      </c>
      <c r="B58">
        <f t="shared" si="2"/>
        <v>4.6894891199999997E-2</v>
      </c>
      <c r="C58">
        <f t="shared" si="3"/>
        <v>0.10093640394944357</v>
      </c>
    </row>
    <row r="59" spans="1:3">
      <c r="A59" s="2">
        <v>59</v>
      </c>
      <c r="B59">
        <f t="shared" si="2"/>
        <v>4.7620247999999997E-2</v>
      </c>
      <c r="C59">
        <f t="shared" si="3"/>
        <v>0.10166470362514746</v>
      </c>
    </row>
    <row r="60" spans="1:3">
      <c r="A60" s="2">
        <v>60</v>
      </c>
      <c r="B60">
        <f t="shared" si="2"/>
        <v>4.8345604799999997E-2</v>
      </c>
      <c r="C60">
        <f t="shared" si="3"/>
        <v>0.10239308631984455</v>
      </c>
    </row>
    <row r="61" spans="1:3">
      <c r="A61" s="2">
        <v>61</v>
      </c>
      <c r="B61">
        <f t="shared" si="2"/>
        <v>4.9070961599999997E-2</v>
      </c>
      <c r="C61">
        <f t="shared" si="3"/>
        <v>0.10312155201959197</v>
      </c>
    </row>
    <row r="62" spans="1:3">
      <c r="A62" s="2">
        <v>62</v>
      </c>
      <c r="B62">
        <f t="shared" si="2"/>
        <v>4.9796318399999998E-2</v>
      </c>
      <c r="C62">
        <f t="shared" si="3"/>
        <v>0.10385010071006763</v>
      </c>
    </row>
    <row r="63" spans="1:3">
      <c r="A63" s="2">
        <v>63</v>
      </c>
      <c r="B63">
        <f t="shared" si="2"/>
        <v>5.0521675199999998E-2</v>
      </c>
      <c r="C63">
        <f t="shared" si="3"/>
        <v>0.10457873237657053</v>
      </c>
    </row>
    <row r="64" spans="1:3">
      <c r="A64" s="2">
        <v>64</v>
      </c>
      <c r="B64">
        <f t="shared" si="2"/>
        <v>5.1247031999999998E-2</v>
      </c>
      <c r="C64">
        <f t="shared" si="3"/>
        <v>0.10530744700402117</v>
      </c>
    </row>
    <row r="65" spans="1:3">
      <c r="A65" s="2">
        <v>65</v>
      </c>
      <c r="B65">
        <f t="shared" ref="B65:B70" si="4">0.0055495536+(A65-1)*0.0007253568</f>
        <v>5.1972388799999998E-2</v>
      </c>
      <c r="C65">
        <f t="shared" ref="C65:C70" si="5">0+1*B65+0.0539317902738627*(1.00219298245614+(B65-0.0215966100421274)^2/0.340410549997032)^0.5</f>
        <v>0.10603624457696176</v>
      </c>
    </row>
    <row r="66" spans="1:3">
      <c r="A66" s="2">
        <v>66</v>
      </c>
      <c r="B66">
        <f t="shared" si="4"/>
        <v>5.2697745599999998E-2</v>
      </c>
      <c r="C66">
        <f t="shared" si="5"/>
        <v>0.1067651250795567</v>
      </c>
    </row>
    <row r="67" spans="1:3">
      <c r="A67" s="2">
        <v>67</v>
      </c>
      <c r="B67">
        <f t="shared" si="4"/>
        <v>5.3423102399999998E-2</v>
      </c>
      <c r="C67">
        <f t="shared" si="5"/>
        <v>0.10749408849559292</v>
      </c>
    </row>
    <row r="68" spans="1:3">
      <c r="A68" s="2">
        <v>68</v>
      </c>
      <c r="B68">
        <f t="shared" si="4"/>
        <v>5.4148459199999999E-2</v>
      </c>
      <c r="C68">
        <f t="shared" si="5"/>
        <v>0.10822313480848014</v>
      </c>
    </row>
    <row r="69" spans="1:3">
      <c r="A69" s="2">
        <v>69</v>
      </c>
      <c r="B69">
        <f t="shared" si="4"/>
        <v>5.4873815999999999E-2</v>
      </c>
      <c r="C69">
        <f t="shared" si="5"/>
        <v>0.10895226400125146</v>
      </c>
    </row>
    <row r="70" spans="1:3">
      <c r="A70" s="2">
        <v>70</v>
      </c>
      <c r="B70">
        <f t="shared" si="4"/>
        <v>5.5599172799999999E-2</v>
      </c>
      <c r="C70">
        <f t="shared" si="5"/>
        <v>0.10968147605656352</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enableFormatConditionsCalculation="0"/>
  <dimension ref="A1:C70"/>
  <sheetViews>
    <sheetView workbookViewId="0"/>
  </sheetViews>
  <sheetFormatPr baseColWidth="10" defaultRowHeight="15.75"/>
  <sheetData>
    <row r="1" spans="1:3">
      <c r="A1" s="2">
        <v>1</v>
      </c>
      <c r="B1">
        <f t="shared" ref="B1:B32" si="0">-6.555+(A1-1)*1.6095652174</f>
        <v>-6.5549999999999997</v>
      </c>
      <c r="C1">
        <f t="shared" ref="C1:C32" si="1">0.00728264805748969+0.000343867553260431*B1-0.0552205200885514*(0.00219298245614035+(B1-41.6263815789474)^2/246711.395729605)^0.5</f>
        <v>-9.1948736179291689E-4</v>
      </c>
    </row>
    <row r="2" spans="1:3">
      <c r="A2" s="2">
        <v>2</v>
      </c>
      <c r="B2">
        <f t="shared" si="0"/>
        <v>-4.9454347825999996</v>
      </c>
      <c r="C2">
        <f t="shared" si="1"/>
        <v>-2.0538588518138282E-4</v>
      </c>
    </row>
    <row r="3" spans="1:3">
      <c r="A3" s="2">
        <v>3</v>
      </c>
      <c r="B3">
        <f t="shared" si="0"/>
        <v>-3.3358695651999999</v>
      </c>
      <c r="C3">
        <f t="shared" si="1"/>
        <v>5.0761020831915134E-4</v>
      </c>
    </row>
    <row r="4" spans="1:3">
      <c r="A4" s="2">
        <v>4</v>
      </c>
      <c r="B4">
        <f t="shared" si="0"/>
        <v>-1.7263043478000002</v>
      </c>
      <c r="C4">
        <f t="shared" si="1"/>
        <v>1.2194042040181985E-3</v>
      </c>
    </row>
    <row r="5" spans="1:3">
      <c r="A5" s="2">
        <v>5</v>
      </c>
      <c r="B5">
        <f t="shared" si="0"/>
        <v>-0.11673913040000006</v>
      </c>
      <c r="C5">
        <f t="shared" si="1"/>
        <v>1.9298886327645641E-3</v>
      </c>
    </row>
    <row r="6" spans="1:3">
      <c r="A6" s="2">
        <v>6</v>
      </c>
      <c r="B6">
        <f t="shared" si="0"/>
        <v>1.4928260869999992</v>
      </c>
      <c r="C6">
        <f t="shared" si="1"/>
        <v>2.6389438830091575E-3</v>
      </c>
    </row>
    <row r="7" spans="1:3">
      <c r="A7" s="2">
        <v>7</v>
      </c>
      <c r="B7">
        <f t="shared" si="0"/>
        <v>3.1023913043999993</v>
      </c>
      <c r="C7">
        <f t="shared" si="1"/>
        <v>3.3464366243522769E-3</v>
      </c>
    </row>
    <row r="8" spans="1:3">
      <c r="A8" s="2">
        <v>8</v>
      </c>
      <c r="B8">
        <f t="shared" si="0"/>
        <v>4.7119565217999995</v>
      </c>
      <c r="C8">
        <f t="shared" si="1"/>
        <v>4.052218020551196E-3</v>
      </c>
    </row>
    <row r="9" spans="1:3">
      <c r="A9" s="2">
        <v>9</v>
      </c>
      <c r="B9">
        <f t="shared" si="0"/>
        <v>6.3215217391999996</v>
      </c>
      <c r="C9">
        <f t="shared" si="1"/>
        <v>4.7561217098964978E-3</v>
      </c>
    </row>
    <row r="10" spans="1:3">
      <c r="A10" s="2">
        <v>10</v>
      </c>
      <c r="B10">
        <f t="shared" si="0"/>
        <v>7.9310869565999997</v>
      </c>
      <c r="C10">
        <f t="shared" si="1"/>
        <v>5.4579615323241759E-3</v>
      </c>
    </row>
    <row r="11" spans="1:3">
      <c r="A11" s="2">
        <v>11</v>
      </c>
      <c r="B11">
        <f t="shared" si="0"/>
        <v>9.5406521739999981</v>
      </c>
      <c r="C11">
        <f t="shared" si="1"/>
        <v>6.1575289864869544E-3</v>
      </c>
    </row>
    <row r="12" spans="1:3">
      <c r="A12" s="2">
        <v>12</v>
      </c>
      <c r="B12">
        <f t="shared" si="0"/>
        <v>11.150217391399998</v>
      </c>
      <c r="C12">
        <f t="shared" si="1"/>
        <v>6.8545904074905194E-3</v>
      </c>
    </row>
    <row r="13" spans="1:3">
      <c r="A13" s="2">
        <v>13</v>
      </c>
      <c r="B13">
        <f t="shared" si="0"/>
        <v>12.759782608799998</v>
      </c>
      <c r="C13">
        <f t="shared" si="1"/>
        <v>7.5488838687961654E-3</v>
      </c>
    </row>
    <row r="14" spans="1:3">
      <c r="A14" s="2">
        <v>14</v>
      </c>
      <c r="B14">
        <f t="shared" si="0"/>
        <v>14.369347826199999</v>
      </c>
      <c r="C14">
        <f t="shared" si="1"/>
        <v>8.2401158321506497E-3</v>
      </c>
    </row>
    <row r="15" spans="1:3">
      <c r="A15" s="2">
        <v>15</v>
      </c>
      <c r="B15">
        <f t="shared" si="0"/>
        <v>15.978913043599999</v>
      </c>
      <c r="C15">
        <f t="shared" si="1"/>
        <v>8.9279576002131052E-3</v>
      </c>
    </row>
    <row r="16" spans="1:3">
      <c r="A16" s="2">
        <v>16</v>
      </c>
      <c r="B16">
        <f t="shared" si="0"/>
        <v>17.588478260999999</v>
      </c>
      <c r="C16">
        <f t="shared" si="1"/>
        <v>9.6120416713155622E-3</v>
      </c>
    </row>
    <row r="17" spans="1:3">
      <c r="A17" s="2">
        <v>17</v>
      </c>
      <c r="B17">
        <f t="shared" si="0"/>
        <v>19.198043478399999</v>
      </c>
      <c r="C17">
        <f t="shared" si="1"/>
        <v>1.0291958158440482E-2</v>
      </c>
    </row>
    <row r="18" spans="1:3">
      <c r="A18" s="2">
        <v>18</v>
      </c>
      <c r="B18">
        <f t="shared" si="0"/>
        <v>20.807608695799999</v>
      </c>
      <c r="C18">
        <f t="shared" si="1"/>
        <v>1.0967251518796912E-2</v>
      </c>
    </row>
    <row r="19" spans="1:3">
      <c r="A19" s="2">
        <v>19</v>
      </c>
      <c r="B19">
        <f t="shared" si="0"/>
        <v>22.417173913199999</v>
      </c>
      <c r="C19">
        <f t="shared" si="1"/>
        <v>1.1637417948783129E-2</v>
      </c>
    </row>
    <row r="20" spans="1:3">
      <c r="A20" s="2">
        <v>20</v>
      </c>
      <c r="B20">
        <f t="shared" si="0"/>
        <v>24.026739130599999</v>
      </c>
      <c r="C20">
        <f t="shared" si="1"/>
        <v>1.2301903930723982E-2</v>
      </c>
    </row>
    <row r="21" spans="1:3">
      <c r="A21" s="2">
        <v>21</v>
      </c>
      <c r="B21">
        <f t="shared" si="0"/>
        <v>25.636304347999996</v>
      </c>
      <c r="C21">
        <f t="shared" si="1"/>
        <v>1.2960106565082428E-2</v>
      </c>
    </row>
    <row r="22" spans="1:3">
      <c r="A22" s="2">
        <v>22</v>
      </c>
      <c r="B22">
        <f t="shared" si="0"/>
        <v>27.2458695654</v>
      </c>
      <c r="C22">
        <f t="shared" si="1"/>
        <v>1.3611376466479917E-2</v>
      </c>
    </row>
    <row r="23" spans="1:3">
      <c r="A23" s="2">
        <v>23</v>
      </c>
      <c r="B23">
        <f t="shared" si="0"/>
        <v>28.855434782799996</v>
      </c>
      <c r="C23">
        <f t="shared" si="1"/>
        <v>1.425502410975427E-2</v>
      </c>
    </row>
    <row r="24" spans="1:3">
      <c r="A24" s="2">
        <v>24</v>
      </c>
      <c r="B24">
        <f t="shared" si="0"/>
        <v>30.4650000002</v>
      </c>
      <c r="C24">
        <f t="shared" si="1"/>
        <v>1.4890330530454386E-2</v>
      </c>
    </row>
    <row r="25" spans="1:3">
      <c r="A25" s="2">
        <v>25</v>
      </c>
      <c r="B25">
        <f t="shared" si="0"/>
        <v>32.074565217599996</v>
      </c>
      <c r="C25">
        <f t="shared" si="1"/>
        <v>1.5516563142769583E-2</v>
      </c>
    </row>
    <row r="26" spans="1:3">
      <c r="A26" s="2">
        <v>26</v>
      </c>
      <c r="B26">
        <f t="shared" si="0"/>
        <v>33.684130435</v>
      </c>
      <c r="C26">
        <f t="shared" si="1"/>
        <v>1.6132997062829321E-2</v>
      </c>
    </row>
    <row r="27" spans="1:3">
      <c r="A27" s="2">
        <v>27</v>
      </c>
      <c r="B27">
        <f t="shared" si="0"/>
        <v>35.293695652399997</v>
      </c>
      <c r="C27">
        <f t="shared" si="1"/>
        <v>1.6738941666053379E-2</v>
      </c>
    </row>
    <row r="28" spans="1:3">
      <c r="A28" s="2">
        <v>28</v>
      </c>
      <c r="B28">
        <f t="shared" si="0"/>
        <v>36.9032608698</v>
      </c>
      <c r="C28">
        <f t="shared" si="1"/>
        <v>1.7333771178783958E-2</v>
      </c>
    </row>
    <row r="29" spans="1:3">
      <c r="A29" s="2">
        <v>29</v>
      </c>
      <c r="B29">
        <f t="shared" si="0"/>
        <v>38.512826087199997</v>
      </c>
      <c r="C29">
        <f t="shared" si="1"/>
        <v>1.7916957030381243E-2</v>
      </c>
    </row>
    <row r="30" spans="1:3">
      <c r="A30" s="2">
        <v>30</v>
      </c>
      <c r="B30">
        <f t="shared" si="0"/>
        <v>40.122391304600001</v>
      </c>
      <c r="C30">
        <f t="shared" si="1"/>
        <v>1.8488098720866378E-2</v>
      </c>
    </row>
    <row r="31" spans="1:3">
      <c r="A31" s="2">
        <v>31</v>
      </c>
      <c r="B31">
        <f t="shared" si="0"/>
        <v>41.731956521999997</v>
      </c>
      <c r="C31">
        <f t="shared" si="1"/>
        <v>1.9046949421456055E-2</v>
      </c>
    </row>
    <row r="32" spans="1:3">
      <c r="A32" s="2">
        <v>32</v>
      </c>
      <c r="B32">
        <f t="shared" si="0"/>
        <v>43.341521739400001</v>
      </c>
      <c r="C32">
        <f t="shared" si="1"/>
        <v>1.9593432718318451E-2</v>
      </c>
    </row>
    <row r="33" spans="1:3">
      <c r="A33" s="2">
        <v>33</v>
      </c>
      <c r="B33">
        <f t="shared" ref="B33:B64" si="2">-6.555+(A33-1)*1.6095652174</f>
        <v>44.951086956799998</v>
      </c>
      <c r="C33">
        <f t="shared" ref="C33:C64" si="3">0.00728264805748969+0.000343867553260431*B33-0.0552205200885514*(0.00219298245614035+(B33-41.6263815789474)^2/246711.395729605)^0.5</f>
        <v>2.0127647946987581E-2</v>
      </c>
    </row>
    <row r="34" spans="1:3">
      <c r="A34" s="2">
        <v>34</v>
      </c>
      <c r="B34">
        <f t="shared" si="2"/>
        <v>46.560652174199994</v>
      </c>
      <c r="C34">
        <f t="shared" si="3"/>
        <v>2.0649863271742518E-2</v>
      </c>
    </row>
    <row r="35" spans="1:3">
      <c r="A35" s="2">
        <v>35</v>
      </c>
      <c r="B35">
        <f t="shared" si="2"/>
        <v>48.170217391599998</v>
      </c>
      <c r="C35">
        <f t="shared" si="3"/>
        <v>2.116049760413061E-2</v>
      </c>
    </row>
    <row r="36" spans="1:3">
      <c r="A36" s="2">
        <v>36</v>
      </c>
      <c r="B36">
        <f t="shared" si="2"/>
        <v>49.779782608999994</v>
      </c>
      <c r="C36">
        <f t="shared" si="3"/>
        <v>2.1660094094229629E-2</v>
      </c>
    </row>
    <row r="37" spans="1:3">
      <c r="A37" s="2">
        <v>37</v>
      </c>
      <c r="B37">
        <f t="shared" si="2"/>
        <v>51.389347826399998</v>
      </c>
      <c r="C37">
        <f t="shared" si="3"/>
        <v>2.2149288857955925E-2</v>
      </c>
    </row>
    <row r="38" spans="1:3">
      <c r="A38" s="2">
        <v>38</v>
      </c>
      <c r="B38">
        <f t="shared" si="2"/>
        <v>52.998913043799995</v>
      </c>
      <c r="C38">
        <f t="shared" si="3"/>
        <v>2.2628778688990971E-2</v>
      </c>
    </row>
    <row r="39" spans="1:3">
      <c r="A39" s="2">
        <v>39</v>
      </c>
      <c r="B39">
        <f t="shared" si="2"/>
        <v>54.608478261199998</v>
      </c>
      <c r="C39">
        <f t="shared" si="3"/>
        <v>2.3099290890153917E-2</v>
      </c>
    </row>
    <row r="40" spans="1:3">
      <c r="A40" s="2">
        <v>40</v>
      </c>
      <c r="B40">
        <f t="shared" si="2"/>
        <v>56.218043478599995</v>
      </c>
      <c r="C40">
        <f t="shared" si="3"/>
        <v>2.3561557356507175E-2</v>
      </c>
    </row>
    <row r="41" spans="1:3">
      <c r="A41" s="2">
        <v>41</v>
      </c>
      <c r="B41">
        <f t="shared" si="2"/>
        <v>57.827608695999992</v>
      </c>
      <c r="C41">
        <f t="shared" si="3"/>
        <v>2.401629397593396E-2</v>
      </c>
    </row>
    <row r="42" spans="1:3">
      <c r="A42" s="2">
        <v>42</v>
      </c>
      <c r="B42">
        <f t="shared" si="2"/>
        <v>59.437173913399995</v>
      </c>
      <c r="C42">
        <f t="shared" si="3"/>
        <v>2.4464185515431249E-2</v>
      </c>
    </row>
    <row r="43" spans="1:3">
      <c r="A43" s="2">
        <v>43</v>
      </c>
      <c r="B43">
        <f t="shared" si="2"/>
        <v>61.046739130799999</v>
      </c>
      <c r="C43">
        <f t="shared" si="3"/>
        <v>2.4905875540413288E-2</v>
      </c>
    </row>
    <row r="44" spans="1:3">
      <c r="A44" s="2">
        <v>44</v>
      </c>
      <c r="B44">
        <f t="shared" si="2"/>
        <v>62.656304348200003</v>
      </c>
      <c r="C44">
        <f t="shared" si="3"/>
        <v>2.5341960573670677E-2</v>
      </c>
    </row>
    <row r="45" spans="1:3">
      <c r="A45" s="2">
        <v>45</v>
      </c>
      <c r="B45">
        <f t="shared" si="2"/>
        <v>64.265869565599985</v>
      </c>
      <c r="C45">
        <f t="shared" si="3"/>
        <v>2.5772987584501562E-2</v>
      </c>
    </row>
    <row r="46" spans="1:3">
      <c r="A46" s="2">
        <v>46</v>
      </c>
      <c r="B46">
        <f t="shared" si="2"/>
        <v>65.875434783000003</v>
      </c>
      <c r="C46">
        <f t="shared" si="3"/>
        <v>2.619945393215992E-2</v>
      </c>
    </row>
    <row r="47" spans="1:3">
      <c r="A47" s="2">
        <v>47</v>
      </c>
      <c r="B47">
        <f t="shared" si="2"/>
        <v>67.485000000399992</v>
      </c>
      <c r="C47">
        <f t="shared" si="3"/>
        <v>2.6621809003081014E-2</v>
      </c>
    </row>
    <row r="48" spans="1:3">
      <c r="A48" s="2">
        <v>48</v>
      </c>
      <c r="B48">
        <f t="shared" si="2"/>
        <v>69.09456521780001</v>
      </c>
      <c r="C48">
        <f t="shared" si="3"/>
        <v>2.7040456927889769E-2</v>
      </c>
    </row>
    <row r="49" spans="1:3">
      <c r="A49" s="2">
        <v>49</v>
      </c>
      <c r="B49">
        <f t="shared" si="2"/>
        <v>70.7041304352</v>
      </c>
      <c r="C49">
        <f t="shared" si="3"/>
        <v>2.7455759910212603E-2</v>
      </c>
    </row>
    <row r="50" spans="1:3">
      <c r="A50" s="2">
        <v>50</v>
      </c>
      <c r="B50">
        <f t="shared" si="2"/>
        <v>72.313695652599989</v>
      </c>
      <c r="C50">
        <f t="shared" si="3"/>
        <v>2.7868041828117446E-2</v>
      </c>
    </row>
    <row r="51" spans="1:3">
      <c r="A51" s="2">
        <v>51</v>
      </c>
      <c r="B51">
        <f t="shared" si="2"/>
        <v>73.923260870000007</v>
      </c>
      <c r="C51">
        <f t="shared" si="3"/>
        <v>2.8277591874202743E-2</v>
      </c>
    </row>
    <row r="52" spans="1:3">
      <c r="A52" s="2">
        <v>52</v>
      </c>
      <c r="B52">
        <f t="shared" si="2"/>
        <v>75.532826087399997</v>
      </c>
      <c r="C52">
        <f t="shared" si="3"/>
        <v>2.8684668081629831E-2</v>
      </c>
    </row>
    <row r="53" spans="1:3">
      <c r="A53" s="2">
        <v>53</v>
      </c>
      <c r="B53">
        <f t="shared" si="2"/>
        <v>77.142391304799986</v>
      </c>
      <c r="C53">
        <f t="shared" si="3"/>
        <v>2.9089500643467742E-2</v>
      </c>
    </row>
    <row r="54" spans="1:3">
      <c r="A54" s="2">
        <v>54</v>
      </c>
      <c r="B54">
        <f t="shared" si="2"/>
        <v>78.751956522200004</v>
      </c>
      <c r="C54">
        <f t="shared" si="3"/>
        <v>2.9492294975436577E-2</v>
      </c>
    </row>
    <row r="55" spans="1:3">
      <c r="A55" s="2">
        <v>55</v>
      </c>
      <c r="B55">
        <f t="shared" si="2"/>
        <v>80.361521739599993</v>
      </c>
      <c r="C55">
        <f t="shared" si="3"/>
        <v>2.989323450138635E-2</v>
      </c>
    </row>
    <row r="56" spans="1:3">
      <c r="A56" s="2">
        <v>56</v>
      </c>
      <c r="B56">
        <f t="shared" si="2"/>
        <v>81.971086956999983</v>
      </c>
      <c r="C56">
        <f t="shared" si="3"/>
        <v>3.0292483160065078E-2</v>
      </c>
    </row>
    <row r="57" spans="1:3">
      <c r="A57" s="2">
        <v>57</v>
      </c>
      <c r="B57">
        <f t="shared" si="2"/>
        <v>83.580652174400001</v>
      </c>
      <c r="C57">
        <f t="shared" si="3"/>
        <v>3.0690187643713111E-2</v>
      </c>
    </row>
    <row r="58" spans="1:3">
      <c r="A58" s="2">
        <v>58</v>
      </c>
      <c r="B58">
        <f t="shared" si="2"/>
        <v>85.19021739179999</v>
      </c>
      <c r="C58">
        <f t="shared" si="3"/>
        <v>3.1086479385942323E-2</v>
      </c>
    </row>
    <row r="59" spans="1:3">
      <c r="A59" s="2">
        <v>59</v>
      </c>
      <c r="B59">
        <f t="shared" si="2"/>
        <v>86.799782609200008</v>
      </c>
      <c r="C59">
        <f t="shared" si="3"/>
        <v>3.1481476319839288E-2</v>
      </c>
    </row>
    <row r="60" spans="1:3">
      <c r="A60" s="2">
        <v>60</v>
      </c>
      <c r="B60">
        <f t="shared" si="2"/>
        <v>88.409347826599998</v>
      </c>
      <c r="C60">
        <f t="shared" si="3"/>
        <v>3.1875284428446622E-2</v>
      </c>
    </row>
    <row r="61" spans="1:3">
      <c r="A61" s="2">
        <v>61</v>
      </c>
      <c r="B61">
        <f t="shared" si="2"/>
        <v>90.018913043999987</v>
      </c>
      <c r="C61">
        <f t="shared" si="3"/>
        <v>3.2267999109559159E-2</v>
      </c>
    </row>
    <row r="62" spans="1:3">
      <c r="A62" s="2">
        <v>62</v>
      </c>
      <c r="B62">
        <f t="shared" si="2"/>
        <v>91.628478261400005</v>
      </c>
      <c r="C62">
        <f t="shared" si="3"/>
        <v>3.2659706375695485E-2</v>
      </c>
    </row>
    <row r="63" spans="1:3">
      <c r="A63" s="2">
        <v>63</v>
      </c>
      <c r="B63">
        <f t="shared" si="2"/>
        <v>93.238043478799995</v>
      </c>
      <c r="C63">
        <f t="shared" si="3"/>
        <v>3.3050483908560732E-2</v>
      </c>
    </row>
    <row r="64" spans="1:3">
      <c r="A64" s="2">
        <v>64</v>
      </c>
      <c r="B64">
        <f t="shared" si="2"/>
        <v>94.847608696199984</v>
      </c>
      <c r="C64">
        <f t="shared" si="3"/>
        <v>3.344040198555974E-2</v>
      </c>
    </row>
    <row r="65" spans="1:3">
      <c r="A65" s="2">
        <v>65</v>
      </c>
      <c r="B65">
        <f t="shared" ref="B65:B70" si="4">-6.555+(A65-1)*1.6095652174</f>
        <v>96.457173913600002</v>
      </c>
      <c r="C65">
        <f t="shared" ref="C65:C70" si="5">0.00728264805748969+0.000343867553260431*B65-0.0552205200885514*(0.00219298245614035+(B65-41.6263815789474)^2/246711.395729605)^0.5</f>
        <v>3.3829524294112998E-2</v>
      </c>
    </row>
    <row r="66" spans="1:3">
      <c r="A66" s="2">
        <v>66</v>
      </c>
      <c r="B66">
        <f t="shared" si="4"/>
        <v>98.066739130999991</v>
      </c>
      <c r="C66">
        <f t="shared" si="5"/>
        <v>3.4217908647773757E-2</v>
      </c>
    </row>
    <row r="67" spans="1:3">
      <c r="A67" s="2">
        <v>67</v>
      </c>
      <c r="B67">
        <f t="shared" si="4"/>
        <v>99.676304348399981</v>
      </c>
      <c r="C67">
        <f t="shared" si="5"/>
        <v>3.4605607616498522E-2</v>
      </c>
    </row>
    <row r="68" spans="1:3">
      <c r="A68" s="2">
        <v>68</v>
      </c>
      <c r="B68">
        <f t="shared" si="4"/>
        <v>101.2858695658</v>
      </c>
      <c r="C68">
        <f t="shared" si="5"/>
        <v>3.499266908191518E-2</v>
      </c>
    </row>
    <row r="69" spans="1:3">
      <c r="A69" s="2">
        <v>69</v>
      </c>
      <c r="B69">
        <f t="shared" si="4"/>
        <v>102.89543478319999</v>
      </c>
      <c r="C69">
        <f t="shared" si="5"/>
        <v>3.5379136727073893E-2</v>
      </c>
    </row>
    <row r="70" spans="1:3">
      <c r="A70" s="2">
        <v>70</v>
      </c>
      <c r="B70">
        <f t="shared" si="4"/>
        <v>104.50500000060001</v>
      </c>
      <c r="C70">
        <f t="shared" si="5"/>
        <v>3.5765050468955568E-2</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enableFormatConditionsCalculation="0"/>
  <dimension ref="A1:C70"/>
  <sheetViews>
    <sheetView workbookViewId="0"/>
  </sheetViews>
  <sheetFormatPr baseColWidth="10" defaultRowHeight="15.75"/>
  <sheetData>
    <row r="1" spans="1:3">
      <c r="A1" s="2">
        <v>1</v>
      </c>
      <c r="B1">
        <f t="shared" ref="B1:B32" si="0">-6.555+(A1-1)*1.6095652174</f>
        <v>-6.5549999999999997</v>
      </c>
      <c r="C1">
        <f t="shared" ref="C1:C32" si="1">0.00728264805748969+0.000343867553260431*B1+0.0552205200885514*(0.00219298245614035+(B1-41.6263815789474)^2/246711.395729605)^0.5</f>
        <v>1.0976679853528048E-2</v>
      </c>
    </row>
    <row r="2" spans="1:3">
      <c r="A2" s="2">
        <v>2</v>
      </c>
      <c r="B2">
        <f t="shared" si="0"/>
        <v>-4.9454347825999996</v>
      </c>
      <c r="C2">
        <f t="shared" si="1"/>
        <v>1.1369532883157375E-2</v>
      </c>
    </row>
    <row r="3" spans="1:3">
      <c r="A3" s="2">
        <v>3</v>
      </c>
      <c r="B3">
        <f t="shared" si="0"/>
        <v>-3.3358695651999999</v>
      </c>
      <c r="C3">
        <f t="shared" si="1"/>
        <v>1.1763491295897707E-2</v>
      </c>
    </row>
    <row r="4" spans="1:3">
      <c r="A4" s="2">
        <v>4</v>
      </c>
      <c r="B4">
        <f t="shared" si="0"/>
        <v>-1.7263043478000002</v>
      </c>
      <c r="C4">
        <f t="shared" si="1"/>
        <v>1.2158651806439522E-2</v>
      </c>
    </row>
    <row r="5" spans="1:3">
      <c r="A5" s="2">
        <v>5</v>
      </c>
      <c r="B5">
        <f t="shared" si="0"/>
        <v>-0.11673913040000006</v>
      </c>
      <c r="C5">
        <f t="shared" si="1"/>
        <v>1.2555121883934019E-2</v>
      </c>
    </row>
    <row r="6" spans="1:3">
      <c r="A6" s="2">
        <v>6</v>
      </c>
      <c r="B6">
        <f t="shared" si="0"/>
        <v>1.4928260869999992</v>
      </c>
      <c r="C6">
        <f t="shared" si="1"/>
        <v>1.2953021139930288E-2</v>
      </c>
    </row>
    <row r="7" spans="1:3">
      <c r="A7" s="2">
        <v>7</v>
      </c>
      <c r="B7">
        <f t="shared" si="0"/>
        <v>3.1023913043999993</v>
      </c>
      <c r="C7">
        <f t="shared" si="1"/>
        <v>1.3352482904828034E-2</v>
      </c>
    </row>
    <row r="8" spans="1:3">
      <c r="A8" s="2">
        <v>8</v>
      </c>
      <c r="B8">
        <f t="shared" si="0"/>
        <v>4.7119565217999995</v>
      </c>
      <c r="C8">
        <f t="shared" si="1"/>
        <v>1.3753656014869976E-2</v>
      </c>
    </row>
    <row r="9" spans="1:3">
      <c r="A9" s="2">
        <v>9</v>
      </c>
      <c r="B9">
        <f t="shared" si="0"/>
        <v>6.3215217391999996</v>
      </c>
      <c r="C9">
        <f t="shared" si="1"/>
        <v>1.415670683176554E-2</v>
      </c>
    </row>
    <row r="10" spans="1:3">
      <c r="A10" s="2">
        <v>10</v>
      </c>
      <c r="B10">
        <f t="shared" si="0"/>
        <v>7.9310869565999997</v>
      </c>
      <c r="C10">
        <f t="shared" si="1"/>
        <v>1.4561821515578725E-2</v>
      </c>
    </row>
    <row r="11" spans="1:3">
      <c r="A11" s="2">
        <v>11</v>
      </c>
      <c r="B11">
        <f t="shared" si="0"/>
        <v>9.5406521739999981</v>
      </c>
      <c r="C11">
        <f t="shared" si="1"/>
        <v>1.4969208567656808E-2</v>
      </c>
    </row>
    <row r="12" spans="1:3">
      <c r="A12" s="2">
        <v>12</v>
      </c>
      <c r="B12">
        <f t="shared" si="0"/>
        <v>11.150217391399998</v>
      </c>
      <c r="C12">
        <f t="shared" si="1"/>
        <v>1.5379101652894108E-2</v>
      </c>
    </row>
    <row r="13" spans="1:3">
      <c r="A13" s="2">
        <v>13</v>
      </c>
      <c r="B13">
        <f t="shared" si="0"/>
        <v>12.759782608799998</v>
      </c>
      <c r="C13">
        <f t="shared" si="1"/>
        <v>1.5791762697829323E-2</v>
      </c>
    </row>
    <row r="14" spans="1:3">
      <c r="A14" s="2">
        <v>14</v>
      </c>
      <c r="B14">
        <f t="shared" si="0"/>
        <v>14.369347826199999</v>
      </c>
      <c r="C14">
        <f t="shared" si="1"/>
        <v>1.6207485240715701E-2</v>
      </c>
    </row>
    <row r="15" spans="1:3">
      <c r="A15" s="2">
        <v>15</v>
      </c>
      <c r="B15">
        <f t="shared" si="0"/>
        <v>15.978913043599999</v>
      </c>
      <c r="C15">
        <f t="shared" si="1"/>
        <v>1.6626597978894112E-2</v>
      </c>
    </row>
    <row r="16" spans="1:3">
      <c r="A16" s="2">
        <v>16</v>
      </c>
      <c r="B16">
        <f t="shared" si="0"/>
        <v>17.588478260999999</v>
      </c>
      <c r="C16">
        <f t="shared" si="1"/>
        <v>1.7049468414032522E-2</v>
      </c>
    </row>
    <row r="17" spans="1:3">
      <c r="A17" s="2">
        <v>17</v>
      </c>
      <c r="B17">
        <f t="shared" si="0"/>
        <v>19.198043478399999</v>
      </c>
      <c r="C17">
        <f t="shared" si="1"/>
        <v>1.7476506433148464E-2</v>
      </c>
    </row>
    <row r="18" spans="1:3">
      <c r="A18" s="2">
        <v>18</v>
      </c>
      <c r="B18">
        <f t="shared" si="0"/>
        <v>20.807608695799999</v>
      </c>
      <c r="C18">
        <f t="shared" si="1"/>
        <v>1.7908167579032894E-2</v>
      </c>
    </row>
    <row r="19" spans="1:3">
      <c r="A19" s="2">
        <v>19</v>
      </c>
      <c r="B19">
        <f t="shared" si="0"/>
        <v>22.417173913199999</v>
      </c>
      <c r="C19">
        <f t="shared" si="1"/>
        <v>1.8344955655287539E-2</v>
      </c>
    </row>
    <row r="20" spans="1:3">
      <c r="A20" s="2">
        <v>20</v>
      </c>
      <c r="B20">
        <f t="shared" si="0"/>
        <v>24.026739130599999</v>
      </c>
      <c r="C20">
        <f t="shared" si="1"/>
        <v>1.8787424179587557E-2</v>
      </c>
    </row>
    <row r="21" spans="1:3">
      <c r="A21" s="2">
        <v>21</v>
      </c>
      <c r="B21">
        <f t="shared" si="0"/>
        <v>25.636304347999996</v>
      </c>
      <c r="C21">
        <f t="shared" si="1"/>
        <v>1.9236176051469964E-2</v>
      </c>
    </row>
    <row r="22" spans="1:3">
      <c r="A22" s="2">
        <v>22</v>
      </c>
      <c r="B22">
        <f t="shared" si="0"/>
        <v>27.2458695654</v>
      </c>
      <c r="C22">
        <f t="shared" si="1"/>
        <v>1.9691860656313346E-2</v>
      </c>
    </row>
    <row r="23" spans="1:3">
      <c r="A23" s="2">
        <v>23</v>
      </c>
      <c r="B23">
        <f t="shared" si="0"/>
        <v>28.855434782799996</v>
      </c>
      <c r="C23">
        <f t="shared" si="1"/>
        <v>2.0155167519279853E-2</v>
      </c>
    </row>
    <row r="24" spans="1:3">
      <c r="A24" s="2">
        <v>24</v>
      </c>
      <c r="B24">
        <f t="shared" si="0"/>
        <v>30.4650000002</v>
      </c>
      <c r="C24">
        <f t="shared" si="1"/>
        <v>2.06268156048206E-2</v>
      </c>
    </row>
    <row r="25" spans="1:3">
      <c r="A25" s="2">
        <v>25</v>
      </c>
      <c r="B25">
        <f t="shared" si="0"/>
        <v>32.074565217599996</v>
      </c>
      <c r="C25">
        <f t="shared" si="1"/>
        <v>2.1107537498746262E-2</v>
      </c>
    </row>
    <row r="26" spans="1:3">
      <c r="A26" s="2">
        <v>26</v>
      </c>
      <c r="B26">
        <f t="shared" si="0"/>
        <v>33.684130435</v>
      </c>
      <c r="C26">
        <f t="shared" si="1"/>
        <v>2.1598058084927395E-2</v>
      </c>
    </row>
    <row r="27" spans="1:3">
      <c r="A27" s="2">
        <v>27</v>
      </c>
      <c r="B27">
        <f t="shared" si="0"/>
        <v>35.293695652399997</v>
      </c>
      <c r="C27">
        <f t="shared" si="1"/>
        <v>2.2099067987944199E-2</v>
      </c>
    </row>
    <row r="28" spans="1:3">
      <c r="A28" s="2">
        <v>28</v>
      </c>
      <c r="B28">
        <f t="shared" si="0"/>
        <v>36.9032608698</v>
      </c>
      <c r="C28">
        <f t="shared" si="1"/>
        <v>2.2611192981454482E-2</v>
      </c>
    </row>
    <row r="29" spans="1:3">
      <c r="A29" s="2">
        <v>29</v>
      </c>
      <c r="B29">
        <f t="shared" si="0"/>
        <v>38.512826087199997</v>
      </c>
      <c r="C29">
        <f t="shared" si="1"/>
        <v>2.3134961636098059E-2</v>
      </c>
    </row>
    <row r="30" spans="1:3">
      <c r="A30" s="2">
        <v>30</v>
      </c>
      <c r="B30">
        <f t="shared" si="0"/>
        <v>40.122391304600001</v>
      </c>
      <c r="C30">
        <f t="shared" si="1"/>
        <v>2.3670774451853793E-2</v>
      </c>
    </row>
    <row r="31" spans="1:3">
      <c r="A31" s="2">
        <v>31</v>
      </c>
      <c r="B31">
        <f t="shared" si="0"/>
        <v>41.731956521999997</v>
      </c>
      <c r="C31">
        <f t="shared" si="1"/>
        <v>2.4218878257504971E-2</v>
      </c>
    </row>
    <row r="32" spans="1:3">
      <c r="A32" s="2">
        <v>32</v>
      </c>
      <c r="B32">
        <f t="shared" si="0"/>
        <v>43.341521739400001</v>
      </c>
      <c r="C32">
        <f t="shared" si="1"/>
        <v>2.4779349466883444E-2</v>
      </c>
    </row>
    <row r="33" spans="1:3">
      <c r="A33" s="2">
        <v>33</v>
      </c>
      <c r="B33">
        <f t="shared" ref="B33:B64" si="2">-6.555+(A33-1)*1.6095652174</f>
        <v>44.951086956799998</v>
      </c>
      <c r="C33">
        <f t="shared" ref="C33:C64" si="3">0.00728264805748969+0.000343867553260431*B33+0.0552205200885514*(0.00219298245614035+(B33-41.6263815789474)^2/246711.395729605)^0.5</f>
        <v>2.5352088744455176E-2</v>
      </c>
    </row>
    <row r="34" spans="1:3">
      <c r="A34" s="2">
        <v>34</v>
      </c>
      <c r="B34">
        <f t="shared" si="2"/>
        <v>46.560652174199994</v>
      </c>
      <c r="C34">
        <f t="shared" si="3"/>
        <v>2.5936827925941101E-2</v>
      </c>
    </row>
    <row r="35" spans="1:3">
      <c r="A35" s="2">
        <v>35</v>
      </c>
      <c r="B35">
        <f t="shared" si="2"/>
        <v>48.170217391599998</v>
      </c>
      <c r="C35">
        <f t="shared" si="3"/>
        <v>2.6533148099793871E-2</v>
      </c>
    </row>
    <row r="36" spans="1:3">
      <c r="A36" s="2">
        <v>36</v>
      </c>
      <c r="B36">
        <f t="shared" si="2"/>
        <v>49.779782608999994</v>
      </c>
      <c r="C36">
        <f t="shared" si="3"/>
        <v>2.7140506115935714E-2</v>
      </c>
    </row>
    <row r="37" spans="1:3">
      <c r="A37" s="2">
        <v>37</v>
      </c>
      <c r="B37">
        <f t="shared" si="2"/>
        <v>51.389347826399998</v>
      </c>
      <c r="C37">
        <f t="shared" si="3"/>
        <v>2.7758265858450287E-2</v>
      </c>
    </row>
    <row r="38" spans="1:3">
      <c r="A38" s="2">
        <v>38</v>
      </c>
      <c r="B38">
        <f t="shared" si="2"/>
        <v>52.998913043799995</v>
      </c>
      <c r="C38">
        <f t="shared" si="3"/>
        <v>2.8385730533656096E-2</v>
      </c>
    </row>
    <row r="39" spans="1:3">
      <c r="A39" s="2">
        <v>39</v>
      </c>
      <c r="B39">
        <f t="shared" si="2"/>
        <v>54.608478261199998</v>
      </c>
      <c r="C39">
        <f t="shared" si="3"/>
        <v>2.9022172838734019E-2</v>
      </c>
    </row>
    <row r="40" spans="1:3">
      <c r="A40" s="2">
        <v>40</v>
      </c>
      <c r="B40">
        <f t="shared" si="2"/>
        <v>56.218043478599995</v>
      </c>
      <c r="C40">
        <f t="shared" si="3"/>
        <v>2.9666860878621623E-2</v>
      </c>
    </row>
    <row r="41" spans="1:3">
      <c r="A41" s="2">
        <v>41</v>
      </c>
      <c r="B41">
        <f t="shared" si="2"/>
        <v>57.827608695999992</v>
      </c>
      <c r="C41">
        <f t="shared" si="3"/>
        <v>3.03190787654357E-2</v>
      </c>
    </row>
    <row r="42" spans="1:3">
      <c r="A42" s="2">
        <v>42</v>
      </c>
      <c r="B42">
        <f t="shared" si="2"/>
        <v>59.437173913399995</v>
      </c>
      <c r="C42">
        <f t="shared" si="3"/>
        <v>3.0978141732179273E-2</v>
      </c>
    </row>
    <row r="43" spans="1:3">
      <c r="A43" s="2">
        <v>43</v>
      </c>
      <c r="B43">
        <f t="shared" si="2"/>
        <v>61.046739130799999</v>
      </c>
      <c r="C43">
        <f t="shared" si="3"/>
        <v>3.1643406213438099E-2</v>
      </c>
    </row>
    <row r="44" spans="1:3">
      <c r="A44" s="2">
        <v>44</v>
      </c>
      <c r="B44">
        <f t="shared" si="2"/>
        <v>62.656304348200003</v>
      </c>
      <c r="C44">
        <f t="shared" si="3"/>
        <v>3.2314275686421576E-2</v>
      </c>
    </row>
    <row r="45" spans="1:3">
      <c r="A45" s="2">
        <v>45</v>
      </c>
      <c r="B45">
        <f t="shared" si="2"/>
        <v>64.265869565599985</v>
      </c>
      <c r="C45">
        <f t="shared" si="3"/>
        <v>3.2990203181831546E-2</v>
      </c>
    </row>
    <row r="46" spans="1:3">
      <c r="A46" s="2">
        <v>46</v>
      </c>
      <c r="B46">
        <f t="shared" si="2"/>
        <v>65.875434783000003</v>
      </c>
      <c r="C46">
        <f t="shared" si="3"/>
        <v>3.3670691340414061E-2</v>
      </c>
    </row>
    <row r="47" spans="1:3">
      <c r="A47" s="2">
        <v>47</v>
      </c>
      <c r="B47">
        <f t="shared" si="2"/>
        <v>67.485000000399992</v>
      </c>
      <c r="C47">
        <f t="shared" si="3"/>
        <v>3.4355290775733828E-2</v>
      </c>
    </row>
    <row r="48" spans="1:3">
      <c r="A48" s="2">
        <v>48</v>
      </c>
      <c r="B48">
        <f t="shared" si="2"/>
        <v>69.09456521780001</v>
      </c>
      <c r="C48">
        <f t="shared" si="3"/>
        <v>3.5043597357165945E-2</v>
      </c>
    </row>
    <row r="49" spans="1:3">
      <c r="A49" s="2">
        <v>49</v>
      </c>
      <c r="B49">
        <f t="shared" si="2"/>
        <v>70.7041304352</v>
      </c>
      <c r="C49">
        <f t="shared" si="3"/>
        <v>3.5735248881083974E-2</v>
      </c>
    </row>
    <row r="50" spans="1:3">
      <c r="A50" s="2">
        <v>50</v>
      </c>
      <c r="B50">
        <f t="shared" si="2"/>
        <v>72.313695652599989</v>
      </c>
      <c r="C50">
        <f t="shared" si="3"/>
        <v>3.6429921469419979E-2</v>
      </c>
    </row>
    <row r="51" spans="1:3">
      <c r="A51" s="2">
        <v>51</v>
      </c>
      <c r="B51">
        <f t="shared" si="2"/>
        <v>73.923260870000007</v>
      </c>
      <c r="C51">
        <f t="shared" si="3"/>
        <v>3.7127325929575558E-2</v>
      </c>
    </row>
    <row r="52" spans="1:3">
      <c r="A52" s="2">
        <v>52</v>
      </c>
      <c r="B52">
        <f t="shared" si="2"/>
        <v>75.532826087399997</v>
      </c>
      <c r="C52">
        <f t="shared" si="3"/>
        <v>3.7827204228389331E-2</v>
      </c>
    </row>
    <row r="53" spans="1:3">
      <c r="A53" s="2">
        <v>53</v>
      </c>
      <c r="B53">
        <f t="shared" si="2"/>
        <v>77.142391304799986</v>
      </c>
      <c r="C53">
        <f t="shared" si="3"/>
        <v>3.8529326172792269E-2</v>
      </c>
    </row>
    <row r="54" spans="1:3">
      <c r="A54" s="2">
        <v>54</v>
      </c>
      <c r="B54">
        <f t="shared" si="2"/>
        <v>78.751956522200004</v>
      </c>
      <c r="C54">
        <f t="shared" si="3"/>
        <v>3.9233486347064306E-2</v>
      </c>
    </row>
    <row r="55" spans="1:3">
      <c r="A55" s="2">
        <v>55</v>
      </c>
      <c r="B55">
        <f t="shared" si="2"/>
        <v>80.361521739599993</v>
      </c>
      <c r="C55">
        <f t="shared" si="3"/>
        <v>3.9939501327355395E-2</v>
      </c>
    </row>
    <row r="56" spans="1:3">
      <c r="A56" s="2">
        <v>56</v>
      </c>
      <c r="B56">
        <f t="shared" si="2"/>
        <v>81.971086956999983</v>
      </c>
      <c r="C56">
        <f t="shared" si="3"/>
        <v>4.0647207174917536E-2</v>
      </c>
    </row>
    <row r="57" spans="1:3">
      <c r="A57" s="2">
        <v>57</v>
      </c>
      <c r="B57">
        <f t="shared" si="2"/>
        <v>83.580652174400001</v>
      </c>
      <c r="C57">
        <f t="shared" si="3"/>
        <v>4.1356457197510375E-2</v>
      </c>
    </row>
    <row r="58" spans="1:3">
      <c r="A58" s="2">
        <v>58</v>
      </c>
      <c r="B58">
        <f t="shared" si="2"/>
        <v>85.19021739179999</v>
      </c>
      <c r="C58">
        <f t="shared" si="3"/>
        <v>4.2067119961522015E-2</v>
      </c>
    </row>
    <row r="59" spans="1:3">
      <c r="A59" s="2">
        <v>59</v>
      </c>
      <c r="B59">
        <f t="shared" si="2"/>
        <v>86.799782609200008</v>
      </c>
      <c r="C59">
        <f t="shared" si="3"/>
        <v>4.2779077533865922E-2</v>
      </c>
    </row>
    <row r="60" spans="1:3">
      <c r="A60" s="2">
        <v>60</v>
      </c>
      <c r="B60">
        <f t="shared" si="2"/>
        <v>88.409347826599998</v>
      </c>
      <c r="C60">
        <f t="shared" si="3"/>
        <v>4.349222393149945E-2</v>
      </c>
    </row>
    <row r="61" spans="1:3">
      <c r="A61" s="2">
        <v>61</v>
      </c>
      <c r="B61">
        <f t="shared" si="2"/>
        <v>90.018913043999987</v>
      </c>
      <c r="C61">
        <f t="shared" si="3"/>
        <v>4.4206463756627762E-2</v>
      </c>
    </row>
    <row r="62" spans="1:3">
      <c r="A62" s="2">
        <v>62</v>
      </c>
      <c r="B62">
        <f t="shared" si="2"/>
        <v>91.628478261400005</v>
      </c>
      <c r="C62">
        <f t="shared" si="3"/>
        <v>4.4921710996732311E-2</v>
      </c>
    </row>
    <row r="63" spans="1:3">
      <c r="A63" s="2">
        <v>63</v>
      </c>
      <c r="B63">
        <f t="shared" si="2"/>
        <v>93.238043478799995</v>
      </c>
      <c r="C63">
        <f t="shared" si="3"/>
        <v>4.5637887970107927E-2</v>
      </c>
    </row>
    <row r="64" spans="1:3">
      <c r="A64" s="2">
        <v>64</v>
      </c>
      <c r="B64">
        <f t="shared" si="2"/>
        <v>94.847608696199984</v>
      </c>
      <c r="C64">
        <f t="shared" si="3"/>
        <v>4.6354924399349767E-2</v>
      </c>
    </row>
    <row r="65" spans="1:3">
      <c r="A65" s="2">
        <v>65</v>
      </c>
      <c r="B65">
        <f t="shared" ref="B65:B70" si="4">-6.555+(A65-1)*1.6095652174</f>
        <v>96.457173913600002</v>
      </c>
      <c r="C65">
        <f t="shared" ref="C65:C70" si="5">0.00728264805748969+0.000343867553260431*B65+0.0552205200885514*(0.00219298245614035+(B65-41.6263815789474)^2/246711.395729605)^0.5</f>
        <v>4.7072756597037385E-2</v>
      </c>
    </row>
    <row r="66" spans="1:3">
      <c r="A66" s="2">
        <v>66</v>
      </c>
      <c r="B66">
        <f t="shared" si="4"/>
        <v>98.066739130999991</v>
      </c>
      <c r="C66">
        <f t="shared" si="5"/>
        <v>4.7791326749617488E-2</v>
      </c>
    </row>
    <row r="67" spans="1:3">
      <c r="A67" s="2">
        <v>67</v>
      </c>
      <c r="B67">
        <f t="shared" si="4"/>
        <v>99.676304348399981</v>
      </c>
      <c r="C67">
        <f t="shared" si="5"/>
        <v>4.851058228713357E-2</v>
      </c>
    </row>
    <row r="68" spans="1:3">
      <c r="A68" s="2">
        <v>68</v>
      </c>
      <c r="B68">
        <f t="shared" si="4"/>
        <v>101.2858695658</v>
      </c>
      <c r="C68">
        <f t="shared" si="5"/>
        <v>4.9230475327957789E-2</v>
      </c>
    </row>
    <row r="69" spans="1:3">
      <c r="A69" s="2">
        <v>69</v>
      </c>
      <c r="B69">
        <f t="shared" si="4"/>
        <v>102.89543478319999</v>
      </c>
      <c r="C69">
        <f t="shared" si="5"/>
        <v>4.9950962189039938E-2</v>
      </c>
    </row>
    <row r="70" spans="1:3">
      <c r="A70" s="2">
        <v>70</v>
      </c>
      <c r="B70">
        <f t="shared" si="4"/>
        <v>104.50500000060001</v>
      </c>
      <c r="C70">
        <f t="shared" si="5"/>
        <v>5.0672002953399138E-2</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enableFormatConditionsCalculation="0"/>
  <dimension ref="A1:C100"/>
  <sheetViews>
    <sheetView workbookViewId="0"/>
  </sheetViews>
  <sheetFormatPr baseColWidth="10" defaultRowHeight="15.75"/>
  <sheetData>
    <row r="1" spans="1:3">
      <c r="A1" s="2">
        <v>1</v>
      </c>
      <c r="B1">
        <f t="shared" ref="B1:B32" si="0">-6.555+(A1-1)*1.1218181818</f>
        <v>-6.5549999999999997</v>
      </c>
      <c r="C1">
        <f t="shared" ref="C1:C32" si="1">0.00728264805748969+0.000343867553260431*B1-0.0552205200885514*(1.00219298245614+(B1-41.6263815789474)^2/246711.395729605)^0.5</f>
        <v>-5.051134917590816E-2</v>
      </c>
    </row>
    <row r="2" spans="1:3">
      <c r="A2" s="2">
        <v>2</v>
      </c>
      <c r="B2">
        <f t="shared" si="0"/>
        <v>-5.4331818181999996</v>
      </c>
      <c r="C2">
        <f t="shared" si="1"/>
        <v>-5.0113702654751194E-2</v>
      </c>
    </row>
    <row r="3" spans="1:3">
      <c r="A3" s="2">
        <v>3</v>
      </c>
      <c r="B3">
        <f t="shared" si="0"/>
        <v>-4.3113636363999994</v>
      </c>
      <c r="C3">
        <f t="shared" si="1"/>
        <v>-4.9716333766629241E-2</v>
      </c>
    </row>
    <row r="4" spans="1:3">
      <c r="A4" s="2">
        <v>4</v>
      </c>
      <c r="B4">
        <f t="shared" si="0"/>
        <v>-3.1895454546000002</v>
      </c>
      <c r="C4">
        <f t="shared" si="1"/>
        <v>-4.9319242685789987E-2</v>
      </c>
    </row>
    <row r="5" spans="1:3">
      <c r="A5" s="2">
        <v>5</v>
      </c>
      <c r="B5">
        <f t="shared" si="0"/>
        <v>-2.0677272728</v>
      </c>
      <c r="C5">
        <f t="shared" si="1"/>
        <v>-4.8922429582453013E-2</v>
      </c>
    </row>
    <row r="6" spans="1:3">
      <c r="A6" s="2">
        <v>6</v>
      </c>
      <c r="B6">
        <f t="shared" si="0"/>
        <v>-0.94590909099999987</v>
      </c>
      <c r="C6">
        <f t="shared" si="1"/>
        <v>-4.8525894622797244E-2</v>
      </c>
    </row>
    <row r="7" spans="1:3">
      <c r="A7" s="2">
        <v>7</v>
      </c>
      <c r="B7">
        <f t="shared" si="0"/>
        <v>0.17590909079999939</v>
      </c>
      <c r="C7">
        <f t="shared" si="1"/>
        <v>-4.8129637968948487E-2</v>
      </c>
    </row>
    <row r="8" spans="1:3">
      <c r="A8" s="2">
        <v>8</v>
      </c>
      <c r="B8">
        <f t="shared" si="0"/>
        <v>1.2977272725999995</v>
      </c>
      <c r="C8">
        <f t="shared" si="1"/>
        <v>-4.7733659778967465E-2</v>
      </c>
    </row>
    <row r="9" spans="1:3">
      <c r="A9" s="2">
        <v>9</v>
      </c>
      <c r="B9">
        <f t="shared" si="0"/>
        <v>2.4195454543999997</v>
      </c>
      <c r="C9">
        <f t="shared" si="1"/>
        <v>-4.7337960206837906E-2</v>
      </c>
    </row>
    <row r="10" spans="1:3">
      <c r="A10" s="2">
        <v>10</v>
      </c>
      <c r="B10">
        <f t="shared" si="0"/>
        <v>3.5413636361999998</v>
      </c>
      <c r="C10">
        <f t="shared" si="1"/>
        <v>-4.6942539402455206E-2</v>
      </c>
    </row>
    <row r="11" spans="1:3">
      <c r="A11" s="2">
        <v>11</v>
      </c>
      <c r="B11">
        <f t="shared" si="0"/>
        <v>4.663181818</v>
      </c>
      <c r="C11">
        <f t="shared" si="1"/>
        <v>-4.6547397511615074E-2</v>
      </c>
    </row>
    <row r="12" spans="1:3">
      <c r="A12" s="2">
        <v>12</v>
      </c>
      <c r="B12">
        <f t="shared" si="0"/>
        <v>5.7849999998000001</v>
      </c>
      <c r="C12">
        <f t="shared" si="1"/>
        <v>-4.6152534676002714E-2</v>
      </c>
    </row>
    <row r="13" spans="1:3">
      <c r="A13" s="2">
        <v>13</v>
      </c>
      <c r="B13">
        <f t="shared" si="0"/>
        <v>6.9068181815999985</v>
      </c>
      <c r="C13">
        <f t="shared" si="1"/>
        <v>-4.5757951033182184E-2</v>
      </c>
    </row>
    <row r="14" spans="1:3">
      <c r="A14" s="2">
        <v>14</v>
      </c>
      <c r="B14">
        <f t="shared" si="0"/>
        <v>8.0286363633999986</v>
      </c>
      <c r="C14">
        <f t="shared" si="1"/>
        <v>-4.536364671658609E-2</v>
      </c>
    </row>
    <row r="15" spans="1:3">
      <c r="A15" s="2">
        <v>15</v>
      </c>
      <c r="B15">
        <f t="shared" si="0"/>
        <v>9.1504545451999988</v>
      </c>
      <c r="C15">
        <f t="shared" si="1"/>
        <v>-4.4969621855505564E-2</v>
      </c>
    </row>
    <row r="16" spans="1:3">
      <c r="A16" s="2">
        <v>16</v>
      </c>
      <c r="B16">
        <f t="shared" si="0"/>
        <v>10.272272727000001</v>
      </c>
      <c r="C16">
        <f t="shared" si="1"/>
        <v>-4.4575876575080553E-2</v>
      </c>
    </row>
    <row r="17" spans="1:3">
      <c r="A17" s="2">
        <v>17</v>
      </c>
      <c r="B17">
        <f t="shared" si="0"/>
        <v>11.394090908799999</v>
      </c>
      <c r="C17">
        <f t="shared" si="1"/>
        <v>-4.4182410996290354E-2</v>
      </c>
    </row>
    <row r="18" spans="1:3">
      <c r="A18" s="2">
        <v>18</v>
      </c>
      <c r="B18">
        <f t="shared" si="0"/>
        <v>12.515909090599997</v>
      </c>
      <c r="C18">
        <f t="shared" si="1"/>
        <v>-4.3789225235944571E-2</v>
      </c>
    </row>
    <row r="19" spans="1:3">
      <c r="A19" s="2">
        <v>19</v>
      </c>
      <c r="B19">
        <f t="shared" si="0"/>
        <v>13.637727272399999</v>
      </c>
      <c r="C19">
        <f t="shared" si="1"/>
        <v>-4.3396319406674343E-2</v>
      </c>
    </row>
    <row r="20" spans="1:3">
      <c r="A20" s="2">
        <v>20</v>
      </c>
      <c r="B20">
        <f t="shared" si="0"/>
        <v>14.759545454199998</v>
      </c>
      <c r="C20">
        <f t="shared" si="1"/>
        <v>-4.3003693616923681E-2</v>
      </c>
    </row>
    <row r="21" spans="1:3">
      <c r="A21" s="2">
        <v>21</v>
      </c>
      <c r="B21">
        <f t="shared" si="0"/>
        <v>15.881363636</v>
      </c>
      <c r="C21">
        <f t="shared" si="1"/>
        <v>-4.2611347970941488E-2</v>
      </c>
    </row>
    <row r="22" spans="1:3">
      <c r="A22" s="2">
        <v>22</v>
      </c>
      <c r="B22">
        <f t="shared" si="0"/>
        <v>17.003181817799998</v>
      </c>
      <c r="C22">
        <f t="shared" si="1"/>
        <v>-4.2219282568773504E-2</v>
      </c>
    </row>
    <row r="23" spans="1:3">
      <c r="A23" s="2">
        <v>23</v>
      </c>
      <c r="B23">
        <f t="shared" si="0"/>
        <v>18.1249999996</v>
      </c>
      <c r="C23">
        <f t="shared" si="1"/>
        <v>-4.1827497506254877E-2</v>
      </c>
    </row>
    <row r="24" spans="1:3">
      <c r="A24" s="2">
        <v>24</v>
      </c>
      <c r="B24">
        <f t="shared" si="0"/>
        <v>19.246818181399998</v>
      </c>
      <c r="C24">
        <f t="shared" si="1"/>
        <v>-4.143599287500279E-2</v>
      </c>
    </row>
    <row r="25" spans="1:3">
      <c r="A25" s="2">
        <v>25</v>
      </c>
      <c r="B25">
        <f t="shared" si="0"/>
        <v>20.368636363199997</v>
      </c>
      <c r="C25">
        <f t="shared" si="1"/>
        <v>-4.1044768762409603E-2</v>
      </c>
    </row>
    <row r="26" spans="1:3">
      <c r="A26" s="2">
        <v>26</v>
      </c>
      <c r="B26">
        <f t="shared" si="0"/>
        <v>21.490454544999999</v>
      </c>
      <c r="C26">
        <f t="shared" si="1"/>
        <v>-4.0653825251636244E-2</v>
      </c>
    </row>
    <row r="27" spans="1:3">
      <c r="A27" s="2">
        <v>27</v>
      </c>
      <c r="B27">
        <f t="shared" si="0"/>
        <v>22.612272726799997</v>
      </c>
      <c r="C27">
        <f t="shared" si="1"/>
        <v>-4.0263162421605769E-2</v>
      </c>
    </row>
    <row r="28" spans="1:3">
      <c r="A28" s="2">
        <v>28</v>
      </c>
      <c r="B28">
        <f t="shared" si="0"/>
        <v>23.734090908599999</v>
      </c>
      <c r="C28">
        <f t="shared" si="1"/>
        <v>-3.9872780346997538E-2</v>
      </c>
    </row>
    <row r="29" spans="1:3">
      <c r="A29" s="2">
        <v>29</v>
      </c>
      <c r="B29">
        <f t="shared" si="0"/>
        <v>24.855909090399997</v>
      </c>
      <c r="C29">
        <f t="shared" si="1"/>
        <v>-3.9482679098241436E-2</v>
      </c>
    </row>
    <row r="30" spans="1:3">
      <c r="A30" s="2">
        <v>30</v>
      </c>
      <c r="B30">
        <f t="shared" si="0"/>
        <v>25.977727272199999</v>
      </c>
      <c r="C30">
        <f t="shared" si="1"/>
        <v>-3.9092858741512554E-2</v>
      </c>
    </row>
    <row r="31" spans="1:3">
      <c r="A31" s="2">
        <v>31</v>
      </c>
      <c r="B31">
        <f t="shared" si="0"/>
        <v>27.099545454000001</v>
      </c>
      <c r="C31">
        <f t="shared" si="1"/>
        <v>-3.8703319338726158E-2</v>
      </c>
    </row>
    <row r="32" spans="1:3">
      <c r="A32" s="2">
        <v>32</v>
      </c>
      <c r="B32">
        <f t="shared" si="0"/>
        <v>28.221363635799996</v>
      </c>
      <c r="C32">
        <f t="shared" si="1"/>
        <v>-3.831406094753298E-2</v>
      </c>
    </row>
    <row r="33" spans="1:3">
      <c r="A33" s="2">
        <v>33</v>
      </c>
      <c r="B33">
        <f t="shared" ref="B33:B64" si="2">-6.555+(A33-1)*1.1218181818</f>
        <v>29.343181817599998</v>
      </c>
      <c r="C33">
        <f t="shared" ref="C33:C64" si="3">0.00728264805748969+0.000343867553260431*B33-0.0552205200885514*(1.00219298245614+(B33-41.6263815789474)^2/246711.395729605)^0.5</f>
        <v>-3.7925083621314803E-2</v>
      </c>
    </row>
    <row r="34" spans="1:3">
      <c r="A34" s="2">
        <v>34</v>
      </c>
      <c r="B34">
        <f t="shared" si="2"/>
        <v>30.4649999994</v>
      </c>
      <c r="C34">
        <f t="shared" si="3"/>
        <v>-3.7536387409180437E-2</v>
      </c>
    </row>
    <row r="35" spans="1:3">
      <c r="A35" s="2">
        <v>35</v>
      </c>
      <c r="B35">
        <f t="shared" si="2"/>
        <v>31.586818181199995</v>
      </c>
      <c r="C35">
        <f t="shared" si="3"/>
        <v>-3.714797235596197E-2</v>
      </c>
    </row>
    <row r="36" spans="1:3">
      <c r="A36" s="2">
        <v>36</v>
      </c>
      <c r="B36">
        <f t="shared" si="2"/>
        <v>32.708636362999997</v>
      </c>
      <c r="C36">
        <f t="shared" si="3"/>
        <v>-3.6759838502211289E-2</v>
      </c>
    </row>
    <row r="37" spans="1:3">
      <c r="A37" s="2">
        <v>37</v>
      </c>
      <c r="B37">
        <f t="shared" si="2"/>
        <v>33.830454544799998</v>
      </c>
      <c r="C37">
        <f t="shared" si="3"/>
        <v>-3.6371985884197128E-2</v>
      </c>
    </row>
    <row r="38" spans="1:3">
      <c r="A38" s="2">
        <v>38</v>
      </c>
      <c r="B38">
        <f t="shared" si="2"/>
        <v>34.9522727266</v>
      </c>
      <c r="C38">
        <f t="shared" si="3"/>
        <v>-3.5984414533902123E-2</v>
      </c>
    </row>
    <row r="39" spans="1:3">
      <c r="A39" s="2">
        <v>39</v>
      </c>
      <c r="B39">
        <f t="shared" si="2"/>
        <v>36.074090908399995</v>
      </c>
      <c r="C39">
        <f t="shared" si="3"/>
        <v>-3.5597124479020553E-2</v>
      </c>
    </row>
    <row r="40" spans="1:3">
      <c r="A40" s="2">
        <v>40</v>
      </c>
      <c r="B40">
        <f t="shared" si="2"/>
        <v>37.195909090199997</v>
      </c>
      <c r="C40">
        <f t="shared" si="3"/>
        <v>-3.5210115742956044E-2</v>
      </c>
    </row>
    <row r="41" spans="1:3">
      <c r="A41" s="2">
        <v>41</v>
      </c>
      <c r="B41">
        <f t="shared" si="2"/>
        <v>38.317727271999999</v>
      </c>
      <c r="C41">
        <f t="shared" si="3"/>
        <v>-3.4823388344819947E-2</v>
      </c>
    </row>
    <row r="42" spans="1:3">
      <c r="A42" s="2">
        <v>42</v>
      </c>
      <c r="B42">
        <f t="shared" si="2"/>
        <v>39.439545453799994</v>
      </c>
      <c r="C42">
        <f t="shared" si="3"/>
        <v>-3.4436942299429812E-2</v>
      </c>
    </row>
    <row r="43" spans="1:3">
      <c r="A43" s="2">
        <v>43</v>
      </c>
      <c r="B43">
        <f t="shared" si="2"/>
        <v>40.561363635599996</v>
      </c>
      <c r="C43">
        <f t="shared" si="3"/>
        <v>-3.4050777617308202E-2</v>
      </c>
    </row>
    <row r="44" spans="1:3">
      <c r="A44" s="2">
        <v>44</v>
      </c>
      <c r="B44">
        <f t="shared" si="2"/>
        <v>41.683181817399998</v>
      </c>
      <c r="C44">
        <f t="shared" si="3"/>
        <v>-3.3664894304681989E-2</v>
      </c>
    </row>
    <row r="45" spans="1:3">
      <c r="A45" s="2">
        <v>45</v>
      </c>
      <c r="B45">
        <f t="shared" si="2"/>
        <v>42.8049999992</v>
      </c>
      <c r="C45">
        <f t="shared" si="3"/>
        <v>-3.3279292363481844E-2</v>
      </c>
    </row>
    <row r="46" spans="1:3">
      <c r="A46" s="2">
        <v>46</v>
      </c>
      <c r="B46">
        <f t="shared" si="2"/>
        <v>43.926818180999994</v>
      </c>
      <c r="C46">
        <f t="shared" si="3"/>
        <v>-3.2893971791342014E-2</v>
      </c>
    </row>
    <row r="47" spans="1:3">
      <c r="A47" s="2">
        <v>47</v>
      </c>
      <c r="B47">
        <f t="shared" si="2"/>
        <v>45.048636362799996</v>
      </c>
      <c r="C47">
        <f t="shared" si="3"/>
        <v>-3.2508932581600605E-2</v>
      </c>
    </row>
    <row r="48" spans="1:3">
      <c r="A48" s="2">
        <v>48</v>
      </c>
      <c r="B48">
        <f t="shared" si="2"/>
        <v>46.170454544599998</v>
      </c>
      <c r="C48">
        <f t="shared" si="3"/>
        <v>-3.2124174723300099E-2</v>
      </c>
    </row>
    <row r="49" spans="1:3">
      <c r="A49" s="2">
        <v>49</v>
      </c>
      <c r="B49">
        <f t="shared" si="2"/>
        <v>47.292272726399993</v>
      </c>
      <c r="C49">
        <f t="shared" si="3"/>
        <v>-3.1739698201188077E-2</v>
      </c>
    </row>
    <row r="50" spans="1:3">
      <c r="A50" s="2">
        <v>50</v>
      </c>
      <c r="B50">
        <f t="shared" si="2"/>
        <v>48.414090908199995</v>
      </c>
      <c r="C50">
        <f t="shared" si="3"/>
        <v>-3.1355502995718459E-2</v>
      </c>
    </row>
    <row r="51" spans="1:3">
      <c r="A51" s="2">
        <v>51</v>
      </c>
      <c r="B51">
        <f t="shared" si="2"/>
        <v>49.535909089999997</v>
      </c>
      <c r="C51">
        <f t="shared" si="3"/>
        <v>-3.097158908305302E-2</v>
      </c>
    </row>
    <row r="52" spans="1:3">
      <c r="A52" s="2">
        <v>52</v>
      </c>
      <c r="B52">
        <f t="shared" si="2"/>
        <v>50.657727271799999</v>
      </c>
      <c r="C52">
        <f t="shared" si="3"/>
        <v>-3.0587956435063145E-2</v>
      </c>
    </row>
    <row r="53" spans="1:3">
      <c r="A53" s="2">
        <v>53</v>
      </c>
      <c r="B53">
        <f t="shared" si="2"/>
        <v>51.779545453599994</v>
      </c>
      <c r="C53">
        <f t="shared" si="3"/>
        <v>-3.0204605019332021E-2</v>
      </c>
    </row>
    <row r="54" spans="1:3">
      <c r="A54" s="2">
        <v>54</v>
      </c>
      <c r="B54">
        <f t="shared" si="2"/>
        <v>52.901363635399996</v>
      </c>
      <c r="C54">
        <f t="shared" si="3"/>
        <v>-2.9821534799157105E-2</v>
      </c>
    </row>
    <row r="55" spans="1:3">
      <c r="A55" s="2">
        <v>55</v>
      </c>
      <c r="B55">
        <f t="shared" si="2"/>
        <v>54.023181817199998</v>
      </c>
      <c r="C55">
        <f t="shared" si="3"/>
        <v>-2.9438745733552867E-2</v>
      </c>
    </row>
    <row r="56" spans="1:3">
      <c r="A56" s="2">
        <v>56</v>
      </c>
      <c r="B56">
        <f t="shared" si="2"/>
        <v>55.144999998999999</v>
      </c>
      <c r="C56">
        <f t="shared" si="3"/>
        <v>-2.905623777725402E-2</v>
      </c>
    </row>
    <row r="57" spans="1:3">
      <c r="A57" s="2">
        <v>57</v>
      </c>
      <c r="B57">
        <f t="shared" si="2"/>
        <v>56.266818180799994</v>
      </c>
      <c r="C57">
        <f t="shared" si="3"/>
        <v>-2.8674010880718886E-2</v>
      </c>
    </row>
    <row r="58" spans="1:3">
      <c r="A58" s="2">
        <v>58</v>
      </c>
      <c r="B58">
        <f t="shared" si="2"/>
        <v>57.388636362599996</v>
      </c>
      <c r="C58">
        <f t="shared" si="3"/>
        <v>-2.8292064990133158E-2</v>
      </c>
    </row>
    <row r="59" spans="1:3">
      <c r="A59" s="2">
        <v>59</v>
      </c>
      <c r="B59">
        <f t="shared" si="2"/>
        <v>58.510454544399998</v>
      </c>
      <c r="C59">
        <f t="shared" si="3"/>
        <v>-2.7910400047414075E-2</v>
      </c>
    </row>
    <row r="60" spans="1:3">
      <c r="A60" s="2">
        <v>60</v>
      </c>
      <c r="B60">
        <f t="shared" si="2"/>
        <v>59.632272726199993</v>
      </c>
      <c r="C60">
        <f t="shared" si="3"/>
        <v>-2.7529015990214779E-2</v>
      </c>
    </row>
    <row r="61" spans="1:3">
      <c r="A61" s="2">
        <v>61</v>
      </c>
      <c r="B61">
        <f t="shared" si="2"/>
        <v>60.754090908000002</v>
      </c>
      <c r="C61">
        <f t="shared" si="3"/>
        <v>-2.7147912751929081E-2</v>
      </c>
    </row>
    <row r="62" spans="1:3">
      <c r="A62" s="2">
        <v>62</v>
      </c>
      <c r="B62">
        <f t="shared" si="2"/>
        <v>61.875909089799997</v>
      </c>
      <c r="C62">
        <f t="shared" si="3"/>
        <v>-2.6767090261696533E-2</v>
      </c>
    </row>
    <row r="63" spans="1:3">
      <c r="A63" s="2">
        <v>63</v>
      </c>
      <c r="B63">
        <f t="shared" si="2"/>
        <v>62.997727271599992</v>
      </c>
      <c r="C63">
        <f t="shared" si="3"/>
        <v>-2.6386548444407784E-2</v>
      </c>
    </row>
    <row r="64" spans="1:3">
      <c r="A64" s="2">
        <v>64</v>
      </c>
      <c r="B64">
        <f t="shared" si="2"/>
        <v>64.119545453400008</v>
      </c>
      <c r="C64">
        <f t="shared" si="3"/>
        <v>-2.6006287220710318E-2</v>
      </c>
    </row>
    <row r="65" spans="1:3">
      <c r="A65" s="2">
        <v>65</v>
      </c>
      <c r="B65">
        <f t="shared" ref="B65:B96" si="4">-6.555+(A65-1)*1.1218181818</f>
        <v>65.241363635200003</v>
      </c>
      <c r="C65">
        <f t="shared" ref="C65:C96" si="5">0.00728264805748969+0.000343867553260431*B65-0.0552205200885514*(1.00219298245614+(B65-41.6263815789474)^2/246711.395729605)^0.5</f>
        <v>-2.562630650701446E-2</v>
      </c>
    </row>
    <row r="66" spans="1:3">
      <c r="A66" s="2">
        <v>66</v>
      </c>
      <c r="B66">
        <f t="shared" si="4"/>
        <v>66.363181816999997</v>
      </c>
      <c r="C66">
        <f t="shared" si="5"/>
        <v>-2.524660621549972E-2</v>
      </c>
    </row>
    <row r="67" spans="1:3">
      <c r="A67" s="2">
        <v>67</v>
      </c>
      <c r="B67">
        <f t="shared" si="4"/>
        <v>67.484999998799992</v>
      </c>
      <c r="C67">
        <f t="shared" si="5"/>
        <v>-2.4867186254121414E-2</v>
      </c>
    </row>
    <row r="68" spans="1:3">
      <c r="A68" s="2">
        <v>68</v>
      </c>
      <c r="B68">
        <f t="shared" si="4"/>
        <v>68.606818180599987</v>
      </c>
      <c r="C68">
        <f t="shared" si="5"/>
        <v>-2.4488046526617728E-2</v>
      </c>
    </row>
    <row r="69" spans="1:3">
      <c r="A69" s="2">
        <v>69</v>
      </c>
      <c r="B69">
        <f t="shared" si="4"/>
        <v>69.728636362399982</v>
      </c>
      <c r="C69">
        <f t="shared" si="5"/>
        <v>-2.4109186932516902E-2</v>
      </c>
    </row>
    <row r="70" spans="1:3">
      <c r="A70" s="2">
        <v>70</v>
      </c>
      <c r="B70">
        <f t="shared" si="4"/>
        <v>70.850454544200005</v>
      </c>
      <c r="C70">
        <f t="shared" si="5"/>
        <v>-2.3730607367144885E-2</v>
      </c>
    </row>
    <row r="71" spans="1:3">
      <c r="A71" s="2">
        <v>71</v>
      </c>
      <c r="B71">
        <f t="shared" si="4"/>
        <v>71.972272726</v>
      </c>
      <c r="C71">
        <f t="shared" si="5"/>
        <v>-2.3352307721633249E-2</v>
      </c>
    </row>
    <row r="72" spans="1:3">
      <c r="A72" s="2">
        <v>72</v>
      </c>
      <c r="B72">
        <f t="shared" si="4"/>
        <v>73.094090907799995</v>
      </c>
      <c r="C72">
        <f t="shared" si="5"/>
        <v>-2.2974287882927366E-2</v>
      </c>
    </row>
    <row r="73" spans="1:3">
      <c r="A73" s="2">
        <v>73</v>
      </c>
      <c r="B73">
        <f t="shared" si="4"/>
        <v>74.21590908959999</v>
      </c>
      <c r="C73">
        <f t="shared" si="5"/>
        <v>-2.2596547733794985E-2</v>
      </c>
    </row>
    <row r="74" spans="1:3">
      <c r="A74" s="2">
        <v>74</v>
      </c>
      <c r="B74">
        <f t="shared" si="4"/>
        <v>75.337727271399984</v>
      </c>
      <c r="C74">
        <f t="shared" si="5"/>
        <v>-2.2219087152835021E-2</v>
      </c>
    </row>
    <row r="75" spans="1:3">
      <c r="A75" s="2">
        <v>75</v>
      </c>
      <c r="B75">
        <f t="shared" si="4"/>
        <v>76.459545453200008</v>
      </c>
      <c r="C75">
        <f t="shared" si="5"/>
        <v>-2.1841906014486732E-2</v>
      </c>
    </row>
    <row r="76" spans="1:3">
      <c r="A76" s="2">
        <v>76</v>
      </c>
      <c r="B76">
        <f t="shared" si="4"/>
        <v>77.581363635000002</v>
      </c>
      <c r="C76">
        <f t="shared" si="5"/>
        <v>-2.1465004189039197E-2</v>
      </c>
    </row>
    <row r="77" spans="1:3">
      <c r="A77" s="2">
        <v>77</v>
      </c>
      <c r="B77">
        <f t="shared" si="4"/>
        <v>78.703181816799997</v>
      </c>
      <c r="C77">
        <f t="shared" si="5"/>
        <v>-2.1088381542640942E-2</v>
      </c>
    </row>
    <row r="78" spans="1:3">
      <c r="A78" s="2">
        <v>78</v>
      </c>
      <c r="B78">
        <f t="shared" si="4"/>
        <v>79.824999998599992</v>
      </c>
      <c r="C78">
        <f t="shared" si="5"/>
        <v>-2.0712037937310142E-2</v>
      </c>
    </row>
    <row r="79" spans="1:3">
      <c r="A79" s="2">
        <v>79</v>
      </c>
      <c r="B79">
        <f t="shared" si="4"/>
        <v>80.946818180399987</v>
      </c>
      <c r="C79">
        <f t="shared" si="5"/>
        <v>-2.0335973230944833E-2</v>
      </c>
    </row>
    <row r="80" spans="1:3">
      <c r="A80" s="2">
        <v>80</v>
      </c>
      <c r="B80">
        <f t="shared" si="4"/>
        <v>82.068636362199982</v>
      </c>
      <c r="C80">
        <f t="shared" si="5"/>
        <v>-1.9960187277333619E-2</v>
      </c>
    </row>
    <row r="81" spans="1:3">
      <c r="A81" s="2">
        <v>81</v>
      </c>
      <c r="B81">
        <f t="shared" si="4"/>
        <v>83.190454544000005</v>
      </c>
      <c r="C81">
        <f t="shared" si="5"/>
        <v>-1.9584679926166644E-2</v>
      </c>
    </row>
    <row r="82" spans="1:3">
      <c r="A82" s="2">
        <v>82</v>
      </c>
      <c r="B82">
        <f t="shared" si="4"/>
        <v>84.3122727258</v>
      </c>
      <c r="C82">
        <f t="shared" si="5"/>
        <v>-1.9209451023046761E-2</v>
      </c>
    </row>
    <row r="83" spans="1:3">
      <c r="A83" s="2">
        <v>83</v>
      </c>
      <c r="B83">
        <f t="shared" si="4"/>
        <v>85.434090907599995</v>
      </c>
      <c r="C83">
        <f t="shared" si="5"/>
        <v>-1.8834500409501083E-2</v>
      </c>
    </row>
    <row r="84" spans="1:3">
      <c r="A84" s="2">
        <v>84</v>
      </c>
      <c r="B84">
        <f t="shared" si="4"/>
        <v>86.555909089399989</v>
      </c>
      <c r="C84">
        <f t="shared" si="5"/>
        <v>-1.8459827922992798E-2</v>
      </c>
    </row>
    <row r="85" spans="1:3">
      <c r="A85" s="2">
        <v>85</v>
      </c>
      <c r="B85">
        <f t="shared" si="4"/>
        <v>87.677727271199984</v>
      </c>
      <c r="C85">
        <f t="shared" si="5"/>
        <v>-1.8085433396933234E-2</v>
      </c>
    </row>
    <row r="86" spans="1:3">
      <c r="A86" s="2">
        <v>86</v>
      </c>
      <c r="B86">
        <f t="shared" si="4"/>
        <v>88.799545453000007</v>
      </c>
      <c r="C86">
        <f t="shared" si="5"/>
        <v>-1.7711316660694337E-2</v>
      </c>
    </row>
    <row r="87" spans="1:3">
      <c r="A87" s="2">
        <v>87</v>
      </c>
      <c r="B87">
        <f t="shared" si="4"/>
        <v>89.921363634800002</v>
      </c>
      <c r="C87">
        <f t="shared" si="5"/>
        <v>-1.7337477539621206E-2</v>
      </c>
    </row>
    <row r="88" spans="1:3">
      <c r="A88" s="2">
        <v>88</v>
      </c>
      <c r="B88">
        <f t="shared" si="4"/>
        <v>91.043181816599997</v>
      </c>
      <c r="C88">
        <f t="shared" si="5"/>
        <v>-1.6963915855045163E-2</v>
      </c>
    </row>
    <row r="89" spans="1:3">
      <c r="A89" s="2">
        <v>89</v>
      </c>
      <c r="B89">
        <f t="shared" si="4"/>
        <v>92.164999998399992</v>
      </c>
      <c r="C89">
        <f t="shared" si="5"/>
        <v>-1.6590631424296926E-2</v>
      </c>
    </row>
    <row r="90" spans="1:3">
      <c r="A90" s="2">
        <v>90</v>
      </c>
      <c r="B90">
        <f t="shared" si="4"/>
        <v>93.286818180199987</v>
      </c>
      <c r="C90">
        <f t="shared" si="5"/>
        <v>-1.6217624060720082E-2</v>
      </c>
    </row>
    <row r="91" spans="1:3">
      <c r="A91" s="2">
        <v>91</v>
      </c>
      <c r="B91">
        <f t="shared" si="4"/>
        <v>94.408636361999982</v>
      </c>
      <c r="C91">
        <f t="shared" si="5"/>
        <v>-1.5844893573684946E-2</v>
      </c>
    </row>
    <row r="92" spans="1:3">
      <c r="A92" s="2">
        <v>92</v>
      </c>
      <c r="B92">
        <f t="shared" si="4"/>
        <v>95.530454543800005</v>
      </c>
      <c r="C92">
        <f t="shared" si="5"/>
        <v>-1.5472439768602519E-2</v>
      </c>
    </row>
    <row r="93" spans="1:3">
      <c r="A93" s="2">
        <v>93</v>
      </c>
      <c r="B93">
        <f t="shared" si="4"/>
        <v>96.6522727256</v>
      </c>
      <c r="C93">
        <f t="shared" si="5"/>
        <v>-1.5100262446938927E-2</v>
      </c>
    </row>
    <row r="94" spans="1:3">
      <c r="A94" s="2">
        <v>94</v>
      </c>
      <c r="B94">
        <f t="shared" si="4"/>
        <v>97.774090907399994</v>
      </c>
      <c r="C94">
        <f t="shared" si="5"/>
        <v>-1.4728361406229878E-2</v>
      </c>
    </row>
    <row r="95" spans="1:3">
      <c r="A95" s="2">
        <v>95</v>
      </c>
      <c r="B95">
        <f t="shared" si="4"/>
        <v>98.895909089199989</v>
      </c>
      <c r="C95">
        <f t="shared" si="5"/>
        <v>-1.4356736440095594E-2</v>
      </c>
    </row>
    <row r="96" spans="1:3">
      <c r="A96" s="2">
        <v>96</v>
      </c>
      <c r="B96">
        <f t="shared" si="4"/>
        <v>100.01772727099998</v>
      </c>
      <c r="C96">
        <f t="shared" si="5"/>
        <v>-1.3985387338255911E-2</v>
      </c>
    </row>
    <row r="97" spans="1:3">
      <c r="A97" s="2">
        <v>97</v>
      </c>
      <c r="B97">
        <f t="shared" ref="B97:B100" si="6">-6.555+(A97-1)*1.1218181818</f>
        <v>101.13954545279998</v>
      </c>
      <c r="C97">
        <f t="shared" ref="C97:C100" si="7">0.00728264805748969+0.000343867553260431*B97-0.0552205200885514*(1.00219298245614+(B97-41.6263815789474)^2/246711.395729605)^0.5</f>
        <v>-1.3614313886545625E-2</v>
      </c>
    </row>
    <row r="98" spans="1:3">
      <c r="A98" s="2">
        <v>98</v>
      </c>
      <c r="B98">
        <f t="shared" si="6"/>
        <v>102.2613636346</v>
      </c>
      <c r="C98">
        <f t="shared" si="7"/>
        <v>-1.324351586693015E-2</v>
      </c>
    </row>
    <row r="99" spans="1:3">
      <c r="A99" s="2">
        <v>99</v>
      </c>
      <c r="B99">
        <f t="shared" si="6"/>
        <v>103.3831818164</v>
      </c>
      <c r="C99">
        <f t="shared" si="7"/>
        <v>-1.2872993057521404E-2</v>
      </c>
    </row>
    <row r="100" spans="1:3">
      <c r="A100" s="2">
        <v>100</v>
      </c>
      <c r="B100">
        <f t="shared" si="6"/>
        <v>104.50499999819999</v>
      </c>
      <c r="C100">
        <f t="shared" si="7"/>
        <v>-1.250274523259394E-2</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enableFormatConditionsCalculation="0"/>
  <dimension ref="A1:C100"/>
  <sheetViews>
    <sheetView workbookViewId="0"/>
  </sheetViews>
  <sheetFormatPr baseColWidth="10" defaultRowHeight="15.75"/>
  <sheetData>
    <row r="1" spans="1:3">
      <c r="A1" s="2">
        <v>1</v>
      </c>
      <c r="B1">
        <f t="shared" ref="B1:B32" si="0">-6.555+(A1-1)*1.1218181818</f>
        <v>-6.5549999999999997</v>
      </c>
      <c r="C1">
        <f t="shared" ref="C1:C32" si="1">0.00728264805748969+0.000343867553260431*B1+0.0552205200885514*(1.00219298245614+(B1-41.6263815789474)^2/246711.395729605)^0.5</f>
        <v>6.0568541667643291E-2</v>
      </c>
    </row>
    <row r="2" spans="1:3">
      <c r="A2" s="2">
        <v>2</v>
      </c>
      <c r="B2">
        <f t="shared" si="0"/>
        <v>-5.4331818181999996</v>
      </c>
      <c r="C2">
        <f t="shared" si="1"/>
        <v>6.0942408893243594E-2</v>
      </c>
    </row>
    <row r="3" spans="1:3">
      <c r="A3" s="2">
        <v>3</v>
      </c>
      <c r="B3">
        <f t="shared" si="0"/>
        <v>-4.3113636363999994</v>
      </c>
      <c r="C3">
        <f t="shared" si="1"/>
        <v>6.1316553751878895E-2</v>
      </c>
    </row>
    <row r="4" spans="1:3">
      <c r="A4" s="2">
        <v>4</v>
      </c>
      <c r="B4">
        <f t="shared" si="0"/>
        <v>-3.1895454546000002</v>
      </c>
      <c r="C4">
        <f t="shared" si="1"/>
        <v>6.169097641779691E-2</v>
      </c>
    </row>
    <row r="5" spans="1:3">
      <c r="A5" s="2">
        <v>5</v>
      </c>
      <c r="B5">
        <f t="shared" si="0"/>
        <v>-2.0677272728</v>
      </c>
      <c r="C5">
        <f t="shared" si="1"/>
        <v>6.2065677061217191E-2</v>
      </c>
    </row>
    <row r="6" spans="1:3">
      <c r="A6" s="2">
        <v>6</v>
      </c>
      <c r="B6">
        <f t="shared" si="0"/>
        <v>-0.94590909099999987</v>
      </c>
      <c r="C6">
        <f t="shared" si="1"/>
        <v>6.2440655848318691E-2</v>
      </c>
    </row>
    <row r="7" spans="1:3">
      <c r="A7" s="2">
        <v>7</v>
      </c>
      <c r="B7">
        <f t="shared" si="0"/>
        <v>0.17590909079999939</v>
      </c>
      <c r="C7">
        <f t="shared" si="1"/>
        <v>6.2815912941227195E-2</v>
      </c>
    </row>
    <row r="8" spans="1:3">
      <c r="A8" s="2">
        <v>8</v>
      </c>
      <c r="B8">
        <f t="shared" si="0"/>
        <v>1.2977272725999995</v>
      </c>
      <c r="C8">
        <f t="shared" si="1"/>
        <v>6.3191448498003427E-2</v>
      </c>
    </row>
    <row r="9" spans="1:3">
      <c r="A9" s="2">
        <v>9</v>
      </c>
      <c r="B9">
        <f t="shared" si="0"/>
        <v>2.4195454543999997</v>
      </c>
      <c r="C9">
        <f t="shared" si="1"/>
        <v>6.3567262672631145E-2</v>
      </c>
    </row>
    <row r="10" spans="1:3">
      <c r="A10" s="2">
        <v>10</v>
      </c>
      <c r="B10">
        <f t="shared" si="0"/>
        <v>3.5413636361999998</v>
      </c>
      <c r="C10">
        <f t="shared" si="1"/>
        <v>6.3943355615005693E-2</v>
      </c>
    </row>
    <row r="11" spans="1:3">
      <c r="A11" s="2">
        <v>11</v>
      </c>
      <c r="B11">
        <f t="shared" si="0"/>
        <v>4.663181818</v>
      </c>
      <c r="C11">
        <f t="shared" si="1"/>
        <v>6.4319727470922836E-2</v>
      </c>
    </row>
    <row r="12" spans="1:3">
      <c r="A12" s="2">
        <v>12</v>
      </c>
      <c r="B12">
        <f t="shared" si="0"/>
        <v>5.7849999998000001</v>
      </c>
      <c r="C12">
        <f t="shared" si="1"/>
        <v>6.4696378382067737E-2</v>
      </c>
    </row>
    <row r="13" spans="1:3">
      <c r="A13" s="2">
        <v>13</v>
      </c>
      <c r="B13">
        <f t="shared" si="0"/>
        <v>6.9068181815999985</v>
      </c>
      <c r="C13">
        <f t="shared" si="1"/>
        <v>6.5073308486004469E-2</v>
      </c>
    </row>
    <row r="14" spans="1:3">
      <c r="A14" s="2">
        <v>14</v>
      </c>
      <c r="B14">
        <f t="shared" si="0"/>
        <v>8.0286363633999986</v>
      </c>
      <c r="C14">
        <f t="shared" si="1"/>
        <v>6.5450517916165629E-2</v>
      </c>
    </row>
    <row r="15" spans="1:3">
      <c r="A15" s="2">
        <v>15</v>
      </c>
      <c r="B15">
        <f t="shared" si="0"/>
        <v>9.1504545451999988</v>
      </c>
      <c r="C15">
        <f t="shared" si="1"/>
        <v>6.5828006801842365E-2</v>
      </c>
    </row>
    <row r="16" spans="1:3">
      <c r="A16" s="2">
        <v>16</v>
      </c>
      <c r="B16">
        <f t="shared" si="0"/>
        <v>10.272272727000001</v>
      </c>
      <c r="C16">
        <f t="shared" si="1"/>
        <v>6.6205775268174616E-2</v>
      </c>
    </row>
    <row r="17" spans="1:3">
      <c r="A17" s="2">
        <v>17</v>
      </c>
      <c r="B17">
        <f t="shared" si="0"/>
        <v>11.394090908799999</v>
      </c>
      <c r="C17">
        <f t="shared" si="1"/>
        <v>6.6583823436141693E-2</v>
      </c>
    </row>
    <row r="18" spans="1:3">
      <c r="A18" s="2">
        <v>18</v>
      </c>
      <c r="B18">
        <f t="shared" si="0"/>
        <v>12.515909090599997</v>
      </c>
      <c r="C18">
        <f t="shared" si="1"/>
        <v>6.6962151422553171E-2</v>
      </c>
    </row>
    <row r="19" spans="1:3">
      <c r="A19" s="2">
        <v>19</v>
      </c>
      <c r="B19">
        <f t="shared" si="0"/>
        <v>13.637727272399999</v>
      </c>
      <c r="C19">
        <f t="shared" si="1"/>
        <v>6.7340759340040204E-2</v>
      </c>
    </row>
    <row r="20" spans="1:3">
      <c r="A20" s="2">
        <v>20</v>
      </c>
      <c r="B20">
        <f t="shared" si="0"/>
        <v>14.759545454199998</v>
      </c>
      <c r="C20">
        <f t="shared" si="1"/>
        <v>6.7719647297046798E-2</v>
      </c>
    </row>
    <row r="21" spans="1:3">
      <c r="A21" s="2">
        <v>21</v>
      </c>
      <c r="B21">
        <f t="shared" si="0"/>
        <v>15.881363636</v>
      </c>
      <c r="C21">
        <f t="shared" si="1"/>
        <v>6.809881539782188E-2</v>
      </c>
    </row>
    <row r="22" spans="1:3">
      <c r="A22" s="2">
        <v>22</v>
      </c>
      <c r="B22">
        <f t="shared" si="0"/>
        <v>17.003181817799998</v>
      </c>
      <c r="C22">
        <f t="shared" si="1"/>
        <v>6.8478263742411144E-2</v>
      </c>
    </row>
    <row r="23" spans="1:3">
      <c r="A23" s="2">
        <v>23</v>
      </c>
      <c r="B23">
        <f t="shared" si="0"/>
        <v>18.1249999996</v>
      </c>
      <c r="C23">
        <f t="shared" si="1"/>
        <v>6.8857992426649778E-2</v>
      </c>
    </row>
    <row r="24" spans="1:3">
      <c r="A24" s="2">
        <v>24</v>
      </c>
      <c r="B24">
        <f t="shared" si="0"/>
        <v>19.246818181399998</v>
      </c>
      <c r="C24">
        <f t="shared" si="1"/>
        <v>6.9238001542154953E-2</v>
      </c>
    </row>
    <row r="25" spans="1:3">
      <c r="A25" s="2">
        <v>25</v>
      </c>
      <c r="B25">
        <f t="shared" si="0"/>
        <v>20.368636363199997</v>
      </c>
      <c r="C25">
        <f t="shared" si="1"/>
        <v>6.9618291176319028E-2</v>
      </c>
    </row>
    <row r="26" spans="1:3">
      <c r="A26" s="2">
        <v>26</v>
      </c>
      <c r="B26">
        <f t="shared" si="0"/>
        <v>21.490454544999999</v>
      </c>
      <c r="C26">
        <f t="shared" si="1"/>
        <v>6.9998861412302937E-2</v>
      </c>
    </row>
    <row r="27" spans="1:3">
      <c r="A27" s="2">
        <v>27</v>
      </c>
      <c r="B27">
        <f t="shared" si="0"/>
        <v>22.612272726799997</v>
      </c>
      <c r="C27">
        <f t="shared" si="1"/>
        <v>7.0379712329029731E-2</v>
      </c>
    </row>
    <row r="28" spans="1:3">
      <c r="A28" s="2">
        <v>28</v>
      </c>
      <c r="B28">
        <f t="shared" si="0"/>
        <v>23.734090908599999</v>
      </c>
      <c r="C28">
        <f t="shared" si="1"/>
        <v>7.0760844001178755E-2</v>
      </c>
    </row>
    <row r="29" spans="1:3">
      <c r="A29" s="2">
        <v>29</v>
      </c>
      <c r="B29">
        <f t="shared" si="0"/>
        <v>24.855909090399997</v>
      </c>
      <c r="C29">
        <f t="shared" si="1"/>
        <v>7.1142256499179921E-2</v>
      </c>
    </row>
    <row r="30" spans="1:3">
      <c r="A30" s="2">
        <v>30</v>
      </c>
      <c r="B30">
        <f t="shared" si="0"/>
        <v>25.977727272199999</v>
      </c>
      <c r="C30">
        <f t="shared" si="1"/>
        <v>7.1523949889208294E-2</v>
      </c>
    </row>
    <row r="31" spans="1:3">
      <c r="A31" s="2">
        <v>31</v>
      </c>
      <c r="B31">
        <f t="shared" si="0"/>
        <v>27.099545454000001</v>
      </c>
      <c r="C31">
        <f t="shared" si="1"/>
        <v>7.190592423317918E-2</v>
      </c>
    </row>
    <row r="32" spans="1:3">
      <c r="A32" s="2">
        <v>32</v>
      </c>
      <c r="B32">
        <f t="shared" si="0"/>
        <v>28.221363635799996</v>
      </c>
      <c r="C32">
        <f t="shared" si="1"/>
        <v>7.2288179588743257E-2</v>
      </c>
    </row>
    <row r="33" spans="1:3">
      <c r="A33" s="2">
        <v>33</v>
      </c>
      <c r="B33">
        <f t="shared" ref="B33:B64" si="2">-6.555+(A33-1)*1.1218181818</f>
        <v>29.343181817599998</v>
      </c>
      <c r="C33">
        <f t="shared" ref="C33:C64" si="3">0.00728264805748969+0.000343867553260431*B33+0.0552205200885514*(1.00219298245614+(B33-41.6263815789474)^2/246711.395729605)^0.5</f>
        <v>7.2670716009282335E-2</v>
      </c>
    </row>
    <row r="34" spans="1:3">
      <c r="A34" s="2">
        <v>34</v>
      </c>
      <c r="B34">
        <f t="shared" si="2"/>
        <v>30.4649999994</v>
      </c>
      <c r="C34">
        <f t="shared" si="3"/>
        <v>7.305353354390523E-2</v>
      </c>
    </row>
    <row r="35" spans="1:3">
      <c r="A35" s="2">
        <v>35</v>
      </c>
      <c r="B35">
        <f t="shared" si="2"/>
        <v>31.586818181199995</v>
      </c>
      <c r="C35">
        <f t="shared" si="3"/>
        <v>7.3436632237444024E-2</v>
      </c>
    </row>
    <row r="36" spans="1:3">
      <c r="A36" s="2">
        <v>36</v>
      </c>
      <c r="B36">
        <f t="shared" si="2"/>
        <v>32.708636362999997</v>
      </c>
      <c r="C36">
        <f t="shared" si="3"/>
        <v>7.3820012130450613E-2</v>
      </c>
    </row>
    <row r="37" spans="1:3">
      <c r="A37" s="2">
        <v>37</v>
      </c>
      <c r="B37">
        <f t="shared" si="2"/>
        <v>33.830454544799998</v>
      </c>
      <c r="C37">
        <f t="shared" si="3"/>
        <v>7.4203673259193706E-2</v>
      </c>
    </row>
    <row r="38" spans="1:3">
      <c r="A38" s="2">
        <v>38</v>
      </c>
      <c r="B38">
        <f t="shared" si="2"/>
        <v>34.9522727266</v>
      </c>
      <c r="C38">
        <f t="shared" si="3"/>
        <v>7.4587615655655984E-2</v>
      </c>
    </row>
    <row r="39" spans="1:3">
      <c r="A39" s="2">
        <v>39</v>
      </c>
      <c r="B39">
        <f t="shared" si="2"/>
        <v>36.074090908399995</v>
      </c>
      <c r="C39">
        <f t="shared" si="3"/>
        <v>7.4971839347531655E-2</v>
      </c>
    </row>
    <row r="40" spans="1:3">
      <c r="A40" s="2">
        <v>40</v>
      </c>
      <c r="B40">
        <f t="shared" si="2"/>
        <v>37.195909090199997</v>
      </c>
      <c r="C40">
        <f t="shared" si="3"/>
        <v>7.5356344358224428E-2</v>
      </c>
    </row>
    <row r="41" spans="1:3">
      <c r="A41" s="2">
        <v>41</v>
      </c>
      <c r="B41">
        <f t="shared" si="2"/>
        <v>38.317727271999999</v>
      </c>
      <c r="C41">
        <f t="shared" si="3"/>
        <v>7.5741130706845586E-2</v>
      </c>
    </row>
    <row r="42" spans="1:3">
      <c r="A42" s="2">
        <v>42</v>
      </c>
      <c r="B42">
        <f t="shared" si="2"/>
        <v>39.439545453799994</v>
      </c>
      <c r="C42">
        <f t="shared" si="3"/>
        <v>7.6126198408212706E-2</v>
      </c>
    </row>
    <row r="43" spans="1:3">
      <c r="A43" s="2">
        <v>43</v>
      </c>
      <c r="B43">
        <f t="shared" si="2"/>
        <v>40.561363635599996</v>
      </c>
      <c r="C43">
        <f t="shared" si="3"/>
        <v>7.6511547472848357E-2</v>
      </c>
    </row>
    <row r="44" spans="1:3">
      <c r="A44" s="2">
        <v>44</v>
      </c>
      <c r="B44">
        <f t="shared" si="2"/>
        <v>41.683181817399998</v>
      </c>
      <c r="C44">
        <f t="shared" si="3"/>
        <v>7.6897177906979419E-2</v>
      </c>
    </row>
    <row r="45" spans="1:3">
      <c r="A45" s="2">
        <v>45</v>
      </c>
      <c r="B45">
        <f t="shared" si="2"/>
        <v>42.8049999992</v>
      </c>
      <c r="C45">
        <f t="shared" si="3"/>
        <v>7.7283089712536529E-2</v>
      </c>
    </row>
    <row r="46" spans="1:3">
      <c r="A46" s="2">
        <v>46</v>
      </c>
      <c r="B46">
        <f t="shared" si="2"/>
        <v>43.926818180999994</v>
      </c>
      <c r="C46">
        <f t="shared" si="3"/>
        <v>7.7669282887153954E-2</v>
      </c>
    </row>
    <row r="47" spans="1:3">
      <c r="A47" s="2">
        <v>47</v>
      </c>
      <c r="B47">
        <f t="shared" si="2"/>
        <v>45.048636362799996</v>
      </c>
      <c r="C47">
        <f t="shared" si="3"/>
        <v>7.8055757424169828E-2</v>
      </c>
    </row>
    <row r="48" spans="1:3">
      <c r="A48" s="2">
        <v>48</v>
      </c>
      <c r="B48">
        <f t="shared" si="2"/>
        <v>46.170454544599998</v>
      </c>
      <c r="C48">
        <f t="shared" si="3"/>
        <v>7.8442513312626583E-2</v>
      </c>
    </row>
    <row r="49" spans="1:3">
      <c r="A49" s="2">
        <v>49</v>
      </c>
      <c r="B49">
        <f t="shared" si="2"/>
        <v>47.292272726399993</v>
      </c>
      <c r="C49">
        <f t="shared" si="3"/>
        <v>7.8829550537271809E-2</v>
      </c>
    </row>
    <row r="50" spans="1:3">
      <c r="A50" s="2">
        <v>50</v>
      </c>
      <c r="B50">
        <f t="shared" si="2"/>
        <v>48.414090908199995</v>
      </c>
      <c r="C50">
        <f t="shared" si="3"/>
        <v>7.921686907855946E-2</v>
      </c>
    </row>
    <row r="51" spans="1:3">
      <c r="A51" s="2">
        <v>51</v>
      </c>
      <c r="B51">
        <f t="shared" si="2"/>
        <v>49.535909089999997</v>
      </c>
      <c r="C51">
        <f t="shared" si="3"/>
        <v>7.9604468912651286E-2</v>
      </c>
    </row>
    <row r="52" spans="1:3">
      <c r="A52" s="2">
        <v>52</v>
      </c>
      <c r="B52">
        <f t="shared" si="2"/>
        <v>50.657727271799999</v>
      </c>
      <c r="C52">
        <f t="shared" si="3"/>
        <v>7.9992350011418661E-2</v>
      </c>
    </row>
    <row r="53" spans="1:3">
      <c r="A53" s="2">
        <v>53</v>
      </c>
      <c r="B53">
        <f t="shared" si="2"/>
        <v>51.779545453599994</v>
      </c>
      <c r="C53">
        <f t="shared" si="3"/>
        <v>8.038051234244481E-2</v>
      </c>
    </row>
    <row r="54" spans="1:3">
      <c r="A54" s="2">
        <v>54</v>
      </c>
      <c r="B54">
        <f t="shared" si="2"/>
        <v>52.901363635399996</v>
      </c>
      <c r="C54">
        <f t="shared" si="3"/>
        <v>8.0768955869027159E-2</v>
      </c>
    </row>
    <row r="55" spans="1:3">
      <c r="A55" s="2">
        <v>55</v>
      </c>
      <c r="B55">
        <f t="shared" si="2"/>
        <v>54.023181817199998</v>
      </c>
      <c r="C55">
        <f t="shared" si="3"/>
        <v>8.1157680550180189E-2</v>
      </c>
    </row>
    <row r="56" spans="1:3">
      <c r="A56" s="2">
        <v>56</v>
      </c>
      <c r="B56">
        <f t="shared" si="2"/>
        <v>55.144999998999999</v>
      </c>
      <c r="C56">
        <f t="shared" si="3"/>
        <v>8.1546686340638594E-2</v>
      </c>
    </row>
    <row r="57" spans="1:3">
      <c r="A57" s="2">
        <v>57</v>
      </c>
      <c r="B57">
        <f t="shared" si="2"/>
        <v>56.266818180799994</v>
      </c>
      <c r="C57">
        <f t="shared" si="3"/>
        <v>8.1935973190860725E-2</v>
      </c>
    </row>
    <row r="58" spans="1:3">
      <c r="A58" s="2">
        <v>58</v>
      </c>
      <c r="B58">
        <f t="shared" si="2"/>
        <v>57.388636362599996</v>
      </c>
      <c r="C58">
        <f t="shared" si="3"/>
        <v>8.2325541047032255E-2</v>
      </c>
    </row>
    <row r="59" spans="1:3">
      <c r="A59" s="2">
        <v>59</v>
      </c>
      <c r="B59">
        <f t="shared" si="2"/>
        <v>58.510454544399998</v>
      </c>
      <c r="C59">
        <f t="shared" si="3"/>
        <v>8.2715389851070437E-2</v>
      </c>
    </row>
    <row r="60" spans="1:3">
      <c r="A60" s="2">
        <v>60</v>
      </c>
      <c r="B60">
        <f t="shared" si="2"/>
        <v>59.632272726199993</v>
      </c>
      <c r="C60">
        <f t="shared" si="3"/>
        <v>8.3105519540628406E-2</v>
      </c>
    </row>
    <row r="61" spans="1:3">
      <c r="A61" s="2">
        <v>61</v>
      </c>
      <c r="B61">
        <f t="shared" si="2"/>
        <v>60.754090908000002</v>
      </c>
      <c r="C61">
        <f t="shared" si="3"/>
        <v>8.349593004909997E-2</v>
      </c>
    </row>
    <row r="62" spans="1:3">
      <c r="A62" s="2">
        <v>62</v>
      </c>
      <c r="B62">
        <f t="shared" si="2"/>
        <v>61.875909089799997</v>
      </c>
      <c r="C62">
        <f t="shared" si="3"/>
        <v>8.3886621305624687E-2</v>
      </c>
    </row>
    <row r="63" spans="1:3">
      <c r="A63" s="2">
        <v>63</v>
      </c>
      <c r="B63">
        <f t="shared" si="2"/>
        <v>62.997727271599992</v>
      </c>
      <c r="C63">
        <f t="shared" si="3"/>
        <v>8.4277593235093193E-2</v>
      </c>
    </row>
    <row r="64" spans="1:3">
      <c r="A64" s="2">
        <v>64</v>
      </c>
      <c r="B64">
        <f t="shared" si="2"/>
        <v>64.119545453400008</v>
      </c>
      <c r="C64">
        <f t="shared" si="3"/>
        <v>8.4668845758153005E-2</v>
      </c>
    </row>
    <row r="65" spans="1:3">
      <c r="A65" s="2">
        <v>65</v>
      </c>
      <c r="B65">
        <f t="shared" ref="B65:B96" si="4">-6.555+(A65-1)*1.1218181818</f>
        <v>65.241363635200003</v>
      </c>
      <c r="C65">
        <f t="shared" ref="C65:C96" si="5">0.00728264805748969+0.000343867553260431*B65+0.0552205200885514*(1.00219298245614+(B65-41.6263815789474)^2/246711.395729605)^0.5</f>
        <v>8.5060378791214405E-2</v>
      </c>
    </row>
    <row r="66" spans="1:3">
      <c r="A66" s="2">
        <v>66</v>
      </c>
      <c r="B66">
        <f t="shared" si="4"/>
        <v>66.363181816999997</v>
      </c>
      <c r="C66">
        <f t="shared" si="5"/>
        <v>8.5452192246456921E-2</v>
      </c>
    </row>
    <row r="67" spans="1:3">
      <c r="A67" s="2">
        <v>67</v>
      </c>
      <c r="B67">
        <f t="shared" si="4"/>
        <v>67.484999998799992</v>
      </c>
      <c r="C67">
        <f t="shared" si="5"/>
        <v>8.5844286031835873E-2</v>
      </c>
    </row>
    <row r="68" spans="1:3">
      <c r="A68" s="2">
        <v>68</v>
      </c>
      <c r="B68">
        <f t="shared" si="4"/>
        <v>68.606818180599987</v>
      </c>
      <c r="C68">
        <f t="shared" si="5"/>
        <v>8.6236660051089459E-2</v>
      </c>
    </row>
    <row r="69" spans="1:3">
      <c r="A69" s="2">
        <v>69</v>
      </c>
      <c r="B69">
        <f t="shared" si="4"/>
        <v>69.728636362399982</v>
      </c>
      <c r="C69">
        <f t="shared" si="5"/>
        <v>8.662931420374588E-2</v>
      </c>
    </row>
    <row r="70" spans="1:3">
      <c r="A70" s="2">
        <v>70</v>
      </c>
      <c r="B70">
        <f t="shared" si="4"/>
        <v>70.850454544200005</v>
      </c>
      <c r="C70">
        <f t="shared" si="5"/>
        <v>8.7022248385131146E-2</v>
      </c>
    </row>
    <row r="71" spans="1:3">
      <c r="A71" s="2">
        <v>71</v>
      </c>
      <c r="B71">
        <f t="shared" si="4"/>
        <v>71.972272726</v>
      </c>
      <c r="C71">
        <f t="shared" si="5"/>
        <v>8.7415462486376772E-2</v>
      </c>
    </row>
    <row r="72" spans="1:3">
      <c r="A72" s="2">
        <v>72</v>
      </c>
      <c r="B72">
        <f t="shared" si="4"/>
        <v>73.094090907799995</v>
      </c>
      <c r="C72">
        <f t="shared" si="5"/>
        <v>8.780895639442815E-2</v>
      </c>
    </row>
    <row r="73" spans="1:3">
      <c r="A73" s="2">
        <v>73</v>
      </c>
      <c r="B73">
        <f t="shared" si="4"/>
        <v>74.21590908959999</v>
      </c>
      <c r="C73">
        <f t="shared" si="5"/>
        <v>8.8202729992053031E-2</v>
      </c>
    </row>
    <row r="74" spans="1:3">
      <c r="A74" s="2">
        <v>74</v>
      </c>
      <c r="B74">
        <f t="shared" si="4"/>
        <v>75.337727271399984</v>
      </c>
      <c r="C74">
        <f t="shared" si="5"/>
        <v>8.8596783157850315E-2</v>
      </c>
    </row>
    <row r="75" spans="1:3">
      <c r="A75" s="2">
        <v>75</v>
      </c>
      <c r="B75">
        <f t="shared" si="4"/>
        <v>76.459545453200008</v>
      </c>
      <c r="C75">
        <f t="shared" si="5"/>
        <v>8.8991115766259316E-2</v>
      </c>
    </row>
    <row r="76" spans="1:3">
      <c r="A76" s="2">
        <v>76</v>
      </c>
      <c r="B76">
        <f t="shared" si="4"/>
        <v>77.581363635000002</v>
      </c>
      <c r="C76">
        <f t="shared" si="5"/>
        <v>8.9385727687569028E-2</v>
      </c>
    </row>
    <row r="77" spans="1:3">
      <c r="A77" s="2">
        <v>77</v>
      </c>
      <c r="B77">
        <f t="shared" si="4"/>
        <v>78.703181816799997</v>
      </c>
      <c r="C77">
        <f t="shared" si="5"/>
        <v>8.9780618787928035E-2</v>
      </c>
    </row>
    <row r="78" spans="1:3">
      <c r="A78" s="2">
        <v>78</v>
      </c>
      <c r="B78">
        <f t="shared" si="4"/>
        <v>79.824999998599992</v>
      </c>
      <c r="C78">
        <f t="shared" si="5"/>
        <v>9.0175788929354489E-2</v>
      </c>
    </row>
    <row r="79" spans="1:3">
      <c r="A79" s="2">
        <v>79</v>
      </c>
      <c r="B79">
        <f t="shared" si="4"/>
        <v>80.946818180399987</v>
      </c>
      <c r="C79">
        <f t="shared" si="5"/>
        <v>9.0571237969746449E-2</v>
      </c>
    </row>
    <row r="80" spans="1:3">
      <c r="A80" s="2">
        <v>80</v>
      </c>
      <c r="B80">
        <f t="shared" si="4"/>
        <v>82.068636362199982</v>
      </c>
      <c r="C80">
        <f t="shared" si="5"/>
        <v>9.0966965762892496E-2</v>
      </c>
    </row>
    <row r="81" spans="1:3">
      <c r="A81" s="2">
        <v>81</v>
      </c>
      <c r="B81">
        <f t="shared" si="4"/>
        <v>83.190454544000005</v>
      </c>
      <c r="C81">
        <f t="shared" si="5"/>
        <v>9.1362972158482797E-2</v>
      </c>
    </row>
    <row r="82" spans="1:3">
      <c r="A82" s="2">
        <v>82</v>
      </c>
      <c r="B82">
        <f t="shared" si="4"/>
        <v>84.3122727258</v>
      </c>
      <c r="C82">
        <f t="shared" si="5"/>
        <v>9.1759257002120176E-2</v>
      </c>
    </row>
    <row r="83" spans="1:3">
      <c r="A83" s="2">
        <v>83</v>
      </c>
      <c r="B83">
        <f t="shared" si="4"/>
        <v>85.434090907599995</v>
      </c>
      <c r="C83">
        <f t="shared" si="5"/>
        <v>9.2155820135331745E-2</v>
      </c>
    </row>
    <row r="84" spans="1:3">
      <c r="A84" s="2">
        <v>84</v>
      </c>
      <c r="B84">
        <f t="shared" si="4"/>
        <v>86.555909089399989</v>
      </c>
      <c r="C84">
        <f t="shared" si="5"/>
        <v>9.2552661395580715E-2</v>
      </c>
    </row>
    <row r="85" spans="1:3">
      <c r="A85" s="2">
        <v>85</v>
      </c>
      <c r="B85">
        <f t="shared" si="4"/>
        <v>87.677727271199984</v>
      </c>
      <c r="C85">
        <f t="shared" si="5"/>
        <v>9.2949780616278427E-2</v>
      </c>
    </row>
    <row r="86" spans="1:3">
      <c r="A86" s="2">
        <v>86</v>
      </c>
      <c r="B86">
        <f t="shared" si="4"/>
        <v>88.799545453000007</v>
      </c>
      <c r="C86">
        <f t="shared" si="5"/>
        <v>9.3347177626796798E-2</v>
      </c>
    </row>
    <row r="87" spans="1:3">
      <c r="A87" s="2">
        <v>87</v>
      </c>
      <c r="B87">
        <f t="shared" si="4"/>
        <v>89.921363634800002</v>
      </c>
      <c r="C87">
        <f t="shared" si="5"/>
        <v>9.3744852252480942E-2</v>
      </c>
    </row>
    <row r="88" spans="1:3">
      <c r="A88" s="2">
        <v>88</v>
      </c>
      <c r="B88">
        <f t="shared" si="4"/>
        <v>91.043181816599997</v>
      </c>
      <c r="C88">
        <f t="shared" si="5"/>
        <v>9.4142804314662154E-2</v>
      </c>
    </row>
    <row r="89" spans="1:3">
      <c r="A89" s="2">
        <v>89</v>
      </c>
      <c r="B89">
        <f t="shared" si="4"/>
        <v>92.164999998399992</v>
      </c>
      <c r="C89">
        <f t="shared" si="5"/>
        <v>9.4541033630671165E-2</v>
      </c>
    </row>
    <row r="90" spans="1:3">
      <c r="A90" s="2">
        <v>90</v>
      </c>
      <c r="B90">
        <f t="shared" si="4"/>
        <v>93.286818180199987</v>
      </c>
      <c r="C90">
        <f t="shared" si="5"/>
        <v>9.4939540013851575E-2</v>
      </c>
    </row>
    <row r="91" spans="1:3">
      <c r="A91" s="2">
        <v>91</v>
      </c>
      <c r="B91">
        <f t="shared" si="4"/>
        <v>94.408636361999982</v>
      </c>
      <c r="C91">
        <f t="shared" si="5"/>
        <v>9.5338323273573708E-2</v>
      </c>
    </row>
    <row r="92" spans="1:3">
      <c r="A92" s="2">
        <v>92</v>
      </c>
      <c r="B92">
        <f t="shared" si="4"/>
        <v>95.530454543800005</v>
      </c>
      <c r="C92">
        <f t="shared" si="5"/>
        <v>9.5737383215248564E-2</v>
      </c>
    </row>
    <row r="93" spans="1:3">
      <c r="A93" s="2">
        <v>93</v>
      </c>
      <c r="B93">
        <f t="shared" si="4"/>
        <v>96.6522727256</v>
      </c>
      <c r="C93">
        <f t="shared" si="5"/>
        <v>9.6136719640342233E-2</v>
      </c>
    </row>
    <row r="94" spans="1:3">
      <c r="A94" s="2">
        <v>94</v>
      </c>
      <c r="B94">
        <f t="shared" si="4"/>
        <v>97.774090907399994</v>
      </c>
      <c r="C94">
        <f t="shared" si="5"/>
        <v>9.6536332346390433E-2</v>
      </c>
    </row>
    <row r="95" spans="1:3">
      <c r="A95" s="2">
        <v>95</v>
      </c>
      <c r="B95">
        <f t="shared" si="4"/>
        <v>98.895909089199989</v>
      </c>
      <c r="C95">
        <f t="shared" si="5"/>
        <v>9.6936221127013417E-2</v>
      </c>
    </row>
    <row r="96" spans="1:3">
      <c r="A96" s="2">
        <v>96</v>
      </c>
      <c r="B96">
        <f t="shared" si="4"/>
        <v>100.01772727099998</v>
      </c>
      <c r="C96">
        <f t="shared" si="5"/>
        <v>9.7336385771930989E-2</v>
      </c>
    </row>
    <row r="97" spans="1:3">
      <c r="A97" s="2">
        <v>97</v>
      </c>
      <c r="B97">
        <f t="shared" ref="B97:B100" si="6">-6.555+(A97-1)*1.1218181818</f>
        <v>101.13954545279998</v>
      </c>
      <c r="C97">
        <f t="shared" ref="C97:C100" si="7">0.00728264805748969+0.000343867553260431*B97+0.0552205200885514*(1.00219298245614+(B97-41.6263815789474)^2/246711.395729605)^0.5</f>
        <v>9.773682606697795E-2</v>
      </c>
    </row>
    <row r="98" spans="1:3">
      <c r="A98" s="2">
        <v>98</v>
      </c>
      <c r="B98">
        <f t="shared" si="6"/>
        <v>102.2613636346</v>
      </c>
      <c r="C98">
        <f t="shared" si="7"/>
        <v>9.8137541794119765E-2</v>
      </c>
    </row>
    <row r="99" spans="1:3">
      <c r="A99" s="2">
        <v>99</v>
      </c>
      <c r="B99">
        <f t="shared" si="6"/>
        <v>103.3831818164</v>
      </c>
      <c r="C99">
        <f t="shared" si="7"/>
        <v>9.8538532731468273E-2</v>
      </c>
    </row>
    <row r="100" spans="1:3">
      <c r="A100" s="2">
        <v>100</v>
      </c>
      <c r="B100">
        <f t="shared" si="6"/>
        <v>104.50499999819999</v>
      </c>
      <c r="C100">
        <f t="shared" si="7"/>
        <v>9.8939798653298078E-2</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enableFormatConditionsCalculation="0"/>
  <dimension ref="A1:C70"/>
  <sheetViews>
    <sheetView workbookViewId="0"/>
  </sheetViews>
  <sheetFormatPr baseColWidth="10" defaultRowHeight="15.75"/>
  <sheetData>
    <row r="1" spans="1:3">
      <c r="A1" s="2">
        <v>1</v>
      </c>
      <c r="B1">
        <f t="shared" ref="B1:B32" si="0">0.0069380928+(A1-1)*0.0005957268</f>
        <v>6.9380928000000001E-3</v>
      </c>
      <c r="C1">
        <f t="shared" ref="C1:C32" si="1">0+1*B1-0.0552205200885514*(1.00219298245614+(B1-0.0215966100421274)^2/0.358461083703489)^0.5</f>
        <v>-4.8359472759060537E-2</v>
      </c>
    </row>
    <row r="2" spans="1:3">
      <c r="A2" s="2">
        <v>2</v>
      </c>
      <c r="B2">
        <f t="shared" si="0"/>
        <v>7.5338196E-3</v>
      </c>
      <c r="C2">
        <f t="shared" si="1"/>
        <v>-4.7762429887574398E-2</v>
      </c>
    </row>
    <row r="3" spans="1:3">
      <c r="A3" s="2">
        <v>3</v>
      </c>
      <c r="B3">
        <f t="shared" si="0"/>
        <v>8.1295463999999998E-3</v>
      </c>
      <c r="C3">
        <f t="shared" si="1"/>
        <v>-4.7165441581628102E-2</v>
      </c>
    </row>
    <row r="4" spans="1:3">
      <c r="A4" s="2">
        <v>4</v>
      </c>
      <c r="B4">
        <f t="shared" si="0"/>
        <v>8.7252731999999996E-3</v>
      </c>
      <c r="C4">
        <f t="shared" si="1"/>
        <v>-4.6568507844956322E-2</v>
      </c>
    </row>
    <row r="5" spans="1:3">
      <c r="A5" s="2">
        <v>5</v>
      </c>
      <c r="B5">
        <f t="shared" si="0"/>
        <v>9.3209999999999994E-3</v>
      </c>
      <c r="C5">
        <f t="shared" si="1"/>
        <v>-4.597162868113254E-2</v>
      </c>
    </row>
    <row r="6" spans="1:3">
      <c r="A6" s="2">
        <v>6</v>
      </c>
      <c r="B6">
        <f t="shared" si="0"/>
        <v>9.916726800000001E-3</v>
      </c>
      <c r="C6">
        <f t="shared" si="1"/>
        <v>-4.5374804093568866E-2</v>
      </c>
    </row>
    <row r="7" spans="1:3">
      <c r="A7" s="2">
        <v>7</v>
      </c>
      <c r="B7">
        <f t="shared" si="0"/>
        <v>1.0512453600000001E-2</v>
      </c>
      <c r="C7">
        <f t="shared" si="1"/>
        <v>-4.4778034085516158E-2</v>
      </c>
    </row>
    <row r="8" spans="1:3">
      <c r="A8" s="2">
        <v>8</v>
      </c>
      <c r="B8">
        <f t="shared" si="0"/>
        <v>1.1108180400000001E-2</v>
      </c>
      <c r="C8">
        <f t="shared" si="1"/>
        <v>-4.418131866006382E-2</v>
      </c>
    </row>
    <row r="9" spans="1:3">
      <c r="A9" s="2">
        <v>9</v>
      </c>
      <c r="B9">
        <f t="shared" si="0"/>
        <v>1.17039072E-2</v>
      </c>
      <c r="C9">
        <f t="shared" si="1"/>
        <v>-4.3584657820139878E-2</v>
      </c>
    </row>
    <row r="10" spans="1:3">
      <c r="A10" s="2">
        <v>10</v>
      </c>
      <c r="B10">
        <f t="shared" si="0"/>
        <v>1.2299634E-2</v>
      </c>
      <c r="C10">
        <f t="shared" si="1"/>
        <v>-4.2988051568510863E-2</v>
      </c>
    </row>
    <row r="11" spans="1:3">
      <c r="A11" s="2">
        <v>11</v>
      </c>
      <c r="B11">
        <f t="shared" si="0"/>
        <v>1.28953608E-2</v>
      </c>
      <c r="C11">
        <f t="shared" si="1"/>
        <v>-4.2391499907781773E-2</v>
      </c>
    </row>
    <row r="12" spans="1:3">
      <c r="A12" s="2">
        <v>12</v>
      </c>
      <c r="B12">
        <f t="shared" si="0"/>
        <v>1.34910876E-2</v>
      </c>
      <c r="C12">
        <f t="shared" si="1"/>
        <v>-4.1795002840396091E-2</v>
      </c>
    </row>
    <row r="13" spans="1:3">
      <c r="A13" s="2">
        <v>13</v>
      </c>
      <c r="B13">
        <f t="shared" si="0"/>
        <v>1.4086814400000001E-2</v>
      </c>
      <c r="C13">
        <f t="shared" si="1"/>
        <v>-4.11985603686357E-2</v>
      </c>
    </row>
    <row r="14" spans="1:3">
      <c r="A14" s="2">
        <v>14</v>
      </c>
      <c r="B14">
        <f t="shared" si="0"/>
        <v>1.46825412E-2</v>
      </c>
      <c r="C14">
        <f t="shared" si="1"/>
        <v>-4.0602172494620836E-2</v>
      </c>
    </row>
    <row r="15" spans="1:3">
      <c r="A15" s="2">
        <v>15</v>
      </c>
      <c r="B15">
        <f t="shared" si="0"/>
        <v>1.5278268000000001E-2</v>
      </c>
      <c r="C15">
        <f t="shared" si="1"/>
        <v>-4.0005839220310105E-2</v>
      </c>
    </row>
    <row r="16" spans="1:3">
      <c r="A16" s="2">
        <v>16</v>
      </c>
      <c r="B16">
        <f t="shared" si="0"/>
        <v>1.5873994799999999E-2</v>
      </c>
      <c r="C16">
        <f t="shared" si="1"/>
        <v>-3.9409560547500451E-2</v>
      </c>
    </row>
    <row r="17" spans="1:3">
      <c r="A17" s="2">
        <v>17</v>
      </c>
      <c r="B17">
        <f t="shared" si="0"/>
        <v>1.6469721600000001E-2</v>
      </c>
      <c r="C17">
        <f t="shared" si="1"/>
        <v>-3.8813336477827039E-2</v>
      </c>
    </row>
    <row r="18" spans="1:3">
      <c r="A18" s="2">
        <v>18</v>
      </c>
      <c r="B18">
        <f t="shared" si="0"/>
        <v>1.7065448400000002E-2</v>
      </c>
      <c r="C18">
        <f t="shared" si="1"/>
        <v>-3.8217167012763363E-2</v>
      </c>
    </row>
    <row r="19" spans="1:3">
      <c r="A19" s="2">
        <v>19</v>
      </c>
      <c r="B19">
        <f t="shared" si="0"/>
        <v>1.76611752E-2</v>
      </c>
      <c r="C19">
        <f t="shared" si="1"/>
        <v>-3.7621052153621146E-2</v>
      </c>
    </row>
    <row r="20" spans="1:3">
      <c r="A20" s="2">
        <v>20</v>
      </c>
      <c r="B20">
        <f t="shared" si="0"/>
        <v>1.8256901999999998E-2</v>
      </c>
      <c r="C20">
        <f t="shared" si="1"/>
        <v>-3.7024991901550314E-2</v>
      </c>
    </row>
    <row r="21" spans="1:3">
      <c r="A21" s="2">
        <v>21</v>
      </c>
      <c r="B21">
        <f t="shared" si="0"/>
        <v>1.88526288E-2</v>
      </c>
      <c r="C21">
        <f t="shared" si="1"/>
        <v>-3.6428986257539021E-2</v>
      </c>
    </row>
    <row r="22" spans="1:3">
      <c r="A22" s="2">
        <v>22</v>
      </c>
      <c r="B22">
        <f t="shared" si="0"/>
        <v>1.9448355600000002E-2</v>
      </c>
      <c r="C22">
        <f t="shared" si="1"/>
        <v>-3.5833035222413635E-2</v>
      </c>
    </row>
    <row r="23" spans="1:3">
      <c r="A23" s="2">
        <v>23</v>
      </c>
      <c r="B23">
        <f t="shared" si="0"/>
        <v>2.0044082400000003E-2</v>
      </c>
      <c r="C23">
        <f t="shared" si="1"/>
        <v>-3.5237138796838638E-2</v>
      </c>
    </row>
    <row r="24" spans="1:3">
      <c r="A24" s="2">
        <v>24</v>
      </c>
      <c r="B24">
        <f t="shared" si="0"/>
        <v>2.0639809200000001E-2</v>
      </c>
      <c r="C24">
        <f t="shared" si="1"/>
        <v>-3.4641296981316752E-2</v>
      </c>
    </row>
    <row r="25" spans="1:3">
      <c r="A25" s="2">
        <v>25</v>
      </c>
      <c r="B25">
        <f t="shared" si="0"/>
        <v>2.1235535999999999E-2</v>
      </c>
      <c r="C25">
        <f t="shared" si="1"/>
        <v>-3.4045509776188844E-2</v>
      </c>
    </row>
    <row r="26" spans="1:3">
      <c r="A26" s="2">
        <v>26</v>
      </c>
      <c r="B26">
        <f t="shared" si="0"/>
        <v>2.1831262800000001E-2</v>
      </c>
      <c r="C26">
        <f t="shared" si="1"/>
        <v>-3.3449777181633902E-2</v>
      </c>
    </row>
    <row r="27" spans="1:3">
      <c r="A27" s="2">
        <v>27</v>
      </c>
      <c r="B27">
        <f t="shared" si="0"/>
        <v>2.2426989600000002E-2</v>
      </c>
      <c r="C27">
        <f t="shared" si="1"/>
        <v>-3.2854099197669115E-2</v>
      </c>
    </row>
    <row r="28" spans="1:3">
      <c r="A28" s="2">
        <v>28</v>
      </c>
      <c r="B28">
        <f t="shared" si="0"/>
        <v>2.30227164E-2</v>
      </c>
      <c r="C28">
        <f t="shared" si="1"/>
        <v>-3.2258475824149799E-2</v>
      </c>
    </row>
    <row r="29" spans="1:3">
      <c r="A29" s="2">
        <v>29</v>
      </c>
      <c r="B29">
        <f t="shared" si="0"/>
        <v>2.3618443200000002E-2</v>
      </c>
      <c r="C29">
        <f t="shared" si="1"/>
        <v>-3.1662907060769477E-2</v>
      </c>
    </row>
    <row r="30" spans="1:3">
      <c r="A30" s="2">
        <v>30</v>
      </c>
      <c r="B30">
        <f t="shared" si="0"/>
        <v>2.421417E-2</v>
      </c>
      <c r="C30">
        <f t="shared" si="1"/>
        <v>-3.1067392907059746E-2</v>
      </c>
    </row>
    <row r="31" spans="1:3">
      <c r="A31" s="2">
        <v>31</v>
      </c>
      <c r="B31">
        <f t="shared" si="0"/>
        <v>2.4809896800000002E-2</v>
      </c>
      <c r="C31">
        <f t="shared" si="1"/>
        <v>-3.0471933362390465E-2</v>
      </c>
    </row>
    <row r="32" spans="1:3">
      <c r="A32" s="2">
        <v>32</v>
      </c>
      <c r="B32">
        <f t="shared" si="0"/>
        <v>2.54056236E-2</v>
      </c>
      <c r="C32">
        <f t="shared" si="1"/>
        <v>-2.9876528425969617E-2</v>
      </c>
    </row>
    <row r="33" spans="1:3">
      <c r="A33" s="2">
        <v>33</v>
      </c>
      <c r="B33">
        <f t="shared" ref="B33:B64" si="2">0.0069380928+(A33-1)*0.0005957268</f>
        <v>2.6001350400000001E-2</v>
      </c>
      <c r="C33">
        <f t="shared" ref="C33:C64" si="3">0+1*B33-0.0552205200885514*(1.00219298245614+(B33-0.0215966100421274)^2/0.358461083703489)^0.5</f>
        <v>-2.9281178096843368E-2</v>
      </c>
    </row>
    <row r="34" spans="1:3">
      <c r="A34" s="2">
        <v>34</v>
      </c>
      <c r="B34">
        <f t="shared" si="2"/>
        <v>2.6597077200000003E-2</v>
      </c>
      <c r="C34">
        <f t="shared" si="3"/>
        <v>-2.868588237389615E-2</v>
      </c>
    </row>
    <row r="35" spans="1:3">
      <c r="A35" s="2">
        <v>35</v>
      </c>
      <c r="B35">
        <f t="shared" si="2"/>
        <v>2.7192804000000001E-2</v>
      </c>
      <c r="C35">
        <f t="shared" si="3"/>
        <v>-2.8090641255850542E-2</v>
      </c>
    </row>
    <row r="36" spans="1:3">
      <c r="A36" s="2">
        <v>36</v>
      </c>
      <c r="B36">
        <f t="shared" si="2"/>
        <v>2.7788530800000003E-2</v>
      </c>
      <c r="C36">
        <f t="shared" si="3"/>
        <v>-2.7495454741267397E-2</v>
      </c>
    </row>
    <row r="37" spans="1:3">
      <c r="A37" s="2">
        <v>37</v>
      </c>
      <c r="B37">
        <f t="shared" si="2"/>
        <v>2.8384257600000001E-2</v>
      </c>
      <c r="C37">
        <f t="shared" si="3"/>
        <v>-2.6900322828545844E-2</v>
      </c>
    </row>
    <row r="38" spans="1:3">
      <c r="A38" s="2">
        <v>38</v>
      </c>
      <c r="B38">
        <f t="shared" si="2"/>
        <v>2.8979984400000002E-2</v>
      </c>
      <c r="C38">
        <f t="shared" si="3"/>
        <v>-2.6305245515923278E-2</v>
      </c>
    </row>
    <row r="39" spans="1:3">
      <c r="A39" s="2">
        <v>39</v>
      </c>
      <c r="B39">
        <f t="shared" si="2"/>
        <v>2.95757112E-2</v>
      </c>
      <c r="C39">
        <f t="shared" si="3"/>
        <v>-2.5710222801475398E-2</v>
      </c>
    </row>
    <row r="40" spans="1:3">
      <c r="A40" s="2">
        <v>40</v>
      </c>
      <c r="B40">
        <f t="shared" si="2"/>
        <v>3.0171438000000002E-2</v>
      </c>
      <c r="C40">
        <f t="shared" si="3"/>
        <v>-2.5115254683116255E-2</v>
      </c>
    </row>
    <row r="41" spans="1:3">
      <c r="A41" s="2">
        <v>41</v>
      </c>
      <c r="B41">
        <f t="shared" si="2"/>
        <v>3.07671648E-2</v>
      </c>
      <c r="C41">
        <f t="shared" si="3"/>
        <v>-2.4520341158598278E-2</v>
      </c>
    </row>
    <row r="42" spans="1:3">
      <c r="A42" s="2">
        <v>42</v>
      </c>
      <c r="B42">
        <f t="shared" si="2"/>
        <v>3.1362891599999998E-2</v>
      </c>
      <c r="C42">
        <f t="shared" si="3"/>
        <v>-2.3925482225512287E-2</v>
      </c>
    </row>
    <row r="43" spans="1:3">
      <c r="A43" s="2">
        <v>43</v>
      </c>
      <c r="B43">
        <f t="shared" si="2"/>
        <v>3.19586184E-2</v>
      </c>
      <c r="C43">
        <f t="shared" si="3"/>
        <v>-2.3330677881287523E-2</v>
      </c>
    </row>
    <row r="44" spans="1:3">
      <c r="A44" s="2">
        <v>44</v>
      </c>
      <c r="B44">
        <f t="shared" si="2"/>
        <v>3.2554345200000001E-2</v>
      </c>
      <c r="C44">
        <f t="shared" si="3"/>
        <v>-2.2735928123191765E-2</v>
      </c>
    </row>
    <row r="45" spans="1:3">
      <c r="A45" s="2">
        <v>45</v>
      </c>
      <c r="B45">
        <f t="shared" si="2"/>
        <v>3.3150072000000003E-2</v>
      </c>
      <c r="C45">
        <f t="shared" si="3"/>
        <v>-2.214123294833123E-2</v>
      </c>
    </row>
    <row r="46" spans="1:3">
      <c r="A46" s="2">
        <v>46</v>
      </c>
      <c r="B46">
        <f t="shared" si="2"/>
        <v>3.3745798800000004E-2</v>
      </c>
      <c r="C46">
        <f t="shared" si="3"/>
        <v>-2.1546592353650758E-2</v>
      </c>
    </row>
    <row r="47" spans="1:3">
      <c r="A47" s="2">
        <v>47</v>
      </c>
      <c r="B47">
        <f t="shared" si="2"/>
        <v>3.4341525600000006E-2</v>
      </c>
      <c r="C47">
        <f t="shared" si="3"/>
        <v>-2.0952006335933762E-2</v>
      </c>
    </row>
    <row r="48" spans="1:3">
      <c r="A48" s="2">
        <v>48</v>
      </c>
      <c r="B48">
        <f t="shared" si="2"/>
        <v>3.49372524E-2</v>
      </c>
      <c r="C48">
        <f t="shared" si="3"/>
        <v>-2.0357474891802348E-2</v>
      </c>
    </row>
    <row r="49" spans="1:3">
      <c r="A49" s="2">
        <v>49</v>
      </c>
      <c r="B49">
        <f t="shared" si="2"/>
        <v>3.5532979200000002E-2</v>
      </c>
      <c r="C49">
        <f t="shared" si="3"/>
        <v>-1.9762998017717255E-2</v>
      </c>
    </row>
    <row r="50" spans="1:3">
      <c r="A50" s="2">
        <v>50</v>
      </c>
      <c r="B50">
        <f t="shared" si="2"/>
        <v>3.6128706000000003E-2</v>
      </c>
      <c r="C50">
        <f t="shared" si="3"/>
        <v>-1.9168575709978042E-2</v>
      </c>
    </row>
    <row r="51" spans="1:3">
      <c r="A51" s="2">
        <v>51</v>
      </c>
      <c r="B51">
        <f t="shared" si="2"/>
        <v>3.6724432799999998E-2</v>
      </c>
      <c r="C51">
        <f t="shared" si="3"/>
        <v>-1.8574207964723081E-2</v>
      </c>
    </row>
    <row r="52" spans="1:3">
      <c r="A52" s="2">
        <v>52</v>
      </c>
      <c r="B52">
        <f t="shared" si="2"/>
        <v>3.73201596E-2</v>
      </c>
      <c r="C52">
        <f t="shared" si="3"/>
        <v>-1.7979894777929536E-2</v>
      </c>
    </row>
    <row r="53" spans="1:3">
      <c r="A53" s="2">
        <v>53</v>
      </c>
      <c r="B53">
        <f t="shared" si="2"/>
        <v>3.7915886400000001E-2</v>
      </c>
      <c r="C53">
        <f t="shared" si="3"/>
        <v>-1.738563614541358E-2</v>
      </c>
    </row>
    <row r="54" spans="1:3">
      <c r="A54" s="2">
        <v>54</v>
      </c>
      <c r="B54">
        <f t="shared" si="2"/>
        <v>3.8511613200000003E-2</v>
      </c>
      <c r="C54">
        <f t="shared" si="3"/>
        <v>-1.679143206283034E-2</v>
      </c>
    </row>
    <row r="55" spans="1:3">
      <c r="A55" s="2">
        <v>55</v>
      </c>
      <c r="B55">
        <f t="shared" si="2"/>
        <v>3.9107340000000004E-2</v>
      </c>
      <c r="C55">
        <f t="shared" si="3"/>
        <v>-1.6197282525673998E-2</v>
      </c>
    </row>
    <row r="56" spans="1:3">
      <c r="A56" s="2">
        <v>56</v>
      </c>
      <c r="B56">
        <f t="shared" si="2"/>
        <v>3.9703066800000006E-2</v>
      </c>
      <c r="C56">
        <f t="shared" si="3"/>
        <v>-1.5603187529277869E-2</v>
      </c>
    </row>
    <row r="57" spans="1:3">
      <c r="A57" s="2">
        <v>57</v>
      </c>
      <c r="B57">
        <f t="shared" si="2"/>
        <v>4.0298793600000007E-2</v>
      </c>
      <c r="C57">
        <f t="shared" si="3"/>
        <v>-1.5009147068814434E-2</v>
      </c>
    </row>
    <row r="58" spans="1:3">
      <c r="A58" s="2">
        <v>58</v>
      </c>
      <c r="B58">
        <f t="shared" si="2"/>
        <v>4.0894520400000009E-2</v>
      </c>
      <c r="C58">
        <f t="shared" si="3"/>
        <v>-1.4415161139295446E-2</v>
      </c>
    </row>
    <row r="59" spans="1:3">
      <c r="A59" s="2">
        <v>59</v>
      </c>
      <c r="B59">
        <f t="shared" si="2"/>
        <v>4.1490247199999997E-2</v>
      </c>
      <c r="C59">
        <f t="shared" si="3"/>
        <v>-1.3821229735572024E-2</v>
      </c>
    </row>
    <row r="60" spans="1:3">
      <c r="A60" s="2">
        <v>60</v>
      </c>
      <c r="B60">
        <f t="shared" si="2"/>
        <v>4.2085973999999998E-2</v>
      </c>
      <c r="C60">
        <f t="shared" si="3"/>
        <v>-1.3227352852334631E-2</v>
      </c>
    </row>
    <row r="61" spans="1:3">
      <c r="A61" s="2">
        <v>61</v>
      </c>
      <c r="B61">
        <f t="shared" si="2"/>
        <v>4.26817008E-2</v>
      </c>
      <c r="C61">
        <f t="shared" si="3"/>
        <v>-1.2633530484113246E-2</v>
      </c>
    </row>
    <row r="62" spans="1:3">
      <c r="A62" s="2">
        <v>62</v>
      </c>
      <c r="B62">
        <f t="shared" si="2"/>
        <v>4.3277427600000001E-2</v>
      </c>
      <c r="C62">
        <f t="shared" si="3"/>
        <v>-1.2039762625277464E-2</v>
      </c>
    </row>
    <row r="63" spans="1:3">
      <c r="A63" s="2">
        <v>63</v>
      </c>
      <c r="B63">
        <f t="shared" si="2"/>
        <v>4.3873154400000003E-2</v>
      </c>
      <c r="C63">
        <f t="shared" si="3"/>
        <v>-1.1446049270036444E-2</v>
      </c>
    </row>
    <row r="64" spans="1:3">
      <c r="A64" s="2">
        <v>64</v>
      </c>
      <c r="B64">
        <f t="shared" si="2"/>
        <v>4.4468881200000004E-2</v>
      </c>
      <c r="C64">
        <f t="shared" si="3"/>
        <v>-1.0852390412439183E-2</v>
      </c>
    </row>
    <row r="65" spans="1:3">
      <c r="A65" s="2">
        <v>65</v>
      </c>
      <c r="B65">
        <f t="shared" ref="B65:B70" si="4">0.0069380928+(A65-1)*0.0005957268</f>
        <v>4.5064608000000006E-2</v>
      </c>
      <c r="C65">
        <f t="shared" ref="C65:C70" si="5">0+1*B65-0.0552205200885514*(1.00219298245614+(B65-0.0215966100421274)^2/0.358461083703489)^0.5</f>
        <v>-1.025878604637441E-2</v>
      </c>
    </row>
    <row r="66" spans="1:3">
      <c r="A66" s="2">
        <v>66</v>
      </c>
      <c r="B66">
        <f t="shared" si="4"/>
        <v>4.5660334800000008E-2</v>
      </c>
      <c r="C66">
        <f t="shared" si="5"/>
        <v>-9.6652361655708216E-3</v>
      </c>
    </row>
    <row r="67" spans="1:3">
      <c r="A67" s="2">
        <v>67</v>
      </c>
      <c r="B67">
        <f t="shared" si="4"/>
        <v>4.6256061600000009E-2</v>
      </c>
      <c r="C67">
        <f t="shared" si="5"/>
        <v>-9.0717407635971248E-3</v>
      </c>
    </row>
    <row r="68" spans="1:3">
      <c r="A68" s="2">
        <v>68</v>
      </c>
      <c r="B68">
        <f t="shared" si="4"/>
        <v>4.6851788399999997E-2</v>
      </c>
      <c r="C68">
        <f t="shared" si="5"/>
        <v>-8.4782998338621268E-3</v>
      </c>
    </row>
    <row r="69" spans="1:3">
      <c r="A69" s="2">
        <v>69</v>
      </c>
      <c r="B69">
        <f t="shared" si="4"/>
        <v>4.7447515199999998E-2</v>
      </c>
      <c r="C69">
        <f t="shared" si="5"/>
        <v>-7.8849133696147766E-3</v>
      </c>
    </row>
    <row r="70" spans="1:3">
      <c r="A70" s="2">
        <v>70</v>
      </c>
      <c r="B70">
        <f t="shared" si="4"/>
        <v>4.8043242E-2</v>
      </c>
      <c r="C70">
        <f t="shared" si="5"/>
        <v>-7.2915813639444077E-3</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enableFormatConditionsCalculation="0"/>
  <dimension ref="A1:C70"/>
  <sheetViews>
    <sheetView workbookViewId="0"/>
  </sheetViews>
  <sheetFormatPr baseColWidth="10" defaultRowHeight="15.75"/>
  <sheetData>
    <row r="1" spans="1:3">
      <c r="A1" s="2">
        <v>1</v>
      </c>
      <c r="B1">
        <f t="shared" ref="B1:B32" si="0">0.0065688724+(A1-1)*0.0006010778</f>
        <v>6.5688724E-3</v>
      </c>
      <c r="C1">
        <f t="shared" ref="C1:C32" si="1">0+1*B1+0.0552205200885514*(1.00219298245614+(B1-0.0215966100421274)^2/0.358461083703489)^0.5</f>
        <v>6.1867281023466607E-2</v>
      </c>
    </row>
    <row r="2" spans="1:3">
      <c r="A2" s="2">
        <v>2</v>
      </c>
      <c r="B2">
        <f t="shared" si="0"/>
        <v>7.1699502000000005E-3</v>
      </c>
      <c r="C2">
        <f t="shared" si="1"/>
        <v>6.2466997057356449E-2</v>
      </c>
    </row>
    <row r="3" spans="1:3">
      <c r="A3" s="2">
        <v>3</v>
      </c>
      <c r="B3">
        <f t="shared" si="0"/>
        <v>7.7710280000000001E-3</v>
      </c>
      <c r="C3">
        <f t="shared" si="1"/>
        <v>6.3066768639034015E-2</v>
      </c>
    </row>
    <row r="4" spans="1:3">
      <c r="A4" s="2">
        <v>4</v>
      </c>
      <c r="B4">
        <f t="shared" si="0"/>
        <v>8.3721057999999998E-3</v>
      </c>
      <c r="C4">
        <f t="shared" si="1"/>
        <v>6.3666595772435872E-2</v>
      </c>
    </row>
    <row r="5" spans="1:3">
      <c r="A5" s="2">
        <v>5</v>
      </c>
      <c r="B5">
        <f t="shared" si="0"/>
        <v>8.9731836000000002E-3</v>
      </c>
      <c r="C5">
        <f t="shared" si="1"/>
        <v>6.42664784613316E-2</v>
      </c>
    </row>
    <row r="6" spans="1:3">
      <c r="A6" s="2">
        <v>6</v>
      </c>
      <c r="B6">
        <f t="shared" si="0"/>
        <v>9.5742614000000007E-3</v>
      </c>
      <c r="C6">
        <f t="shared" si="1"/>
        <v>6.4866416709323582E-2</v>
      </c>
    </row>
    <row r="7" spans="1:3">
      <c r="A7" s="2">
        <v>7</v>
      </c>
      <c r="B7">
        <f t="shared" si="0"/>
        <v>1.0175339200000001E-2</v>
      </c>
      <c r="C7">
        <f t="shared" si="1"/>
        <v>6.5466410519847057E-2</v>
      </c>
    </row>
    <row r="8" spans="1:3">
      <c r="A8" s="2">
        <v>8</v>
      </c>
      <c r="B8">
        <f t="shared" si="0"/>
        <v>1.0776417E-2</v>
      </c>
      <c r="C8">
        <f t="shared" si="1"/>
        <v>6.6066459896170007E-2</v>
      </c>
    </row>
    <row r="9" spans="1:3">
      <c r="A9" s="2">
        <v>9</v>
      </c>
      <c r="B9">
        <f t="shared" si="0"/>
        <v>1.13774948E-2</v>
      </c>
      <c r="C9">
        <f t="shared" si="1"/>
        <v>6.6666564841393147E-2</v>
      </c>
    </row>
    <row r="10" spans="1:3">
      <c r="A10" s="2">
        <v>10</v>
      </c>
      <c r="B10">
        <f t="shared" si="0"/>
        <v>1.1978572600000001E-2</v>
      </c>
      <c r="C10">
        <f t="shared" si="1"/>
        <v>6.726672535844988E-2</v>
      </c>
    </row>
    <row r="11" spans="1:3">
      <c r="A11" s="2">
        <v>11</v>
      </c>
      <c r="B11">
        <f t="shared" si="0"/>
        <v>1.25796504E-2</v>
      </c>
      <c r="C11">
        <f t="shared" si="1"/>
        <v>6.7866941450106216E-2</v>
      </c>
    </row>
    <row r="12" spans="1:3">
      <c r="A12" s="2">
        <v>12</v>
      </c>
      <c r="B12">
        <f t="shared" si="0"/>
        <v>1.31807282E-2</v>
      </c>
      <c r="C12">
        <f t="shared" si="1"/>
        <v>6.8467213118960729E-2</v>
      </c>
    </row>
    <row r="13" spans="1:3">
      <c r="A13" s="2">
        <v>13</v>
      </c>
      <c r="B13">
        <f t="shared" si="0"/>
        <v>1.3781806000000001E-2</v>
      </c>
      <c r="C13">
        <f t="shared" si="1"/>
        <v>6.9067540367444558E-2</v>
      </c>
    </row>
    <row r="14" spans="1:3">
      <c r="A14" s="2">
        <v>14</v>
      </c>
      <c r="B14">
        <f t="shared" si="0"/>
        <v>1.4382883800000001E-2</v>
      </c>
      <c r="C14">
        <f t="shared" si="1"/>
        <v>6.9667923197821391E-2</v>
      </c>
    </row>
    <row r="15" spans="1:3">
      <c r="A15" s="2">
        <v>15</v>
      </c>
      <c r="B15">
        <f t="shared" si="0"/>
        <v>1.49839616E-2</v>
      </c>
      <c r="C15">
        <f t="shared" si="1"/>
        <v>7.0268361612187344E-2</v>
      </c>
    </row>
    <row r="16" spans="1:3">
      <c r="A16" s="2">
        <v>16</v>
      </c>
      <c r="B16">
        <f t="shared" si="0"/>
        <v>1.55850394E-2</v>
      </c>
      <c r="C16">
        <f t="shared" si="1"/>
        <v>7.0868855612470971E-2</v>
      </c>
    </row>
    <row r="17" spans="1:3">
      <c r="A17" s="2">
        <v>17</v>
      </c>
      <c r="B17">
        <f t="shared" si="0"/>
        <v>1.6186117200000003E-2</v>
      </c>
      <c r="C17">
        <f t="shared" si="1"/>
        <v>7.1469405200433281E-2</v>
      </c>
    </row>
    <row r="18" spans="1:3">
      <c r="A18" s="2">
        <v>18</v>
      </c>
      <c r="B18">
        <f t="shared" si="0"/>
        <v>1.6787195000000001E-2</v>
      </c>
      <c r="C18">
        <f t="shared" si="1"/>
        <v>7.2070010377667623E-2</v>
      </c>
    </row>
    <row r="19" spans="1:3">
      <c r="A19" s="2">
        <v>19</v>
      </c>
      <c r="B19">
        <f t="shared" si="0"/>
        <v>1.73882728E-2</v>
      </c>
      <c r="C19">
        <f t="shared" si="1"/>
        <v>7.2670671145599747E-2</v>
      </c>
    </row>
    <row r="20" spans="1:3">
      <c r="A20" s="2">
        <v>20</v>
      </c>
      <c r="B20">
        <f t="shared" si="0"/>
        <v>1.7989350600000002E-2</v>
      </c>
      <c r="C20">
        <f t="shared" si="1"/>
        <v>7.3271387505487756E-2</v>
      </c>
    </row>
    <row r="21" spans="1:3">
      <c r="A21" s="2">
        <v>21</v>
      </c>
      <c r="B21">
        <f t="shared" si="0"/>
        <v>1.8590428400000001E-2</v>
      </c>
      <c r="C21">
        <f t="shared" si="1"/>
        <v>7.3872159458422029E-2</v>
      </c>
    </row>
    <row r="22" spans="1:3">
      <c r="A22" s="2">
        <v>22</v>
      </c>
      <c r="B22">
        <f t="shared" si="0"/>
        <v>1.91915062E-2</v>
      </c>
      <c r="C22">
        <f t="shared" si="1"/>
        <v>7.4472987005325286E-2</v>
      </c>
    </row>
    <row r="23" spans="1:3">
      <c r="A23" s="2">
        <v>23</v>
      </c>
      <c r="B23">
        <f t="shared" si="0"/>
        <v>1.9792584000000002E-2</v>
      </c>
      <c r="C23">
        <f t="shared" si="1"/>
        <v>7.5073870146952534E-2</v>
      </c>
    </row>
    <row r="24" spans="1:3">
      <c r="A24" s="2">
        <v>24</v>
      </c>
      <c r="B24">
        <f t="shared" si="0"/>
        <v>2.0393661800000001E-2</v>
      </c>
      <c r="C24">
        <f t="shared" si="1"/>
        <v>7.5674808883891068E-2</v>
      </c>
    </row>
    <row r="25" spans="1:3">
      <c r="A25" s="2">
        <v>25</v>
      </c>
      <c r="B25">
        <f t="shared" si="0"/>
        <v>2.0994739599999999E-2</v>
      </c>
      <c r="C25">
        <f t="shared" si="1"/>
        <v>7.6275803216560426E-2</v>
      </c>
    </row>
    <row r="26" spans="1:3">
      <c r="A26" s="2">
        <v>26</v>
      </c>
      <c r="B26">
        <f t="shared" si="0"/>
        <v>2.1595817400000002E-2</v>
      </c>
      <c r="C26">
        <f t="shared" si="1"/>
        <v>7.6876853145212448E-2</v>
      </c>
    </row>
    <row r="27" spans="1:3">
      <c r="A27" s="2">
        <v>27</v>
      </c>
      <c r="B27">
        <f t="shared" si="0"/>
        <v>2.2196895200000004E-2</v>
      </c>
      <c r="C27">
        <f t="shared" si="1"/>
        <v>7.7477958669931235E-2</v>
      </c>
    </row>
    <row r="28" spans="1:3">
      <c r="A28" s="2">
        <v>28</v>
      </c>
      <c r="B28">
        <f t="shared" si="0"/>
        <v>2.2797972999999999E-2</v>
      </c>
      <c r="C28">
        <f t="shared" si="1"/>
        <v>7.8079119790633131E-2</v>
      </c>
    </row>
    <row r="29" spans="1:3">
      <c r="A29" s="2">
        <v>29</v>
      </c>
      <c r="B29">
        <f t="shared" si="0"/>
        <v>2.3399050800000001E-2</v>
      </c>
      <c r="C29">
        <f t="shared" si="1"/>
        <v>7.8680336507066739E-2</v>
      </c>
    </row>
    <row r="30" spans="1:3">
      <c r="A30" s="2">
        <v>30</v>
      </c>
      <c r="B30">
        <f t="shared" si="0"/>
        <v>2.4000128600000004E-2</v>
      </c>
      <c r="C30">
        <f t="shared" si="1"/>
        <v>7.9281608818812965E-2</v>
      </c>
    </row>
    <row r="31" spans="1:3">
      <c r="A31" s="2">
        <v>31</v>
      </c>
      <c r="B31">
        <f t="shared" si="0"/>
        <v>2.4601206399999999E-2</v>
      </c>
      <c r="C31">
        <f t="shared" si="1"/>
        <v>7.9882936725284959E-2</v>
      </c>
    </row>
    <row r="32" spans="1:3">
      <c r="A32" s="2">
        <v>32</v>
      </c>
      <c r="B32">
        <f t="shared" si="0"/>
        <v>2.5202284200000001E-2</v>
      </c>
      <c r="C32">
        <f t="shared" si="1"/>
        <v>8.0484320225728129E-2</v>
      </c>
    </row>
    <row r="33" spans="1:3">
      <c r="A33" s="2">
        <v>33</v>
      </c>
      <c r="B33">
        <f t="shared" ref="B33:B64" si="2">0.0065688724+(A33-1)*0.0006010778</f>
        <v>2.5803362000000003E-2</v>
      </c>
      <c r="C33">
        <f t="shared" ref="C33:C64" si="3">0+1*B33+0.0552205200885514*(1.00219298245614+(B33-0.0215966100421274)^2/0.358461083703489)^0.5</f>
        <v>8.1085759319220241E-2</v>
      </c>
    </row>
    <row r="34" spans="1:3">
      <c r="A34" s="2">
        <v>34</v>
      </c>
      <c r="B34">
        <f t="shared" si="2"/>
        <v>2.6404439799999999E-2</v>
      </c>
      <c r="C34">
        <f t="shared" si="3"/>
        <v>8.1687254004671306E-2</v>
      </c>
    </row>
    <row r="35" spans="1:3">
      <c r="A35" s="2">
        <v>35</v>
      </c>
      <c r="B35">
        <f t="shared" si="2"/>
        <v>2.7005517600000001E-2</v>
      </c>
      <c r="C35">
        <f t="shared" si="3"/>
        <v>8.2288804280823705E-2</v>
      </c>
    </row>
    <row r="36" spans="1:3">
      <c r="A36" s="2">
        <v>36</v>
      </c>
      <c r="B36">
        <f t="shared" si="2"/>
        <v>2.7606595400000003E-2</v>
      </c>
      <c r="C36">
        <f t="shared" si="3"/>
        <v>8.2890410146252133E-2</v>
      </c>
    </row>
    <row r="37" spans="1:3">
      <c r="A37" s="2">
        <v>37</v>
      </c>
      <c r="B37">
        <f t="shared" si="2"/>
        <v>2.8207673200000005E-2</v>
      </c>
      <c r="C37">
        <f t="shared" si="3"/>
        <v>8.3492071599363643E-2</v>
      </c>
    </row>
    <row r="38" spans="1:3">
      <c r="A38" s="2">
        <v>38</v>
      </c>
      <c r="B38">
        <f t="shared" si="2"/>
        <v>2.8808751E-2</v>
      </c>
      <c r="C38">
        <f t="shared" si="3"/>
        <v>8.4093788638397712E-2</v>
      </c>
    </row>
    <row r="39" spans="1:3">
      <c r="A39" s="2">
        <v>39</v>
      </c>
      <c r="B39">
        <f t="shared" si="2"/>
        <v>2.9409828800000003E-2</v>
      </c>
      <c r="C39">
        <f t="shared" si="3"/>
        <v>8.4695561261426189E-2</v>
      </c>
    </row>
    <row r="40" spans="1:3">
      <c r="A40" s="2">
        <v>40</v>
      </c>
      <c r="B40">
        <f t="shared" si="2"/>
        <v>3.0010906600000005E-2</v>
      </c>
      <c r="C40">
        <f t="shared" si="3"/>
        <v>8.5297389466353415E-2</v>
      </c>
    </row>
    <row r="41" spans="1:3">
      <c r="A41" s="2">
        <v>41</v>
      </c>
      <c r="B41">
        <f t="shared" si="2"/>
        <v>3.06119844E-2</v>
      </c>
      <c r="C41">
        <f t="shared" si="3"/>
        <v>8.5899273250916161E-2</v>
      </c>
    </row>
    <row r="42" spans="1:3">
      <c r="A42" s="2">
        <v>42</v>
      </c>
      <c r="B42">
        <f t="shared" si="2"/>
        <v>3.1213062200000002E-2</v>
      </c>
      <c r="C42">
        <f t="shared" si="3"/>
        <v>8.6501212612683717E-2</v>
      </c>
    </row>
    <row r="43" spans="1:3">
      <c r="A43" s="2">
        <v>43</v>
      </c>
      <c r="B43">
        <f t="shared" si="2"/>
        <v>3.1814140000000005E-2</v>
      </c>
      <c r="C43">
        <f t="shared" si="3"/>
        <v>8.7103207549057954E-2</v>
      </c>
    </row>
    <row r="44" spans="1:3">
      <c r="A44" s="2">
        <v>44</v>
      </c>
      <c r="B44">
        <f t="shared" si="2"/>
        <v>3.24152178E-2</v>
      </c>
      <c r="C44">
        <f t="shared" si="3"/>
        <v>8.7705258057273278E-2</v>
      </c>
    </row>
    <row r="45" spans="1:3">
      <c r="A45" s="2">
        <v>45</v>
      </c>
      <c r="B45">
        <f t="shared" si="2"/>
        <v>3.3016295600000002E-2</v>
      </c>
      <c r="C45">
        <f t="shared" si="3"/>
        <v>8.8307364134396771E-2</v>
      </c>
    </row>
    <row r="46" spans="1:3">
      <c r="A46" s="2">
        <v>46</v>
      </c>
      <c r="B46">
        <f t="shared" si="2"/>
        <v>3.3617373400000004E-2</v>
      </c>
      <c r="C46">
        <f t="shared" si="3"/>
        <v>8.8909525777328122E-2</v>
      </c>
    </row>
    <row r="47" spans="1:3">
      <c r="A47" s="2">
        <v>47</v>
      </c>
      <c r="B47">
        <f t="shared" si="2"/>
        <v>3.42184512E-2</v>
      </c>
      <c r="C47">
        <f t="shared" si="3"/>
        <v>8.9511742982799805E-2</v>
      </c>
    </row>
    <row r="48" spans="1:3">
      <c r="A48" s="2">
        <v>48</v>
      </c>
      <c r="B48">
        <f t="shared" si="2"/>
        <v>3.4819529000000002E-2</v>
      </c>
      <c r="C48">
        <f t="shared" si="3"/>
        <v>9.0114015747377027E-2</v>
      </c>
    </row>
    <row r="49" spans="1:3">
      <c r="A49" s="2">
        <v>49</v>
      </c>
      <c r="B49">
        <f t="shared" si="2"/>
        <v>3.5420606800000004E-2</v>
      </c>
      <c r="C49">
        <f t="shared" si="3"/>
        <v>9.0716344067457835E-2</v>
      </c>
    </row>
    <row r="50" spans="1:3">
      <c r="A50" s="2">
        <v>50</v>
      </c>
      <c r="B50">
        <f t="shared" si="2"/>
        <v>3.6021684599999999E-2</v>
      </c>
      <c r="C50">
        <f t="shared" si="3"/>
        <v>9.131872793927312E-2</v>
      </c>
    </row>
    <row r="51" spans="1:3">
      <c r="A51" s="2">
        <v>51</v>
      </c>
      <c r="B51">
        <f t="shared" si="2"/>
        <v>3.6622762400000002E-2</v>
      </c>
      <c r="C51">
        <f t="shared" si="3"/>
        <v>9.1921167358886696E-2</v>
      </c>
    </row>
    <row r="52" spans="1:3">
      <c r="A52" s="2">
        <v>52</v>
      </c>
      <c r="B52">
        <f t="shared" si="2"/>
        <v>3.7223840200000004E-2</v>
      </c>
      <c r="C52">
        <f t="shared" si="3"/>
        <v>9.2523662322195416E-2</v>
      </c>
    </row>
    <row r="53" spans="1:3">
      <c r="A53" s="2">
        <v>53</v>
      </c>
      <c r="B53">
        <f t="shared" si="2"/>
        <v>3.7824918000000006E-2</v>
      </c>
      <c r="C53">
        <f t="shared" si="3"/>
        <v>9.3126212824929167E-2</v>
      </c>
    </row>
    <row r="54" spans="1:3">
      <c r="A54" s="2">
        <v>54</v>
      </c>
      <c r="B54">
        <f t="shared" si="2"/>
        <v>3.8425995800000001E-2</v>
      </c>
      <c r="C54">
        <f t="shared" si="3"/>
        <v>9.3728818862650887E-2</v>
      </c>
    </row>
    <row r="55" spans="1:3">
      <c r="A55" s="2">
        <v>55</v>
      </c>
      <c r="B55">
        <f t="shared" si="2"/>
        <v>3.9027073600000003E-2</v>
      </c>
      <c r="C55">
        <f t="shared" si="3"/>
        <v>9.4331480430756787E-2</v>
      </c>
    </row>
    <row r="56" spans="1:3">
      <c r="A56" s="2">
        <v>56</v>
      </c>
      <c r="B56">
        <f t="shared" si="2"/>
        <v>3.9628151400000006E-2</v>
      </c>
      <c r="C56">
        <f t="shared" si="3"/>
        <v>9.4934197524476294E-2</v>
      </c>
    </row>
    <row r="57" spans="1:3">
      <c r="A57" s="2">
        <v>57</v>
      </c>
      <c r="B57">
        <f t="shared" si="2"/>
        <v>4.0229229200000001E-2</v>
      </c>
      <c r="C57">
        <f t="shared" si="3"/>
        <v>9.5536970138872121E-2</v>
      </c>
    </row>
    <row r="58" spans="1:3">
      <c r="A58" s="2">
        <v>58</v>
      </c>
      <c r="B58">
        <f t="shared" si="2"/>
        <v>4.0830307000000003E-2</v>
      </c>
      <c r="C58">
        <f t="shared" si="3"/>
        <v>9.6139798268840448E-2</v>
      </c>
    </row>
    <row r="59" spans="1:3">
      <c r="A59" s="2">
        <v>59</v>
      </c>
      <c r="B59">
        <f t="shared" si="2"/>
        <v>4.1431384800000005E-2</v>
      </c>
      <c r="C59">
        <f t="shared" si="3"/>
        <v>9.6742681909110867E-2</v>
      </c>
    </row>
    <row r="60" spans="1:3">
      <c r="A60" s="2">
        <v>60</v>
      </c>
      <c r="B60">
        <f t="shared" si="2"/>
        <v>4.2032462600000008E-2</v>
      </c>
      <c r="C60">
        <f t="shared" si="3"/>
        <v>9.7345621054246573E-2</v>
      </c>
    </row>
    <row r="61" spans="1:3">
      <c r="A61" s="2">
        <v>61</v>
      </c>
      <c r="B61">
        <f t="shared" si="2"/>
        <v>4.2633540400000003E-2</v>
      </c>
      <c r="C61">
        <f t="shared" si="3"/>
        <v>9.7948615698644326E-2</v>
      </c>
    </row>
    <row r="62" spans="1:3">
      <c r="A62" s="2">
        <v>62</v>
      </c>
      <c r="B62">
        <f t="shared" si="2"/>
        <v>4.3234618200000005E-2</v>
      </c>
      <c r="C62">
        <f t="shared" si="3"/>
        <v>9.8551665836534699E-2</v>
      </c>
    </row>
    <row r="63" spans="1:3">
      <c r="A63" s="2">
        <v>63</v>
      </c>
      <c r="B63">
        <f t="shared" si="2"/>
        <v>4.3835696000000007E-2</v>
      </c>
      <c r="C63">
        <f t="shared" si="3"/>
        <v>9.9154771461982011E-2</v>
      </c>
    </row>
    <row r="64" spans="1:3">
      <c r="A64" s="2">
        <v>64</v>
      </c>
      <c r="B64">
        <f t="shared" si="2"/>
        <v>4.4436773800000003E-2</v>
      </c>
      <c r="C64">
        <f t="shared" si="3"/>
        <v>9.9757932568884447E-2</v>
      </c>
    </row>
    <row r="65" spans="1:3">
      <c r="A65" s="2">
        <v>65</v>
      </c>
      <c r="B65">
        <f t="shared" ref="B65:B70" si="4">0.0065688724+(A65-1)*0.0006010778</f>
        <v>4.5037851600000005E-2</v>
      </c>
      <c r="C65">
        <f t="shared" ref="C65:C70" si="5">0+1*B65+0.0552205200885514*(1.00219298245614+(B65-0.0215966100421274)^2/0.358461083703489)^0.5</f>
        <v>0.10036114915097429</v>
      </c>
    </row>
    <row r="66" spans="1:3">
      <c r="A66" s="2">
        <v>66</v>
      </c>
      <c r="B66">
        <f t="shared" si="4"/>
        <v>4.5638929400000007E-2</v>
      </c>
      <c r="C66">
        <f t="shared" si="5"/>
        <v>0.10096442120181778</v>
      </c>
    </row>
    <row r="67" spans="1:3">
      <c r="A67" s="2">
        <v>67</v>
      </c>
      <c r="B67">
        <f t="shared" si="4"/>
        <v>4.6240007200000002E-2</v>
      </c>
      <c r="C67">
        <f t="shared" si="5"/>
        <v>0.10156774871481539</v>
      </c>
    </row>
    <row r="68" spans="1:3">
      <c r="A68" s="2">
        <v>68</v>
      </c>
      <c r="B68">
        <f t="shared" si="4"/>
        <v>4.6841085000000005E-2</v>
      </c>
      <c r="C68">
        <f t="shared" si="5"/>
        <v>0.10217113168320188</v>
      </c>
    </row>
    <row r="69" spans="1:3">
      <c r="A69" s="2">
        <v>69</v>
      </c>
      <c r="B69">
        <f t="shared" si="4"/>
        <v>4.7442162800000007E-2</v>
      </c>
      <c r="C69">
        <f t="shared" si="5"/>
        <v>0.1027745701000464</v>
      </c>
    </row>
    <row r="70" spans="1:3">
      <c r="A70" s="2">
        <v>70</v>
      </c>
      <c r="B70">
        <f t="shared" si="4"/>
        <v>4.8043240600000002E-2</v>
      </c>
      <c r="C70">
        <f t="shared" si="5"/>
        <v>0.1033780639582525</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R481"/>
  <sheetViews>
    <sheetView showGridLines="0" topLeftCell="A414" zoomScale="91" workbookViewId="0">
      <pane xSplit="1" topLeftCell="B1" activePane="topRight" state="frozen"/>
      <selection pane="topRight" activeCell="M2" sqref="M2"/>
    </sheetView>
  </sheetViews>
  <sheetFormatPr baseColWidth="10" defaultColWidth="13.625" defaultRowHeight="20.100000000000001" customHeight="1"/>
  <cols>
    <col min="1" max="1" width="18.125" style="33" customWidth="1"/>
    <col min="2" max="2" width="30.625" style="32" customWidth="1"/>
    <col min="3" max="3" width="21.125" style="28" customWidth="1"/>
    <col min="4" max="4" width="13.625" style="32" customWidth="1"/>
    <col min="5" max="5" width="18.125" style="32" customWidth="1"/>
    <col min="6" max="6" width="16.375" style="32" hidden="1" customWidth="1"/>
    <col min="7" max="7" width="17.375" customWidth="1"/>
    <col min="8" max="8" width="10.375" style="32" customWidth="1"/>
    <col min="9" max="10" width="13.625" style="32" customWidth="1"/>
    <col min="11" max="11" width="11" style="31" customWidth="1"/>
    <col min="12" max="12" width="12.5" style="33" customWidth="1"/>
    <col min="13" max="13" width="16.875" style="73" customWidth="1"/>
    <col min="14" max="14" width="13.625" style="33" hidden="1" customWidth="1"/>
    <col min="15" max="15" width="16" style="68" customWidth="1"/>
    <col min="16" max="16" width="9.125" style="73" customWidth="1"/>
    <col min="17" max="17" width="8.125" style="73" customWidth="1"/>
    <col min="18" max="18" width="13.875" style="64" customWidth="1"/>
    <col min="19" max="260" width="13.625" style="33" customWidth="1"/>
    <col min="261" max="16384" width="13.625" style="33"/>
  </cols>
  <sheetData>
    <row r="1" spans="1:18" ht="22.5" customHeight="1">
      <c r="A1" s="39" t="s">
        <v>848</v>
      </c>
      <c r="B1" s="39" t="s">
        <v>878</v>
      </c>
      <c r="C1" s="66" t="s">
        <v>1693</v>
      </c>
      <c r="D1" s="39" t="s">
        <v>834</v>
      </c>
      <c r="E1" s="39" t="s">
        <v>1679</v>
      </c>
      <c r="F1" s="39" t="s">
        <v>1699</v>
      </c>
      <c r="G1" s="40" t="s">
        <v>1698</v>
      </c>
      <c r="H1" s="39" t="s">
        <v>151</v>
      </c>
      <c r="I1" s="41" t="s">
        <v>820</v>
      </c>
      <c r="J1" s="41" t="s">
        <v>819</v>
      </c>
      <c r="K1" s="41" t="s">
        <v>873</v>
      </c>
      <c r="L1" s="42" t="s">
        <v>818</v>
      </c>
      <c r="M1" s="43" t="s">
        <v>1680</v>
      </c>
      <c r="N1" s="43" t="s">
        <v>874</v>
      </c>
      <c r="O1" s="79" t="s">
        <v>1681</v>
      </c>
      <c r="P1" s="67" t="s">
        <v>1692</v>
      </c>
      <c r="Q1" s="67" t="s">
        <v>1694</v>
      </c>
      <c r="R1" s="70" t="s">
        <v>1700</v>
      </c>
    </row>
    <row r="2" spans="1:18" ht="20.25" customHeight="1">
      <c r="A2" s="44" t="s">
        <v>876</v>
      </c>
      <c r="B2" s="44" t="s">
        <v>211</v>
      </c>
      <c r="C2" s="45">
        <v>0</v>
      </c>
      <c r="D2" s="47">
        <v>44086.987000000001</v>
      </c>
      <c r="E2" s="47">
        <v>0</v>
      </c>
      <c r="F2" s="47">
        <v>0</v>
      </c>
      <c r="G2" s="46">
        <v>0</v>
      </c>
      <c r="H2" s="47">
        <v>0</v>
      </c>
      <c r="I2" s="48">
        <v>30.03</v>
      </c>
      <c r="J2" s="48">
        <v>51.53</v>
      </c>
      <c r="K2" s="49">
        <v>53.3</v>
      </c>
      <c r="L2" s="49">
        <v>8.26</v>
      </c>
      <c r="M2" s="72">
        <f>N2*100</f>
        <v>2.4</v>
      </c>
      <c r="N2" s="36">
        <v>2.4E-2</v>
      </c>
      <c r="O2" s="68">
        <v>-14.307500000000005</v>
      </c>
      <c r="P2" s="73">
        <v>5.8</v>
      </c>
      <c r="Q2" s="74">
        <f>'Trade Data'!B5</f>
        <v>0.64345331184822074</v>
      </c>
      <c r="R2" s="37">
        <v>0</v>
      </c>
    </row>
    <row r="3" spans="1:18" ht="20.100000000000001" customHeight="1">
      <c r="A3" s="44" t="s">
        <v>876</v>
      </c>
      <c r="B3" s="44" t="s">
        <v>212</v>
      </c>
      <c r="C3" s="45">
        <v>1.954</v>
      </c>
      <c r="D3" s="47">
        <v>174819.27299999999</v>
      </c>
      <c r="E3" s="47">
        <v>1.1177257326770831E-5</v>
      </c>
      <c r="F3" s="47">
        <v>1</v>
      </c>
      <c r="G3" s="46">
        <v>1</v>
      </c>
      <c r="H3" s="47">
        <v>4</v>
      </c>
      <c r="I3" s="48">
        <v>30.03</v>
      </c>
      <c r="J3" s="48">
        <v>51.53</v>
      </c>
      <c r="K3" s="49">
        <v>53.3</v>
      </c>
      <c r="L3" s="49">
        <v>8.26</v>
      </c>
      <c r="M3" s="72">
        <f t="shared" ref="M3:M63" si="0">N3*100</f>
        <v>2.4</v>
      </c>
      <c r="N3" s="36">
        <v>2.4E-2</v>
      </c>
      <c r="O3" s="68">
        <v>-14.307500000000005</v>
      </c>
      <c r="P3" s="73">
        <v>5.8</v>
      </c>
      <c r="Q3" s="74">
        <f>'Trade Data'!B5</f>
        <v>0.64345331184822074</v>
      </c>
      <c r="R3" s="37">
        <v>1</v>
      </c>
    </row>
    <row r="4" spans="1:18" ht="20.100000000000001" customHeight="1">
      <c r="A4" s="44" t="s">
        <v>876</v>
      </c>
      <c r="B4" s="44" t="s">
        <v>213</v>
      </c>
      <c r="C4" s="45">
        <v>0</v>
      </c>
      <c r="D4" s="47">
        <v>392624.88699999999</v>
      </c>
      <c r="E4" s="47">
        <v>0</v>
      </c>
      <c r="F4" s="47">
        <v>0</v>
      </c>
      <c r="G4" s="46">
        <v>1</v>
      </c>
      <c r="H4" s="47">
        <v>6</v>
      </c>
      <c r="I4" s="48">
        <v>30.03</v>
      </c>
      <c r="J4" s="48">
        <v>51.53</v>
      </c>
      <c r="K4" s="49">
        <v>53.3</v>
      </c>
      <c r="L4" s="49">
        <v>8.26</v>
      </c>
      <c r="M4" s="72">
        <f t="shared" si="0"/>
        <v>2.4</v>
      </c>
      <c r="N4" s="36">
        <v>2.4E-2</v>
      </c>
      <c r="O4" s="68">
        <v>-14.307500000000005</v>
      </c>
      <c r="P4" s="73">
        <v>5.8</v>
      </c>
      <c r="Q4" s="74">
        <f>'Trade Data'!B5</f>
        <v>0.64345331184822074</v>
      </c>
      <c r="R4" s="37">
        <v>1</v>
      </c>
    </row>
    <row r="5" spans="1:18" ht="20.100000000000001" customHeight="1">
      <c r="A5" s="44" t="s">
        <v>19</v>
      </c>
      <c r="B5" s="44" t="s">
        <v>214</v>
      </c>
      <c r="C5" s="45">
        <v>0</v>
      </c>
      <c r="D5" s="47">
        <v>44086.987000000001</v>
      </c>
      <c r="E5" s="47">
        <v>0</v>
      </c>
      <c r="F5" s="47">
        <v>0</v>
      </c>
      <c r="G5" s="46">
        <v>0</v>
      </c>
      <c r="H5" s="47">
        <v>0</v>
      </c>
      <c r="I5" s="48">
        <v>16.59</v>
      </c>
      <c r="J5" s="48">
        <v>18.739999999999998</v>
      </c>
      <c r="K5" s="48">
        <v>46.66</v>
      </c>
      <c r="L5" s="49">
        <v>8.26</v>
      </c>
      <c r="M5" s="72">
        <f t="shared" si="0"/>
        <v>2.4</v>
      </c>
      <c r="N5" s="36">
        <v>2.4E-2</v>
      </c>
      <c r="O5" s="68">
        <v>-16.971250000000001</v>
      </c>
      <c r="P5" s="73">
        <v>5.8</v>
      </c>
      <c r="Q5" s="74">
        <f>'Trade Data'!B5</f>
        <v>0.64345331184822074</v>
      </c>
      <c r="R5" s="35">
        <v>0</v>
      </c>
    </row>
    <row r="6" spans="1:18" ht="20.100000000000001" customHeight="1">
      <c r="A6" s="44" t="s">
        <v>19</v>
      </c>
      <c r="B6" s="44" t="s">
        <v>215</v>
      </c>
      <c r="C6" s="45">
        <v>123.35799999999999</v>
      </c>
      <c r="D6" s="47">
        <v>174819.27299999999</v>
      </c>
      <c r="E6" s="47">
        <v>7.0563158102139004E-4</v>
      </c>
      <c r="F6" s="47">
        <v>1</v>
      </c>
      <c r="G6" s="46">
        <v>1</v>
      </c>
      <c r="H6" s="47">
        <v>4</v>
      </c>
      <c r="I6" s="48">
        <v>16.59</v>
      </c>
      <c r="J6" s="48">
        <v>18.739999999999998</v>
      </c>
      <c r="K6" s="48">
        <v>46.66</v>
      </c>
      <c r="L6" s="49">
        <v>8.26</v>
      </c>
      <c r="M6" s="72">
        <f t="shared" si="0"/>
        <v>2.4</v>
      </c>
      <c r="N6" s="36">
        <v>2.4E-2</v>
      </c>
      <c r="O6" s="68">
        <v>-16.971250000000001</v>
      </c>
      <c r="P6" s="73">
        <v>5.8</v>
      </c>
      <c r="Q6" s="74">
        <f>'Trade Data'!B5</f>
        <v>0.64345331184822074</v>
      </c>
      <c r="R6" s="35">
        <v>1</v>
      </c>
    </row>
    <row r="7" spans="1:18" ht="20.100000000000001" customHeight="1">
      <c r="A7" s="44" t="s">
        <v>19</v>
      </c>
      <c r="B7" s="44" t="s">
        <v>216</v>
      </c>
      <c r="C7" s="45">
        <v>550.6</v>
      </c>
      <c r="D7" s="47">
        <v>392624.88699999999</v>
      </c>
      <c r="E7" s="47">
        <v>1.4023563412066643E-3</v>
      </c>
      <c r="F7" s="47">
        <v>1</v>
      </c>
      <c r="G7" s="46">
        <v>1</v>
      </c>
      <c r="H7" s="47">
        <v>2</v>
      </c>
      <c r="I7" s="48">
        <v>16.59</v>
      </c>
      <c r="J7" s="48">
        <v>18.739999999999998</v>
      </c>
      <c r="K7" s="48">
        <v>46.66</v>
      </c>
      <c r="L7" s="49">
        <v>8.26</v>
      </c>
      <c r="M7" s="72">
        <f t="shared" si="0"/>
        <v>2.4</v>
      </c>
      <c r="N7" s="36">
        <v>2.4E-2</v>
      </c>
      <c r="O7" s="68">
        <v>-16.971250000000001</v>
      </c>
      <c r="P7" s="73">
        <v>5.8</v>
      </c>
      <c r="Q7" s="74">
        <f>'Trade Data'!B5</f>
        <v>0.64345331184822074</v>
      </c>
      <c r="R7" s="35">
        <v>1</v>
      </c>
    </row>
    <row r="8" spans="1:18" ht="20.100000000000001" customHeight="1">
      <c r="A8" s="44" t="s">
        <v>20</v>
      </c>
      <c r="B8" s="44" t="s">
        <v>217</v>
      </c>
      <c r="C8" s="45">
        <v>0</v>
      </c>
      <c r="D8" s="47">
        <v>45088.800000000003</v>
      </c>
      <c r="E8" s="47">
        <v>0</v>
      </c>
      <c r="F8" s="47">
        <v>0</v>
      </c>
      <c r="G8" s="46">
        <v>1</v>
      </c>
      <c r="H8" s="47">
        <v>1</v>
      </c>
      <c r="I8" s="48">
        <v>26.49</v>
      </c>
      <c r="J8" s="48">
        <v>49.55</v>
      </c>
      <c r="K8" s="48">
        <v>42.16</v>
      </c>
      <c r="L8" s="49">
        <v>8.26</v>
      </c>
      <c r="M8" s="72">
        <f t="shared" si="0"/>
        <v>2.4</v>
      </c>
      <c r="N8" s="36">
        <v>2.4E-2</v>
      </c>
      <c r="O8" s="68">
        <v>-14.666250000000002</v>
      </c>
      <c r="P8" s="73">
        <v>5.8</v>
      </c>
      <c r="Q8" s="74">
        <f>'Trade Data'!B5</f>
        <v>0.64345331184822074</v>
      </c>
      <c r="R8" s="37">
        <v>0</v>
      </c>
    </row>
    <row r="9" spans="1:18" ht="20.100000000000001" customHeight="1">
      <c r="A9" s="44" t="s">
        <v>20</v>
      </c>
      <c r="B9" s="44" t="s">
        <v>218</v>
      </c>
      <c r="C9" s="45">
        <v>0.45</v>
      </c>
      <c r="D9" s="47">
        <v>163052.37299999999</v>
      </c>
      <c r="E9" s="47">
        <v>2.7598494380698161E-6</v>
      </c>
      <c r="F9" s="47">
        <v>1</v>
      </c>
      <c r="G9" s="46">
        <v>1</v>
      </c>
      <c r="H9" s="47">
        <v>5</v>
      </c>
      <c r="I9" s="48">
        <v>26.49</v>
      </c>
      <c r="J9" s="48">
        <v>49.55</v>
      </c>
      <c r="K9" s="48">
        <v>42.16</v>
      </c>
      <c r="L9" s="49">
        <v>8.26</v>
      </c>
      <c r="M9" s="72">
        <f t="shared" si="0"/>
        <v>2.4</v>
      </c>
      <c r="N9" s="36">
        <v>2.4E-2</v>
      </c>
      <c r="O9" s="68">
        <v>-14.666250000000002</v>
      </c>
      <c r="P9" s="73">
        <v>5.8</v>
      </c>
      <c r="Q9" s="74">
        <f>'Trade Data'!B5</f>
        <v>0.64345331184822074</v>
      </c>
      <c r="R9" s="37">
        <v>1</v>
      </c>
    </row>
    <row r="10" spans="1:18" ht="20.100000000000001" customHeight="1">
      <c r="A10" s="44" t="s">
        <v>20</v>
      </c>
      <c r="B10" s="44" t="s">
        <v>219</v>
      </c>
      <c r="C10" s="45">
        <v>0</v>
      </c>
      <c r="D10" s="47">
        <v>355525.18800000002</v>
      </c>
      <c r="E10" s="47">
        <v>0</v>
      </c>
      <c r="F10" s="47">
        <v>0</v>
      </c>
      <c r="G10" s="46">
        <v>1</v>
      </c>
      <c r="H10" s="47">
        <v>4</v>
      </c>
      <c r="I10" s="48">
        <v>26.49</v>
      </c>
      <c r="J10" s="48">
        <v>49.55</v>
      </c>
      <c r="K10" s="48">
        <v>42.16</v>
      </c>
      <c r="L10" s="49">
        <v>8.26</v>
      </c>
      <c r="M10" s="72">
        <f t="shared" si="0"/>
        <v>2.4</v>
      </c>
      <c r="N10" s="36">
        <v>2.4E-2</v>
      </c>
      <c r="O10" s="68">
        <v>-14.666250000000002</v>
      </c>
      <c r="P10" s="73">
        <v>5.8</v>
      </c>
      <c r="Q10" s="74">
        <f>'Trade Data'!B5</f>
        <v>0.64345331184822074</v>
      </c>
      <c r="R10" s="37">
        <v>1</v>
      </c>
    </row>
    <row r="11" spans="1:18" ht="20.100000000000001" customHeight="1">
      <c r="A11" s="44" t="s">
        <v>21</v>
      </c>
      <c r="B11" s="44" t="s">
        <v>220</v>
      </c>
      <c r="C11" s="45">
        <v>0</v>
      </c>
      <c r="D11" s="47">
        <v>45088.800000000003</v>
      </c>
      <c r="E11" s="47">
        <v>0</v>
      </c>
      <c r="F11" s="47">
        <v>0</v>
      </c>
      <c r="G11" s="46">
        <v>0</v>
      </c>
      <c r="H11" s="47">
        <v>0</v>
      </c>
      <c r="I11" s="48">
        <v>19.149999999999999</v>
      </c>
      <c r="J11" s="48">
        <v>37.130000000000003</v>
      </c>
      <c r="K11" s="48">
        <v>33.32</v>
      </c>
      <c r="L11" s="49">
        <v>8.26</v>
      </c>
      <c r="M11" s="72">
        <f t="shared" si="0"/>
        <v>2.4</v>
      </c>
      <c r="N11" s="36">
        <v>2.4E-2</v>
      </c>
      <c r="O11" s="68">
        <v>-17.217500000000001</v>
      </c>
      <c r="P11" s="73">
        <v>5.8</v>
      </c>
      <c r="Q11" s="74">
        <f>'Trade Data'!B5</f>
        <v>0.64345331184822074</v>
      </c>
      <c r="R11" s="35">
        <v>0</v>
      </c>
    </row>
    <row r="12" spans="1:18" ht="20.100000000000001" customHeight="1">
      <c r="A12" s="44" t="s">
        <v>21</v>
      </c>
      <c r="B12" s="44" t="s">
        <v>226</v>
      </c>
      <c r="C12" s="45">
        <v>1327.241</v>
      </c>
      <c r="D12" s="47">
        <v>163052.37299999999</v>
      </c>
      <c r="E12" s="47">
        <v>8.1399673956293796E-3</v>
      </c>
      <c r="F12" s="47">
        <v>1</v>
      </c>
      <c r="G12" s="46">
        <v>1</v>
      </c>
      <c r="H12" s="47">
        <v>8</v>
      </c>
      <c r="I12" s="48">
        <v>19.149999999999999</v>
      </c>
      <c r="J12" s="48">
        <v>37.130000000000003</v>
      </c>
      <c r="K12" s="48">
        <v>33.32</v>
      </c>
      <c r="L12" s="49">
        <v>8.26</v>
      </c>
      <c r="M12" s="72">
        <f t="shared" si="0"/>
        <v>2.4</v>
      </c>
      <c r="N12" s="36">
        <v>2.4E-2</v>
      </c>
      <c r="O12" s="68">
        <v>-17.217500000000001</v>
      </c>
      <c r="P12" s="73">
        <v>5.8</v>
      </c>
      <c r="Q12" s="74">
        <f>'Trade Data'!B5</f>
        <v>0.64345331184822074</v>
      </c>
      <c r="R12" s="35">
        <v>1</v>
      </c>
    </row>
    <row r="13" spans="1:18" ht="20.100000000000001" customHeight="1">
      <c r="A13" s="44" t="s">
        <v>21</v>
      </c>
      <c r="B13" s="44" t="s">
        <v>227</v>
      </c>
      <c r="C13" s="45">
        <v>31.5</v>
      </c>
      <c r="D13" s="47">
        <v>355525.18800000002</v>
      </c>
      <c r="E13" s="47">
        <v>8.8601317327761318E-5</v>
      </c>
      <c r="F13" s="47">
        <v>1</v>
      </c>
      <c r="G13" s="46">
        <v>1</v>
      </c>
      <c r="H13" s="47">
        <v>1</v>
      </c>
      <c r="I13" s="48">
        <v>19.149999999999999</v>
      </c>
      <c r="J13" s="48">
        <v>37.130000000000003</v>
      </c>
      <c r="K13" s="48">
        <v>33.32</v>
      </c>
      <c r="L13" s="49">
        <v>8.26</v>
      </c>
      <c r="M13" s="72">
        <f t="shared" si="0"/>
        <v>2.4</v>
      </c>
      <c r="N13" s="36">
        <v>2.4E-2</v>
      </c>
      <c r="O13" s="68">
        <v>-17.217500000000001</v>
      </c>
      <c r="P13" s="73">
        <v>5.8</v>
      </c>
      <c r="Q13" s="74">
        <f>'Trade Data'!B5</f>
        <v>0.64345331184822074</v>
      </c>
      <c r="R13" s="35">
        <v>1</v>
      </c>
    </row>
    <row r="14" spans="1:18" ht="20.100000000000001" customHeight="1">
      <c r="A14" s="44" t="s">
        <v>22</v>
      </c>
      <c r="B14" s="44" t="s">
        <v>228</v>
      </c>
      <c r="C14" s="45">
        <v>0</v>
      </c>
      <c r="D14" s="47">
        <v>45088.800000000003</v>
      </c>
      <c r="E14" s="47">
        <v>0</v>
      </c>
      <c r="F14" s="47">
        <v>0</v>
      </c>
      <c r="G14" s="46">
        <v>0</v>
      </c>
      <c r="H14" s="47">
        <v>0</v>
      </c>
      <c r="I14" s="48">
        <v>17.45</v>
      </c>
      <c r="J14" s="50">
        <v>21.31</v>
      </c>
      <c r="K14" s="48">
        <v>43.87</v>
      </c>
      <c r="L14" s="49">
        <v>8.26</v>
      </c>
      <c r="M14" s="72">
        <f t="shared" si="0"/>
        <v>-2.5</v>
      </c>
      <c r="N14" s="36">
        <v>-2.5000000000000001E-2</v>
      </c>
      <c r="O14" s="68">
        <v>-19.132500000000004</v>
      </c>
      <c r="P14" s="73">
        <v>5</v>
      </c>
      <c r="Q14" s="74">
        <f>'Trade Data'!D5</f>
        <v>0.59136484071720108</v>
      </c>
      <c r="R14" s="37">
        <v>0</v>
      </c>
    </row>
    <row r="15" spans="1:18" ht="20.100000000000001" customHeight="1">
      <c r="A15" s="51" t="s">
        <v>22</v>
      </c>
      <c r="B15" s="44" t="s">
        <v>221</v>
      </c>
      <c r="C15" s="45">
        <v>7.6550000000000002</v>
      </c>
      <c r="D15" s="47">
        <v>163052.37299999999</v>
      </c>
      <c r="E15" s="47">
        <v>4.69481054409432E-5</v>
      </c>
      <c r="F15" s="47">
        <v>1</v>
      </c>
      <c r="G15" s="46">
        <v>1</v>
      </c>
      <c r="H15" s="47">
        <v>8</v>
      </c>
      <c r="I15" s="48">
        <v>17.45</v>
      </c>
      <c r="J15" s="48">
        <v>21.31</v>
      </c>
      <c r="K15" s="48">
        <v>43.87</v>
      </c>
      <c r="L15" s="49">
        <v>8.26</v>
      </c>
      <c r="M15" s="72">
        <f t="shared" si="0"/>
        <v>-2.5</v>
      </c>
      <c r="N15" s="36">
        <v>-2.5000000000000001E-2</v>
      </c>
      <c r="O15" s="68">
        <v>-19.132500000000004</v>
      </c>
      <c r="P15" s="73">
        <v>5</v>
      </c>
      <c r="Q15" s="74">
        <f>'Trade Data'!D5</f>
        <v>0.59136484071720108</v>
      </c>
      <c r="R15" s="37">
        <v>1</v>
      </c>
    </row>
    <row r="16" spans="1:18" ht="20.100000000000001" customHeight="1">
      <c r="A16" s="51" t="s">
        <v>22</v>
      </c>
      <c r="B16" s="44" t="s">
        <v>229</v>
      </c>
      <c r="C16" s="45">
        <v>0</v>
      </c>
      <c r="D16" s="47">
        <v>355525.18800000002</v>
      </c>
      <c r="E16" s="47">
        <v>0</v>
      </c>
      <c r="F16" s="47">
        <v>0</v>
      </c>
      <c r="G16" s="46">
        <v>1</v>
      </c>
      <c r="H16" s="47">
        <v>3</v>
      </c>
      <c r="I16" s="48">
        <v>17.45</v>
      </c>
      <c r="J16" s="48">
        <v>21.31</v>
      </c>
      <c r="K16" s="48">
        <v>43.87</v>
      </c>
      <c r="L16" s="49">
        <v>8.26</v>
      </c>
      <c r="M16" s="72">
        <f t="shared" si="0"/>
        <v>-2.5</v>
      </c>
      <c r="N16" s="36">
        <v>-2.5000000000000001E-2</v>
      </c>
      <c r="O16" s="68">
        <v>-19.132500000000004</v>
      </c>
      <c r="P16" s="73">
        <v>5</v>
      </c>
      <c r="Q16" s="74">
        <f>'Trade Data'!D5</f>
        <v>0.59136484071720108</v>
      </c>
      <c r="R16" s="37">
        <v>1</v>
      </c>
    </row>
    <row r="17" spans="1:18" ht="20.100000000000001" customHeight="1">
      <c r="A17" s="44" t="s">
        <v>24</v>
      </c>
      <c r="B17" s="44" t="s">
        <v>230</v>
      </c>
      <c r="C17" s="45">
        <v>0</v>
      </c>
      <c r="D17" s="47">
        <v>45088.800000000003</v>
      </c>
      <c r="E17" s="47">
        <v>0</v>
      </c>
      <c r="F17" s="47">
        <v>0</v>
      </c>
      <c r="G17" s="46">
        <v>0</v>
      </c>
      <c r="H17" s="47">
        <v>0</v>
      </c>
      <c r="I17" s="48">
        <v>25.83</v>
      </c>
      <c r="J17" s="48">
        <v>60.54</v>
      </c>
      <c r="K17" s="48">
        <v>32.75</v>
      </c>
      <c r="L17" s="49">
        <v>8.26</v>
      </c>
      <c r="M17" s="72">
        <f t="shared" si="0"/>
        <v>-2.5</v>
      </c>
      <c r="N17" s="36">
        <v>-2.5000000000000001E-2</v>
      </c>
      <c r="O17" s="68">
        <v>-16.116249999999994</v>
      </c>
      <c r="P17" s="73">
        <v>5</v>
      </c>
      <c r="Q17" s="74">
        <f>'Trade Data'!D5</f>
        <v>0.59136484071720108</v>
      </c>
      <c r="R17" s="35">
        <v>0</v>
      </c>
    </row>
    <row r="18" spans="1:18" ht="20.100000000000001" customHeight="1">
      <c r="A18" s="44" t="s">
        <v>24</v>
      </c>
      <c r="B18" s="44" t="s">
        <v>231</v>
      </c>
      <c r="C18" s="45">
        <v>0</v>
      </c>
      <c r="D18" s="47">
        <v>163052.37299999999</v>
      </c>
      <c r="E18" s="47">
        <v>0</v>
      </c>
      <c r="F18" s="47">
        <v>0</v>
      </c>
      <c r="G18" s="46">
        <v>1</v>
      </c>
      <c r="H18" s="47">
        <v>1</v>
      </c>
      <c r="I18" s="48">
        <v>25.83</v>
      </c>
      <c r="J18" s="48">
        <v>60.54</v>
      </c>
      <c r="K18" s="48">
        <v>32.75</v>
      </c>
      <c r="L18" s="49">
        <v>8.26</v>
      </c>
      <c r="M18" s="72">
        <f t="shared" si="0"/>
        <v>-2.5</v>
      </c>
      <c r="N18" s="36">
        <v>-2.5000000000000001E-2</v>
      </c>
      <c r="O18" s="68">
        <v>-16.116249999999994</v>
      </c>
      <c r="P18" s="73">
        <v>5</v>
      </c>
      <c r="Q18" s="74">
        <f>'Trade Data'!D5</f>
        <v>0.59136484071720108</v>
      </c>
      <c r="R18" s="35">
        <v>1</v>
      </c>
    </row>
    <row r="19" spans="1:18" ht="20.100000000000001" customHeight="1">
      <c r="A19" s="44" t="s">
        <v>24</v>
      </c>
      <c r="B19" s="44" t="s">
        <v>222</v>
      </c>
      <c r="C19" s="45">
        <v>216.95099999999999</v>
      </c>
      <c r="D19" s="47">
        <v>355525.18800000002</v>
      </c>
      <c r="E19" s="47">
        <v>6.1022680620873471E-4</v>
      </c>
      <c r="F19" s="47">
        <v>1</v>
      </c>
      <c r="G19" s="46">
        <v>1</v>
      </c>
      <c r="H19" s="47">
        <v>5</v>
      </c>
      <c r="I19" s="48">
        <v>25.83</v>
      </c>
      <c r="J19" s="48">
        <v>60.54</v>
      </c>
      <c r="K19" s="48">
        <v>32.75</v>
      </c>
      <c r="L19" s="49">
        <v>8.26</v>
      </c>
      <c r="M19" s="72">
        <f t="shared" si="0"/>
        <v>-2.5</v>
      </c>
      <c r="N19" s="36">
        <v>-2.5000000000000001E-2</v>
      </c>
      <c r="O19" s="68">
        <v>-16.116249999999994</v>
      </c>
      <c r="P19" s="73">
        <v>5</v>
      </c>
      <c r="Q19" s="74">
        <f>'Trade Data'!D5</f>
        <v>0.59136484071720108</v>
      </c>
      <c r="R19" s="35">
        <v>1</v>
      </c>
    </row>
    <row r="20" spans="1:18" ht="20.100000000000001" customHeight="1">
      <c r="A20" s="44" t="s">
        <v>23</v>
      </c>
      <c r="B20" s="44" t="s">
        <v>223</v>
      </c>
      <c r="C20" s="45">
        <v>0</v>
      </c>
      <c r="D20" s="47">
        <v>38149.847999999998</v>
      </c>
      <c r="E20" s="47">
        <v>0</v>
      </c>
      <c r="F20" s="47">
        <v>0</v>
      </c>
      <c r="G20" s="46">
        <v>0</v>
      </c>
      <c r="H20" s="47">
        <v>0</v>
      </c>
      <c r="I20" s="48">
        <v>21.71</v>
      </c>
      <c r="J20" s="48">
        <v>44</v>
      </c>
      <c r="K20" s="48">
        <v>37.159999999999997</v>
      </c>
      <c r="L20" s="49">
        <v>8.26</v>
      </c>
      <c r="M20" s="72">
        <f t="shared" si="0"/>
        <v>-2.5</v>
      </c>
      <c r="N20" s="36">
        <v>-2.5000000000000001E-2</v>
      </c>
      <c r="O20" s="68">
        <v>-16.048749999999998</v>
      </c>
      <c r="P20" s="73">
        <v>5</v>
      </c>
      <c r="Q20" s="74">
        <f>'Trade Data'!D5</f>
        <v>0.59136484071720108</v>
      </c>
      <c r="R20" s="37">
        <v>0</v>
      </c>
    </row>
    <row r="21" spans="1:18" ht="20.100000000000001" customHeight="1">
      <c r="A21" s="44" t="s">
        <v>23</v>
      </c>
      <c r="B21" s="44" t="s">
        <v>224</v>
      </c>
      <c r="C21" s="45">
        <v>6.05</v>
      </c>
      <c r="D21" s="47">
        <v>177232.57200000001</v>
      </c>
      <c r="E21" s="47">
        <v>3.4135937495733006E-5</v>
      </c>
      <c r="F21" s="47">
        <v>1</v>
      </c>
      <c r="G21" s="46">
        <v>1</v>
      </c>
      <c r="H21" s="47">
        <v>4</v>
      </c>
      <c r="I21" s="48">
        <v>21.71</v>
      </c>
      <c r="J21" s="48">
        <v>44</v>
      </c>
      <c r="K21" s="48">
        <v>37.159999999999997</v>
      </c>
      <c r="L21" s="49">
        <v>8.26</v>
      </c>
      <c r="M21" s="72">
        <f t="shared" si="0"/>
        <v>-2.5</v>
      </c>
      <c r="N21" s="36">
        <v>-2.5000000000000001E-2</v>
      </c>
      <c r="O21" s="68">
        <v>-16.048749999999998</v>
      </c>
      <c r="P21" s="73">
        <v>5</v>
      </c>
      <c r="Q21" s="74">
        <f>'Trade Data'!D5</f>
        <v>0.59136484071720108</v>
      </c>
      <c r="R21" s="37">
        <v>1</v>
      </c>
    </row>
    <row r="22" spans="1:18" ht="20.100000000000001" customHeight="1">
      <c r="A22" s="44" t="s">
        <v>23</v>
      </c>
      <c r="B22" s="44" t="s">
        <v>225</v>
      </c>
      <c r="C22" s="45">
        <v>0</v>
      </c>
      <c r="D22" s="47">
        <v>416174.41800000001</v>
      </c>
      <c r="E22" s="47">
        <v>0</v>
      </c>
      <c r="F22" s="47">
        <v>0</v>
      </c>
      <c r="G22" s="46">
        <v>1</v>
      </c>
      <c r="H22" s="47">
        <v>1</v>
      </c>
      <c r="I22" s="48">
        <v>21.71</v>
      </c>
      <c r="J22" s="48">
        <v>44</v>
      </c>
      <c r="K22" s="48">
        <v>37.159999999999997</v>
      </c>
      <c r="L22" s="49">
        <v>8.26</v>
      </c>
      <c r="M22" s="72">
        <f t="shared" si="0"/>
        <v>-2.5</v>
      </c>
      <c r="N22" s="36">
        <v>-2.5000000000000001E-2</v>
      </c>
      <c r="O22" s="68">
        <v>-16.048749999999998</v>
      </c>
      <c r="P22" s="73">
        <v>5</v>
      </c>
      <c r="Q22" s="74">
        <f>'Trade Data'!D5</f>
        <v>0.59136484071720108</v>
      </c>
      <c r="R22" s="37">
        <v>1</v>
      </c>
    </row>
    <row r="23" spans="1:18" ht="20.100000000000001" customHeight="1">
      <c r="A23" s="44" t="s">
        <v>25</v>
      </c>
      <c r="B23" s="44" t="s">
        <v>234</v>
      </c>
      <c r="C23" s="45">
        <v>0</v>
      </c>
      <c r="D23" s="47">
        <v>38149.847999999998</v>
      </c>
      <c r="E23" s="47">
        <v>0</v>
      </c>
      <c r="F23" s="47">
        <v>0</v>
      </c>
      <c r="G23" s="46">
        <v>0</v>
      </c>
      <c r="H23" s="47">
        <v>0</v>
      </c>
      <c r="I23" s="48">
        <v>16.41</v>
      </c>
      <c r="J23" s="48">
        <v>18.809999999999999</v>
      </c>
      <c r="K23" s="48">
        <v>42.1</v>
      </c>
      <c r="L23" s="49">
        <v>7.68</v>
      </c>
      <c r="M23" s="72">
        <f t="shared" si="0"/>
        <v>-2.5</v>
      </c>
      <c r="N23" s="36">
        <v>-2.5000000000000001E-2</v>
      </c>
      <c r="O23" s="68">
        <v>-17.296250000000004</v>
      </c>
      <c r="P23" s="73">
        <v>5</v>
      </c>
      <c r="Q23" s="74">
        <f>'Trade Data'!D5</f>
        <v>0.59136484071720108</v>
      </c>
      <c r="R23" s="35">
        <v>0</v>
      </c>
    </row>
    <row r="24" spans="1:18" ht="20.100000000000001" customHeight="1">
      <c r="A24" s="44" t="s">
        <v>25</v>
      </c>
      <c r="B24" s="44" t="s">
        <v>232</v>
      </c>
      <c r="C24" s="45">
        <v>24.372</v>
      </c>
      <c r="D24" s="47">
        <v>177232.57200000001</v>
      </c>
      <c r="E24" s="47">
        <v>1.3751422622248013E-4</v>
      </c>
      <c r="F24" s="47">
        <v>1</v>
      </c>
      <c r="G24" s="46">
        <v>1</v>
      </c>
      <c r="H24" s="47">
        <v>2</v>
      </c>
      <c r="I24" s="48">
        <v>16.41</v>
      </c>
      <c r="J24" s="48">
        <v>18.809999999999999</v>
      </c>
      <c r="K24" s="48">
        <v>42.1</v>
      </c>
      <c r="L24" s="49">
        <v>7.68</v>
      </c>
      <c r="M24" s="72">
        <f t="shared" si="0"/>
        <v>-2.5</v>
      </c>
      <c r="N24" s="36">
        <v>-2.5000000000000001E-2</v>
      </c>
      <c r="O24" s="68">
        <v>-17.296250000000004</v>
      </c>
      <c r="P24" s="73">
        <v>5</v>
      </c>
      <c r="Q24" s="74">
        <f>'Trade Data'!D5</f>
        <v>0.59136484071720108</v>
      </c>
      <c r="R24" s="35">
        <v>1</v>
      </c>
    </row>
    <row r="25" spans="1:18" ht="20.100000000000001" customHeight="1">
      <c r="A25" s="44" t="s">
        <v>25</v>
      </c>
      <c r="B25" s="44" t="s">
        <v>233</v>
      </c>
      <c r="C25" s="45">
        <v>0</v>
      </c>
      <c r="D25" s="47">
        <v>416174.41800000001</v>
      </c>
      <c r="E25" s="47">
        <v>0</v>
      </c>
      <c r="F25" s="47">
        <v>0</v>
      </c>
      <c r="G25" s="46">
        <v>1</v>
      </c>
      <c r="H25" s="47">
        <v>2</v>
      </c>
      <c r="I25" s="48">
        <v>16.41</v>
      </c>
      <c r="J25" s="48">
        <v>18.809999999999999</v>
      </c>
      <c r="K25" s="48">
        <v>42.1</v>
      </c>
      <c r="L25" s="49">
        <v>7.68</v>
      </c>
      <c r="M25" s="72">
        <f t="shared" si="0"/>
        <v>-2.5</v>
      </c>
      <c r="N25" s="36">
        <v>-2.5000000000000001E-2</v>
      </c>
      <c r="O25" s="68">
        <v>-17.296250000000004</v>
      </c>
      <c r="P25" s="73">
        <v>5</v>
      </c>
      <c r="Q25" s="74">
        <f>'Trade Data'!D5</f>
        <v>0.59136484071720108</v>
      </c>
      <c r="R25" s="35">
        <v>1</v>
      </c>
    </row>
    <row r="26" spans="1:18" ht="20.100000000000001" customHeight="1">
      <c r="A26" s="44" t="s">
        <v>877</v>
      </c>
      <c r="B26" s="44" t="s">
        <v>240</v>
      </c>
      <c r="C26" s="45">
        <v>0</v>
      </c>
      <c r="D26" s="47">
        <v>38149.847999999998</v>
      </c>
      <c r="E26" s="47">
        <v>0</v>
      </c>
      <c r="F26" s="47">
        <v>0</v>
      </c>
      <c r="G26" s="46">
        <v>0</v>
      </c>
      <c r="H26" s="47">
        <v>0</v>
      </c>
      <c r="I26" s="48">
        <v>34.42</v>
      </c>
      <c r="J26" s="48">
        <v>64.06</v>
      </c>
      <c r="K26" s="48">
        <v>50.43</v>
      </c>
      <c r="L26" s="49">
        <v>7.68</v>
      </c>
      <c r="M26" s="72">
        <f t="shared" si="0"/>
        <v>2.6</v>
      </c>
      <c r="N26" s="36">
        <v>2.5999999999999999E-2</v>
      </c>
      <c r="O26" s="68">
        <v>1.1325000000000003</v>
      </c>
      <c r="P26" s="73">
        <v>5.75</v>
      </c>
      <c r="Q26" s="74">
        <f>'Trade Data'!F5</f>
        <v>0.61215508806410301</v>
      </c>
      <c r="R26" s="37">
        <v>0</v>
      </c>
    </row>
    <row r="27" spans="1:18" ht="20.100000000000001" customHeight="1">
      <c r="A27" s="44" t="s">
        <v>877</v>
      </c>
      <c r="B27" s="44" t="s">
        <v>235</v>
      </c>
      <c r="C27" s="45">
        <v>0</v>
      </c>
      <c r="D27" s="47">
        <v>177232.57200000001</v>
      </c>
      <c r="E27" s="47">
        <v>0</v>
      </c>
      <c r="F27" s="47">
        <v>0</v>
      </c>
      <c r="G27" s="46">
        <v>0</v>
      </c>
      <c r="H27" s="47">
        <v>0</v>
      </c>
      <c r="I27" s="48">
        <v>34.42</v>
      </c>
      <c r="J27" s="48">
        <v>64.06</v>
      </c>
      <c r="K27" s="48">
        <v>50.43</v>
      </c>
      <c r="L27" s="49">
        <v>7.68</v>
      </c>
      <c r="M27" s="72">
        <f t="shared" si="0"/>
        <v>2.6</v>
      </c>
      <c r="N27" s="36">
        <v>2.5999999999999999E-2</v>
      </c>
      <c r="O27" s="68">
        <v>1.1325000000000003</v>
      </c>
      <c r="P27" s="73">
        <v>5.75</v>
      </c>
      <c r="Q27" s="74">
        <f>'Trade Data'!F5</f>
        <v>0.61215508806410301</v>
      </c>
      <c r="R27" s="37">
        <v>1</v>
      </c>
    </row>
    <row r="28" spans="1:18" ht="20.100000000000001" customHeight="1">
      <c r="A28" s="44" t="s">
        <v>877</v>
      </c>
      <c r="B28" s="44" t="s">
        <v>236</v>
      </c>
      <c r="C28" s="45">
        <v>0</v>
      </c>
      <c r="D28" s="47">
        <v>416174.41800000001</v>
      </c>
      <c r="E28" s="47">
        <v>0</v>
      </c>
      <c r="F28" s="47">
        <v>0</v>
      </c>
      <c r="G28" s="46">
        <v>1</v>
      </c>
      <c r="H28" s="47">
        <v>1</v>
      </c>
      <c r="I28" s="48">
        <v>34.42</v>
      </c>
      <c r="J28" s="48">
        <v>64.06</v>
      </c>
      <c r="K28" s="48">
        <v>50.43</v>
      </c>
      <c r="L28" s="49">
        <v>7.68</v>
      </c>
      <c r="M28" s="72">
        <f t="shared" si="0"/>
        <v>2.6</v>
      </c>
      <c r="N28" s="36">
        <v>2.5999999999999999E-2</v>
      </c>
      <c r="O28" s="68">
        <v>1.1325000000000003</v>
      </c>
      <c r="P28" s="73">
        <v>5.75</v>
      </c>
      <c r="Q28" s="74">
        <f>'Trade Data'!F5</f>
        <v>0.61215508806410301</v>
      </c>
      <c r="R28" s="37">
        <v>1</v>
      </c>
    </row>
    <row r="29" spans="1:18" ht="20.100000000000001" customHeight="1">
      <c r="A29" s="44" t="s">
        <v>27</v>
      </c>
      <c r="B29" s="44" t="s">
        <v>237</v>
      </c>
      <c r="C29" s="45"/>
      <c r="D29" s="47">
        <v>38149.847999999998</v>
      </c>
      <c r="E29" s="47">
        <v>0</v>
      </c>
      <c r="F29" s="47">
        <v>0</v>
      </c>
      <c r="G29" s="46">
        <v>0</v>
      </c>
      <c r="H29" s="47">
        <v>0</v>
      </c>
      <c r="I29" s="48">
        <v>35.11</v>
      </c>
      <c r="J29" s="48">
        <v>57.4</v>
      </c>
      <c r="K29" s="48">
        <v>63.55</v>
      </c>
      <c r="L29" s="49">
        <v>7.68</v>
      </c>
      <c r="M29" s="72">
        <f t="shared" si="0"/>
        <v>2.6</v>
      </c>
      <c r="N29" s="36">
        <v>2.5999999999999999E-2</v>
      </c>
      <c r="O29" s="68">
        <v>-2.947499999999998</v>
      </c>
      <c r="P29" s="73">
        <v>5.75</v>
      </c>
      <c r="Q29" s="74">
        <f>'Trade Data'!F5</f>
        <v>0.61215508806410301</v>
      </c>
      <c r="R29" s="35">
        <v>0</v>
      </c>
    </row>
    <row r="30" spans="1:18" ht="20.100000000000001" customHeight="1">
      <c r="A30" s="44" t="s">
        <v>27</v>
      </c>
      <c r="B30" s="44" t="s">
        <v>238</v>
      </c>
      <c r="C30" s="45">
        <v>16.827999999999999</v>
      </c>
      <c r="D30" s="47">
        <v>177232.57200000001</v>
      </c>
      <c r="E30" s="47">
        <v>9.4948686971602474E-5</v>
      </c>
      <c r="F30" s="47">
        <v>1</v>
      </c>
      <c r="G30" s="46">
        <v>1</v>
      </c>
      <c r="H30" s="47">
        <v>2</v>
      </c>
      <c r="I30" s="48">
        <v>35.11</v>
      </c>
      <c r="J30" s="48">
        <v>57.4</v>
      </c>
      <c r="K30" s="48">
        <v>63.55</v>
      </c>
      <c r="L30" s="49">
        <v>7.68</v>
      </c>
      <c r="M30" s="72">
        <f t="shared" si="0"/>
        <v>2.6</v>
      </c>
      <c r="N30" s="36">
        <v>2.5999999999999999E-2</v>
      </c>
      <c r="O30" s="68">
        <v>-2.947499999999998</v>
      </c>
      <c r="P30" s="73">
        <v>5.75</v>
      </c>
      <c r="Q30" s="74">
        <f>'Trade Data'!F5</f>
        <v>0.61215508806410301</v>
      </c>
      <c r="R30" s="35">
        <v>1</v>
      </c>
    </row>
    <row r="31" spans="1:18" ht="20.100000000000001" customHeight="1">
      <c r="A31" s="44" t="s">
        <v>27</v>
      </c>
      <c r="B31" s="44" t="s">
        <v>239</v>
      </c>
      <c r="C31" s="45">
        <v>0</v>
      </c>
      <c r="D31" s="47">
        <v>416174.41800000001</v>
      </c>
      <c r="E31" s="47">
        <v>0</v>
      </c>
      <c r="F31" s="47">
        <v>0</v>
      </c>
      <c r="G31" s="46">
        <v>1</v>
      </c>
      <c r="H31" s="47">
        <v>4</v>
      </c>
      <c r="I31" s="48">
        <v>35.11</v>
      </c>
      <c r="J31" s="48">
        <v>57.4</v>
      </c>
      <c r="K31" s="48">
        <v>63.55</v>
      </c>
      <c r="L31" s="49">
        <v>7.68</v>
      </c>
      <c r="M31" s="72">
        <f t="shared" si="0"/>
        <v>2.6</v>
      </c>
      <c r="N31" s="36">
        <v>2.5999999999999999E-2</v>
      </c>
      <c r="O31" s="68">
        <v>-2.947499999999998</v>
      </c>
      <c r="P31" s="73">
        <v>5.75</v>
      </c>
      <c r="Q31" s="74">
        <f>'Trade Data'!F5</f>
        <v>0.61215508806410301</v>
      </c>
      <c r="R31" s="35">
        <v>1</v>
      </c>
    </row>
    <row r="32" spans="1:18" ht="20.100000000000001" customHeight="1">
      <c r="A32" s="44" t="s">
        <v>28</v>
      </c>
      <c r="B32" s="44" t="s">
        <v>241</v>
      </c>
      <c r="C32" s="45">
        <v>0</v>
      </c>
      <c r="D32" s="47">
        <v>41182.343999999997</v>
      </c>
      <c r="E32" s="47">
        <v>0</v>
      </c>
      <c r="F32" s="47">
        <v>0</v>
      </c>
      <c r="G32" s="46">
        <v>0</v>
      </c>
      <c r="H32" s="47">
        <v>0</v>
      </c>
      <c r="I32" s="48">
        <v>17.920000000000002</v>
      </c>
      <c r="J32" s="48">
        <v>15.47</v>
      </c>
      <c r="K32" s="48">
        <v>52.02</v>
      </c>
      <c r="L32" s="49">
        <v>7.68</v>
      </c>
      <c r="M32" s="72">
        <f t="shared" si="0"/>
        <v>2.6</v>
      </c>
      <c r="N32" s="36">
        <v>2.5999999999999999E-2</v>
      </c>
      <c r="O32" s="68">
        <v>-13.0275</v>
      </c>
      <c r="P32" s="73">
        <v>5.75</v>
      </c>
      <c r="Q32" s="74">
        <f>'Trade Data'!F5</f>
        <v>0.61215508806410301</v>
      </c>
      <c r="R32" s="37">
        <v>0</v>
      </c>
    </row>
    <row r="33" spans="1:18" ht="20.100000000000001" customHeight="1">
      <c r="A33" s="44" t="s">
        <v>28</v>
      </c>
      <c r="B33" s="44" t="s">
        <v>242</v>
      </c>
      <c r="C33" s="45">
        <v>26.552</v>
      </c>
      <c r="D33" s="47">
        <v>145336.63199999998</v>
      </c>
      <c r="E33" s="47">
        <v>1.8269310107585265E-4</v>
      </c>
      <c r="F33" s="47">
        <v>1</v>
      </c>
      <c r="G33" s="46">
        <v>1</v>
      </c>
      <c r="H33" s="47">
        <v>6</v>
      </c>
      <c r="I33" s="48">
        <v>17.920000000000002</v>
      </c>
      <c r="J33" s="48">
        <v>15.47</v>
      </c>
      <c r="K33" s="48">
        <v>52.02</v>
      </c>
      <c r="L33" s="49">
        <v>7.68</v>
      </c>
      <c r="M33" s="72">
        <f t="shared" si="0"/>
        <v>2.6</v>
      </c>
      <c r="N33" s="36">
        <v>2.5999999999999999E-2</v>
      </c>
      <c r="O33" s="68">
        <v>-13.0275</v>
      </c>
      <c r="P33" s="73">
        <v>5.75</v>
      </c>
      <c r="Q33" s="74">
        <f>'Trade Data'!F5</f>
        <v>0.61215508806410301</v>
      </c>
      <c r="R33" s="37">
        <v>1</v>
      </c>
    </row>
    <row r="34" spans="1:18" ht="20.100000000000001" customHeight="1">
      <c r="A34" s="44" t="s">
        <v>28</v>
      </c>
      <c r="B34" s="44" t="s">
        <v>243</v>
      </c>
      <c r="C34" s="45">
        <v>1238.578</v>
      </c>
      <c r="D34" s="47">
        <v>358221.02399999998</v>
      </c>
      <c r="E34" s="47">
        <v>3.4575804238670257E-3</v>
      </c>
      <c r="F34" s="47">
        <v>1</v>
      </c>
      <c r="G34" s="46">
        <v>1</v>
      </c>
      <c r="H34" s="47">
        <v>2</v>
      </c>
      <c r="I34" s="48">
        <v>17.920000000000002</v>
      </c>
      <c r="J34" s="48">
        <v>15.47</v>
      </c>
      <c r="K34" s="48">
        <v>52.02</v>
      </c>
      <c r="L34" s="49">
        <v>7.68</v>
      </c>
      <c r="M34" s="72">
        <f t="shared" si="0"/>
        <v>2.6</v>
      </c>
      <c r="N34" s="36">
        <v>2.5999999999999999E-2</v>
      </c>
      <c r="O34" s="68">
        <v>-13.0275</v>
      </c>
      <c r="P34" s="73">
        <v>5.75</v>
      </c>
      <c r="Q34" s="74">
        <f>'Trade Data'!F5</f>
        <v>0.61215508806410301</v>
      </c>
      <c r="R34" s="37">
        <v>1</v>
      </c>
    </row>
    <row r="35" spans="1:18" ht="20.100000000000001" customHeight="1">
      <c r="A35" s="44" t="s">
        <v>29</v>
      </c>
      <c r="B35" s="44" t="s">
        <v>244</v>
      </c>
      <c r="C35" s="45">
        <v>0</v>
      </c>
      <c r="D35" s="47">
        <v>41182.343999999997</v>
      </c>
      <c r="E35" s="47">
        <v>0</v>
      </c>
      <c r="F35" s="47">
        <v>0</v>
      </c>
      <c r="G35" s="46">
        <v>0</v>
      </c>
      <c r="H35" s="47">
        <v>0</v>
      </c>
      <c r="I35" s="48">
        <v>13.77</v>
      </c>
      <c r="J35" s="48">
        <v>23.69</v>
      </c>
      <c r="K35" s="48">
        <v>22.56</v>
      </c>
      <c r="L35" s="49">
        <v>8.65</v>
      </c>
      <c r="M35" s="72">
        <f t="shared" si="0"/>
        <v>2.6</v>
      </c>
      <c r="N35" s="36">
        <v>2.5999999999999999E-2</v>
      </c>
      <c r="O35" s="68">
        <v>-17.523750000000003</v>
      </c>
      <c r="P35" s="73">
        <v>5.75</v>
      </c>
      <c r="Q35" s="74">
        <f>'Trade Data'!F5</f>
        <v>0.61215508806410301</v>
      </c>
      <c r="R35" s="35">
        <v>0</v>
      </c>
    </row>
    <row r="36" spans="1:18" ht="20.100000000000001" customHeight="1">
      <c r="A36" s="44" t="s">
        <v>29</v>
      </c>
      <c r="B36" s="44" t="s">
        <v>245</v>
      </c>
      <c r="C36" s="45">
        <v>250.03899999999999</v>
      </c>
      <c r="D36" s="47">
        <v>145336.63199999998</v>
      </c>
      <c r="E36" s="47">
        <v>1.7204127862272191E-3</v>
      </c>
      <c r="F36" s="47">
        <v>1</v>
      </c>
      <c r="G36" s="46">
        <v>1</v>
      </c>
      <c r="H36" s="47">
        <v>4</v>
      </c>
      <c r="I36" s="48">
        <v>13.77</v>
      </c>
      <c r="J36" s="48">
        <v>23.69</v>
      </c>
      <c r="K36" s="48">
        <v>22.56</v>
      </c>
      <c r="L36" s="49">
        <v>8.65</v>
      </c>
      <c r="M36" s="72">
        <f t="shared" si="0"/>
        <v>2.6</v>
      </c>
      <c r="N36" s="36">
        <v>2.5999999999999999E-2</v>
      </c>
      <c r="O36" s="68">
        <v>-17.523750000000003</v>
      </c>
      <c r="P36" s="73">
        <v>5.75</v>
      </c>
      <c r="Q36" s="75">
        <f>'Trade Data'!F5</f>
        <v>0.61215508806410301</v>
      </c>
      <c r="R36" s="35">
        <v>1</v>
      </c>
    </row>
    <row r="37" spans="1:18" ht="20.100000000000001" customHeight="1">
      <c r="A37" s="44" t="s">
        <v>29</v>
      </c>
      <c r="B37" s="44" t="s">
        <v>246</v>
      </c>
      <c r="C37" s="45">
        <v>140.4</v>
      </c>
      <c r="D37" s="47">
        <v>358221.02399999998</v>
      </c>
      <c r="E37" s="47">
        <v>3.9193679486550741E-4</v>
      </c>
      <c r="F37" s="47">
        <v>1</v>
      </c>
      <c r="G37" s="46">
        <v>1</v>
      </c>
      <c r="H37" s="47">
        <v>1</v>
      </c>
      <c r="I37" s="48">
        <v>13.77</v>
      </c>
      <c r="J37" s="48">
        <v>23.69</v>
      </c>
      <c r="K37" s="48">
        <v>22.56</v>
      </c>
      <c r="L37" s="49">
        <v>8.65</v>
      </c>
      <c r="M37" s="72">
        <f t="shared" si="0"/>
        <v>2.6</v>
      </c>
      <c r="N37" s="36">
        <v>2.5999999999999999E-2</v>
      </c>
      <c r="O37" s="68">
        <v>-17.523750000000003</v>
      </c>
      <c r="P37" s="73">
        <v>5.75</v>
      </c>
      <c r="Q37" s="75">
        <f>'Trade Data'!F5</f>
        <v>0.61215508806410301</v>
      </c>
      <c r="R37" s="35">
        <v>1</v>
      </c>
    </row>
    <row r="38" spans="1:18" ht="20.100000000000001" customHeight="1">
      <c r="A38" s="44" t="s">
        <v>30</v>
      </c>
      <c r="B38" s="44" t="s">
        <v>247</v>
      </c>
      <c r="C38" s="45">
        <v>0</v>
      </c>
      <c r="D38" s="47">
        <v>41182.343999999997</v>
      </c>
      <c r="E38" s="47">
        <v>0</v>
      </c>
      <c r="F38" s="47">
        <v>0</v>
      </c>
      <c r="G38" s="46">
        <v>1</v>
      </c>
      <c r="H38" s="47">
        <v>1</v>
      </c>
      <c r="I38" s="48">
        <v>18.53</v>
      </c>
      <c r="J38" s="48">
        <v>25</v>
      </c>
      <c r="K38" s="52">
        <v>40.229999999999997</v>
      </c>
      <c r="L38" s="49">
        <v>8.65</v>
      </c>
      <c r="M38" s="72">
        <f t="shared" si="0"/>
        <v>-2.1999999999999997</v>
      </c>
      <c r="N38" s="36">
        <v>-2.1999999999999999E-2</v>
      </c>
      <c r="O38" s="68">
        <v>-18.094999999999999</v>
      </c>
      <c r="P38" s="73">
        <v>6.25</v>
      </c>
      <c r="Q38" s="75">
        <v>0.65</v>
      </c>
      <c r="R38" s="37">
        <v>0</v>
      </c>
    </row>
    <row r="39" spans="1:18" ht="20.100000000000001" customHeight="1">
      <c r="A39" s="44" t="s">
        <v>30</v>
      </c>
      <c r="B39" s="44" t="s">
        <v>248</v>
      </c>
      <c r="C39" s="45">
        <v>272.17</v>
      </c>
      <c r="D39" s="47">
        <v>145336.63199999998</v>
      </c>
      <c r="E39" s="47">
        <v>1.8726868529607872E-3</v>
      </c>
      <c r="F39" s="47">
        <v>1</v>
      </c>
      <c r="G39" s="46">
        <v>1</v>
      </c>
      <c r="H39" s="47">
        <v>4</v>
      </c>
      <c r="I39" s="48">
        <v>18.53</v>
      </c>
      <c r="J39" s="48">
        <v>25</v>
      </c>
      <c r="K39" s="52">
        <v>40.229999999999997</v>
      </c>
      <c r="L39" s="49">
        <v>8.65</v>
      </c>
      <c r="M39" s="72">
        <f t="shared" si="0"/>
        <v>-2.1999999999999997</v>
      </c>
      <c r="N39" s="36">
        <v>-2.1999999999999999E-2</v>
      </c>
      <c r="O39" s="68">
        <v>-18.094999999999999</v>
      </c>
      <c r="P39" s="73">
        <v>6.25</v>
      </c>
      <c r="Q39" s="75">
        <v>0.65</v>
      </c>
      <c r="R39" s="37">
        <v>1</v>
      </c>
    </row>
    <row r="40" spans="1:18" ht="20.100000000000001" customHeight="1">
      <c r="A40" s="44" t="s">
        <v>30</v>
      </c>
      <c r="B40" s="44" t="s">
        <v>249</v>
      </c>
      <c r="C40" s="45">
        <v>280</v>
      </c>
      <c r="D40" s="47">
        <v>358221.02399999998</v>
      </c>
      <c r="E40" s="47">
        <v>7.8164033164061309E-4</v>
      </c>
      <c r="F40" s="47">
        <v>1</v>
      </c>
      <c r="G40" s="46">
        <v>1</v>
      </c>
      <c r="H40" s="47">
        <v>6</v>
      </c>
      <c r="I40" s="48">
        <v>18.53</v>
      </c>
      <c r="J40" s="48">
        <v>25</v>
      </c>
      <c r="K40" s="52">
        <v>40.229999999999997</v>
      </c>
      <c r="L40" s="49">
        <v>8.65</v>
      </c>
      <c r="M40" s="72">
        <f t="shared" si="0"/>
        <v>-2.1999999999999997</v>
      </c>
      <c r="N40" s="36">
        <v>-2.1999999999999999E-2</v>
      </c>
      <c r="O40" s="68">
        <v>-18.094999999999999</v>
      </c>
      <c r="P40" s="73">
        <v>6.25</v>
      </c>
      <c r="Q40" s="75">
        <v>0.65</v>
      </c>
      <c r="R40" s="37">
        <v>1</v>
      </c>
    </row>
    <row r="41" spans="1:18" ht="20.100000000000001" customHeight="1">
      <c r="A41" s="44" t="s">
        <v>31</v>
      </c>
      <c r="B41" s="44" t="s">
        <v>250</v>
      </c>
      <c r="C41" s="45">
        <v>0</v>
      </c>
      <c r="D41" s="47">
        <v>41182.343999999997</v>
      </c>
      <c r="E41" s="47">
        <v>0</v>
      </c>
      <c r="F41" s="47">
        <v>0</v>
      </c>
      <c r="G41" s="46">
        <v>0</v>
      </c>
      <c r="H41" s="47">
        <v>0</v>
      </c>
      <c r="I41" s="48">
        <v>23.03</v>
      </c>
      <c r="J41" s="48">
        <v>54.9</v>
      </c>
      <c r="K41" s="52">
        <v>29.79</v>
      </c>
      <c r="L41" s="49">
        <v>8.65</v>
      </c>
      <c r="M41" s="72">
        <f t="shared" si="0"/>
        <v>-2.1999999999999997</v>
      </c>
      <c r="N41" s="36">
        <v>-2.1999999999999999E-2</v>
      </c>
      <c r="O41" s="68">
        <v>-11.941249999999997</v>
      </c>
      <c r="P41" s="73">
        <v>6.25</v>
      </c>
      <c r="Q41" s="75">
        <v>0.65</v>
      </c>
      <c r="R41" s="35">
        <v>0</v>
      </c>
    </row>
    <row r="42" spans="1:18" ht="20.100000000000001" customHeight="1">
      <c r="A42" s="44" t="s">
        <v>31</v>
      </c>
      <c r="B42" s="44" t="s">
        <v>251</v>
      </c>
      <c r="C42" s="45">
        <v>270.09699999999998</v>
      </c>
      <c r="D42" s="47">
        <v>145336.63199999998</v>
      </c>
      <c r="E42" s="47">
        <v>1.8584234152336763E-3</v>
      </c>
      <c r="F42" s="47">
        <v>1</v>
      </c>
      <c r="G42" s="46">
        <v>1</v>
      </c>
      <c r="H42" s="47">
        <v>10</v>
      </c>
      <c r="I42" s="48">
        <v>23.03</v>
      </c>
      <c r="J42" s="48">
        <v>54.9</v>
      </c>
      <c r="K42" s="52">
        <v>29.79</v>
      </c>
      <c r="L42" s="49">
        <v>8.65</v>
      </c>
      <c r="M42" s="72">
        <f t="shared" si="0"/>
        <v>-2.1999999999999997</v>
      </c>
      <c r="N42" s="36">
        <v>-2.1999999999999999E-2</v>
      </c>
      <c r="O42" s="68">
        <v>-11.941249999999997</v>
      </c>
      <c r="P42" s="73">
        <v>6.25</v>
      </c>
      <c r="Q42" s="75">
        <v>0.65</v>
      </c>
      <c r="R42" s="35">
        <v>1</v>
      </c>
    </row>
    <row r="43" spans="1:18" ht="20.100000000000001" customHeight="1">
      <c r="A43" s="44" t="s">
        <v>31</v>
      </c>
      <c r="B43" s="44" t="s">
        <v>252</v>
      </c>
      <c r="C43" s="45">
        <v>585</v>
      </c>
      <c r="D43" s="47">
        <v>358221.02399999998</v>
      </c>
      <c r="E43" s="47">
        <v>1.6330699786062809E-3</v>
      </c>
      <c r="F43" s="47">
        <v>1</v>
      </c>
      <c r="G43" s="46">
        <v>1</v>
      </c>
      <c r="H43" s="47">
        <v>6</v>
      </c>
      <c r="I43" s="48">
        <v>23.03</v>
      </c>
      <c r="J43" s="48">
        <v>54.9</v>
      </c>
      <c r="K43" s="52">
        <v>29.79</v>
      </c>
      <c r="L43" s="49">
        <v>8.65</v>
      </c>
      <c r="M43" s="72">
        <f t="shared" si="0"/>
        <v>-2.1999999999999997</v>
      </c>
      <c r="N43" s="36">
        <v>-2.1999999999999999E-2</v>
      </c>
      <c r="O43" s="68">
        <v>-11.941249999999997</v>
      </c>
      <c r="P43" s="73">
        <v>6.25</v>
      </c>
      <c r="Q43" s="75">
        <v>0.65</v>
      </c>
      <c r="R43" s="35">
        <v>1</v>
      </c>
    </row>
    <row r="44" spans="1:18" ht="20.100000000000001" customHeight="1">
      <c r="A44" s="53" t="s">
        <v>32</v>
      </c>
      <c r="B44" s="44" t="s">
        <v>253</v>
      </c>
      <c r="C44" s="45">
        <v>0</v>
      </c>
      <c r="D44" s="47">
        <v>67565.83</v>
      </c>
      <c r="E44" s="47">
        <v>0</v>
      </c>
      <c r="F44" s="47">
        <v>0</v>
      </c>
      <c r="G44" s="46">
        <v>0</v>
      </c>
      <c r="H44" s="47">
        <v>0</v>
      </c>
      <c r="I44" s="48">
        <v>16.260000000000002</v>
      </c>
      <c r="J44" s="48">
        <v>40.22</v>
      </c>
      <c r="K44" s="52">
        <v>19.649999999999999</v>
      </c>
      <c r="L44" s="49">
        <v>8.65</v>
      </c>
      <c r="M44" s="72">
        <f t="shared" si="0"/>
        <v>-2.1999999999999997</v>
      </c>
      <c r="N44" s="36">
        <v>-2.1999999999999999E-2</v>
      </c>
      <c r="O44" s="68">
        <v>-17.077500000000004</v>
      </c>
      <c r="P44" s="73">
        <v>6.25</v>
      </c>
      <c r="Q44" s="75">
        <v>0.65</v>
      </c>
      <c r="R44" s="37">
        <v>0</v>
      </c>
    </row>
    <row r="45" spans="1:18" ht="20.100000000000001" customHeight="1">
      <c r="A45" s="44" t="s">
        <v>32</v>
      </c>
      <c r="B45" s="44" t="s">
        <v>254</v>
      </c>
      <c r="C45" s="45">
        <v>102.078</v>
      </c>
      <c r="D45" s="47">
        <v>174803.34</v>
      </c>
      <c r="E45" s="47">
        <v>5.8395909368779797E-4</v>
      </c>
      <c r="F45" s="47">
        <v>1</v>
      </c>
      <c r="G45" s="46">
        <v>1</v>
      </c>
      <c r="H45" s="47">
        <v>9</v>
      </c>
      <c r="I45" s="48">
        <v>16.260000000000002</v>
      </c>
      <c r="J45" s="48">
        <v>40.22</v>
      </c>
      <c r="K45" s="52">
        <v>19.649999999999999</v>
      </c>
      <c r="L45" s="49">
        <v>8.65</v>
      </c>
      <c r="M45" s="72">
        <f t="shared" si="0"/>
        <v>-2.1999999999999997</v>
      </c>
      <c r="N45" s="36">
        <v>-2.1999999999999999E-2</v>
      </c>
      <c r="O45" s="68">
        <v>-17.077500000000004</v>
      </c>
      <c r="P45" s="73">
        <v>6.25</v>
      </c>
      <c r="Q45" s="75">
        <v>0.65</v>
      </c>
      <c r="R45" s="37">
        <v>1</v>
      </c>
    </row>
    <row r="46" spans="1:18" ht="20.100000000000001" customHeight="1">
      <c r="A46" s="44" t="s">
        <v>32</v>
      </c>
      <c r="B46" s="44" t="s">
        <v>255</v>
      </c>
      <c r="C46" s="45">
        <v>5.0579999999999998</v>
      </c>
      <c r="D46" s="47">
        <v>377500.83</v>
      </c>
      <c r="E46" s="47">
        <v>1.3398646037414009E-5</v>
      </c>
      <c r="F46" s="47">
        <v>1</v>
      </c>
      <c r="G46" s="46">
        <v>1</v>
      </c>
      <c r="H46" s="47">
        <v>5</v>
      </c>
      <c r="I46" s="48">
        <v>16.260000000000002</v>
      </c>
      <c r="J46" s="48">
        <v>40.22</v>
      </c>
      <c r="K46" s="52">
        <v>19.649999999999999</v>
      </c>
      <c r="L46" s="49">
        <v>8.65</v>
      </c>
      <c r="M46" s="72">
        <f t="shared" si="0"/>
        <v>-2.1999999999999997</v>
      </c>
      <c r="N46" s="36">
        <v>-2.1999999999999999E-2</v>
      </c>
      <c r="O46" s="68">
        <v>-17.077500000000004</v>
      </c>
      <c r="P46" s="73">
        <v>6.25</v>
      </c>
      <c r="Q46" s="75">
        <v>0.65</v>
      </c>
      <c r="R46" s="37">
        <v>1</v>
      </c>
    </row>
    <row r="47" spans="1:18" ht="20.100000000000001" customHeight="1">
      <c r="A47" s="44" t="s">
        <v>33</v>
      </c>
      <c r="B47" s="44" t="s">
        <v>256</v>
      </c>
      <c r="C47" s="45">
        <v>0</v>
      </c>
      <c r="D47" s="47">
        <v>67565.83</v>
      </c>
      <c r="E47" s="47">
        <v>0</v>
      </c>
      <c r="F47" s="47">
        <v>0</v>
      </c>
      <c r="G47" s="46">
        <v>0</v>
      </c>
      <c r="H47" s="47">
        <v>0</v>
      </c>
      <c r="I47" s="48">
        <v>17.940000000000001</v>
      </c>
      <c r="J47" s="48">
        <v>20.399999999999999</v>
      </c>
      <c r="K47" s="52">
        <v>36.880000000000003</v>
      </c>
      <c r="L47" s="49">
        <v>11.82</v>
      </c>
      <c r="M47" s="72">
        <f t="shared" si="0"/>
        <v>-2.1999999999999997</v>
      </c>
      <c r="N47" s="36">
        <v>-2.1999999999999999E-2</v>
      </c>
      <c r="O47" s="68">
        <v>-12.067499999999999</v>
      </c>
      <c r="P47" s="73">
        <v>6.25</v>
      </c>
      <c r="Q47" s="74">
        <f>'Trade Data'!J5</f>
        <v>0.64695522396479066</v>
      </c>
      <c r="R47" s="35">
        <v>0</v>
      </c>
    </row>
    <row r="48" spans="1:18" ht="20.100000000000001" customHeight="1">
      <c r="A48" s="44" t="s">
        <v>33</v>
      </c>
      <c r="B48" s="44" t="s">
        <v>257</v>
      </c>
      <c r="C48" s="45">
        <v>960</v>
      </c>
      <c r="D48" s="47">
        <v>174803.34</v>
      </c>
      <c r="E48" s="47">
        <v>5.49188591018913E-3</v>
      </c>
      <c r="F48" s="47">
        <v>1</v>
      </c>
      <c r="G48" s="46">
        <v>1</v>
      </c>
      <c r="H48" s="47">
        <v>4</v>
      </c>
      <c r="I48" s="48">
        <v>17.940000000000001</v>
      </c>
      <c r="J48" s="48">
        <v>20.399999999999999</v>
      </c>
      <c r="K48" s="52">
        <v>36.880000000000003</v>
      </c>
      <c r="L48" s="49">
        <v>11.82</v>
      </c>
      <c r="M48" s="72">
        <f t="shared" si="0"/>
        <v>-2.1999999999999997</v>
      </c>
      <c r="N48" s="36">
        <v>-2.1999999999999999E-2</v>
      </c>
      <c r="O48" s="68">
        <v>-12.067499999999999</v>
      </c>
      <c r="P48" s="73">
        <v>6.25</v>
      </c>
      <c r="Q48" s="75">
        <v>0.65</v>
      </c>
      <c r="R48" s="35">
        <v>1</v>
      </c>
    </row>
    <row r="49" spans="1:18" ht="20.100000000000001" customHeight="1">
      <c r="A49" s="44" t="s">
        <v>879</v>
      </c>
      <c r="B49" s="44" t="s">
        <v>258</v>
      </c>
      <c r="C49" s="45">
        <v>216</v>
      </c>
      <c r="D49" s="47">
        <v>377500.83</v>
      </c>
      <c r="E49" s="47">
        <v>5.7218417241625661E-4</v>
      </c>
      <c r="F49" s="47">
        <v>1</v>
      </c>
      <c r="G49" s="46">
        <v>1</v>
      </c>
      <c r="H49" s="47">
        <v>5</v>
      </c>
      <c r="I49" s="48">
        <v>17.940000000000001</v>
      </c>
      <c r="J49" s="48">
        <v>20.399999999999999</v>
      </c>
      <c r="K49" s="52">
        <v>36.880000000000003</v>
      </c>
      <c r="L49" s="49">
        <v>11.82</v>
      </c>
      <c r="M49" s="72">
        <f t="shared" si="0"/>
        <v>-2.1999999999999997</v>
      </c>
      <c r="N49" s="36">
        <v>-2.1999999999999999E-2</v>
      </c>
      <c r="O49" s="68">
        <v>-12.067499999999999</v>
      </c>
      <c r="P49" s="73">
        <v>6.25</v>
      </c>
      <c r="Q49" s="75">
        <v>0.65</v>
      </c>
      <c r="R49" s="35">
        <v>1</v>
      </c>
    </row>
    <row r="50" spans="1:18" ht="20.100000000000001" customHeight="1">
      <c r="A50" s="44" t="s">
        <v>34</v>
      </c>
      <c r="B50" s="44" t="s">
        <v>259</v>
      </c>
      <c r="C50" s="45">
        <v>0</v>
      </c>
      <c r="D50" s="47">
        <v>67565.83</v>
      </c>
      <c r="E50" s="47">
        <v>0</v>
      </c>
      <c r="F50" s="47">
        <v>0</v>
      </c>
      <c r="G50" s="46">
        <v>0</v>
      </c>
      <c r="H50" s="47">
        <v>0</v>
      </c>
      <c r="I50" s="48">
        <v>35.090000000000003</v>
      </c>
      <c r="J50" s="48">
        <v>59.98</v>
      </c>
      <c r="K50" s="52">
        <v>50.68</v>
      </c>
      <c r="L50" s="49">
        <v>11.82</v>
      </c>
      <c r="M50" s="72">
        <f t="shared" si="0"/>
        <v>2.1999999999999997</v>
      </c>
      <c r="N50" s="36">
        <v>2.1999999999999999E-2</v>
      </c>
      <c r="O50" s="68">
        <v>-0.15999999999999659</v>
      </c>
      <c r="P50" s="73">
        <v>5.69</v>
      </c>
      <c r="Q50" s="75">
        <v>0.65</v>
      </c>
      <c r="R50" s="37">
        <v>0</v>
      </c>
    </row>
    <row r="51" spans="1:18" ht="20.100000000000001" customHeight="1">
      <c r="A51" s="44" t="s">
        <v>34</v>
      </c>
      <c r="B51" s="44" t="s">
        <v>260</v>
      </c>
      <c r="C51" s="45">
        <v>162.04300000000001</v>
      </c>
      <c r="D51" s="47">
        <v>174803.34</v>
      </c>
      <c r="E51" s="47">
        <v>9.2700173806747638E-4</v>
      </c>
      <c r="F51" s="47">
        <v>1</v>
      </c>
      <c r="G51" s="46">
        <v>1</v>
      </c>
      <c r="H51" s="47">
        <v>7</v>
      </c>
      <c r="I51" s="48">
        <v>35.090000000000003</v>
      </c>
      <c r="J51" s="48">
        <v>59.98</v>
      </c>
      <c r="K51" s="52">
        <v>50.68</v>
      </c>
      <c r="L51" s="49">
        <v>11.82</v>
      </c>
      <c r="M51" s="72">
        <f t="shared" si="0"/>
        <v>2.1999999999999997</v>
      </c>
      <c r="N51" s="36">
        <v>2.1999999999999999E-2</v>
      </c>
      <c r="O51" s="68">
        <v>-0.15999999999999659</v>
      </c>
      <c r="P51" s="73">
        <v>5.69</v>
      </c>
      <c r="Q51" s="75">
        <v>0.65</v>
      </c>
      <c r="R51" s="37">
        <v>1</v>
      </c>
    </row>
    <row r="52" spans="1:18" ht="20.100000000000001" customHeight="1">
      <c r="A52" s="44" t="s">
        <v>34</v>
      </c>
      <c r="B52" s="44" t="s">
        <v>261</v>
      </c>
      <c r="C52" s="45">
        <v>2.5</v>
      </c>
      <c r="D52" s="47">
        <v>377500.83</v>
      </c>
      <c r="E52" s="47">
        <v>6.6225019955585262E-6</v>
      </c>
      <c r="F52" s="47">
        <v>1</v>
      </c>
      <c r="G52" s="46">
        <v>1</v>
      </c>
      <c r="H52" s="47">
        <v>4</v>
      </c>
      <c r="I52" s="48">
        <v>35.090000000000003</v>
      </c>
      <c r="J52" s="48">
        <v>59.98</v>
      </c>
      <c r="K52" s="52">
        <v>50.68</v>
      </c>
      <c r="L52" s="49">
        <v>11.82</v>
      </c>
      <c r="M52" s="72">
        <f t="shared" si="0"/>
        <v>2.1999999999999997</v>
      </c>
      <c r="N52" s="36">
        <v>2.1999999999999999E-2</v>
      </c>
      <c r="O52" s="68">
        <v>-0.15999999999999659</v>
      </c>
      <c r="P52" s="73">
        <v>5.69</v>
      </c>
      <c r="Q52" s="75">
        <v>0.65</v>
      </c>
      <c r="R52" s="37">
        <v>1</v>
      </c>
    </row>
    <row r="53" spans="1:18" ht="20.100000000000001" customHeight="1">
      <c r="A53" s="44" t="s">
        <v>35</v>
      </c>
      <c r="B53" s="44" t="s">
        <v>849</v>
      </c>
      <c r="C53" s="45">
        <v>0</v>
      </c>
      <c r="D53" s="47">
        <v>67565.83</v>
      </c>
      <c r="E53" s="47">
        <v>0</v>
      </c>
      <c r="F53" s="47">
        <v>0</v>
      </c>
      <c r="G53" s="46">
        <v>1</v>
      </c>
      <c r="H53" s="47">
        <v>1</v>
      </c>
      <c r="I53" s="48">
        <v>18.11</v>
      </c>
      <c r="J53" s="48">
        <v>33.799999999999997</v>
      </c>
      <c r="K53" s="52">
        <v>24.06</v>
      </c>
      <c r="L53" s="49">
        <v>11.82</v>
      </c>
      <c r="M53" s="72">
        <f t="shared" si="0"/>
        <v>2.1999999999999997</v>
      </c>
      <c r="N53" s="36">
        <v>2.1999999999999999E-2</v>
      </c>
      <c r="O53" s="68">
        <v>-13.533750000000001</v>
      </c>
      <c r="P53" s="73">
        <v>5.69</v>
      </c>
      <c r="Q53" s="75">
        <v>0.65</v>
      </c>
      <c r="R53" s="35">
        <v>0</v>
      </c>
    </row>
    <row r="54" spans="1:18" ht="20.100000000000001" customHeight="1">
      <c r="A54" s="44" t="s">
        <v>35</v>
      </c>
      <c r="B54" s="44" t="s">
        <v>850</v>
      </c>
      <c r="C54" s="45">
        <v>53.969000000000001</v>
      </c>
      <c r="D54" s="47">
        <v>174803.34</v>
      </c>
      <c r="E54" s="47">
        <v>3.0874124029895539E-4</v>
      </c>
      <c r="F54" s="47">
        <v>1</v>
      </c>
      <c r="G54" s="46">
        <v>1</v>
      </c>
      <c r="H54" s="47">
        <v>9</v>
      </c>
      <c r="I54" s="48">
        <v>18.11</v>
      </c>
      <c r="J54" s="48">
        <v>33.799999999999997</v>
      </c>
      <c r="K54" s="52">
        <v>24.06</v>
      </c>
      <c r="L54" s="49">
        <v>11.82</v>
      </c>
      <c r="M54" s="72">
        <f t="shared" si="0"/>
        <v>2.1999999999999997</v>
      </c>
      <c r="N54" s="36">
        <v>2.1999999999999999E-2</v>
      </c>
      <c r="O54" s="68">
        <v>-13.533750000000001</v>
      </c>
      <c r="P54" s="73">
        <v>5.69</v>
      </c>
      <c r="Q54" s="75">
        <v>0.65</v>
      </c>
      <c r="R54" s="35">
        <v>1</v>
      </c>
    </row>
    <row r="55" spans="1:18" ht="20.100000000000001" customHeight="1">
      <c r="A55" s="44" t="s">
        <v>35</v>
      </c>
      <c r="B55" s="44" t="s">
        <v>851</v>
      </c>
      <c r="C55" s="45">
        <v>1065.2950000000001</v>
      </c>
      <c r="D55" s="47">
        <v>377500.83</v>
      </c>
      <c r="E55" s="47">
        <v>2.821967305343408E-3</v>
      </c>
      <c r="F55" s="47">
        <v>1</v>
      </c>
      <c r="G55" s="46">
        <v>1</v>
      </c>
      <c r="H55" s="47">
        <v>3</v>
      </c>
      <c r="I55" s="48">
        <v>18.11</v>
      </c>
      <c r="J55" s="48">
        <v>33.799999999999997</v>
      </c>
      <c r="K55" s="52">
        <v>24.06</v>
      </c>
      <c r="L55" s="49">
        <v>11.82</v>
      </c>
      <c r="M55" s="72">
        <f t="shared" si="0"/>
        <v>2.1999999999999997</v>
      </c>
      <c r="N55" s="36">
        <v>2.1999999999999999E-2</v>
      </c>
      <c r="O55" s="68">
        <v>-13.533750000000001</v>
      </c>
      <c r="P55" s="73">
        <v>5.69</v>
      </c>
      <c r="Q55" s="75">
        <v>0.65</v>
      </c>
      <c r="R55" s="35">
        <v>1</v>
      </c>
    </row>
    <row r="56" spans="1:18" ht="20.100000000000001" customHeight="1">
      <c r="A56" s="44" t="s">
        <v>0</v>
      </c>
      <c r="B56" s="44" t="s">
        <v>814</v>
      </c>
      <c r="C56" s="45">
        <v>0</v>
      </c>
      <c r="D56" s="47">
        <v>130416</v>
      </c>
      <c r="E56" s="47">
        <v>0</v>
      </c>
      <c r="F56" s="47">
        <v>0</v>
      </c>
      <c r="G56" s="46">
        <v>0</v>
      </c>
      <c r="H56" s="47">
        <v>0</v>
      </c>
      <c r="I56" s="48">
        <v>35.770000000000003</v>
      </c>
      <c r="J56" s="54">
        <v>34.43</v>
      </c>
      <c r="K56" s="49">
        <v>66.790000000000006</v>
      </c>
      <c r="L56" s="49">
        <v>17.03</v>
      </c>
      <c r="M56" s="72">
        <f t="shared" si="0"/>
        <v>3</v>
      </c>
      <c r="N56" s="36">
        <v>0.03</v>
      </c>
      <c r="O56" s="68">
        <v>-8.5675000000000026</v>
      </c>
      <c r="P56" s="73">
        <v>5.8</v>
      </c>
      <c r="Q56" s="73">
        <f>'Trade Data'!B8</f>
        <v>2.1643702144485442</v>
      </c>
      <c r="R56" s="35">
        <v>0</v>
      </c>
    </row>
    <row r="57" spans="1:18" ht="20.100000000000001" customHeight="1">
      <c r="A57" s="44" t="s">
        <v>0</v>
      </c>
      <c r="B57" s="44" t="s">
        <v>813</v>
      </c>
      <c r="C57" s="45">
        <v>1936.242</v>
      </c>
      <c r="D57" s="47">
        <v>613795</v>
      </c>
      <c r="E57" s="47">
        <v>3.154541825853909E-3</v>
      </c>
      <c r="F57" s="47">
        <v>1</v>
      </c>
      <c r="G57" s="46">
        <v>1</v>
      </c>
      <c r="H57" s="47">
        <v>22</v>
      </c>
      <c r="I57" s="48">
        <v>35.770000000000003</v>
      </c>
      <c r="J57" s="54">
        <v>34.43</v>
      </c>
      <c r="K57" s="49">
        <v>66.790000000000006</v>
      </c>
      <c r="L57" s="49">
        <v>17.03</v>
      </c>
      <c r="M57" s="72">
        <f t="shared" si="0"/>
        <v>3</v>
      </c>
      <c r="N57" s="36">
        <v>0.03</v>
      </c>
      <c r="O57" s="68">
        <v>-8.5675000000000026</v>
      </c>
      <c r="P57" s="73">
        <v>5.8</v>
      </c>
      <c r="Q57" s="73">
        <f>'Trade Data'!B8</f>
        <v>2.1643702144485442</v>
      </c>
      <c r="R57" s="35">
        <v>1</v>
      </c>
    </row>
    <row r="58" spans="1:18" ht="20.100000000000001" customHeight="1">
      <c r="A58" s="44" t="s">
        <v>0</v>
      </c>
      <c r="B58" s="44" t="s">
        <v>812</v>
      </c>
      <c r="C58" s="45">
        <v>2220.9870000000001</v>
      </c>
      <c r="D58" s="47">
        <v>1725789</v>
      </c>
      <c r="E58" s="47">
        <v>1.286940060459303E-3</v>
      </c>
      <c r="F58" s="47">
        <v>1</v>
      </c>
      <c r="G58" s="46">
        <v>1</v>
      </c>
      <c r="H58" s="47">
        <v>32</v>
      </c>
      <c r="I58" s="48">
        <v>35.770000000000003</v>
      </c>
      <c r="J58" s="54">
        <v>34.43</v>
      </c>
      <c r="K58" s="49">
        <v>66.790000000000006</v>
      </c>
      <c r="L58" s="49">
        <v>17.03</v>
      </c>
      <c r="M58" s="72">
        <f t="shared" si="0"/>
        <v>3</v>
      </c>
      <c r="N58" s="36">
        <v>0.03</v>
      </c>
      <c r="O58" s="68">
        <v>-8.5675000000000026</v>
      </c>
      <c r="P58" s="73">
        <v>5.8</v>
      </c>
      <c r="Q58" s="73">
        <f>'Trade Data'!B8</f>
        <v>2.1643702144485442</v>
      </c>
      <c r="R58" s="35">
        <v>1</v>
      </c>
    </row>
    <row r="59" spans="1:18" ht="20.100000000000001" customHeight="1">
      <c r="A59" s="44" t="s">
        <v>1</v>
      </c>
      <c r="B59" s="44" t="s">
        <v>811</v>
      </c>
      <c r="C59" s="45">
        <v>0</v>
      </c>
      <c r="D59" s="47">
        <v>130416</v>
      </c>
      <c r="E59" s="47">
        <v>0</v>
      </c>
      <c r="F59" s="47">
        <v>0</v>
      </c>
      <c r="G59" s="46">
        <v>1</v>
      </c>
      <c r="H59" s="47">
        <v>1</v>
      </c>
      <c r="I59" s="48">
        <v>20.02</v>
      </c>
      <c r="J59" s="54">
        <v>6.66</v>
      </c>
      <c r="K59" s="48">
        <v>63.76</v>
      </c>
      <c r="L59" s="49">
        <v>17.03</v>
      </c>
      <c r="M59" s="72">
        <f t="shared" si="0"/>
        <v>3</v>
      </c>
      <c r="N59" s="36">
        <v>0.03</v>
      </c>
      <c r="O59" s="68">
        <v>-13.541250000000002</v>
      </c>
      <c r="P59" s="73">
        <v>5.8</v>
      </c>
      <c r="Q59" s="73">
        <f>'Trade Data'!B8</f>
        <v>2.1643702144485442</v>
      </c>
      <c r="R59" s="37">
        <v>0</v>
      </c>
    </row>
    <row r="60" spans="1:18" ht="20.100000000000001" customHeight="1">
      <c r="A60" s="44" t="s">
        <v>1</v>
      </c>
      <c r="B60" s="44" t="s">
        <v>810</v>
      </c>
      <c r="C60" s="45">
        <v>564.99699999999996</v>
      </c>
      <c r="D60" s="47">
        <v>613795</v>
      </c>
      <c r="E60" s="47">
        <v>9.2049788610203728E-4</v>
      </c>
      <c r="F60" s="47">
        <v>1</v>
      </c>
      <c r="G60" s="46">
        <v>1</v>
      </c>
      <c r="H60" s="47">
        <v>17</v>
      </c>
      <c r="I60" s="48">
        <v>20.02</v>
      </c>
      <c r="J60" s="54">
        <v>6.66</v>
      </c>
      <c r="K60" s="48">
        <v>63.76</v>
      </c>
      <c r="L60" s="49">
        <v>17.03</v>
      </c>
      <c r="M60" s="72">
        <f t="shared" si="0"/>
        <v>3</v>
      </c>
      <c r="N60" s="36">
        <v>0.03</v>
      </c>
      <c r="O60" s="68">
        <v>-13.541250000000002</v>
      </c>
      <c r="P60" s="73">
        <v>5.8</v>
      </c>
      <c r="Q60" s="73">
        <f>'Trade Data'!B8</f>
        <v>2.1643702144485442</v>
      </c>
      <c r="R60" s="37">
        <v>1</v>
      </c>
    </row>
    <row r="61" spans="1:18" ht="20.100000000000001" customHeight="1">
      <c r="A61" s="44" t="s">
        <v>1</v>
      </c>
      <c r="B61" s="44" t="s">
        <v>809</v>
      </c>
      <c r="C61" s="45">
        <v>5177.4880000000003</v>
      </c>
      <c r="D61" s="47">
        <v>1725789</v>
      </c>
      <c r="E61" s="47">
        <v>3.0000701128585247E-3</v>
      </c>
      <c r="F61" s="47">
        <v>1</v>
      </c>
      <c r="G61" s="46">
        <v>1</v>
      </c>
      <c r="H61" s="47">
        <v>29</v>
      </c>
      <c r="I61" s="48">
        <v>20.02</v>
      </c>
      <c r="J61" s="54">
        <v>6.66</v>
      </c>
      <c r="K61" s="48">
        <v>63.76</v>
      </c>
      <c r="L61" s="49">
        <v>17.03</v>
      </c>
      <c r="M61" s="72">
        <f t="shared" si="0"/>
        <v>3</v>
      </c>
      <c r="N61" s="36">
        <v>0.03</v>
      </c>
      <c r="O61" s="68">
        <v>-13.541250000000002</v>
      </c>
      <c r="P61" s="73">
        <v>5.8</v>
      </c>
      <c r="Q61" s="73">
        <f>'Trade Data'!B8</f>
        <v>2.1643702144485442</v>
      </c>
      <c r="R61" s="37">
        <v>1</v>
      </c>
    </row>
    <row r="62" spans="1:18" ht="20.100000000000001" customHeight="1">
      <c r="A62" s="44" t="s">
        <v>2</v>
      </c>
      <c r="B62" s="44" t="s">
        <v>808</v>
      </c>
      <c r="C62" s="45">
        <v>0</v>
      </c>
      <c r="D62" s="47">
        <v>123738</v>
      </c>
      <c r="E62" s="47">
        <v>0</v>
      </c>
      <c r="F62" s="47">
        <v>0</v>
      </c>
      <c r="G62" s="46">
        <v>0</v>
      </c>
      <c r="H62" s="47">
        <v>0</v>
      </c>
      <c r="I62" s="48">
        <v>33.24</v>
      </c>
      <c r="J62" s="54">
        <v>34.049999999999997</v>
      </c>
      <c r="K62" s="48">
        <v>60.1</v>
      </c>
      <c r="L62" s="49">
        <v>17.03</v>
      </c>
      <c r="M62" s="72">
        <f t="shared" si="0"/>
        <v>3</v>
      </c>
      <c r="N62" s="36">
        <v>0.03</v>
      </c>
      <c r="O62" s="68">
        <v>-7.916249999999998</v>
      </c>
      <c r="P62" s="73">
        <v>5.8</v>
      </c>
      <c r="Q62" s="73">
        <f>'Trade Data'!B8</f>
        <v>2.1643702144485442</v>
      </c>
      <c r="R62" s="35">
        <v>0</v>
      </c>
    </row>
    <row r="63" spans="1:18" ht="20.100000000000001" customHeight="1">
      <c r="A63" s="44" t="s">
        <v>2</v>
      </c>
      <c r="B63" s="44" t="s">
        <v>807</v>
      </c>
      <c r="C63" s="45">
        <v>1196.146</v>
      </c>
      <c r="D63" s="47">
        <v>585234</v>
      </c>
      <c r="E63" s="47">
        <v>2.0438764665074139E-3</v>
      </c>
      <c r="F63" s="47">
        <v>1</v>
      </c>
      <c r="G63" s="46">
        <v>1</v>
      </c>
      <c r="H63" s="47">
        <v>23</v>
      </c>
      <c r="I63" s="48">
        <v>33.24</v>
      </c>
      <c r="J63" s="54">
        <v>34.049999999999997</v>
      </c>
      <c r="K63" s="48">
        <v>60.1</v>
      </c>
      <c r="L63" s="49">
        <v>17.03</v>
      </c>
      <c r="M63" s="72">
        <f t="shared" si="0"/>
        <v>3</v>
      </c>
      <c r="N63" s="36">
        <v>0.03</v>
      </c>
      <c r="O63" s="68">
        <v>-7.916249999999998</v>
      </c>
      <c r="P63" s="73">
        <v>5.8</v>
      </c>
      <c r="Q63" s="73">
        <f>'Trade Data'!B8</f>
        <v>2.1643702144485442</v>
      </c>
      <c r="R63" s="35">
        <v>1</v>
      </c>
    </row>
    <row r="64" spans="1:18" ht="20.100000000000001" customHeight="1">
      <c r="A64" s="44" t="s">
        <v>880</v>
      </c>
      <c r="B64" s="44" t="s">
        <v>806</v>
      </c>
      <c r="C64" s="45">
        <v>671.98199999999997</v>
      </c>
      <c r="D64" s="47">
        <v>1751028</v>
      </c>
      <c r="E64" s="47">
        <v>3.8376428018284116E-4</v>
      </c>
      <c r="F64" s="47">
        <v>1</v>
      </c>
      <c r="G64" s="46">
        <v>1</v>
      </c>
      <c r="H64" s="47">
        <v>15</v>
      </c>
      <c r="I64" s="48">
        <v>33.24</v>
      </c>
      <c r="J64" s="54">
        <v>34.049999999999997</v>
      </c>
      <c r="K64" s="48">
        <v>60.1</v>
      </c>
      <c r="L64" s="49">
        <v>17.03</v>
      </c>
      <c r="M64" s="72">
        <f t="shared" ref="M64:M124" si="1">N64*100</f>
        <v>3</v>
      </c>
      <c r="N64" s="36">
        <v>0.03</v>
      </c>
      <c r="O64" s="68">
        <v>-7.916249999999998</v>
      </c>
      <c r="P64" s="73">
        <v>5.8</v>
      </c>
      <c r="Q64" s="73">
        <f>'Trade Data'!B8</f>
        <v>2.1643702144485442</v>
      </c>
      <c r="R64" s="35">
        <v>1</v>
      </c>
    </row>
    <row r="65" spans="1:18" ht="20.100000000000001" customHeight="1">
      <c r="A65" s="44" t="s">
        <v>3</v>
      </c>
      <c r="B65" s="44" t="s">
        <v>805</v>
      </c>
      <c r="C65" s="45">
        <v>0</v>
      </c>
      <c r="D65" s="47">
        <v>123738</v>
      </c>
      <c r="E65" s="47">
        <v>0</v>
      </c>
      <c r="F65" s="47">
        <v>0</v>
      </c>
      <c r="G65" s="46">
        <v>1</v>
      </c>
      <c r="H65" s="47">
        <v>1</v>
      </c>
      <c r="I65" s="48">
        <v>21.53</v>
      </c>
      <c r="J65" s="54">
        <v>12.28</v>
      </c>
      <c r="K65" s="48">
        <v>55.65</v>
      </c>
      <c r="L65" s="49">
        <v>17.03</v>
      </c>
      <c r="M65" s="72">
        <f t="shared" si="1"/>
        <v>3</v>
      </c>
      <c r="N65" s="36">
        <v>0.03</v>
      </c>
      <c r="O65" s="68">
        <v>-14.837499999999999</v>
      </c>
      <c r="P65" s="73">
        <v>5.8</v>
      </c>
      <c r="Q65" s="73">
        <f>'Trade Data'!B8</f>
        <v>2.1643702144485442</v>
      </c>
      <c r="R65" s="37">
        <v>0</v>
      </c>
    </row>
    <row r="66" spans="1:18" ht="20.100000000000001" customHeight="1">
      <c r="A66" s="44" t="s">
        <v>3</v>
      </c>
      <c r="B66" s="44" t="s">
        <v>804</v>
      </c>
      <c r="C66" s="45">
        <v>1512.325</v>
      </c>
      <c r="D66" s="47">
        <v>585234</v>
      </c>
      <c r="E66" s="47">
        <v>2.5841372852568375E-3</v>
      </c>
      <c r="F66" s="47">
        <v>1</v>
      </c>
      <c r="G66" s="46">
        <v>1</v>
      </c>
      <c r="H66" s="47">
        <v>21</v>
      </c>
      <c r="I66" s="48">
        <v>21.53</v>
      </c>
      <c r="J66" s="54">
        <v>12.28</v>
      </c>
      <c r="K66" s="48">
        <v>55.65</v>
      </c>
      <c r="L66" s="49">
        <v>17.03</v>
      </c>
      <c r="M66" s="72">
        <f t="shared" si="1"/>
        <v>3</v>
      </c>
      <c r="N66" s="36">
        <v>0.03</v>
      </c>
      <c r="O66" s="68">
        <v>-14.837499999999999</v>
      </c>
      <c r="P66" s="73">
        <v>5.8</v>
      </c>
      <c r="Q66" s="73">
        <f>'Trade Data'!B8</f>
        <v>2.1643702144485442</v>
      </c>
      <c r="R66" s="37">
        <v>1</v>
      </c>
    </row>
    <row r="67" spans="1:18" ht="20.100000000000001" customHeight="1">
      <c r="A67" s="44" t="s">
        <v>3</v>
      </c>
      <c r="B67" s="44" t="s">
        <v>803</v>
      </c>
      <c r="C67" s="45">
        <v>3790.8510000000001</v>
      </c>
      <c r="D67" s="47">
        <v>1751028</v>
      </c>
      <c r="E67" s="47">
        <v>2.1649288303784977E-3</v>
      </c>
      <c r="F67" s="47">
        <v>1</v>
      </c>
      <c r="G67" s="46">
        <v>1</v>
      </c>
      <c r="H67" s="47">
        <v>15</v>
      </c>
      <c r="I67" s="48">
        <v>21.53</v>
      </c>
      <c r="J67" s="54">
        <v>12.28</v>
      </c>
      <c r="K67" s="48">
        <v>55.65</v>
      </c>
      <c r="L67" s="49">
        <v>17.03</v>
      </c>
      <c r="M67" s="72">
        <f t="shared" si="1"/>
        <v>3</v>
      </c>
      <c r="N67" s="36">
        <v>0.03</v>
      </c>
      <c r="O67" s="68">
        <v>-14.837499999999999</v>
      </c>
      <c r="P67" s="73">
        <v>5.8</v>
      </c>
      <c r="Q67" s="73">
        <f>'Trade Data'!B8</f>
        <v>2.1643702144485442</v>
      </c>
      <c r="R67" s="37">
        <v>1</v>
      </c>
    </row>
    <row r="68" spans="1:18" ht="20.100000000000001" customHeight="1">
      <c r="A68" s="44" t="s">
        <v>4</v>
      </c>
      <c r="B68" s="44" t="s">
        <v>802</v>
      </c>
      <c r="C68" s="45">
        <v>0</v>
      </c>
      <c r="D68" s="47">
        <v>123738</v>
      </c>
      <c r="E68" s="47">
        <v>0</v>
      </c>
      <c r="F68" s="47">
        <v>0</v>
      </c>
      <c r="G68" s="46">
        <v>1</v>
      </c>
      <c r="H68" s="47">
        <v>1</v>
      </c>
      <c r="I68" s="48">
        <v>26</v>
      </c>
      <c r="J68" s="54">
        <v>16.28</v>
      </c>
      <c r="K68" s="48">
        <v>62.49</v>
      </c>
      <c r="L68" s="49">
        <v>17.03</v>
      </c>
      <c r="M68" s="72">
        <f t="shared" si="1"/>
        <v>0.5</v>
      </c>
      <c r="N68" s="36">
        <v>5.0000000000000001E-3</v>
      </c>
      <c r="O68" s="68">
        <v>-10.582500000000003</v>
      </c>
      <c r="P68" s="73">
        <v>5</v>
      </c>
      <c r="Q68" s="73">
        <f>'Trade Data'!D8</f>
        <v>2.1175705424135502</v>
      </c>
      <c r="R68" s="35">
        <v>0</v>
      </c>
    </row>
    <row r="69" spans="1:18" ht="20.100000000000001" customHeight="1">
      <c r="A69" s="44" t="s">
        <v>4</v>
      </c>
      <c r="B69" s="44" t="s">
        <v>801</v>
      </c>
      <c r="C69" s="45">
        <v>561.30700000000002</v>
      </c>
      <c r="D69" s="47">
        <v>585234</v>
      </c>
      <c r="E69" s="47">
        <v>9.5911549909950551E-4</v>
      </c>
      <c r="F69" s="47">
        <v>1</v>
      </c>
      <c r="G69" s="46">
        <v>1</v>
      </c>
      <c r="H69" s="47">
        <v>18</v>
      </c>
      <c r="I69" s="48">
        <v>26</v>
      </c>
      <c r="J69" s="54">
        <v>16.28</v>
      </c>
      <c r="K69" s="48">
        <v>62.49</v>
      </c>
      <c r="L69" s="49">
        <v>17.03</v>
      </c>
      <c r="M69" s="72">
        <f t="shared" si="1"/>
        <v>0.5</v>
      </c>
      <c r="N69" s="36">
        <v>5.0000000000000001E-3</v>
      </c>
      <c r="O69" s="68">
        <v>-10.582500000000003</v>
      </c>
      <c r="P69" s="73">
        <v>5</v>
      </c>
      <c r="Q69" s="73">
        <f>'Trade Data'!D8</f>
        <v>2.1175705424135502</v>
      </c>
      <c r="R69" s="35">
        <v>1</v>
      </c>
    </row>
    <row r="70" spans="1:18" ht="20.100000000000001" customHeight="1">
      <c r="A70" s="44" t="s">
        <v>4</v>
      </c>
      <c r="B70" s="44" t="s">
        <v>800</v>
      </c>
      <c r="C70" s="45">
        <v>158.37700000000001</v>
      </c>
      <c r="D70" s="47">
        <v>1751028</v>
      </c>
      <c r="E70" s="47">
        <v>9.0448011111187259E-5</v>
      </c>
      <c r="F70" s="47">
        <v>1</v>
      </c>
      <c r="G70" s="46">
        <v>1</v>
      </c>
      <c r="H70" s="47">
        <v>21</v>
      </c>
      <c r="I70" s="48">
        <v>26</v>
      </c>
      <c r="J70" s="54">
        <v>16.28</v>
      </c>
      <c r="K70" s="48">
        <v>62.49</v>
      </c>
      <c r="L70" s="49">
        <v>17.03</v>
      </c>
      <c r="M70" s="72">
        <f t="shared" si="1"/>
        <v>0.5</v>
      </c>
      <c r="N70" s="36">
        <v>5.0000000000000001E-3</v>
      </c>
      <c r="O70" s="68">
        <v>-10.582500000000003</v>
      </c>
      <c r="P70" s="73">
        <v>5</v>
      </c>
      <c r="Q70" s="73">
        <f>'Trade Data'!D8</f>
        <v>2.1175705424135502</v>
      </c>
      <c r="R70" s="35">
        <v>1</v>
      </c>
    </row>
    <row r="71" spans="1:18" ht="20.100000000000001" customHeight="1">
      <c r="A71" s="44" t="s">
        <v>5</v>
      </c>
      <c r="B71" s="44" t="s">
        <v>799</v>
      </c>
      <c r="C71" s="45">
        <v>0</v>
      </c>
      <c r="D71" s="47">
        <v>123738</v>
      </c>
      <c r="E71" s="47">
        <v>0</v>
      </c>
      <c r="F71" s="47">
        <v>0</v>
      </c>
      <c r="G71" s="46">
        <v>0</v>
      </c>
      <c r="H71" s="47">
        <v>0</v>
      </c>
      <c r="I71" s="48">
        <v>29.5</v>
      </c>
      <c r="J71" s="54">
        <v>39.090000000000003</v>
      </c>
      <c r="K71" s="48">
        <v>45.81</v>
      </c>
      <c r="L71" s="49">
        <v>17.03</v>
      </c>
      <c r="M71" s="72">
        <f t="shared" si="1"/>
        <v>0.5</v>
      </c>
      <c r="N71" s="36">
        <v>5.0000000000000001E-3</v>
      </c>
      <c r="O71" s="68">
        <v>-12.446249999999992</v>
      </c>
      <c r="P71" s="73">
        <v>5</v>
      </c>
      <c r="Q71" s="73">
        <f>'Trade Data'!D8</f>
        <v>2.1175705424135502</v>
      </c>
      <c r="R71" s="37">
        <v>0</v>
      </c>
    </row>
    <row r="72" spans="1:18" ht="20.100000000000001" customHeight="1">
      <c r="A72" s="44" t="s">
        <v>5</v>
      </c>
      <c r="B72" s="44" t="s">
        <v>798</v>
      </c>
      <c r="C72" s="45">
        <v>172.24699999999999</v>
      </c>
      <c r="D72" s="47">
        <v>585234</v>
      </c>
      <c r="E72" s="47">
        <v>2.9432158760427449E-4</v>
      </c>
      <c r="F72" s="47">
        <v>1</v>
      </c>
      <c r="G72" s="46">
        <v>1</v>
      </c>
      <c r="H72" s="47">
        <v>24</v>
      </c>
      <c r="I72" s="48">
        <v>29.5</v>
      </c>
      <c r="J72" s="54">
        <v>39.090000000000003</v>
      </c>
      <c r="K72" s="48">
        <v>45.81</v>
      </c>
      <c r="L72" s="49">
        <v>17.03</v>
      </c>
      <c r="M72" s="72">
        <f t="shared" si="1"/>
        <v>0.5</v>
      </c>
      <c r="N72" s="36">
        <v>5.0000000000000001E-3</v>
      </c>
      <c r="O72" s="68">
        <v>-12.446249999999992</v>
      </c>
      <c r="P72" s="73">
        <v>5</v>
      </c>
      <c r="Q72" s="73">
        <f>'Trade Data'!D8</f>
        <v>2.1175705424135502</v>
      </c>
      <c r="R72" s="37">
        <v>1</v>
      </c>
    </row>
    <row r="73" spans="1:18" ht="20.100000000000001" customHeight="1">
      <c r="A73" s="44" t="s">
        <v>5</v>
      </c>
      <c r="B73" s="44" t="s">
        <v>797</v>
      </c>
      <c r="C73" s="45">
        <v>187.279</v>
      </c>
      <c r="D73" s="47">
        <v>1751028</v>
      </c>
      <c r="E73" s="47">
        <v>1.0695374374367514E-4</v>
      </c>
      <c r="F73" s="47">
        <v>1</v>
      </c>
      <c r="G73" s="46">
        <v>1</v>
      </c>
      <c r="H73" s="47">
        <v>34</v>
      </c>
      <c r="I73" s="48">
        <v>29.5</v>
      </c>
      <c r="J73" s="54">
        <v>39.090000000000003</v>
      </c>
      <c r="K73" s="48">
        <v>45.81</v>
      </c>
      <c r="L73" s="49">
        <v>17.03</v>
      </c>
      <c r="M73" s="72">
        <f t="shared" si="1"/>
        <v>0.5</v>
      </c>
      <c r="N73" s="36">
        <v>5.0000000000000001E-3</v>
      </c>
      <c r="O73" s="68">
        <v>-12.446249999999992</v>
      </c>
      <c r="P73" s="73">
        <v>5</v>
      </c>
      <c r="Q73" s="73">
        <f>'Trade Data'!D8</f>
        <v>2.1175705424135502</v>
      </c>
      <c r="R73" s="37">
        <v>1</v>
      </c>
    </row>
    <row r="74" spans="1:18" ht="20.100000000000001" customHeight="1">
      <c r="A74" s="44" t="s">
        <v>6</v>
      </c>
      <c r="B74" s="44" t="s">
        <v>796</v>
      </c>
      <c r="C74" s="45">
        <v>21.498999999999999</v>
      </c>
      <c r="D74" s="47">
        <v>89460</v>
      </c>
      <c r="E74" s="47">
        <v>2.4031969595349876E-4</v>
      </c>
      <c r="F74" s="47">
        <v>1</v>
      </c>
      <c r="G74" s="46">
        <v>1</v>
      </c>
      <c r="H74" s="47">
        <v>2</v>
      </c>
      <c r="I74" s="48">
        <v>23.34</v>
      </c>
      <c r="J74" s="54">
        <v>30.51</v>
      </c>
      <c r="K74" s="48">
        <v>37.79</v>
      </c>
      <c r="L74" s="49">
        <v>17.03</v>
      </c>
      <c r="M74" s="72">
        <f t="shared" si="1"/>
        <v>0.5</v>
      </c>
      <c r="N74" s="36">
        <v>5.0000000000000001E-3</v>
      </c>
      <c r="O74" s="68">
        <v>-14.418749999999999</v>
      </c>
      <c r="P74" s="73">
        <v>5</v>
      </c>
      <c r="Q74" s="73">
        <f>'Trade Data'!D8</f>
        <v>2.1175705424135502</v>
      </c>
      <c r="R74" s="35">
        <v>0</v>
      </c>
    </row>
    <row r="75" spans="1:18" ht="20.100000000000001" customHeight="1">
      <c r="A75" s="44" t="s">
        <v>6</v>
      </c>
      <c r="B75" s="44" t="s">
        <v>795</v>
      </c>
      <c r="C75" s="45">
        <v>56.18</v>
      </c>
      <c r="D75" s="47">
        <v>402300</v>
      </c>
      <c r="E75" s="47">
        <v>1.3964702957991549E-4</v>
      </c>
      <c r="F75" s="47">
        <v>1</v>
      </c>
      <c r="G75" s="46">
        <v>1</v>
      </c>
      <c r="H75" s="47">
        <v>25</v>
      </c>
      <c r="I75" s="48">
        <v>23.34</v>
      </c>
      <c r="J75" s="54">
        <v>30.51</v>
      </c>
      <c r="K75" s="48">
        <v>37.79</v>
      </c>
      <c r="L75" s="49">
        <v>17.03</v>
      </c>
      <c r="M75" s="72">
        <f t="shared" si="1"/>
        <v>0.5</v>
      </c>
      <c r="N75" s="36">
        <v>5.0000000000000001E-3</v>
      </c>
      <c r="O75" s="68">
        <v>-14.418749999999999</v>
      </c>
      <c r="P75" s="73">
        <v>5</v>
      </c>
      <c r="Q75" s="73">
        <f>'Trade Data'!D8</f>
        <v>2.1175705424135502</v>
      </c>
      <c r="R75" s="35">
        <v>1</v>
      </c>
    </row>
    <row r="76" spans="1:18" ht="20.100000000000001" customHeight="1">
      <c r="A76" s="44" t="s">
        <v>6</v>
      </c>
      <c r="B76" s="44" t="s">
        <v>794</v>
      </c>
      <c r="C76" s="45">
        <v>581.57500000000005</v>
      </c>
      <c r="D76" s="47">
        <v>1308240</v>
      </c>
      <c r="E76" s="47">
        <v>4.4454763651929311E-4</v>
      </c>
      <c r="F76" s="47">
        <v>1</v>
      </c>
      <c r="G76" s="46">
        <v>1</v>
      </c>
      <c r="H76" s="47">
        <v>28</v>
      </c>
      <c r="I76" s="48">
        <v>23.34</v>
      </c>
      <c r="J76" s="54">
        <v>30.51</v>
      </c>
      <c r="K76" s="48">
        <v>37.79</v>
      </c>
      <c r="L76" s="49">
        <v>17.03</v>
      </c>
      <c r="M76" s="72">
        <f t="shared" si="1"/>
        <v>0.5</v>
      </c>
      <c r="N76" s="36">
        <v>5.0000000000000001E-3</v>
      </c>
      <c r="O76" s="68">
        <v>-14.418749999999999</v>
      </c>
      <c r="P76" s="73">
        <v>5</v>
      </c>
      <c r="Q76" s="73">
        <f>'Trade Data'!D8</f>
        <v>2.1175705424135502</v>
      </c>
      <c r="R76" s="35">
        <v>1</v>
      </c>
    </row>
    <row r="77" spans="1:18" ht="20.100000000000001" customHeight="1">
      <c r="A77" s="44" t="s">
        <v>7</v>
      </c>
      <c r="B77" s="44" t="s">
        <v>793</v>
      </c>
      <c r="C77" s="45">
        <v>0</v>
      </c>
      <c r="D77" s="47">
        <v>89460</v>
      </c>
      <c r="E77" s="47">
        <v>0</v>
      </c>
      <c r="F77" s="47">
        <v>0</v>
      </c>
      <c r="G77" s="46">
        <v>1</v>
      </c>
      <c r="H77" s="47">
        <v>2</v>
      </c>
      <c r="I77" s="48">
        <v>17.93</v>
      </c>
      <c r="J77" s="48">
        <v>21.26</v>
      </c>
      <c r="K77" s="48">
        <v>34.24</v>
      </c>
      <c r="L77" s="49">
        <v>12.15</v>
      </c>
      <c r="M77" s="72">
        <f t="shared" si="1"/>
        <v>0.5</v>
      </c>
      <c r="N77" s="36">
        <v>5.0000000000000001E-3</v>
      </c>
      <c r="O77" s="68">
        <v>-15.776250000000005</v>
      </c>
      <c r="P77" s="73">
        <v>5</v>
      </c>
      <c r="Q77" s="73">
        <f>'Trade Data'!D8</f>
        <v>2.1175705424135502</v>
      </c>
      <c r="R77" s="37">
        <v>0</v>
      </c>
    </row>
    <row r="78" spans="1:18" ht="20.100000000000001" customHeight="1">
      <c r="A78" s="44" t="s">
        <v>881</v>
      </c>
      <c r="B78" s="44" t="s">
        <v>792</v>
      </c>
      <c r="C78" s="45">
        <v>5247.4809999999998</v>
      </c>
      <c r="D78" s="47">
        <v>402300</v>
      </c>
      <c r="E78" s="47">
        <v>1.304370121799652E-2</v>
      </c>
      <c r="F78" s="47">
        <v>1</v>
      </c>
      <c r="G78" s="46">
        <v>1</v>
      </c>
      <c r="H78" s="47">
        <v>25</v>
      </c>
      <c r="I78" s="48">
        <v>17.93</v>
      </c>
      <c r="J78" s="48">
        <v>21.26</v>
      </c>
      <c r="K78" s="48">
        <v>34.24</v>
      </c>
      <c r="L78" s="49">
        <v>12.15</v>
      </c>
      <c r="M78" s="72">
        <f t="shared" si="1"/>
        <v>0.5</v>
      </c>
      <c r="N78" s="36">
        <v>5.0000000000000001E-3</v>
      </c>
      <c r="O78" s="68">
        <v>-15.776250000000005</v>
      </c>
      <c r="P78" s="73">
        <v>5</v>
      </c>
      <c r="Q78" s="76">
        <f>'Trade Data'!D8</f>
        <v>2.1175705424135502</v>
      </c>
      <c r="R78" s="37">
        <v>1</v>
      </c>
    </row>
    <row r="79" spans="1:18" ht="20.100000000000001" customHeight="1">
      <c r="A79" s="44" t="s">
        <v>7</v>
      </c>
      <c r="B79" s="44" t="s">
        <v>791</v>
      </c>
      <c r="C79" s="45">
        <v>1214.67</v>
      </c>
      <c r="D79" s="47">
        <v>1308240</v>
      </c>
      <c r="E79" s="47">
        <v>9.2847642634379015E-4</v>
      </c>
      <c r="F79" s="47">
        <v>1</v>
      </c>
      <c r="G79" s="46">
        <v>1</v>
      </c>
      <c r="H79" s="47">
        <v>26</v>
      </c>
      <c r="I79" s="48">
        <v>17.93</v>
      </c>
      <c r="J79" s="48">
        <v>21.26</v>
      </c>
      <c r="K79" s="48">
        <v>34.24</v>
      </c>
      <c r="L79" s="49">
        <v>12.15</v>
      </c>
      <c r="M79" s="72">
        <f t="shared" si="1"/>
        <v>0.5</v>
      </c>
      <c r="N79" s="36">
        <v>5.0000000000000001E-3</v>
      </c>
      <c r="O79" s="68">
        <v>-15.776250000000005</v>
      </c>
      <c r="P79" s="73">
        <v>5</v>
      </c>
      <c r="Q79" s="76">
        <f>'Trade Data'!D8</f>
        <v>2.1175705424135502</v>
      </c>
      <c r="R79" s="37">
        <v>1</v>
      </c>
    </row>
    <row r="80" spans="1:18" ht="20.100000000000001" customHeight="1">
      <c r="A80" s="44" t="s">
        <v>8</v>
      </c>
      <c r="B80" s="44" t="s">
        <v>790</v>
      </c>
      <c r="C80" s="45">
        <v>0</v>
      </c>
      <c r="D80" s="47">
        <v>89460</v>
      </c>
      <c r="E80" s="47">
        <v>0</v>
      </c>
      <c r="F80" s="47">
        <v>0</v>
      </c>
      <c r="G80" s="46">
        <v>1</v>
      </c>
      <c r="H80" s="47">
        <v>1</v>
      </c>
      <c r="I80" s="48">
        <v>14.56</v>
      </c>
      <c r="J80" s="48">
        <v>17.149999999999999</v>
      </c>
      <c r="K80" s="48">
        <v>27.17</v>
      </c>
      <c r="L80" s="49">
        <v>12.15</v>
      </c>
      <c r="M80" s="72">
        <f t="shared" si="1"/>
        <v>-3.8</v>
      </c>
      <c r="N80" s="36">
        <v>-3.7999999999999999E-2</v>
      </c>
      <c r="O80" s="68">
        <v>-18.727499999999999</v>
      </c>
      <c r="P80" s="73">
        <v>5.75</v>
      </c>
      <c r="Q80" s="76">
        <f>'Trade Data'!F8</f>
        <v>1.9495038934441589</v>
      </c>
      <c r="R80" s="35">
        <v>0</v>
      </c>
    </row>
    <row r="81" spans="1:18" ht="20.100000000000001" customHeight="1">
      <c r="A81" s="44" t="s">
        <v>8</v>
      </c>
      <c r="B81" s="44" t="s">
        <v>789</v>
      </c>
      <c r="C81" s="45">
        <v>466.01900000000001</v>
      </c>
      <c r="D81" s="47">
        <v>402300</v>
      </c>
      <c r="E81" s="47">
        <v>1.1583867760377828E-3</v>
      </c>
      <c r="F81" s="47">
        <v>1</v>
      </c>
      <c r="G81" s="46">
        <v>1</v>
      </c>
      <c r="H81" s="47">
        <v>17</v>
      </c>
      <c r="I81" s="48">
        <v>14.56</v>
      </c>
      <c r="J81" s="48">
        <v>17.149999999999999</v>
      </c>
      <c r="K81" s="48">
        <v>27.17</v>
      </c>
      <c r="L81" s="49">
        <v>12.15</v>
      </c>
      <c r="M81" s="72">
        <f t="shared" si="1"/>
        <v>-3.8</v>
      </c>
      <c r="N81" s="36">
        <v>-3.7999999999999999E-2</v>
      </c>
      <c r="O81" s="68">
        <v>-18.727499999999999</v>
      </c>
      <c r="P81" s="73">
        <v>5.75</v>
      </c>
      <c r="Q81" s="73">
        <f>'Trade Data'!F8</f>
        <v>1.9495038934441589</v>
      </c>
      <c r="R81" s="35">
        <v>1</v>
      </c>
    </row>
    <row r="82" spans="1:18" ht="20.100000000000001" customHeight="1">
      <c r="A82" s="44" t="s">
        <v>8</v>
      </c>
      <c r="B82" s="44" t="s">
        <v>788</v>
      </c>
      <c r="C82" s="45">
        <v>1438.481</v>
      </c>
      <c r="D82" s="47">
        <v>1308240</v>
      </c>
      <c r="E82" s="47">
        <v>1.0995543631138018E-3</v>
      </c>
      <c r="F82" s="47">
        <v>1</v>
      </c>
      <c r="G82" s="46">
        <v>1</v>
      </c>
      <c r="H82" s="47">
        <v>28</v>
      </c>
      <c r="I82" s="48">
        <v>14.56</v>
      </c>
      <c r="J82" s="48">
        <v>17.149999999999999</v>
      </c>
      <c r="K82" s="48">
        <v>27.17</v>
      </c>
      <c r="L82" s="49">
        <v>12.15</v>
      </c>
      <c r="M82" s="72">
        <f t="shared" si="1"/>
        <v>-3.8</v>
      </c>
      <c r="N82" s="36">
        <v>-3.7999999999999999E-2</v>
      </c>
      <c r="O82" s="68">
        <v>-18.727499999999999</v>
      </c>
      <c r="P82" s="73">
        <v>5.75</v>
      </c>
      <c r="Q82" s="73">
        <f>'Trade Data'!F8</f>
        <v>1.9495038934441589</v>
      </c>
      <c r="R82" s="35">
        <v>1</v>
      </c>
    </row>
    <row r="83" spans="1:18" ht="20.100000000000001" customHeight="1">
      <c r="A83" s="44" t="s">
        <v>882</v>
      </c>
      <c r="B83" s="44" t="s">
        <v>787</v>
      </c>
      <c r="C83" s="45">
        <v>0</v>
      </c>
      <c r="D83" s="47">
        <v>89460</v>
      </c>
      <c r="E83" s="47">
        <v>0</v>
      </c>
      <c r="F83" s="47">
        <v>0</v>
      </c>
      <c r="G83" s="46">
        <v>1</v>
      </c>
      <c r="H83" s="47">
        <v>1</v>
      </c>
      <c r="I83" s="48">
        <v>16.5</v>
      </c>
      <c r="J83" s="55">
        <v>26.8</v>
      </c>
      <c r="K83" s="49">
        <v>25.37</v>
      </c>
      <c r="L83" s="49">
        <v>12.15</v>
      </c>
      <c r="M83" s="72">
        <f t="shared" si="1"/>
        <v>-3.8</v>
      </c>
      <c r="N83" s="36">
        <v>-3.7999999999999999E-2</v>
      </c>
      <c r="O83" s="68">
        <v>-21.557499999999997</v>
      </c>
      <c r="P83" s="73">
        <v>5.75</v>
      </c>
      <c r="Q83" s="73">
        <f>'Trade Data'!F8</f>
        <v>1.9495038934441589</v>
      </c>
      <c r="R83" s="37">
        <v>0</v>
      </c>
    </row>
    <row r="84" spans="1:18" ht="20.100000000000001" customHeight="1">
      <c r="A84" s="44" t="s">
        <v>882</v>
      </c>
      <c r="B84" s="44" t="s">
        <v>786</v>
      </c>
      <c r="C84" s="45">
        <v>2530.8119999999999</v>
      </c>
      <c r="D84" s="47">
        <v>402300</v>
      </c>
      <c r="E84" s="47">
        <v>6.2908575689783744E-3</v>
      </c>
      <c r="F84" s="47">
        <v>1</v>
      </c>
      <c r="G84" s="46">
        <v>1</v>
      </c>
      <c r="H84" s="47">
        <v>30</v>
      </c>
      <c r="I84" s="48">
        <v>16.5</v>
      </c>
      <c r="J84" s="55">
        <v>26.8</v>
      </c>
      <c r="K84" s="49">
        <v>25.37</v>
      </c>
      <c r="L84" s="49">
        <v>12.15</v>
      </c>
      <c r="M84" s="72">
        <f t="shared" si="1"/>
        <v>-3.8</v>
      </c>
      <c r="N84" s="36">
        <v>-3.7999999999999999E-2</v>
      </c>
      <c r="O84" s="68">
        <v>-21.557499999999997</v>
      </c>
      <c r="P84" s="73">
        <v>5.75</v>
      </c>
      <c r="Q84" s="73">
        <f>'Trade Data'!F8</f>
        <v>1.9495038934441589</v>
      </c>
      <c r="R84" s="37">
        <v>1</v>
      </c>
    </row>
    <row r="85" spans="1:18" ht="20.100000000000001" customHeight="1">
      <c r="A85" s="44" t="s">
        <v>882</v>
      </c>
      <c r="B85" s="44" t="s">
        <v>785</v>
      </c>
      <c r="C85" s="45">
        <v>6613.8109999999997</v>
      </c>
      <c r="D85" s="47">
        <v>1308240</v>
      </c>
      <c r="E85" s="47">
        <v>5.0555028129395212E-3</v>
      </c>
      <c r="F85" s="47">
        <v>1</v>
      </c>
      <c r="G85" s="46">
        <v>1</v>
      </c>
      <c r="H85" s="47">
        <v>33</v>
      </c>
      <c r="I85" s="48">
        <v>16.5</v>
      </c>
      <c r="J85" s="55">
        <v>26.8</v>
      </c>
      <c r="K85" s="49">
        <v>25.37</v>
      </c>
      <c r="L85" s="49">
        <v>12.15</v>
      </c>
      <c r="M85" s="72">
        <f t="shared" si="1"/>
        <v>-3.8</v>
      </c>
      <c r="N85" s="36">
        <v>-3.7999999999999999E-2</v>
      </c>
      <c r="O85" s="68">
        <v>-21.557499999999997</v>
      </c>
      <c r="P85" s="73">
        <v>5.75</v>
      </c>
      <c r="Q85" s="73">
        <f>'Trade Data'!F8</f>
        <v>1.9495038934441589</v>
      </c>
      <c r="R85" s="37">
        <v>1</v>
      </c>
    </row>
    <row r="86" spans="1:18" ht="20.100000000000001" customHeight="1">
      <c r="A86" s="44" t="s">
        <v>10</v>
      </c>
      <c r="B86" s="44" t="s">
        <v>784</v>
      </c>
      <c r="C86" s="45">
        <v>0</v>
      </c>
      <c r="D86" s="47">
        <v>98100</v>
      </c>
      <c r="E86" s="47">
        <v>0</v>
      </c>
      <c r="F86" s="47">
        <v>0</v>
      </c>
      <c r="G86" s="46">
        <v>0</v>
      </c>
      <c r="H86" s="47">
        <v>0</v>
      </c>
      <c r="I86" s="48">
        <v>9</v>
      </c>
      <c r="J86" s="48">
        <v>4.95</v>
      </c>
      <c r="K86" s="48">
        <v>24.06</v>
      </c>
      <c r="L86" s="49">
        <v>12.15</v>
      </c>
      <c r="M86" s="72">
        <f t="shared" si="1"/>
        <v>-3.8</v>
      </c>
      <c r="N86" s="36">
        <v>-3.7999999999999999E-2</v>
      </c>
      <c r="O86" s="68">
        <v>-21.947500000000002</v>
      </c>
      <c r="P86" s="73">
        <v>5.75</v>
      </c>
      <c r="Q86" s="73">
        <f>'Trade Data'!F8</f>
        <v>1.9495038934441589</v>
      </c>
      <c r="R86" s="35">
        <v>0</v>
      </c>
    </row>
    <row r="87" spans="1:18" ht="20.100000000000001" customHeight="1">
      <c r="A87" s="44" t="s">
        <v>10</v>
      </c>
      <c r="B87" s="44" t="s">
        <v>783</v>
      </c>
      <c r="C87" s="45">
        <v>237.95099999999999</v>
      </c>
      <c r="D87" s="47">
        <v>382320</v>
      </c>
      <c r="E87" s="47">
        <v>6.2238700564971753E-4</v>
      </c>
      <c r="F87" s="47">
        <v>1</v>
      </c>
      <c r="G87" s="46">
        <v>1</v>
      </c>
      <c r="H87" s="47">
        <v>19</v>
      </c>
      <c r="I87" s="48">
        <v>9</v>
      </c>
      <c r="J87" s="48">
        <v>4.95</v>
      </c>
      <c r="K87" s="48">
        <v>24.06</v>
      </c>
      <c r="L87" s="49">
        <v>12.15</v>
      </c>
      <c r="M87" s="72">
        <f t="shared" si="1"/>
        <v>-3.8</v>
      </c>
      <c r="N87" s="36">
        <v>-3.7999999999999999E-2</v>
      </c>
      <c r="O87" s="68">
        <v>-21.947500000000002</v>
      </c>
      <c r="P87" s="73">
        <v>5.75</v>
      </c>
      <c r="Q87" s="73">
        <f>'Trade Data'!F8</f>
        <v>1.9495038934441589</v>
      </c>
      <c r="R87" s="35">
        <v>1</v>
      </c>
    </row>
    <row r="88" spans="1:18" ht="20.100000000000001" customHeight="1">
      <c r="A88" s="44" t="s">
        <v>10</v>
      </c>
      <c r="B88" s="44" t="s">
        <v>782</v>
      </c>
      <c r="C88" s="45">
        <v>58.145000000000003</v>
      </c>
      <c r="D88" s="47">
        <v>1319400</v>
      </c>
      <c r="E88" s="47">
        <v>4.406927391238442E-5</v>
      </c>
      <c r="F88" s="47">
        <v>1</v>
      </c>
      <c r="G88" s="46">
        <v>1</v>
      </c>
      <c r="H88" s="47">
        <v>22</v>
      </c>
      <c r="I88" s="48">
        <v>9</v>
      </c>
      <c r="J88" s="48">
        <v>4.95</v>
      </c>
      <c r="K88" s="48">
        <v>24.06</v>
      </c>
      <c r="L88" s="49">
        <v>12.15</v>
      </c>
      <c r="M88" s="72">
        <f t="shared" si="1"/>
        <v>-3.8</v>
      </c>
      <c r="N88" s="36">
        <v>-3.7999999999999999E-2</v>
      </c>
      <c r="O88" s="68">
        <v>-21.947500000000002</v>
      </c>
      <c r="P88" s="73">
        <v>5.75</v>
      </c>
      <c r="Q88" s="73">
        <f>'Trade Data'!F8</f>
        <v>1.9495038934441589</v>
      </c>
      <c r="R88" s="35">
        <v>1</v>
      </c>
    </row>
    <row r="89" spans="1:18" ht="20.100000000000001" customHeight="1">
      <c r="A89" s="44" t="s">
        <v>11</v>
      </c>
      <c r="B89" s="44" t="s">
        <v>781</v>
      </c>
      <c r="C89" s="45">
        <v>0</v>
      </c>
      <c r="D89" s="47">
        <v>98100</v>
      </c>
      <c r="E89" s="47">
        <v>0</v>
      </c>
      <c r="F89" s="47">
        <v>0</v>
      </c>
      <c r="G89" s="46">
        <v>0</v>
      </c>
      <c r="H89" s="47">
        <v>0</v>
      </c>
      <c r="I89" s="48">
        <v>10.64</v>
      </c>
      <c r="J89" s="48">
        <v>9.99</v>
      </c>
      <c r="K89" s="49">
        <v>22.13</v>
      </c>
      <c r="L89" s="49">
        <v>11.76</v>
      </c>
      <c r="M89" s="72">
        <f t="shared" si="1"/>
        <v>-3.8</v>
      </c>
      <c r="N89" s="36">
        <v>-3.7999999999999999E-2</v>
      </c>
      <c r="O89" s="68">
        <v>-20.653750000000002</v>
      </c>
      <c r="P89" s="73">
        <v>5.75</v>
      </c>
      <c r="Q89" s="73">
        <f>'Trade Data'!F8</f>
        <v>1.9495038934441589</v>
      </c>
      <c r="R89" s="37">
        <v>0</v>
      </c>
    </row>
    <row r="90" spans="1:18" ht="20.100000000000001" customHeight="1">
      <c r="A90" s="44" t="s">
        <v>11</v>
      </c>
      <c r="B90" s="44" t="s">
        <v>780</v>
      </c>
      <c r="C90" s="45">
        <v>1707.55</v>
      </c>
      <c r="D90" s="47">
        <v>382320</v>
      </c>
      <c r="E90" s="47">
        <v>4.466284787612471E-3</v>
      </c>
      <c r="F90" s="47">
        <v>1</v>
      </c>
      <c r="G90" s="46">
        <v>1</v>
      </c>
      <c r="H90" s="47">
        <v>14</v>
      </c>
      <c r="I90" s="48">
        <v>10.64</v>
      </c>
      <c r="J90" s="48">
        <v>9.99</v>
      </c>
      <c r="K90" s="49">
        <v>22.13</v>
      </c>
      <c r="L90" s="49">
        <v>11.76</v>
      </c>
      <c r="M90" s="72">
        <f t="shared" si="1"/>
        <v>-3.8</v>
      </c>
      <c r="N90" s="36">
        <v>-3.7999999999999999E-2</v>
      </c>
      <c r="O90" s="68">
        <v>-20.653750000000002</v>
      </c>
      <c r="P90" s="73">
        <v>5.75</v>
      </c>
      <c r="Q90" s="73">
        <f>'Trade Data'!F8</f>
        <v>1.9495038934441589</v>
      </c>
      <c r="R90" s="37">
        <v>1</v>
      </c>
    </row>
    <row r="91" spans="1:18" ht="20.100000000000001" customHeight="1">
      <c r="A91" s="44" t="s">
        <v>11</v>
      </c>
      <c r="B91" s="44" t="s">
        <v>779</v>
      </c>
      <c r="C91" s="45">
        <v>410.90999999999997</v>
      </c>
      <c r="D91" s="47">
        <v>1319400</v>
      </c>
      <c r="E91" s="47">
        <v>3.1143701682582992E-4</v>
      </c>
      <c r="F91" s="47">
        <v>1</v>
      </c>
      <c r="G91" s="46">
        <v>1</v>
      </c>
      <c r="H91" s="47">
        <v>16</v>
      </c>
      <c r="I91" s="48">
        <v>10.64</v>
      </c>
      <c r="J91" s="48">
        <v>9.99</v>
      </c>
      <c r="K91" s="49">
        <v>22.13</v>
      </c>
      <c r="L91" s="49">
        <v>11.76</v>
      </c>
      <c r="M91" s="72">
        <f t="shared" si="1"/>
        <v>-3.8</v>
      </c>
      <c r="N91" s="36">
        <v>-3.7999999999999999E-2</v>
      </c>
      <c r="O91" s="68">
        <v>-20.653750000000002</v>
      </c>
      <c r="P91" s="73">
        <v>5.75</v>
      </c>
      <c r="Q91" s="73">
        <f>'Trade Data'!F8</f>
        <v>1.9495038934441589</v>
      </c>
      <c r="R91" s="37">
        <v>1</v>
      </c>
    </row>
    <row r="92" spans="1:18" ht="20.100000000000001" customHeight="1">
      <c r="A92" s="44" t="s">
        <v>12</v>
      </c>
      <c r="B92" s="44" t="s">
        <v>778</v>
      </c>
      <c r="C92" s="45">
        <v>0</v>
      </c>
      <c r="D92" s="47">
        <v>98100</v>
      </c>
      <c r="E92" s="47">
        <v>0</v>
      </c>
      <c r="F92" s="47">
        <v>0</v>
      </c>
      <c r="G92" s="46">
        <v>0</v>
      </c>
      <c r="H92" s="47">
        <v>0</v>
      </c>
      <c r="I92" s="48">
        <v>20.91</v>
      </c>
      <c r="J92" s="48">
        <v>44.83</v>
      </c>
      <c r="K92" s="48">
        <v>25.35</v>
      </c>
      <c r="L92" s="49">
        <v>11.76</v>
      </c>
      <c r="M92" s="72">
        <f t="shared" si="1"/>
        <v>-3.5999999999999996</v>
      </c>
      <c r="N92" s="36">
        <v>-3.5999999999999997E-2</v>
      </c>
      <c r="O92" s="68">
        <v>-15.715</v>
      </c>
      <c r="P92" s="73">
        <v>6.25</v>
      </c>
      <c r="Q92" s="73">
        <f>'Trade Data'!H8</f>
        <v>1.8710074189599308</v>
      </c>
      <c r="R92" s="35">
        <v>0</v>
      </c>
    </row>
    <row r="93" spans="1:18" ht="20.100000000000001" customHeight="1">
      <c r="A93" s="44" t="s">
        <v>12</v>
      </c>
      <c r="B93" s="44" t="s">
        <v>777</v>
      </c>
      <c r="C93" s="45">
        <v>602.30099999999993</v>
      </c>
      <c r="D93" s="47">
        <v>382320</v>
      </c>
      <c r="E93" s="47">
        <v>1.5753844946641555E-3</v>
      </c>
      <c r="F93" s="47">
        <v>1</v>
      </c>
      <c r="G93" s="46">
        <v>1</v>
      </c>
      <c r="H93" s="47">
        <v>21</v>
      </c>
      <c r="I93" s="48">
        <v>20.91</v>
      </c>
      <c r="J93" s="48">
        <v>44.83</v>
      </c>
      <c r="K93" s="48">
        <v>25.35</v>
      </c>
      <c r="L93" s="49">
        <v>11.76</v>
      </c>
      <c r="M93" s="72">
        <f t="shared" si="1"/>
        <v>-3.5999999999999996</v>
      </c>
      <c r="N93" s="36">
        <v>-3.5999999999999997E-2</v>
      </c>
      <c r="O93" s="68">
        <v>-15.715</v>
      </c>
      <c r="P93" s="73">
        <v>6.25</v>
      </c>
      <c r="Q93" s="73">
        <f>'Trade Data'!H8</f>
        <v>1.8710074189599308</v>
      </c>
      <c r="R93" s="35">
        <v>1</v>
      </c>
    </row>
    <row r="94" spans="1:18" ht="20.100000000000001" customHeight="1">
      <c r="A94" s="44" t="s">
        <v>12</v>
      </c>
      <c r="B94" s="44" t="s">
        <v>776</v>
      </c>
      <c r="C94" s="45">
        <v>595.88900000000001</v>
      </c>
      <c r="D94" s="47">
        <v>1319400</v>
      </c>
      <c r="E94" s="47">
        <v>4.5163634985599514E-4</v>
      </c>
      <c r="F94" s="47">
        <v>1</v>
      </c>
      <c r="G94" s="46">
        <v>1</v>
      </c>
      <c r="H94" s="47">
        <v>31</v>
      </c>
      <c r="I94" s="48">
        <v>20.91</v>
      </c>
      <c r="J94" s="48">
        <v>44.83</v>
      </c>
      <c r="K94" s="48">
        <v>25.35</v>
      </c>
      <c r="L94" s="49">
        <v>11.76</v>
      </c>
      <c r="M94" s="72">
        <f t="shared" si="1"/>
        <v>-3.5999999999999996</v>
      </c>
      <c r="N94" s="36">
        <v>-3.5999999999999997E-2</v>
      </c>
      <c r="O94" s="68">
        <v>-15.715</v>
      </c>
      <c r="P94" s="73">
        <v>6.25</v>
      </c>
      <c r="Q94" s="73">
        <f>'Trade Data'!H8</f>
        <v>1.8710074189599308</v>
      </c>
      <c r="R94" s="35">
        <v>1</v>
      </c>
    </row>
    <row r="95" spans="1:18" ht="20.100000000000001" customHeight="1">
      <c r="A95" s="44" t="s">
        <v>13</v>
      </c>
      <c r="B95" s="44" t="s">
        <v>775</v>
      </c>
      <c r="C95" s="45">
        <v>0</v>
      </c>
      <c r="D95" s="47">
        <v>98100</v>
      </c>
      <c r="E95" s="47">
        <v>0</v>
      </c>
      <c r="F95" s="47">
        <v>0</v>
      </c>
      <c r="G95" s="46">
        <v>0</v>
      </c>
      <c r="H95" s="47">
        <v>0</v>
      </c>
      <c r="I95" s="48">
        <v>21.37</v>
      </c>
      <c r="J95" s="48">
        <v>39.130000000000003</v>
      </c>
      <c r="K95" s="49">
        <v>31.18</v>
      </c>
      <c r="L95" s="49">
        <v>11.76</v>
      </c>
      <c r="M95" s="72">
        <f t="shared" si="1"/>
        <v>-3.5999999999999996</v>
      </c>
      <c r="N95" s="36">
        <v>-3.5999999999999997E-2</v>
      </c>
      <c r="O95" s="68">
        <v>-13.601249999999997</v>
      </c>
      <c r="P95" s="73">
        <v>6.25</v>
      </c>
      <c r="Q95" s="73">
        <f>'Trade Data'!H8</f>
        <v>1.8710074189599308</v>
      </c>
      <c r="R95" s="37">
        <v>0</v>
      </c>
    </row>
    <row r="96" spans="1:18" ht="20.100000000000001" customHeight="1">
      <c r="A96" s="44" t="s">
        <v>13</v>
      </c>
      <c r="B96" s="44" t="s">
        <v>774</v>
      </c>
      <c r="C96" s="45">
        <v>8124.2919999999995</v>
      </c>
      <c r="D96" s="47">
        <v>382320</v>
      </c>
      <c r="E96" s="47">
        <v>2.1249979075120315E-2</v>
      </c>
      <c r="F96" s="47">
        <v>1</v>
      </c>
      <c r="G96" s="46">
        <v>1</v>
      </c>
      <c r="H96" s="47">
        <v>36</v>
      </c>
      <c r="I96" s="48">
        <v>21.37</v>
      </c>
      <c r="J96" s="48">
        <v>39.130000000000003</v>
      </c>
      <c r="K96" s="49">
        <v>31.18</v>
      </c>
      <c r="L96" s="49">
        <v>11.76</v>
      </c>
      <c r="M96" s="72">
        <f t="shared" si="1"/>
        <v>-3.5999999999999996</v>
      </c>
      <c r="N96" s="36">
        <v>-3.5999999999999997E-2</v>
      </c>
      <c r="O96" s="68">
        <v>-13.601249999999997</v>
      </c>
      <c r="P96" s="73">
        <v>6.25</v>
      </c>
      <c r="Q96" s="73">
        <f>'Trade Data'!H8</f>
        <v>1.8710074189599308</v>
      </c>
      <c r="R96" s="37">
        <v>1</v>
      </c>
    </row>
    <row r="97" spans="1:18" ht="20.100000000000001" customHeight="1">
      <c r="A97" s="44" t="s">
        <v>13</v>
      </c>
      <c r="B97" s="44" t="s">
        <v>773</v>
      </c>
      <c r="C97" s="45">
        <v>552.71699999999998</v>
      </c>
      <c r="D97" s="47">
        <v>1319400</v>
      </c>
      <c r="E97" s="47">
        <v>4.1891541609822647E-4</v>
      </c>
      <c r="F97" s="47">
        <v>1</v>
      </c>
      <c r="G97" s="46">
        <v>1</v>
      </c>
      <c r="H97" s="47">
        <v>34</v>
      </c>
      <c r="I97" s="48">
        <v>21.37</v>
      </c>
      <c r="J97" s="48">
        <v>39.130000000000003</v>
      </c>
      <c r="K97" s="49">
        <v>31.18</v>
      </c>
      <c r="L97" s="49">
        <v>11.76</v>
      </c>
      <c r="M97" s="72">
        <f t="shared" si="1"/>
        <v>-3.5999999999999996</v>
      </c>
      <c r="N97" s="36">
        <v>-3.5999999999999997E-2</v>
      </c>
      <c r="O97" s="68">
        <v>-13.601249999999997</v>
      </c>
      <c r="P97" s="73">
        <v>6.25</v>
      </c>
      <c r="Q97" s="73">
        <f>'Trade Data'!H8</f>
        <v>1.8710074189599308</v>
      </c>
      <c r="R97" s="37">
        <v>1</v>
      </c>
    </row>
    <row r="98" spans="1:18" ht="20.100000000000001" customHeight="1">
      <c r="A98" s="44" t="s">
        <v>14</v>
      </c>
      <c r="B98" s="44" t="s">
        <v>772</v>
      </c>
      <c r="C98" s="45">
        <v>252.88499999999999</v>
      </c>
      <c r="D98" s="47">
        <v>128960</v>
      </c>
      <c r="E98" s="47">
        <v>1.9609568858560793E-3</v>
      </c>
      <c r="F98" s="47">
        <v>1</v>
      </c>
      <c r="G98" s="46">
        <v>1</v>
      </c>
      <c r="H98" s="47">
        <v>2</v>
      </c>
      <c r="I98" s="48">
        <v>28.07</v>
      </c>
      <c r="J98" s="54">
        <v>55.23</v>
      </c>
      <c r="K98" s="49">
        <v>35.74</v>
      </c>
      <c r="L98" s="49">
        <v>11.76</v>
      </c>
      <c r="M98" s="72">
        <f t="shared" si="1"/>
        <v>-3.5999999999999996</v>
      </c>
      <c r="N98" s="36">
        <v>-3.5999999999999997E-2</v>
      </c>
      <c r="O98" s="68">
        <v>-5.2675000000000054</v>
      </c>
      <c r="P98" s="73">
        <v>6.25</v>
      </c>
      <c r="Q98" s="73">
        <f>'Trade Data'!H8</f>
        <v>1.8710074189599308</v>
      </c>
      <c r="R98" s="35">
        <v>0</v>
      </c>
    </row>
    <row r="99" spans="1:18" ht="20.100000000000001" customHeight="1">
      <c r="A99" s="44" t="s">
        <v>14</v>
      </c>
      <c r="B99" s="44" t="s">
        <v>771</v>
      </c>
      <c r="C99" s="45">
        <v>805.48399999999992</v>
      </c>
      <c r="D99" s="47">
        <v>436800</v>
      </c>
      <c r="E99" s="47">
        <v>1.8440567765567763E-3</v>
      </c>
      <c r="F99" s="47">
        <v>1</v>
      </c>
      <c r="G99" s="46">
        <v>1</v>
      </c>
      <c r="H99" s="47">
        <v>16</v>
      </c>
      <c r="I99" s="48">
        <v>28.07</v>
      </c>
      <c r="J99" s="54">
        <v>55.23</v>
      </c>
      <c r="K99" s="49">
        <v>35.74</v>
      </c>
      <c r="L99" s="49">
        <v>11.76</v>
      </c>
      <c r="M99" s="72">
        <f t="shared" si="1"/>
        <v>-3.5999999999999996</v>
      </c>
      <c r="N99" s="36">
        <v>-3.5999999999999997E-2</v>
      </c>
      <c r="O99" s="68">
        <v>-5.2675000000000054</v>
      </c>
      <c r="P99" s="73">
        <v>6.25</v>
      </c>
      <c r="Q99" s="73">
        <f>'Trade Data'!H8</f>
        <v>1.8710074189599308</v>
      </c>
      <c r="R99" s="35">
        <v>1</v>
      </c>
    </row>
    <row r="100" spans="1:18" ht="20.100000000000001" customHeight="1">
      <c r="A100" s="44" t="s">
        <v>14</v>
      </c>
      <c r="B100" s="44" t="s">
        <v>770</v>
      </c>
      <c r="C100" s="45">
        <v>1627.7449999999999</v>
      </c>
      <c r="D100" s="47">
        <v>1514240</v>
      </c>
      <c r="E100" s="47">
        <v>1.0749583949704142E-3</v>
      </c>
      <c r="F100" s="47">
        <v>1</v>
      </c>
      <c r="G100" s="46">
        <v>1</v>
      </c>
      <c r="H100" s="47">
        <v>26</v>
      </c>
      <c r="I100" s="48">
        <v>28.07</v>
      </c>
      <c r="J100" s="54">
        <v>55.23</v>
      </c>
      <c r="K100" s="49">
        <v>35.74</v>
      </c>
      <c r="L100" s="49">
        <v>11.76</v>
      </c>
      <c r="M100" s="72">
        <f t="shared" si="1"/>
        <v>-3.5999999999999996</v>
      </c>
      <c r="N100" s="36">
        <v>-3.5999999999999997E-2</v>
      </c>
      <c r="O100" s="68">
        <v>-5.2675000000000054</v>
      </c>
      <c r="P100" s="73">
        <v>6.25</v>
      </c>
      <c r="Q100" s="73">
        <f>'Trade Data'!H8</f>
        <v>1.8710074189599308</v>
      </c>
      <c r="R100" s="35">
        <v>1</v>
      </c>
    </row>
    <row r="101" spans="1:18" ht="20.100000000000001" customHeight="1">
      <c r="A101" s="44" t="s">
        <v>15</v>
      </c>
      <c r="B101" s="44" t="s">
        <v>769</v>
      </c>
      <c r="C101" s="45">
        <v>318.60000000000002</v>
      </c>
      <c r="D101" s="47">
        <v>128960</v>
      </c>
      <c r="E101" s="47">
        <v>2.4705334987593056E-3</v>
      </c>
      <c r="F101" s="47">
        <v>1</v>
      </c>
      <c r="G101" s="46">
        <v>1</v>
      </c>
      <c r="H101" s="47">
        <v>2</v>
      </c>
      <c r="I101" s="48">
        <v>15.42</v>
      </c>
      <c r="J101" s="54">
        <v>26.82</v>
      </c>
      <c r="K101" s="49">
        <v>22.16</v>
      </c>
      <c r="L101" s="49">
        <v>11.14</v>
      </c>
      <c r="M101" s="72">
        <f t="shared" si="1"/>
        <v>-3.5999999999999996</v>
      </c>
      <c r="N101" s="36">
        <v>-3.5999999999999997E-2</v>
      </c>
      <c r="O101" s="68">
        <v>-14.5875</v>
      </c>
      <c r="P101" s="73">
        <v>6.25</v>
      </c>
      <c r="Q101" s="73">
        <f>'Trade Data'!H8</f>
        <v>1.8710074189599308</v>
      </c>
      <c r="R101" s="37">
        <v>0</v>
      </c>
    </row>
    <row r="102" spans="1:18" ht="20.100000000000001" customHeight="1">
      <c r="A102" s="44" t="s">
        <v>15</v>
      </c>
      <c r="B102" s="44" t="s">
        <v>768</v>
      </c>
      <c r="C102" s="45">
        <v>8.1</v>
      </c>
      <c r="D102" s="47">
        <v>436800</v>
      </c>
      <c r="E102" s="47">
        <v>1.8543956043956043E-5</v>
      </c>
      <c r="F102" s="47">
        <v>1</v>
      </c>
      <c r="G102" s="46">
        <v>1</v>
      </c>
      <c r="H102" s="47">
        <v>18</v>
      </c>
      <c r="I102" s="48">
        <v>15.42</v>
      </c>
      <c r="J102" s="54">
        <v>26.82</v>
      </c>
      <c r="K102" s="49">
        <v>22.16</v>
      </c>
      <c r="L102" s="49">
        <v>11.14</v>
      </c>
      <c r="M102" s="72">
        <f t="shared" si="1"/>
        <v>-3.5999999999999996</v>
      </c>
      <c r="N102" s="36">
        <v>-3.5999999999999997E-2</v>
      </c>
      <c r="O102" s="68">
        <v>-14.5875</v>
      </c>
      <c r="P102" s="73">
        <v>6.25</v>
      </c>
      <c r="Q102" s="73">
        <f>'Trade Data'!H8</f>
        <v>1.8710074189599308</v>
      </c>
      <c r="R102" s="37">
        <v>1</v>
      </c>
    </row>
    <row r="103" spans="1:18" ht="20.100000000000001" customHeight="1">
      <c r="A103" s="44" t="s">
        <v>15</v>
      </c>
      <c r="B103" s="44" t="s">
        <v>767</v>
      </c>
      <c r="C103" s="45">
        <v>1519.373</v>
      </c>
      <c r="D103" s="47">
        <v>1514240</v>
      </c>
      <c r="E103" s="47">
        <v>1.0033898193153002E-3</v>
      </c>
      <c r="F103" s="47">
        <v>1</v>
      </c>
      <c r="G103" s="46">
        <v>1</v>
      </c>
      <c r="H103" s="47">
        <v>22</v>
      </c>
      <c r="I103" s="48">
        <v>15.42</v>
      </c>
      <c r="J103" s="54">
        <v>26.82</v>
      </c>
      <c r="K103" s="49">
        <v>22.16</v>
      </c>
      <c r="L103" s="49">
        <v>11.14</v>
      </c>
      <c r="M103" s="72">
        <f t="shared" si="1"/>
        <v>-3.5999999999999996</v>
      </c>
      <c r="N103" s="36">
        <v>-3.5999999999999997E-2</v>
      </c>
      <c r="O103" s="68">
        <v>-14.5875</v>
      </c>
      <c r="P103" s="73">
        <v>6.25</v>
      </c>
      <c r="Q103" s="73">
        <f>'Trade Data'!H8</f>
        <v>1.8710074189599308</v>
      </c>
      <c r="R103" s="37">
        <v>1</v>
      </c>
    </row>
    <row r="104" spans="1:18" ht="20.100000000000001" customHeight="1">
      <c r="A104" s="44" t="s">
        <v>16</v>
      </c>
      <c r="B104" s="44" t="s">
        <v>766</v>
      </c>
      <c r="C104" s="45">
        <v>1105</v>
      </c>
      <c r="D104" s="47">
        <v>128960</v>
      </c>
      <c r="E104" s="47">
        <v>8.5685483870967735E-3</v>
      </c>
      <c r="F104" s="47">
        <v>1</v>
      </c>
      <c r="G104" s="46">
        <v>1</v>
      </c>
      <c r="H104" s="47">
        <v>3</v>
      </c>
      <c r="I104" s="48">
        <v>26.08</v>
      </c>
      <c r="J104" s="48">
        <v>53</v>
      </c>
      <c r="K104" s="49">
        <v>32.83</v>
      </c>
      <c r="L104" s="49">
        <v>11.14</v>
      </c>
      <c r="M104" s="72">
        <f t="shared" si="1"/>
        <v>0.2</v>
      </c>
      <c r="N104" s="36">
        <v>2E-3</v>
      </c>
      <c r="O104" s="68">
        <v>-9.1700000000000017</v>
      </c>
      <c r="P104" s="73">
        <v>5.69</v>
      </c>
      <c r="Q104" s="73">
        <f>'Trade Data'!J8</f>
        <v>1.9069110390230477</v>
      </c>
      <c r="R104" s="35">
        <v>0</v>
      </c>
    </row>
    <row r="105" spans="1:18" ht="20.100000000000001" customHeight="1">
      <c r="A105" s="44" t="s">
        <v>16</v>
      </c>
      <c r="B105" s="44" t="s">
        <v>765</v>
      </c>
      <c r="C105" s="45">
        <v>2336.7809999999999</v>
      </c>
      <c r="D105" s="47">
        <v>436800</v>
      </c>
      <c r="E105" s="47">
        <v>5.3497733516483514E-3</v>
      </c>
      <c r="F105" s="47">
        <v>1</v>
      </c>
      <c r="G105" s="46">
        <v>1</v>
      </c>
      <c r="H105" s="47">
        <v>23</v>
      </c>
      <c r="I105" s="48">
        <v>26.08</v>
      </c>
      <c r="J105" s="48">
        <v>53</v>
      </c>
      <c r="K105" s="49">
        <v>32.83</v>
      </c>
      <c r="L105" s="49">
        <v>11.14</v>
      </c>
      <c r="M105" s="72">
        <f t="shared" si="1"/>
        <v>0.2</v>
      </c>
      <c r="N105" s="36">
        <v>2E-3</v>
      </c>
      <c r="O105" s="68">
        <v>-9.1700000000000017</v>
      </c>
      <c r="P105" s="73">
        <v>5.69</v>
      </c>
      <c r="Q105" s="73">
        <f>'Trade Data'!J8</f>
        <v>1.9069110390230477</v>
      </c>
      <c r="R105" s="35">
        <v>1</v>
      </c>
    </row>
    <row r="106" spans="1:18" ht="20.100000000000001" customHeight="1">
      <c r="A106" s="44" t="s">
        <v>16</v>
      </c>
      <c r="B106" s="44" t="s">
        <v>764</v>
      </c>
      <c r="C106" s="45">
        <v>1646.922</v>
      </c>
      <c r="D106" s="47">
        <v>1514240</v>
      </c>
      <c r="E106" s="47">
        <v>1.0876228338968725E-3</v>
      </c>
      <c r="F106" s="47">
        <v>1</v>
      </c>
      <c r="G106" s="46">
        <v>1</v>
      </c>
      <c r="H106" s="47">
        <v>26</v>
      </c>
      <c r="I106" s="48">
        <v>26.08</v>
      </c>
      <c r="J106" s="48">
        <v>53</v>
      </c>
      <c r="K106" s="49">
        <v>32.83</v>
      </c>
      <c r="L106" s="49">
        <v>11.14</v>
      </c>
      <c r="M106" s="72">
        <f t="shared" si="1"/>
        <v>0.2</v>
      </c>
      <c r="N106" s="36">
        <v>2E-3</v>
      </c>
      <c r="O106" s="68">
        <v>-9.1700000000000017</v>
      </c>
      <c r="P106" s="73">
        <v>5.69</v>
      </c>
      <c r="Q106" s="73">
        <f>'Trade Data'!J8</f>
        <v>1.9069110390230477</v>
      </c>
      <c r="R106" s="35">
        <v>1</v>
      </c>
    </row>
    <row r="107" spans="1:18" ht="20.100000000000001" customHeight="1">
      <c r="A107" s="44" t="s">
        <v>17</v>
      </c>
      <c r="B107" s="44" t="s">
        <v>853</v>
      </c>
      <c r="C107" s="45">
        <v>0</v>
      </c>
      <c r="D107" s="47">
        <v>128960</v>
      </c>
      <c r="E107" s="47">
        <v>0</v>
      </c>
      <c r="F107" s="47">
        <v>0</v>
      </c>
      <c r="G107" s="46">
        <v>1</v>
      </c>
      <c r="H107" s="47">
        <v>1</v>
      </c>
      <c r="I107" s="48">
        <v>12.23</v>
      </c>
      <c r="J107" s="48">
        <v>10.26</v>
      </c>
      <c r="K107" s="49">
        <v>29.58</v>
      </c>
      <c r="L107" s="49">
        <v>11.14</v>
      </c>
      <c r="M107" s="72">
        <f t="shared" si="1"/>
        <v>0.2</v>
      </c>
      <c r="N107" s="36">
        <v>2E-3</v>
      </c>
      <c r="O107" s="68">
        <v>-19.41375</v>
      </c>
      <c r="P107" s="73">
        <v>5.69</v>
      </c>
      <c r="Q107" s="73">
        <f>'Trade Data'!J8</f>
        <v>1.9069110390230477</v>
      </c>
      <c r="R107" s="37">
        <v>0</v>
      </c>
    </row>
    <row r="108" spans="1:18" ht="20.100000000000001" customHeight="1">
      <c r="A108" s="44" t="s">
        <v>17</v>
      </c>
      <c r="B108" s="44" t="s">
        <v>854</v>
      </c>
      <c r="C108" s="45">
        <v>3204.308</v>
      </c>
      <c r="D108" s="47">
        <v>436800</v>
      </c>
      <c r="E108" s="47">
        <v>7.3358699633699637E-3</v>
      </c>
      <c r="F108" s="47">
        <v>1</v>
      </c>
      <c r="G108" s="46">
        <v>1</v>
      </c>
      <c r="H108" s="47">
        <v>12</v>
      </c>
      <c r="I108" s="48">
        <v>12.23</v>
      </c>
      <c r="J108" s="48">
        <v>10.26</v>
      </c>
      <c r="K108" s="49">
        <v>29.58</v>
      </c>
      <c r="L108" s="49">
        <v>11.14</v>
      </c>
      <c r="M108" s="72">
        <f t="shared" si="1"/>
        <v>0.2</v>
      </c>
      <c r="N108" s="36">
        <v>2E-3</v>
      </c>
      <c r="O108" s="68">
        <v>-19.41375</v>
      </c>
      <c r="P108" s="73">
        <v>5.69</v>
      </c>
      <c r="Q108" s="73">
        <f>'Trade Data'!J8</f>
        <v>1.9069110390230477</v>
      </c>
      <c r="R108" s="37">
        <v>1</v>
      </c>
    </row>
    <row r="109" spans="1:18" ht="20.100000000000001" customHeight="1">
      <c r="A109" s="44" t="s">
        <v>17</v>
      </c>
      <c r="B109" s="44" t="s">
        <v>852</v>
      </c>
      <c r="C109" s="45">
        <v>73.19</v>
      </c>
      <c r="D109" s="47">
        <v>1514240</v>
      </c>
      <c r="E109" s="47">
        <v>4.8334478021978021E-5</v>
      </c>
      <c r="F109" s="47">
        <v>1</v>
      </c>
      <c r="G109" s="46">
        <v>1</v>
      </c>
      <c r="H109" s="47">
        <v>8</v>
      </c>
      <c r="I109" s="48">
        <v>12.23</v>
      </c>
      <c r="J109" s="48">
        <v>10.26</v>
      </c>
      <c r="K109" s="49">
        <v>29.58</v>
      </c>
      <c r="L109" s="49">
        <v>11.14</v>
      </c>
      <c r="M109" s="72">
        <f t="shared" si="1"/>
        <v>0.2</v>
      </c>
      <c r="N109" s="36">
        <v>2E-3</v>
      </c>
      <c r="O109" s="68">
        <v>-19.41375</v>
      </c>
      <c r="P109" s="73">
        <v>5.69</v>
      </c>
      <c r="Q109" s="73">
        <f>'Trade Data'!J8</f>
        <v>1.9069110390230477</v>
      </c>
      <c r="R109" s="37">
        <v>1</v>
      </c>
    </row>
    <row r="110" spans="1:18" ht="20.100000000000001" customHeight="1">
      <c r="A110" s="44" t="s">
        <v>37</v>
      </c>
      <c r="B110" s="44" t="s">
        <v>760</v>
      </c>
      <c r="C110" s="45">
        <v>0</v>
      </c>
      <c r="D110" s="47">
        <v>10298.58</v>
      </c>
      <c r="E110" s="47">
        <v>0</v>
      </c>
      <c r="F110" s="47">
        <v>0</v>
      </c>
      <c r="G110" s="46">
        <v>0</v>
      </c>
      <c r="H110" s="47">
        <v>0</v>
      </c>
      <c r="I110" s="48">
        <v>85.85</v>
      </c>
      <c r="J110" s="54">
        <v>78.180000000000007</v>
      </c>
      <c r="K110" s="49">
        <v>78.55</v>
      </c>
      <c r="L110" s="49">
        <v>86.75</v>
      </c>
      <c r="M110" s="72">
        <f t="shared" si="1"/>
        <v>4</v>
      </c>
      <c r="N110" s="36">
        <v>0.04</v>
      </c>
      <c r="O110" s="68">
        <v>41.512499999999989</v>
      </c>
      <c r="P110" s="73">
        <v>5.8</v>
      </c>
      <c r="Q110" s="73">
        <f>'Trade Data'!B11</f>
        <v>0.64085335301855728</v>
      </c>
      <c r="R110" s="37">
        <v>0</v>
      </c>
    </row>
    <row r="111" spans="1:18" ht="20.100000000000001" customHeight="1">
      <c r="A111" s="51" t="s">
        <v>37</v>
      </c>
      <c r="B111" s="44" t="s">
        <v>759</v>
      </c>
      <c r="C111" s="45">
        <v>1</v>
      </c>
      <c r="D111" s="47">
        <v>94858.271999999997</v>
      </c>
      <c r="E111" s="47">
        <v>1.0542043186281108E-5</v>
      </c>
      <c r="F111" s="47">
        <v>1</v>
      </c>
      <c r="G111" s="46">
        <v>1</v>
      </c>
      <c r="H111" s="47">
        <v>2</v>
      </c>
      <c r="I111" s="48">
        <v>85.85</v>
      </c>
      <c r="J111" s="54">
        <v>78.180000000000007</v>
      </c>
      <c r="K111" s="49">
        <v>78.55</v>
      </c>
      <c r="L111" s="49">
        <v>86.75</v>
      </c>
      <c r="M111" s="72">
        <f t="shared" si="1"/>
        <v>4</v>
      </c>
      <c r="N111" s="36">
        <v>0.04</v>
      </c>
      <c r="O111" s="68">
        <v>41.512499999999989</v>
      </c>
      <c r="P111" s="73">
        <v>5.8</v>
      </c>
      <c r="Q111" s="73">
        <f>'Trade Data'!B11</f>
        <v>0.64085335301855728</v>
      </c>
      <c r="R111" s="37">
        <v>1</v>
      </c>
    </row>
    <row r="112" spans="1:18" ht="20.100000000000001" customHeight="1">
      <c r="A112" s="51" t="s">
        <v>37</v>
      </c>
      <c r="B112" s="44" t="s">
        <v>758</v>
      </c>
      <c r="C112" s="45">
        <v>9.33</v>
      </c>
      <c r="D112" s="47">
        <v>173183.14799999999</v>
      </c>
      <c r="E112" s="47">
        <v>5.3873602066639881E-5</v>
      </c>
      <c r="F112" s="47">
        <v>1</v>
      </c>
      <c r="G112" s="46">
        <v>1</v>
      </c>
      <c r="H112" s="47">
        <v>4</v>
      </c>
      <c r="I112" s="48">
        <v>85.85</v>
      </c>
      <c r="J112" s="54">
        <v>78.180000000000007</v>
      </c>
      <c r="K112" s="49">
        <v>78.55</v>
      </c>
      <c r="L112" s="49">
        <v>86.75</v>
      </c>
      <c r="M112" s="72">
        <f t="shared" si="1"/>
        <v>4</v>
      </c>
      <c r="N112" s="36">
        <v>0.04</v>
      </c>
      <c r="O112" s="68">
        <v>41.512499999999989</v>
      </c>
      <c r="P112" s="73">
        <v>5.8</v>
      </c>
      <c r="Q112" s="73">
        <f>'Trade Data'!B11</f>
        <v>0.64085335301855728</v>
      </c>
      <c r="R112" s="37">
        <v>1</v>
      </c>
    </row>
    <row r="113" spans="1:18" ht="20.100000000000001" customHeight="1">
      <c r="A113" s="44" t="s">
        <v>38</v>
      </c>
      <c r="B113" s="44" t="s">
        <v>757</v>
      </c>
      <c r="C113" s="45">
        <v>0</v>
      </c>
      <c r="D113" s="47">
        <v>10298.58</v>
      </c>
      <c r="E113" s="47">
        <v>0</v>
      </c>
      <c r="F113" s="47">
        <v>0</v>
      </c>
      <c r="G113" s="46">
        <v>0</v>
      </c>
      <c r="H113" s="47">
        <v>0</v>
      </c>
      <c r="I113" s="48">
        <v>72.2</v>
      </c>
      <c r="J113" s="54">
        <v>22.75</v>
      </c>
      <c r="K113" s="52">
        <v>83.35</v>
      </c>
      <c r="L113" s="49">
        <v>86.75</v>
      </c>
      <c r="M113" s="72">
        <f t="shared" si="1"/>
        <v>4</v>
      </c>
      <c r="N113" s="36">
        <v>0.04</v>
      </c>
      <c r="O113" s="68">
        <v>38.638750000000002</v>
      </c>
      <c r="P113" s="73">
        <v>5.8</v>
      </c>
      <c r="Q113" s="73">
        <f>'Trade Data'!B11</f>
        <v>0.64085335301855728</v>
      </c>
      <c r="R113" s="35">
        <v>0</v>
      </c>
    </row>
    <row r="114" spans="1:18" ht="20.100000000000001" customHeight="1">
      <c r="A114" s="44" t="s">
        <v>38</v>
      </c>
      <c r="B114" s="44" t="s">
        <v>756</v>
      </c>
      <c r="C114" s="45">
        <v>24.804000000000002</v>
      </c>
      <c r="D114" s="47">
        <v>94858.271999999997</v>
      </c>
      <c r="E114" s="47">
        <v>2.6148483919251662E-4</v>
      </c>
      <c r="F114" s="47">
        <v>1</v>
      </c>
      <c r="G114" s="46">
        <v>1</v>
      </c>
      <c r="H114" s="47">
        <v>8</v>
      </c>
      <c r="I114" s="48">
        <v>72.2</v>
      </c>
      <c r="J114" s="54">
        <v>22.75</v>
      </c>
      <c r="K114" s="52">
        <v>83.35</v>
      </c>
      <c r="L114" s="49">
        <v>86.75</v>
      </c>
      <c r="M114" s="72">
        <f t="shared" si="1"/>
        <v>4</v>
      </c>
      <c r="N114" s="36">
        <v>0.04</v>
      </c>
      <c r="O114" s="68">
        <v>38.638750000000002</v>
      </c>
      <c r="P114" s="73">
        <v>5.8</v>
      </c>
      <c r="Q114" s="73">
        <f>'Trade Data'!B11</f>
        <v>0.64085335301855728</v>
      </c>
      <c r="R114" s="35">
        <v>1</v>
      </c>
    </row>
    <row r="115" spans="1:18" ht="20.100000000000001" customHeight="1">
      <c r="A115" s="44" t="s">
        <v>38</v>
      </c>
      <c r="B115" s="44" t="s">
        <v>755</v>
      </c>
      <c r="C115" s="45">
        <v>219.80600000000001</v>
      </c>
      <c r="D115" s="47">
        <v>173183.14799999999</v>
      </c>
      <c r="E115" s="47">
        <v>1.2692112514319236E-3</v>
      </c>
      <c r="F115" s="47">
        <v>1</v>
      </c>
      <c r="G115" s="46">
        <v>1</v>
      </c>
      <c r="H115" s="47">
        <v>4</v>
      </c>
      <c r="I115" s="48">
        <v>72.2</v>
      </c>
      <c r="J115" s="54">
        <v>22.75</v>
      </c>
      <c r="K115" s="52">
        <v>83.35</v>
      </c>
      <c r="L115" s="49">
        <v>86.75</v>
      </c>
      <c r="M115" s="72">
        <f t="shared" si="1"/>
        <v>4</v>
      </c>
      <c r="N115" s="36">
        <v>0.04</v>
      </c>
      <c r="O115" s="68">
        <v>38.638750000000002</v>
      </c>
      <c r="P115" s="73">
        <v>5.8</v>
      </c>
      <c r="Q115" s="73">
        <f>'Trade Data'!B11</f>
        <v>0.64085335301855728</v>
      </c>
      <c r="R115" s="35">
        <v>1</v>
      </c>
    </row>
    <row r="116" spans="1:18" ht="20.100000000000001" customHeight="1">
      <c r="A116" s="44" t="s">
        <v>39</v>
      </c>
      <c r="B116" s="44" t="s">
        <v>754</v>
      </c>
      <c r="C116" s="45">
        <v>0</v>
      </c>
      <c r="D116" s="47">
        <v>11168.66</v>
      </c>
      <c r="E116" s="47">
        <v>0</v>
      </c>
      <c r="F116" s="47">
        <v>0</v>
      </c>
      <c r="G116" s="46">
        <v>0</v>
      </c>
      <c r="H116" s="47">
        <v>0</v>
      </c>
      <c r="I116" s="48">
        <v>75.680000000000007</v>
      </c>
      <c r="J116" s="54">
        <v>44.28</v>
      </c>
      <c r="K116" s="52">
        <v>78.790000000000006</v>
      </c>
      <c r="L116" s="49">
        <v>86.75</v>
      </c>
      <c r="M116" s="72">
        <f t="shared" si="1"/>
        <v>4</v>
      </c>
      <c r="N116" s="36">
        <v>0.04</v>
      </c>
      <c r="O116" s="68">
        <v>34.523750000000007</v>
      </c>
      <c r="P116" s="73">
        <v>5.8</v>
      </c>
      <c r="Q116" s="73">
        <f>'Trade Data'!B11</f>
        <v>0.64085335301855728</v>
      </c>
      <c r="R116" s="37">
        <v>0</v>
      </c>
    </row>
    <row r="117" spans="1:18" ht="20.100000000000001" customHeight="1">
      <c r="A117" s="44" t="s">
        <v>39</v>
      </c>
      <c r="B117" s="44" t="s">
        <v>753</v>
      </c>
      <c r="C117" s="45">
        <v>6.508</v>
      </c>
      <c r="D117" s="47">
        <v>87992.34</v>
      </c>
      <c r="E117" s="47">
        <v>7.3960983421966057E-5</v>
      </c>
      <c r="F117" s="47">
        <v>1</v>
      </c>
      <c r="G117" s="46">
        <v>1</v>
      </c>
      <c r="H117" s="47">
        <v>5</v>
      </c>
      <c r="I117" s="48">
        <v>75.680000000000007</v>
      </c>
      <c r="J117" s="54">
        <v>44.28</v>
      </c>
      <c r="K117" s="52">
        <v>78.790000000000006</v>
      </c>
      <c r="L117" s="49">
        <v>86.75</v>
      </c>
      <c r="M117" s="72">
        <f t="shared" si="1"/>
        <v>4</v>
      </c>
      <c r="N117" s="36">
        <v>0.04</v>
      </c>
      <c r="O117" s="68">
        <v>34.523750000000007</v>
      </c>
      <c r="P117" s="73">
        <v>5.8</v>
      </c>
      <c r="Q117" s="73">
        <f>'Trade Data'!B11</f>
        <v>0.64085335301855728</v>
      </c>
      <c r="R117" s="37">
        <v>1</v>
      </c>
    </row>
    <row r="118" spans="1:18" ht="20.100000000000001" customHeight="1">
      <c r="A118" s="44" t="s">
        <v>39</v>
      </c>
      <c r="B118" s="44" t="s">
        <v>752</v>
      </c>
      <c r="C118" s="45">
        <v>438.74400000000003</v>
      </c>
      <c r="D118" s="47">
        <v>161789</v>
      </c>
      <c r="E118" s="47">
        <v>2.7118283690485759E-3</v>
      </c>
      <c r="F118" s="47">
        <v>1</v>
      </c>
      <c r="G118" s="46">
        <v>1</v>
      </c>
      <c r="H118" s="47">
        <v>4</v>
      </c>
      <c r="I118" s="48">
        <v>75.680000000000007</v>
      </c>
      <c r="J118" s="54">
        <v>44.28</v>
      </c>
      <c r="K118" s="52">
        <v>78.790000000000006</v>
      </c>
      <c r="L118" s="49">
        <v>86.75</v>
      </c>
      <c r="M118" s="72">
        <f t="shared" si="1"/>
        <v>4</v>
      </c>
      <c r="N118" s="36">
        <v>0.04</v>
      </c>
      <c r="O118" s="68">
        <v>34.523750000000007</v>
      </c>
      <c r="P118" s="73">
        <v>5.8</v>
      </c>
      <c r="Q118" s="73">
        <f>'Trade Data'!B11</f>
        <v>0.64085335301855728</v>
      </c>
      <c r="R118" s="37">
        <v>1</v>
      </c>
    </row>
    <row r="119" spans="1:18" ht="20.100000000000001" customHeight="1">
      <c r="A119" s="44" t="s">
        <v>40</v>
      </c>
      <c r="B119" s="44" t="s">
        <v>751</v>
      </c>
      <c r="C119" s="45">
        <v>204.46</v>
      </c>
      <c r="D119" s="47">
        <v>11168.66</v>
      </c>
      <c r="E119" s="47">
        <v>1.8306582884607465E-2</v>
      </c>
      <c r="F119" s="47">
        <v>1</v>
      </c>
      <c r="G119" s="46">
        <v>1</v>
      </c>
      <c r="H119" s="47">
        <v>1</v>
      </c>
      <c r="I119" s="48">
        <v>69.489999999999995</v>
      </c>
      <c r="J119" s="54">
        <v>36.65</v>
      </c>
      <c r="K119" s="52">
        <v>67.510000000000005</v>
      </c>
      <c r="L119" s="49">
        <v>86.75</v>
      </c>
      <c r="M119" s="72">
        <f t="shared" si="1"/>
        <v>4</v>
      </c>
      <c r="N119" s="36">
        <v>0.04</v>
      </c>
      <c r="O119" s="68">
        <v>33.122499999999995</v>
      </c>
      <c r="P119" s="73">
        <v>5.8</v>
      </c>
      <c r="Q119" s="73">
        <f>'Trade Data'!B11</f>
        <v>0.64085335301855728</v>
      </c>
      <c r="R119" s="35">
        <v>0</v>
      </c>
    </row>
    <row r="120" spans="1:18" ht="20.100000000000001" customHeight="1">
      <c r="A120" s="44" t="s">
        <v>40</v>
      </c>
      <c r="B120" s="44" t="s">
        <v>750</v>
      </c>
      <c r="C120" s="45">
        <v>3381.3119999999999</v>
      </c>
      <c r="D120" s="47">
        <v>87992.34</v>
      </c>
      <c r="E120" s="47">
        <v>3.8427344925706035E-2</v>
      </c>
      <c r="F120" s="47">
        <v>1</v>
      </c>
      <c r="G120" s="46">
        <v>1</v>
      </c>
      <c r="H120" s="47">
        <v>5</v>
      </c>
      <c r="I120" s="48">
        <v>69.489999999999995</v>
      </c>
      <c r="J120" s="54">
        <v>36.65</v>
      </c>
      <c r="K120" s="52">
        <v>67.510000000000005</v>
      </c>
      <c r="L120" s="49">
        <v>86.75</v>
      </c>
      <c r="M120" s="72">
        <f t="shared" si="1"/>
        <v>4</v>
      </c>
      <c r="N120" s="36">
        <v>0.04</v>
      </c>
      <c r="O120" s="68">
        <v>33.122499999999995</v>
      </c>
      <c r="P120" s="73">
        <v>5.8</v>
      </c>
      <c r="Q120" s="73">
        <f>'Trade Data'!B11</f>
        <v>0.64085335301855728</v>
      </c>
      <c r="R120" s="35">
        <v>1</v>
      </c>
    </row>
    <row r="121" spans="1:18" ht="20.100000000000001" customHeight="1">
      <c r="A121" s="44" t="s">
        <v>40</v>
      </c>
      <c r="B121" s="44" t="s">
        <v>749</v>
      </c>
      <c r="C121" s="45">
        <v>280</v>
      </c>
      <c r="D121" s="47">
        <v>161789</v>
      </c>
      <c r="E121" s="47">
        <v>1.7306491788687734E-3</v>
      </c>
      <c r="F121" s="47">
        <v>1</v>
      </c>
      <c r="G121" s="46">
        <v>1</v>
      </c>
      <c r="H121" s="47">
        <v>3</v>
      </c>
      <c r="I121" s="48">
        <v>69.489999999999995</v>
      </c>
      <c r="J121" s="54">
        <v>36.65</v>
      </c>
      <c r="K121" s="52">
        <v>67.510000000000005</v>
      </c>
      <c r="L121" s="49">
        <v>86.75</v>
      </c>
      <c r="M121" s="72">
        <f t="shared" si="1"/>
        <v>4</v>
      </c>
      <c r="N121" s="36">
        <v>0.04</v>
      </c>
      <c r="O121" s="68">
        <v>33.122499999999995</v>
      </c>
      <c r="P121" s="73">
        <v>5.8</v>
      </c>
      <c r="Q121" s="73">
        <f>'Trade Data'!B11</f>
        <v>0.64085335301855728</v>
      </c>
      <c r="R121" s="35">
        <v>1</v>
      </c>
    </row>
    <row r="122" spans="1:18" ht="20.100000000000001" customHeight="1">
      <c r="A122" s="44" t="s">
        <v>883</v>
      </c>
      <c r="B122" s="44" t="s">
        <v>748</v>
      </c>
      <c r="C122" s="45">
        <v>300</v>
      </c>
      <c r="D122" s="47">
        <v>11168.66</v>
      </c>
      <c r="E122" s="47">
        <v>2.6860876774832433E-2</v>
      </c>
      <c r="F122" s="47">
        <v>1</v>
      </c>
      <c r="G122" s="46">
        <v>1</v>
      </c>
      <c r="H122" s="47">
        <v>2</v>
      </c>
      <c r="I122" s="48">
        <v>72.33</v>
      </c>
      <c r="J122" s="54">
        <v>41.49</v>
      </c>
      <c r="K122" s="52">
        <v>70.95</v>
      </c>
      <c r="L122" s="49">
        <v>86.75</v>
      </c>
      <c r="M122" s="72">
        <f t="shared" si="1"/>
        <v>1.9</v>
      </c>
      <c r="N122" s="36">
        <v>1.9E-2</v>
      </c>
      <c r="O122" s="68">
        <v>35.747499999999995</v>
      </c>
      <c r="P122" s="73">
        <v>5</v>
      </c>
      <c r="Q122" s="73">
        <f>'Trade Data'!D11</f>
        <v>0.61322126255178466</v>
      </c>
      <c r="R122" s="37">
        <v>0</v>
      </c>
    </row>
    <row r="123" spans="1:18" ht="20.100000000000001" customHeight="1">
      <c r="A123" s="44" t="s">
        <v>41</v>
      </c>
      <c r="B123" s="44" t="s">
        <v>747</v>
      </c>
      <c r="C123" s="45">
        <v>0.13700000000000001</v>
      </c>
      <c r="D123" s="47">
        <v>87992.34</v>
      </c>
      <c r="E123" s="47">
        <v>1.556953707561363E-6</v>
      </c>
      <c r="F123" s="47">
        <v>1</v>
      </c>
      <c r="G123" s="46">
        <v>1</v>
      </c>
      <c r="H123" s="47">
        <v>4</v>
      </c>
      <c r="I123" s="48">
        <v>72.33</v>
      </c>
      <c r="J123" s="54">
        <v>41.49</v>
      </c>
      <c r="K123" s="52">
        <v>70.95</v>
      </c>
      <c r="L123" s="49">
        <v>86.75</v>
      </c>
      <c r="M123" s="72">
        <f t="shared" si="1"/>
        <v>1.9</v>
      </c>
      <c r="N123" s="36">
        <v>1.9E-2</v>
      </c>
      <c r="O123" s="68">
        <v>35.747499999999995</v>
      </c>
      <c r="P123" s="73">
        <v>5</v>
      </c>
      <c r="Q123" s="73">
        <f>'Trade Data'!D11</f>
        <v>0.61322126255178466</v>
      </c>
      <c r="R123" s="37">
        <v>1</v>
      </c>
    </row>
    <row r="124" spans="1:18" ht="20.100000000000001" customHeight="1">
      <c r="A124" s="44" t="s">
        <v>883</v>
      </c>
      <c r="B124" s="44" t="s">
        <v>746</v>
      </c>
      <c r="C124" s="45">
        <v>624</v>
      </c>
      <c r="D124" s="47">
        <v>161789</v>
      </c>
      <c r="E124" s="47">
        <v>3.8568753129075524E-3</v>
      </c>
      <c r="F124" s="47">
        <v>1</v>
      </c>
      <c r="G124" s="46">
        <v>1</v>
      </c>
      <c r="H124" s="47">
        <v>2</v>
      </c>
      <c r="I124" s="48">
        <v>72.33</v>
      </c>
      <c r="J124" s="54">
        <v>41.49</v>
      </c>
      <c r="K124" s="52">
        <v>70.95</v>
      </c>
      <c r="L124" s="49">
        <v>86.75</v>
      </c>
      <c r="M124" s="72">
        <f t="shared" si="1"/>
        <v>1.9</v>
      </c>
      <c r="N124" s="36">
        <v>1.9E-2</v>
      </c>
      <c r="O124" s="68">
        <v>35.747499999999995</v>
      </c>
      <c r="P124" s="73">
        <v>5</v>
      </c>
      <c r="Q124" s="73">
        <f>'Trade Data'!D11</f>
        <v>0.61322126255178466</v>
      </c>
      <c r="R124" s="37">
        <v>1</v>
      </c>
    </row>
    <row r="125" spans="1:18" ht="20.100000000000001" customHeight="1">
      <c r="A125" s="44" t="s">
        <v>42</v>
      </c>
      <c r="B125" s="44" t="s">
        <v>745</v>
      </c>
      <c r="C125" s="45">
        <v>0</v>
      </c>
      <c r="D125" s="47">
        <v>11168.66</v>
      </c>
      <c r="E125" s="47">
        <v>0</v>
      </c>
      <c r="F125" s="47">
        <v>0</v>
      </c>
      <c r="G125" s="46">
        <v>0</v>
      </c>
      <c r="H125" s="47">
        <v>0</v>
      </c>
      <c r="I125" s="48">
        <v>72.83</v>
      </c>
      <c r="J125" s="54">
        <v>48.71</v>
      </c>
      <c r="K125" s="52">
        <v>65.739999999999995</v>
      </c>
      <c r="L125" s="49">
        <v>86.75</v>
      </c>
      <c r="M125" s="72">
        <f t="shared" ref="M125:M185" si="2">N125*100</f>
        <v>1.9</v>
      </c>
      <c r="N125" s="36">
        <v>1.9E-2</v>
      </c>
      <c r="O125" s="68">
        <v>30.883750000000006</v>
      </c>
      <c r="P125" s="73">
        <v>5</v>
      </c>
      <c r="Q125" s="73">
        <f>'Trade Data'!D11</f>
        <v>0.61322126255178466</v>
      </c>
      <c r="R125" s="35">
        <v>0</v>
      </c>
    </row>
    <row r="126" spans="1:18" ht="20.100000000000001" customHeight="1">
      <c r="A126" s="44" t="s">
        <v>42</v>
      </c>
      <c r="B126" s="44" t="s">
        <v>744</v>
      </c>
      <c r="C126" s="45">
        <v>2000</v>
      </c>
      <c r="D126" s="47">
        <v>87992.34</v>
      </c>
      <c r="E126" s="47">
        <v>2.2729251205275369E-2</v>
      </c>
      <c r="F126" s="47">
        <v>1</v>
      </c>
      <c r="G126" s="46">
        <v>1</v>
      </c>
      <c r="H126" s="47">
        <v>4</v>
      </c>
      <c r="I126" s="48">
        <v>72.83</v>
      </c>
      <c r="J126" s="54">
        <v>48.71</v>
      </c>
      <c r="K126" s="52">
        <v>65.739999999999995</v>
      </c>
      <c r="L126" s="49">
        <v>86.75</v>
      </c>
      <c r="M126" s="72">
        <f t="shared" si="2"/>
        <v>1.9</v>
      </c>
      <c r="N126" s="36">
        <v>1.9E-2</v>
      </c>
      <c r="O126" s="68">
        <v>30.883750000000006</v>
      </c>
      <c r="P126" s="73">
        <v>5</v>
      </c>
      <c r="Q126" s="73">
        <f>'Trade Data'!D11</f>
        <v>0.61322126255178466</v>
      </c>
      <c r="R126" s="35">
        <v>1</v>
      </c>
    </row>
    <row r="127" spans="1:18" ht="20.100000000000001" customHeight="1">
      <c r="A127" s="44" t="s">
        <v>42</v>
      </c>
      <c r="B127" s="44" t="s">
        <v>743</v>
      </c>
      <c r="C127" s="45">
        <v>659.00800000000004</v>
      </c>
      <c r="D127" s="47">
        <v>161789</v>
      </c>
      <c r="E127" s="47">
        <v>4.0732559073855456E-3</v>
      </c>
      <c r="F127" s="47">
        <v>1</v>
      </c>
      <c r="G127" s="46">
        <v>1</v>
      </c>
      <c r="H127" s="47">
        <v>5</v>
      </c>
      <c r="I127" s="48">
        <v>72.83</v>
      </c>
      <c r="J127" s="54">
        <v>48.71</v>
      </c>
      <c r="K127" s="52">
        <v>65.739999999999995</v>
      </c>
      <c r="L127" s="49">
        <v>86.75</v>
      </c>
      <c r="M127" s="72">
        <f t="shared" si="2"/>
        <v>1.9</v>
      </c>
      <c r="N127" s="36">
        <v>1.9E-2</v>
      </c>
      <c r="O127" s="68">
        <v>30.883750000000006</v>
      </c>
      <c r="P127" s="73">
        <v>5</v>
      </c>
      <c r="Q127" s="73">
        <f>'Trade Data'!D11</f>
        <v>0.61322126255178466</v>
      </c>
      <c r="R127" s="35">
        <v>1</v>
      </c>
    </row>
    <row r="128" spans="1:18" ht="20.100000000000001" customHeight="1">
      <c r="A128" s="44" t="s">
        <v>43</v>
      </c>
      <c r="B128" s="44" t="s">
        <v>742</v>
      </c>
      <c r="C128" s="45">
        <v>0</v>
      </c>
      <c r="D128" s="47">
        <v>10453.474</v>
      </c>
      <c r="E128" s="47">
        <v>0</v>
      </c>
      <c r="F128" s="47">
        <v>0</v>
      </c>
      <c r="G128" s="46">
        <v>0</v>
      </c>
      <c r="H128" s="47">
        <v>0</v>
      </c>
      <c r="I128" s="48">
        <v>71.650000000000006</v>
      </c>
      <c r="J128" s="54">
        <v>46.32</v>
      </c>
      <c r="K128" s="52">
        <v>62.98</v>
      </c>
      <c r="L128" s="49">
        <v>86.75</v>
      </c>
      <c r="M128" s="72">
        <f t="shared" si="2"/>
        <v>1.9</v>
      </c>
      <c r="N128" s="36">
        <v>1.9E-2</v>
      </c>
      <c r="O128" s="68">
        <v>33.891250000000007</v>
      </c>
      <c r="P128" s="73">
        <v>5</v>
      </c>
      <c r="Q128" s="73">
        <f>'Trade Data'!D11</f>
        <v>0.61322126255178466</v>
      </c>
      <c r="R128" s="37">
        <v>0</v>
      </c>
    </row>
    <row r="129" spans="1:18" ht="20.100000000000001" customHeight="1">
      <c r="A129" s="44" t="s">
        <v>43</v>
      </c>
      <c r="B129" s="44" t="s">
        <v>741</v>
      </c>
      <c r="C129" s="45">
        <v>148.69300000000001</v>
      </c>
      <c r="D129" s="47">
        <v>78607.213999999993</v>
      </c>
      <c r="E129" s="47">
        <v>1.8915948350491092E-3</v>
      </c>
      <c r="F129" s="47">
        <v>1</v>
      </c>
      <c r="G129" s="46">
        <v>1</v>
      </c>
      <c r="H129" s="47">
        <v>4</v>
      </c>
      <c r="I129" s="48">
        <v>71.650000000000006</v>
      </c>
      <c r="J129" s="54">
        <v>46.32</v>
      </c>
      <c r="K129" s="52">
        <v>62.98</v>
      </c>
      <c r="L129" s="49">
        <v>86.75</v>
      </c>
      <c r="M129" s="72">
        <f t="shared" si="2"/>
        <v>1.9</v>
      </c>
      <c r="N129" s="36">
        <v>1.9E-2</v>
      </c>
      <c r="O129" s="68">
        <v>33.891250000000007</v>
      </c>
      <c r="P129" s="73">
        <v>5</v>
      </c>
      <c r="Q129" s="73">
        <f>'Trade Data'!D11</f>
        <v>0.61322126255178466</v>
      </c>
      <c r="R129" s="37">
        <v>1</v>
      </c>
    </row>
    <row r="130" spans="1:18" ht="20.100000000000001" customHeight="1">
      <c r="A130" s="44" t="s">
        <v>43</v>
      </c>
      <c r="B130" s="44" t="s">
        <v>740</v>
      </c>
      <c r="C130" s="45">
        <v>0</v>
      </c>
      <c r="D130" s="47">
        <v>153455.05800000002</v>
      </c>
      <c r="E130" s="47">
        <v>0</v>
      </c>
      <c r="F130" s="47">
        <v>0</v>
      </c>
      <c r="G130" s="46">
        <v>1</v>
      </c>
      <c r="H130" s="47">
        <v>10</v>
      </c>
      <c r="I130" s="48">
        <v>71.650000000000006</v>
      </c>
      <c r="J130" s="54">
        <v>46.32</v>
      </c>
      <c r="K130" s="52">
        <v>62.98</v>
      </c>
      <c r="L130" s="49">
        <v>86.75</v>
      </c>
      <c r="M130" s="72">
        <f t="shared" si="2"/>
        <v>1.9</v>
      </c>
      <c r="N130" s="36">
        <v>1.9E-2</v>
      </c>
      <c r="O130" s="68">
        <v>33.891250000000007</v>
      </c>
      <c r="P130" s="73">
        <v>5</v>
      </c>
      <c r="Q130" s="73">
        <f>'Trade Data'!D11</f>
        <v>0.61322126255178466</v>
      </c>
      <c r="R130" s="37">
        <v>1</v>
      </c>
    </row>
    <row r="131" spans="1:18" ht="20.100000000000001" customHeight="1">
      <c r="A131" s="44" t="s">
        <v>44</v>
      </c>
      <c r="B131" s="44" t="s">
        <v>739</v>
      </c>
      <c r="C131" s="45">
        <v>0</v>
      </c>
      <c r="D131" s="47">
        <v>10453.474</v>
      </c>
      <c r="E131" s="47">
        <v>0</v>
      </c>
      <c r="F131" s="47">
        <v>0</v>
      </c>
      <c r="G131" s="46">
        <v>0</v>
      </c>
      <c r="H131" s="47">
        <v>0</v>
      </c>
      <c r="I131" s="48">
        <v>76.17</v>
      </c>
      <c r="J131" s="48">
        <v>67.02</v>
      </c>
      <c r="K131" s="48">
        <v>68.53</v>
      </c>
      <c r="L131" s="49">
        <v>82.25</v>
      </c>
      <c r="M131" s="72">
        <f t="shared" si="2"/>
        <v>1.9</v>
      </c>
      <c r="N131" s="36">
        <v>1.9E-2</v>
      </c>
      <c r="O131" s="68">
        <v>42.463749999999997</v>
      </c>
      <c r="P131" s="73">
        <v>5</v>
      </c>
      <c r="Q131" s="73">
        <f>'Trade Data'!D11</f>
        <v>0.61322126255178466</v>
      </c>
      <c r="R131" s="35">
        <v>0</v>
      </c>
    </row>
    <row r="132" spans="1:18" ht="20.100000000000001" customHeight="1">
      <c r="A132" s="44" t="s">
        <v>44</v>
      </c>
      <c r="B132" s="44" t="s">
        <v>738</v>
      </c>
      <c r="C132" s="45">
        <v>0</v>
      </c>
      <c r="D132" s="47">
        <v>78607.213999999993</v>
      </c>
      <c r="E132" s="47">
        <v>0</v>
      </c>
      <c r="F132" s="47">
        <v>0</v>
      </c>
      <c r="G132" s="46">
        <v>1</v>
      </c>
      <c r="H132" s="47">
        <v>2</v>
      </c>
      <c r="I132" s="48">
        <v>76.17</v>
      </c>
      <c r="J132" s="48">
        <v>67.02</v>
      </c>
      <c r="K132" s="48">
        <v>68.53</v>
      </c>
      <c r="L132" s="49">
        <v>82.25</v>
      </c>
      <c r="M132" s="72">
        <f t="shared" si="2"/>
        <v>1.9</v>
      </c>
      <c r="N132" s="36">
        <v>1.9E-2</v>
      </c>
      <c r="O132" s="68">
        <v>42.463749999999997</v>
      </c>
      <c r="P132" s="73">
        <v>5</v>
      </c>
      <c r="Q132" s="73">
        <f>'Trade Data'!D11</f>
        <v>0.61322126255178466</v>
      </c>
      <c r="R132" s="35">
        <v>1</v>
      </c>
    </row>
    <row r="133" spans="1:18" ht="20.100000000000001" customHeight="1">
      <c r="A133" s="44" t="s">
        <v>44</v>
      </c>
      <c r="B133" s="44" t="s">
        <v>737</v>
      </c>
      <c r="C133" s="45">
        <v>14.407999999999999</v>
      </c>
      <c r="D133" s="47">
        <v>153455.05800000002</v>
      </c>
      <c r="E133" s="47">
        <v>9.3890681661336952E-5</v>
      </c>
      <c r="F133" s="47">
        <v>1</v>
      </c>
      <c r="G133" s="46">
        <v>1</v>
      </c>
      <c r="H133" s="47">
        <v>6</v>
      </c>
      <c r="I133" s="48">
        <v>76.17</v>
      </c>
      <c r="J133" s="48">
        <v>67.02</v>
      </c>
      <c r="K133" s="48">
        <v>68.53</v>
      </c>
      <c r="L133" s="49">
        <v>82.25</v>
      </c>
      <c r="M133" s="72">
        <f t="shared" si="2"/>
        <v>1.9</v>
      </c>
      <c r="N133" s="36">
        <v>1.9E-2</v>
      </c>
      <c r="O133" s="68">
        <v>42.463749999999997</v>
      </c>
      <c r="P133" s="73">
        <v>5</v>
      </c>
      <c r="Q133" s="73">
        <f>'Trade Data'!D11</f>
        <v>0.61322126255178466</v>
      </c>
      <c r="R133" s="35">
        <v>1</v>
      </c>
    </row>
    <row r="134" spans="1:18" ht="20.100000000000001" customHeight="1">
      <c r="A134" s="44" t="s">
        <v>45</v>
      </c>
      <c r="B134" s="44" t="s">
        <v>736</v>
      </c>
      <c r="C134" s="45">
        <v>0</v>
      </c>
      <c r="D134" s="47">
        <v>10453.474</v>
      </c>
      <c r="E134" s="47">
        <v>0</v>
      </c>
      <c r="F134" s="47">
        <v>0</v>
      </c>
      <c r="G134" s="46">
        <v>0</v>
      </c>
      <c r="H134" s="47">
        <v>0</v>
      </c>
      <c r="I134" s="48">
        <v>75.290000000000006</v>
      </c>
      <c r="J134" s="48">
        <v>61.6</v>
      </c>
      <c r="K134" s="48">
        <v>71.38</v>
      </c>
      <c r="L134" s="49">
        <v>82.25</v>
      </c>
      <c r="M134" s="72">
        <f t="shared" si="2"/>
        <v>2.2999999999999998</v>
      </c>
      <c r="N134" s="36">
        <v>2.3E-2</v>
      </c>
      <c r="O134" s="68">
        <v>42.002500000000005</v>
      </c>
      <c r="P134" s="73">
        <v>5.75</v>
      </c>
      <c r="Q134" s="73">
        <f>'Trade Data'!F11</f>
        <v>0.59940791688720507</v>
      </c>
      <c r="R134" s="37">
        <v>0</v>
      </c>
    </row>
    <row r="135" spans="1:18" ht="20.100000000000001" customHeight="1">
      <c r="A135" s="44" t="s">
        <v>45</v>
      </c>
      <c r="B135" s="44" t="s">
        <v>735</v>
      </c>
      <c r="C135" s="45">
        <v>1595</v>
      </c>
      <c r="D135" s="47">
        <v>78607.213999999993</v>
      </c>
      <c r="E135" s="47">
        <v>2.0290758555569725E-2</v>
      </c>
      <c r="F135" s="47">
        <v>1</v>
      </c>
      <c r="G135" s="46">
        <v>1</v>
      </c>
      <c r="H135" s="47">
        <v>6</v>
      </c>
      <c r="I135" s="48">
        <v>75.290000000000006</v>
      </c>
      <c r="J135" s="48">
        <v>61.6</v>
      </c>
      <c r="K135" s="48">
        <v>71.38</v>
      </c>
      <c r="L135" s="49">
        <v>82.25</v>
      </c>
      <c r="M135" s="72">
        <f t="shared" si="2"/>
        <v>2.2999999999999998</v>
      </c>
      <c r="N135" s="36">
        <v>2.3E-2</v>
      </c>
      <c r="O135" s="68">
        <v>42.002500000000005</v>
      </c>
      <c r="P135" s="73">
        <v>5.75</v>
      </c>
      <c r="Q135" s="73">
        <f>'Trade Data'!F11</f>
        <v>0.59940791688720507</v>
      </c>
      <c r="R135" s="37">
        <v>1</v>
      </c>
    </row>
    <row r="136" spans="1:18" ht="20.100000000000001" customHeight="1">
      <c r="A136" s="44" t="s">
        <v>45</v>
      </c>
      <c r="B136" s="44" t="s">
        <v>734</v>
      </c>
      <c r="C136" s="45">
        <v>197.55500000000001</v>
      </c>
      <c r="D136" s="47">
        <v>153455.05800000002</v>
      </c>
      <c r="E136" s="47">
        <v>1.2873801787621753E-3</v>
      </c>
      <c r="F136" s="47">
        <v>1</v>
      </c>
      <c r="G136" s="46">
        <v>1</v>
      </c>
      <c r="H136" s="47">
        <v>4</v>
      </c>
      <c r="I136" s="48">
        <v>75.290000000000006</v>
      </c>
      <c r="J136" s="48">
        <v>61.6</v>
      </c>
      <c r="K136" s="48">
        <v>71.38</v>
      </c>
      <c r="L136" s="49">
        <v>82.25</v>
      </c>
      <c r="M136" s="72">
        <f t="shared" si="2"/>
        <v>2.2999999999999998</v>
      </c>
      <c r="N136" s="36">
        <v>2.3E-2</v>
      </c>
      <c r="O136" s="68">
        <v>42.002500000000005</v>
      </c>
      <c r="P136" s="73">
        <v>5.75</v>
      </c>
      <c r="Q136" s="73">
        <f>'Trade Data'!F11</f>
        <v>0.59940791688720507</v>
      </c>
      <c r="R136" s="37">
        <v>1</v>
      </c>
    </row>
    <row r="137" spans="1:18" ht="20.100000000000001" customHeight="1">
      <c r="A137" s="44" t="s">
        <v>46</v>
      </c>
      <c r="B137" s="44" t="s">
        <v>733</v>
      </c>
      <c r="C137" s="45">
        <v>0</v>
      </c>
      <c r="D137" s="47">
        <v>10453.474</v>
      </c>
      <c r="E137" s="47">
        <v>0</v>
      </c>
      <c r="F137" s="47">
        <v>0</v>
      </c>
      <c r="G137" s="46">
        <v>0</v>
      </c>
      <c r="H137" s="47">
        <v>0</v>
      </c>
      <c r="I137" s="48">
        <v>80.14</v>
      </c>
      <c r="J137" s="48">
        <v>74.81</v>
      </c>
      <c r="K137" s="48">
        <v>70.84</v>
      </c>
      <c r="L137" s="49">
        <v>82.25</v>
      </c>
      <c r="M137" s="72">
        <f t="shared" si="2"/>
        <v>2.2999999999999998</v>
      </c>
      <c r="N137" s="36">
        <v>2.3E-2</v>
      </c>
      <c r="O137" s="68">
        <v>42.082500000000003</v>
      </c>
      <c r="P137" s="73">
        <v>5.75</v>
      </c>
      <c r="Q137" s="73">
        <f>'Trade Data'!F11</f>
        <v>0.59940791688720507</v>
      </c>
      <c r="R137" s="35">
        <v>0</v>
      </c>
    </row>
    <row r="138" spans="1:18" ht="20.100000000000001" customHeight="1">
      <c r="A138" s="44" t="s">
        <v>46</v>
      </c>
      <c r="B138" s="44" t="s">
        <v>732</v>
      </c>
      <c r="C138" s="45">
        <v>1.67</v>
      </c>
      <c r="D138" s="47">
        <v>78607.213999999993</v>
      </c>
      <c r="E138" s="47">
        <v>2.1244869459436636E-5</v>
      </c>
      <c r="F138" s="47">
        <v>1</v>
      </c>
      <c r="G138" s="46">
        <v>1</v>
      </c>
      <c r="H138" s="47">
        <v>5</v>
      </c>
      <c r="I138" s="48">
        <v>80.14</v>
      </c>
      <c r="J138" s="48">
        <v>74.81</v>
      </c>
      <c r="K138" s="48">
        <v>70.84</v>
      </c>
      <c r="L138" s="49">
        <v>82.25</v>
      </c>
      <c r="M138" s="72">
        <f t="shared" si="2"/>
        <v>2.2999999999999998</v>
      </c>
      <c r="N138" s="36">
        <v>2.3E-2</v>
      </c>
      <c r="O138" s="68">
        <v>42.082500000000003</v>
      </c>
      <c r="P138" s="73">
        <v>5.75</v>
      </c>
      <c r="Q138" s="73">
        <f>'Trade Data'!F11</f>
        <v>0.59940791688720507</v>
      </c>
      <c r="R138" s="35">
        <v>1</v>
      </c>
    </row>
    <row r="139" spans="1:18" ht="20.100000000000001" customHeight="1">
      <c r="A139" s="44" t="s">
        <v>46</v>
      </c>
      <c r="B139" s="44" t="s">
        <v>731</v>
      </c>
      <c r="C139" s="45">
        <v>224.32</v>
      </c>
      <c r="D139" s="47">
        <v>153455.05800000002</v>
      </c>
      <c r="E139" s="47">
        <v>1.4617960653991605E-3</v>
      </c>
      <c r="F139" s="47">
        <v>1</v>
      </c>
      <c r="G139" s="46">
        <v>1</v>
      </c>
      <c r="H139" s="47">
        <v>5</v>
      </c>
      <c r="I139" s="48">
        <v>80.14</v>
      </c>
      <c r="J139" s="48">
        <v>74.81</v>
      </c>
      <c r="K139" s="48">
        <v>70.84</v>
      </c>
      <c r="L139" s="49">
        <v>82.25</v>
      </c>
      <c r="M139" s="72">
        <f t="shared" si="2"/>
        <v>2.2999999999999998</v>
      </c>
      <c r="N139" s="36">
        <v>2.3E-2</v>
      </c>
      <c r="O139" s="68">
        <v>42.082500000000003</v>
      </c>
      <c r="P139" s="73">
        <v>5.75</v>
      </c>
      <c r="Q139" s="73">
        <f>'Trade Data'!F11</f>
        <v>0.59940791688720507</v>
      </c>
      <c r="R139" s="35">
        <v>1</v>
      </c>
    </row>
    <row r="140" spans="1:18" ht="20.100000000000001" customHeight="1">
      <c r="A140" s="44" t="s">
        <v>47</v>
      </c>
      <c r="B140" s="44" t="s">
        <v>730</v>
      </c>
      <c r="C140" s="45">
        <v>0</v>
      </c>
      <c r="D140" s="47">
        <v>10622.289999999999</v>
      </c>
      <c r="E140" s="47">
        <v>0</v>
      </c>
      <c r="F140" s="47">
        <v>0</v>
      </c>
      <c r="G140" s="46">
        <v>0</v>
      </c>
      <c r="H140" s="47">
        <v>0</v>
      </c>
      <c r="I140" s="48">
        <v>76.36</v>
      </c>
      <c r="J140" s="48">
        <v>64.930000000000007</v>
      </c>
      <c r="K140" s="48">
        <v>70.14</v>
      </c>
      <c r="L140" s="49">
        <v>82.25</v>
      </c>
      <c r="M140" s="72">
        <f t="shared" si="2"/>
        <v>2.2999999999999998</v>
      </c>
      <c r="N140" s="36">
        <v>2.3E-2</v>
      </c>
      <c r="O140" s="68">
        <v>45.412499999999994</v>
      </c>
      <c r="P140" s="73">
        <v>5.75</v>
      </c>
      <c r="Q140" s="73">
        <f>'Trade Data'!F11</f>
        <v>0.59940791688720507</v>
      </c>
      <c r="R140" s="37">
        <v>0</v>
      </c>
    </row>
    <row r="141" spans="1:18" ht="20.100000000000001" customHeight="1">
      <c r="A141" s="44" t="s">
        <v>47</v>
      </c>
      <c r="B141" s="44" t="s">
        <v>729</v>
      </c>
      <c r="C141" s="45">
        <v>3</v>
      </c>
      <c r="D141" s="47">
        <v>77295.687000000005</v>
      </c>
      <c r="E141" s="47">
        <v>3.8811997362802398E-5</v>
      </c>
      <c r="F141" s="47">
        <v>1</v>
      </c>
      <c r="G141" s="46">
        <v>1</v>
      </c>
      <c r="H141" s="47">
        <v>4</v>
      </c>
      <c r="I141" s="48">
        <v>76.36</v>
      </c>
      <c r="J141" s="48">
        <v>64.930000000000007</v>
      </c>
      <c r="K141" s="48">
        <v>70.14</v>
      </c>
      <c r="L141" s="49">
        <v>82.25</v>
      </c>
      <c r="M141" s="72">
        <f t="shared" si="2"/>
        <v>2.2999999999999998</v>
      </c>
      <c r="N141" s="36">
        <v>2.3E-2</v>
      </c>
      <c r="O141" s="68">
        <v>45.412499999999994</v>
      </c>
      <c r="P141" s="73">
        <v>5.75</v>
      </c>
      <c r="Q141" s="73">
        <f>'Trade Data'!F11</f>
        <v>0.59940791688720507</v>
      </c>
      <c r="R141" s="37">
        <v>1</v>
      </c>
    </row>
    <row r="142" spans="1:18" ht="20.100000000000001" customHeight="1">
      <c r="A142" s="44" t="s">
        <v>47</v>
      </c>
      <c r="B142" s="44" t="s">
        <v>728</v>
      </c>
      <c r="C142" s="45">
        <v>1187.83</v>
      </c>
      <c r="D142" s="47">
        <v>159087.32</v>
      </c>
      <c r="E142" s="47">
        <v>7.4665284448817157E-3</v>
      </c>
      <c r="F142" s="47">
        <v>1</v>
      </c>
      <c r="G142" s="46">
        <v>1</v>
      </c>
      <c r="H142" s="47">
        <v>6</v>
      </c>
      <c r="I142" s="48">
        <v>76.36</v>
      </c>
      <c r="J142" s="48">
        <v>64.930000000000007</v>
      </c>
      <c r="K142" s="48">
        <v>70.14</v>
      </c>
      <c r="L142" s="49">
        <v>82.25</v>
      </c>
      <c r="M142" s="72">
        <f t="shared" si="2"/>
        <v>2.2999999999999998</v>
      </c>
      <c r="N142" s="36">
        <v>2.3E-2</v>
      </c>
      <c r="O142" s="68">
        <v>45.412499999999994</v>
      </c>
      <c r="P142" s="73">
        <v>5.75</v>
      </c>
      <c r="Q142" s="73">
        <f>'Trade Data'!F11</f>
        <v>0.59940791688720507</v>
      </c>
      <c r="R142" s="37">
        <v>1</v>
      </c>
    </row>
    <row r="143" spans="1:18" ht="20.100000000000001" customHeight="1">
      <c r="A143" s="44" t="s">
        <v>48</v>
      </c>
      <c r="B143" s="44" t="s">
        <v>727</v>
      </c>
      <c r="C143" s="45">
        <v>9.1660000000000004</v>
      </c>
      <c r="D143" s="47">
        <v>10622.289999999999</v>
      </c>
      <c r="E143" s="47">
        <v>8.6290244382331883E-4</v>
      </c>
      <c r="F143" s="47">
        <v>1</v>
      </c>
      <c r="G143" s="46">
        <v>1</v>
      </c>
      <c r="H143" s="47">
        <v>2</v>
      </c>
      <c r="I143" s="48">
        <v>77.31</v>
      </c>
      <c r="J143" s="56">
        <v>58.98</v>
      </c>
      <c r="K143" s="48">
        <v>83.17</v>
      </c>
      <c r="L143" s="49">
        <v>78.150000000000006</v>
      </c>
      <c r="M143" s="72">
        <f t="shared" si="2"/>
        <v>2.2999999999999998</v>
      </c>
      <c r="N143" s="36">
        <v>2.3E-2</v>
      </c>
      <c r="O143" s="68">
        <v>46.016249999999999</v>
      </c>
      <c r="P143" s="73">
        <v>5.75</v>
      </c>
      <c r="Q143" s="73">
        <f>'Trade Data'!F11</f>
        <v>0.59940791688720507</v>
      </c>
      <c r="R143" s="35">
        <v>0</v>
      </c>
    </row>
    <row r="144" spans="1:18" ht="20.100000000000001" customHeight="1">
      <c r="A144" s="44" t="s">
        <v>48</v>
      </c>
      <c r="B144" s="44" t="s">
        <v>726</v>
      </c>
      <c r="C144" s="45">
        <v>464.4</v>
      </c>
      <c r="D144" s="47">
        <v>77295.687000000005</v>
      </c>
      <c r="E144" s="47">
        <v>6.0080971917618117E-3</v>
      </c>
      <c r="F144" s="47">
        <v>1</v>
      </c>
      <c r="G144" s="46">
        <v>1</v>
      </c>
      <c r="H144" s="47">
        <v>5</v>
      </c>
      <c r="I144" s="48">
        <v>77.31</v>
      </c>
      <c r="J144" s="56">
        <v>58.98</v>
      </c>
      <c r="K144" s="48">
        <v>83.17</v>
      </c>
      <c r="L144" s="49">
        <v>78.150000000000006</v>
      </c>
      <c r="M144" s="72">
        <f t="shared" si="2"/>
        <v>2.2999999999999998</v>
      </c>
      <c r="N144" s="36">
        <v>2.3E-2</v>
      </c>
      <c r="O144" s="68">
        <v>46.016249999999999</v>
      </c>
      <c r="P144" s="73">
        <v>5.75</v>
      </c>
      <c r="Q144" s="73">
        <f>'Trade Data'!F11</f>
        <v>0.59940791688720507</v>
      </c>
      <c r="R144" s="35">
        <v>1</v>
      </c>
    </row>
    <row r="145" spans="1:18" ht="20.100000000000001" customHeight="1">
      <c r="A145" s="44" t="s">
        <v>48</v>
      </c>
      <c r="B145" s="44" t="s">
        <v>725</v>
      </c>
      <c r="C145" s="45">
        <v>0.93700000000000006</v>
      </c>
      <c r="D145" s="47">
        <v>159087.32</v>
      </c>
      <c r="E145" s="47">
        <v>5.8898471606662303E-6</v>
      </c>
      <c r="F145" s="47">
        <v>1</v>
      </c>
      <c r="G145" s="49">
        <v>1</v>
      </c>
      <c r="H145" s="47">
        <v>5</v>
      </c>
      <c r="I145" s="48">
        <v>77.31</v>
      </c>
      <c r="J145" s="56">
        <v>58.98</v>
      </c>
      <c r="K145" s="48">
        <v>83.17</v>
      </c>
      <c r="L145" s="49">
        <v>78.150000000000006</v>
      </c>
      <c r="M145" s="72">
        <f t="shared" si="2"/>
        <v>2.2999999999999998</v>
      </c>
      <c r="N145" s="36">
        <v>2.3E-2</v>
      </c>
      <c r="O145" s="68">
        <v>46.016249999999999</v>
      </c>
      <c r="P145" s="73">
        <v>5.75</v>
      </c>
      <c r="Q145" s="73">
        <f>'Trade Data'!F11</f>
        <v>0.59940791688720507</v>
      </c>
      <c r="R145" s="35">
        <v>1</v>
      </c>
    </row>
    <row r="146" spans="1:18" ht="20.100000000000001" customHeight="1">
      <c r="A146" s="44" t="s">
        <v>49</v>
      </c>
      <c r="B146" s="44" t="s">
        <v>724</v>
      </c>
      <c r="C146" s="45">
        <v>0</v>
      </c>
      <c r="D146" s="47">
        <v>10622.289999999999</v>
      </c>
      <c r="E146" s="47">
        <v>0</v>
      </c>
      <c r="F146" s="47">
        <v>0</v>
      </c>
      <c r="G146" s="49">
        <v>0</v>
      </c>
      <c r="H146" s="47">
        <v>0</v>
      </c>
      <c r="I146" s="48">
        <v>81.180000000000007</v>
      </c>
      <c r="J146" s="56">
        <v>84.1</v>
      </c>
      <c r="K146" s="48">
        <v>70.430000000000007</v>
      </c>
      <c r="L146" s="49">
        <v>78.150000000000006</v>
      </c>
      <c r="M146" s="72">
        <f t="shared" si="2"/>
        <v>1.6</v>
      </c>
      <c r="N146" s="36">
        <v>1.6E-2</v>
      </c>
      <c r="O146" s="68">
        <v>44.555000000000007</v>
      </c>
      <c r="P146" s="73">
        <v>6.25</v>
      </c>
      <c r="Q146" s="73">
        <f>'Trade Data'!H11</f>
        <v>0.61376183531780448</v>
      </c>
      <c r="R146" s="37">
        <v>0</v>
      </c>
    </row>
    <row r="147" spans="1:18" ht="20.100000000000001" customHeight="1">
      <c r="A147" s="44" t="s">
        <v>49</v>
      </c>
      <c r="B147" s="44" t="s">
        <v>723</v>
      </c>
      <c r="C147" s="45">
        <v>55.754999999999995</v>
      </c>
      <c r="D147" s="47">
        <v>77295.687000000005</v>
      </c>
      <c r="E147" s="47">
        <v>7.2132097098768252E-4</v>
      </c>
      <c r="F147" s="47">
        <v>1</v>
      </c>
      <c r="G147" s="49">
        <v>1</v>
      </c>
      <c r="H147" s="47">
        <v>4</v>
      </c>
      <c r="I147" s="48">
        <v>81.180000000000007</v>
      </c>
      <c r="J147" s="56">
        <v>84.1</v>
      </c>
      <c r="K147" s="48">
        <v>70.430000000000007</v>
      </c>
      <c r="L147" s="49">
        <v>78.150000000000006</v>
      </c>
      <c r="M147" s="72">
        <f t="shared" si="2"/>
        <v>1.6</v>
      </c>
      <c r="N147" s="36">
        <v>1.6E-2</v>
      </c>
      <c r="O147" s="68">
        <v>44.555000000000007</v>
      </c>
      <c r="P147" s="73">
        <v>6.25</v>
      </c>
      <c r="Q147" s="73">
        <f>'Trade Data'!H11</f>
        <v>0.61376183531780448</v>
      </c>
      <c r="R147" s="37">
        <v>1</v>
      </c>
    </row>
    <row r="148" spans="1:18" ht="20.100000000000001" customHeight="1">
      <c r="A148" s="51" t="s">
        <v>49</v>
      </c>
      <c r="B148" s="44" t="s">
        <v>722</v>
      </c>
      <c r="C148" s="57">
        <v>697.25199999999995</v>
      </c>
      <c r="D148" s="47">
        <v>159087.32</v>
      </c>
      <c r="E148" s="47">
        <v>4.3828257336914088E-3</v>
      </c>
      <c r="F148" s="47">
        <v>1</v>
      </c>
      <c r="G148" s="49">
        <v>1</v>
      </c>
      <c r="H148" s="47">
        <v>9</v>
      </c>
      <c r="I148" s="48">
        <v>81.180000000000007</v>
      </c>
      <c r="J148" s="56">
        <v>84.1</v>
      </c>
      <c r="K148" s="48">
        <v>70.430000000000007</v>
      </c>
      <c r="L148" s="49">
        <v>78.150000000000006</v>
      </c>
      <c r="M148" s="72">
        <f t="shared" si="2"/>
        <v>1.6</v>
      </c>
      <c r="N148" s="36">
        <v>1.6E-2</v>
      </c>
      <c r="O148" s="68">
        <v>44.555000000000007</v>
      </c>
      <c r="P148" s="73">
        <v>6.25</v>
      </c>
      <c r="Q148" s="73">
        <f>'Trade Data'!H11</f>
        <v>0.61376183531780448</v>
      </c>
      <c r="R148" s="37">
        <v>1</v>
      </c>
    </row>
    <row r="149" spans="1:18" ht="20.100000000000001" customHeight="1">
      <c r="A149" s="51" t="s">
        <v>50</v>
      </c>
      <c r="B149" s="44" t="s">
        <v>721</v>
      </c>
      <c r="C149" s="57">
        <v>0</v>
      </c>
      <c r="D149" s="47">
        <v>10622.289999999999</v>
      </c>
      <c r="E149" s="47">
        <v>0</v>
      </c>
      <c r="F149" s="47">
        <v>0</v>
      </c>
      <c r="G149" s="49">
        <v>1</v>
      </c>
      <c r="H149" s="47">
        <v>1</v>
      </c>
      <c r="I149" s="48">
        <v>77.42</v>
      </c>
      <c r="J149" s="56">
        <v>73.06</v>
      </c>
      <c r="K149" s="48">
        <v>69.45</v>
      </c>
      <c r="L149" s="49">
        <v>78.150000000000006</v>
      </c>
      <c r="M149" s="72">
        <f t="shared" si="2"/>
        <v>1.6</v>
      </c>
      <c r="N149" s="36">
        <v>1.6E-2</v>
      </c>
      <c r="O149" s="68">
        <v>42.448750000000004</v>
      </c>
      <c r="P149" s="73">
        <v>6.25</v>
      </c>
      <c r="Q149" s="73">
        <f>'Trade Data'!H11</f>
        <v>0.61376183531780448</v>
      </c>
      <c r="R149" s="35">
        <v>0</v>
      </c>
    </row>
    <row r="150" spans="1:18" ht="20.100000000000001" customHeight="1">
      <c r="A150" s="51" t="s">
        <v>50</v>
      </c>
      <c r="B150" s="44" t="s">
        <v>720</v>
      </c>
      <c r="C150" s="57">
        <v>1466.6680000000001</v>
      </c>
      <c r="D150" s="47">
        <v>77295.687000000005</v>
      </c>
      <c r="E150" s="47">
        <v>1.8974771516035559E-2</v>
      </c>
      <c r="F150" s="47">
        <v>1</v>
      </c>
      <c r="G150" s="49">
        <v>1</v>
      </c>
      <c r="H150" s="47">
        <v>6</v>
      </c>
      <c r="I150" s="48">
        <v>77.42</v>
      </c>
      <c r="J150" s="56">
        <v>73.06</v>
      </c>
      <c r="K150" s="48">
        <v>69.45</v>
      </c>
      <c r="L150" s="49">
        <v>78.150000000000006</v>
      </c>
      <c r="M150" s="72">
        <f t="shared" si="2"/>
        <v>1.6</v>
      </c>
      <c r="N150" s="36">
        <v>1.6E-2</v>
      </c>
      <c r="O150" s="68">
        <v>42.448750000000004</v>
      </c>
      <c r="P150" s="73">
        <v>6.25</v>
      </c>
      <c r="Q150" s="73">
        <f>'Trade Data'!H11</f>
        <v>0.61376183531780448</v>
      </c>
      <c r="R150" s="35">
        <v>1</v>
      </c>
    </row>
    <row r="151" spans="1:18" ht="20.100000000000001" customHeight="1">
      <c r="A151" s="44" t="s">
        <v>50</v>
      </c>
      <c r="B151" s="44" t="s">
        <v>719</v>
      </c>
      <c r="C151" s="57">
        <v>843.10799999999995</v>
      </c>
      <c r="D151" s="47">
        <v>159087.32</v>
      </c>
      <c r="E151" s="47">
        <v>5.2996555602294378E-3</v>
      </c>
      <c r="F151" s="47">
        <v>1</v>
      </c>
      <c r="G151" s="49">
        <v>1</v>
      </c>
      <c r="H151" s="47">
        <v>10</v>
      </c>
      <c r="I151" s="48">
        <v>77.42</v>
      </c>
      <c r="J151" s="56">
        <v>73.06</v>
      </c>
      <c r="K151" s="48">
        <v>69.45</v>
      </c>
      <c r="L151" s="49">
        <v>78.150000000000006</v>
      </c>
      <c r="M151" s="72">
        <f t="shared" si="2"/>
        <v>1.6</v>
      </c>
      <c r="N151" s="36">
        <v>1.6E-2</v>
      </c>
      <c r="O151" s="68">
        <v>42.448750000000004</v>
      </c>
      <c r="P151" s="73">
        <v>6.25</v>
      </c>
      <c r="Q151" s="73">
        <f>'Trade Data'!H11</f>
        <v>0.61376183531780448</v>
      </c>
      <c r="R151" s="35">
        <v>1</v>
      </c>
    </row>
    <row r="152" spans="1:18" ht="20.100000000000001" customHeight="1">
      <c r="A152" s="44" t="s">
        <v>51</v>
      </c>
      <c r="B152" s="44" t="s">
        <v>718</v>
      </c>
      <c r="C152" s="57">
        <v>0</v>
      </c>
      <c r="D152" s="47">
        <v>11581.24</v>
      </c>
      <c r="E152" s="47">
        <v>0</v>
      </c>
      <c r="F152" s="47">
        <v>0</v>
      </c>
      <c r="G152" s="49">
        <v>0</v>
      </c>
      <c r="H152" s="47">
        <v>0</v>
      </c>
      <c r="I152" s="48">
        <v>70.5</v>
      </c>
      <c r="J152" s="48">
        <v>53.44</v>
      </c>
      <c r="K152" s="48">
        <v>68.510000000000005</v>
      </c>
      <c r="L152" s="49">
        <v>78.150000000000006</v>
      </c>
      <c r="M152" s="72">
        <f t="shared" si="2"/>
        <v>1.6</v>
      </c>
      <c r="N152" s="36">
        <v>1.6E-2</v>
      </c>
      <c r="O152" s="68">
        <v>37.162499999999994</v>
      </c>
      <c r="P152" s="73">
        <v>6.25</v>
      </c>
      <c r="Q152" s="73">
        <f>'Trade Data'!H11</f>
        <v>0.61376183531780448</v>
      </c>
      <c r="R152" s="37">
        <v>0</v>
      </c>
    </row>
    <row r="153" spans="1:18" ht="20.100000000000001" customHeight="1">
      <c r="A153" s="44" t="s">
        <v>51</v>
      </c>
      <c r="B153" s="44" t="s">
        <v>717</v>
      </c>
      <c r="C153" s="57">
        <v>664</v>
      </c>
      <c r="D153" s="47">
        <v>82647.94</v>
      </c>
      <c r="E153" s="47">
        <v>8.0340780423565298E-3</v>
      </c>
      <c r="F153" s="47">
        <v>1</v>
      </c>
      <c r="G153" s="49">
        <v>1</v>
      </c>
      <c r="H153" s="47">
        <v>5</v>
      </c>
      <c r="I153" s="48">
        <v>70.5</v>
      </c>
      <c r="J153" s="48">
        <v>53.44</v>
      </c>
      <c r="K153" s="48">
        <v>68.510000000000005</v>
      </c>
      <c r="L153" s="49">
        <v>78.150000000000006</v>
      </c>
      <c r="M153" s="72">
        <f t="shared" si="2"/>
        <v>1.6</v>
      </c>
      <c r="N153" s="36">
        <v>1.6E-2</v>
      </c>
      <c r="O153" s="68">
        <v>37.162499999999994</v>
      </c>
      <c r="P153" s="73">
        <v>6.25</v>
      </c>
      <c r="Q153" s="73">
        <f>'Trade Data'!H11</f>
        <v>0.61376183531780448</v>
      </c>
      <c r="R153" s="37">
        <v>1</v>
      </c>
    </row>
    <row r="154" spans="1:18" ht="20.100000000000001" customHeight="1">
      <c r="A154" s="44" t="s">
        <v>51</v>
      </c>
      <c r="B154" s="44" t="s">
        <v>716</v>
      </c>
      <c r="C154" s="57">
        <v>0</v>
      </c>
      <c r="D154" s="47">
        <v>169244.03</v>
      </c>
      <c r="E154" s="47">
        <v>0</v>
      </c>
      <c r="F154" s="47">
        <v>0</v>
      </c>
      <c r="G154" s="49">
        <v>1</v>
      </c>
      <c r="H154" s="47">
        <v>5</v>
      </c>
      <c r="I154" s="48">
        <v>70.5</v>
      </c>
      <c r="J154" s="48">
        <v>53.44</v>
      </c>
      <c r="K154" s="48">
        <v>68.510000000000005</v>
      </c>
      <c r="L154" s="49">
        <v>78.150000000000006</v>
      </c>
      <c r="M154" s="72">
        <f t="shared" si="2"/>
        <v>1.6</v>
      </c>
      <c r="N154" s="36">
        <v>1.6E-2</v>
      </c>
      <c r="O154" s="68">
        <v>37.162499999999994</v>
      </c>
      <c r="P154" s="73">
        <v>6.25</v>
      </c>
      <c r="Q154" s="73">
        <f>'Trade Data'!H11</f>
        <v>0.61376183531780448</v>
      </c>
      <c r="R154" s="37">
        <v>1</v>
      </c>
    </row>
    <row r="155" spans="1:18" ht="20.100000000000001" customHeight="1">
      <c r="A155" s="44" t="s">
        <v>52</v>
      </c>
      <c r="B155" s="44" t="s">
        <v>715</v>
      </c>
      <c r="C155" s="57">
        <v>2.8</v>
      </c>
      <c r="D155" s="47">
        <v>11581.24</v>
      </c>
      <c r="E155" s="47">
        <v>2.4177031129654508E-4</v>
      </c>
      <c r="F155" s="47">
        <v>1</v>
      </c>
      <c r="G155" s="49">
        <v>1</v>
      </c>
      <c r="H155" s="47">
        <v>1</v>
      </c>
      <c r="I155" s="48">
        <v>75.86</v>
      </c>
      <c r="J155" s="48">
        <v>69.19</v>
      </c>
      <c r="K155" s="48">
        <v>73.36</v>
      </c>
      <c r="L155" s="49">
        <v>75.34</v>
      </c>
      <c r="M155" s="72">
        <f t="shared" si="2"/>
        <v>1.6</v>
      </c>
      <c r="N155" s="36">
        <v>1.6E-2</v>
      </c>
      <c r="O155" s="68">
        <v>45.852499999999999</v>
      </c>
      <c r="P155" s="73">
        <v>6.25</v>
      </c>
      <c r="Q155" s="73">
        <f>'Trade Data'!H11</f>
        <v>0.61376183531780448</v>
      </c>
      <c r="R155" s="35">
        <v>0</v>
      </c>
    </row>
    <row r="156" spans="1:18" ht="20.100000000000001" customHeight="1">
      <c r="A156" s="44" t="s">
        <v>52</v>
      </c>
      <c r="B156" s="44" t="s">
        <v>714</v>
      </c>
      <c r="C156" s="58">
        <v>341</v>
      </c>
      <c r="D156" s="47">
        <v>82647.94</v>
      </c>
      <c r="E156" s="47">
        <v>4.1259346572945438E-3</v>
      </c>
      <c r="F156" s="47">
        <v>1</v>
      </c>
      <c r="G156" s="49">
        <v>1</v>
      </c>
      <c r="H156" s="47">
        <v>4</v>
      </c>
      <c r="I156" s="48">
        <v>75.86</v>
      </c>
      <c r="J156" s="48">
        <v>69.19</v>
      </c>
      <c r="K156" s="48">
        <v>73.36</v>
      </c>
      <c r="L156" s="49">
        <v>75.34</v>
      </c>
      <c r="M156" s="72">
        <f t="shared" si="2"/>
        <v>1.6</v>
      </c>
      <c r="N156" s="36">
        <v>1.6E-2</v>
      </c>
      <c r="O156" s="68">
        <v>45.852499999999999</v>
      </c>
      <c r="P156" s="73">
        <v>6.25</v>
      </c>
      <c r="Q156" s="73">
        <f>'Trade Data'!H11</f>
        <v>0.61376183531780448</v>
      </c>
      <c r="R156" s="35">
        <v>1</v>
      </c>
    </row>
    <row r="157" spans="1:18" ht="20.100000000000001" customHeight="1">
      <c r="A157" s="44" t="s">
        <v>52</v>
      </c>
      <c r="B157" s="44" t="s">
        <v>713</v>
      </c>
      <c r="C157" s="59">
        <v>9.1999999999999998E-2</v>
      </c>
      <c r="D157" s="47">
        <v>169244.03</v>
      </c>
      <c r="E157" s="47">
        <v>5.4359376812286967E-7</v>
      </c>
      <c r="F157" s="47">
        <v>1</v>
      </c>
      <c r="G157" s="49">
        <v>1</v>
      </c>
      <c r="H157" s="47">
        <v>3</v>
      </c>
      <c r="I157" s="48">
        <v>75.86</v>
      </c>
      <c r="J157" s="48">
        <v>69.19</v>
      </c>
      <c r="K157" s="48">
        <v>73.36</v>
      </c>
      <c r="L157" s="49">
        <v>75.34</v>
      </c>
      <c r="M157" s="72">
        <f t="shared" si="2"/>
        <v>1.6</v>
      </c>
      <c r="N157" s="36">
        <v>1.6E-2</v>
      </c>
      <c r="O157" s="68">
        <v>45.852499999999999</v>
      </c>
      <c r="P157" s="73">
        <v>6.25</v>
      </c>
      <c r="Q157" s="73">
        <f>'Trade Data'!H11</f>
        <v>0.61376183531780448</v>
      </c>
      <c r="R157" s="35">
        <v>1</v>
      </c>
    </row>
    <row r="158" spans="1:18" ht="20.100000000000001" customHeight="1">
      <c r="A158" s="44" t="s">
        <v>53</v>
      </c>
      <c r="B158" s="44" t="s">
        <v>712</v>
      </c>
      <c r="C158" s="59"/>
      <c r="D158" s="47">
        <v>11581.24</v>
      </c>
      <c r="E158" s="47">
        <v>0</v>
      </c>
      <c r="F158" s="47">
        <v>0</v>
      </c>
      <c r="G158" s="49">
        <v>0</v>
      </c>
      <c r="H158" s="47">
        <v>0</v>
      </c>
      <c r="I158" s="48">
        <v>77.739999999999995</v>
      </c>
      <c r="J158" s="48">
        <v>88.81</v>
      </c>
      <c r="K158" s="48">
        <v>54.52</v>
      </c>
      <c r="L158" s="49">
        <v>75.34</v>
      </c>
      <c r="M158" s="72">
        <f t="shared" si="2"/>
        <v>1.7000000000000002</v>
      </c>
      <c r="N158" s="36">
        <v>1.7000000000000001E-2</v>
      </c>
      <c r="O158" s="68">
        <v>42.489999999999995</v>
      </c>
      <c r="P158" s="73">
        <v>5.69</v>
      </c>
      <c r="Q158" s="73">
        <f>'Trade Data'!J11</f>
        <v>0.61966902795142798</v>
      </c>
      <c r="R158" s="37">
        <v>0</v>
      </c>
    </row>
    <row r="159" spans="1:18" ht="20.100000000000001" customHeight="1">
      <c r="A159" s="44" t="s">
        <v>53</v>
      </c>
      <c r="B159" s="44" t="s">
        <v>711</v>
      </c>
      <c r="C159" s="59">
        <v>74.861999999999995</v>
      </c>
      <c r="D159" s="47">
        <v>82647.94</v>
      </c>
      <c r="E159" s="47">
        <v>9.0579390121520262E-4</v>
      </c>
      <c r="F159" s="47">
        <v>1</v>
      </c>
      <c r="G159" s="49">
        <v>1</v>
      </c>
      <c r="H159" s="47">
        <v>7</v>
      </c>
      <c r="I159" s="48">
        <v>77.739999999999995</v>
      </c>
      <c r="J159" s="48">
        <v>88.81</v>
      </c>
      <c r="K159" s="48">
        <v>54.52</v>
      </c>
      <c r="L159" s="49">
        <v>75.34</v>
      </c>
      <c r="M159" s="72">
        <f t="shared" si="2"/>
        <v>1.7000000000000002</v>
      </c>
      <c r="N159" s="36">
        <v>1.7000000000000001E-2</v>
      </c>
      <c r="O159" s="68">
        <v>42.489999999999995</v>
      </c>
      <c r="P159" s="73">
        <v>5.69</v>
      </c>
      <c r="Q159" s="73">
        <f>'Trade Data'!J11</f>
        <v>0.61966902795142798</v>
      </c>
      <c r="R159" s="37">
        <v>1</v>
      </c>
    </row>
    <row r="160" spans="1:18" ht="20.100000000000001" customHeight="1">
      <c r="A160" s="44" t="s">
        <v>53</v>
      </c>
      <c r="B160" s="44" t="s">
        <v>710</v>
      </c>
      <c r="C160" s="59">
        <v>2594.442</v>
      </c>
      <c r="D160" s="47">
        <v>169244.03</v>
      </c>
      <c r="E160" s="47">
        <v>1.532959242343733E-2</v>
      </c>
      <c r="F160" s="47">
        <v>1</v>
      </c>
      <c r="G160" s="49">
        <v>1</v>
      </c>
      <c r="H160" s="47">
        <v>5</v>
      </c>
      <c r="I160" s="48">
        <v>77.739999999999995</v>
      </c>
      <c r="J160" s="48">
        <v>88.81</v>
      </c>
      <c r="K160" s="48">
        <v>54.52</v>
      </c>
      <c r="L160" s="49">
        <v>75.34</v>
      </c>
      <c r="M160" s="72">
        <f t="shared" si="2"/>
        <v>1.7000000000000002</v>
      </c>
      <c r="N160" s="36">
        <v>1.7000000000000001E-2</v>
      </c>
      <c r="O160" s="68">
        <v>42.489999999999995</v>
      </c>
      <c r="P160" s="73">
        <v>5.69</v>
      </c>
      <c r="Q160" s="73">
        <f>'Trade Data'!J11</f>
        <v>0.61966902795142798</v>
      </c>
      <c r="R160" s="37">
        <v>1</v>
      </c>
    </row>
    <row r="161" spans="1:18" ht="20.100000000000001" customHeight="1">
      <c r="A161" s="44" t="s">
        <v>54</v>
      </c>
      <c r="B161" s="44" t="s">
        <v>855</v>
      </c>
      <c r="C161" s="59"/>
      <c r="D161" s="47">
        <v>11581.24</v>
      </c>
      <c r="E161" s="47">
        <v>0</v>
      </c>
      <c r="F161" s="47">
        <v>0</v>
      </c>
      <c r="G161" s="49">
        <v>0</v>
      </c>
      <c r="H161" s="47">
        <v>0</v>
      </c>
      <c r="I161" s="48">
        <v>66.8</v>
      </c>
      <c r="J161" s="48">
        <v>59.21</v>
      </c>
      <c r="K161" s="48">
        <v>57.21</v>
      </c>
      <c r="L161" s="49">
        <v>75.34</v>
      </c>
      <c r="M161" s="72">
        <f t="shared" si="2"/>
        <v>1.7000000000000002</v>
      </c>
      <c r="N161" s="36">
        <v>1.7000000000000001E-2</v>
      </c>
      <c r="O161" s="68">
        <v>35.15625</v>
      </c>
      <c r="P161" s="73">
        <v>5.69</v>
      </c>
      <c r="Q161" s="73">
        <f>'Trade Data'!J11</f>
        <v>0.61966902795142798</v>
      </c>
      <c r="R161" s="35">
        <v>0</v>
      </c>
    </row>
    <row r="162" spans="1:18" ht="20.100000000000001" customHeight="1">
      <c r="A162" s="44" t="s">
        <v>54</v>
      </c>
      <c r="B162" s="44" t="s">
        <v>856</v>
      </c>
      <c r="C162" s="59">
        <v>13.74</v>
      </c>
      <c r="D162" s="47">
        <v>82647.94</v>
      </c>
      <c r="E162" s="47">
        <v>1.6624733780418483E-4</v>
      </c>
      <c r="F162" s="47">
        <v>1</v>
      </c>
      <c r="G162" s="49">
        <v>1</v>
      </c>
      <c r="H162" s="47">
        <v>4</v>
      </c>
      <c r="I162" s="48">
        <v>66.8</v>
      </c>
      <c r="J162" s="48">
        <v>59.21</v>
      </c>
      <c r="K162" s="48">
        <v>57.21</v>
      </c>
      <c r="L162" s="49">
        <v>75.34</v>
      </c>
      <c r="M162" s="72">
        <f t="shared" si="2"/>
        <v>1.7000000000000002</v>
      </c>
      <c r="N162" s="36">
        <v>1.7000000000000001E-2</v>
      </c>
      <c r="O162" s="68">
        <v>35.15625</v>
      </c>
      <c r="P162" s="73">
        <v>5.69</v>
      </c>
      <c r="Q162" s="73">
        <f>'Trade Data'!J11</f>
        <v>0.61966902795142798</v>
      </c>
      <c r="R162" s="35">
        <v>1</v>
      </c>
    </row>
    <row r="163" spans="1:18" ht="20.100000000000001" customHeight="1">
      <c r="A163" s="44" t="s">
        <v>54</v>
      </c>
      <c r="B163" s="44" t="s">
        <v>857</v>
      </c>
      <c r="C163" s="59">
        <v>38.515999999999998</v>
      </c>
      <c r="D163" s="47">
        <v>169244.03</v>
      </c>
      <c r="E163" s="47">
        <v>2.2757671275022226E-4</v>
      </c>
      <c r="F163" s="47">
        <v>1</v>
      </c>
      <c r="G163" s="49">
        <v>1</v>
      </c>
      <c r="H163" s="47">
        <v>1</v>
      </c>
      <c r="I163" s="48">
        <v>66.8</v>
      </c>
      <c r="J163" s="48">
        <v>59.21</v>
      </c>
      <c r="K163" s="48">
        <v>57.21</v>
      </c>
      <c r="L163" s="49">
        <v>75.34</v>
      </c>
      <c r="M163" s="72">
        <f t="shared" si="2"/>
        <v>1.7000000000000002</v>
      </c>
      <c r="N163" s="36">
        <v>1.7000000000000001E-2</v>
      </c>
      <c r="O163" s="68">
        <v>35.15625</v>
      </c>
      <c r="P163" s="73">
        <v>5.69</v>
      </c>
      <c r="Q163" s="73">
        <f>'Trade Data'!J11</f>
        <v>0.61966902795142798</v>
      </c>
      <c r="R163" s="35">
        <v>1</v>
      </c>
    </row>
    <row r="164" spans="1:18" ht="20.100000000000001" customHeight="1">
      <c r="A164" s="44" t="s">
        <v>56</v>
      </c>
      <c r="B164" s="44" t="s">
        <v>706</v>
      </c>
      <c r="C164" s="59">
        <v>0</v>
      </c>
      <c r="D164" s="47">
        <v>23114.335999999999</v>
      </c>
      <c r="E164" s="47">
        <v>0</v>
      </c>
      <c r="F164" s="47">
        <v>0</v>
      </c>
      <c r="G164" s="49">
        <v>0</v>
      </c>
      <c r="H164" s="47">
        <v>0</v>
      </c>
      <c r="I164" s="56">
        <v>56.2</v>
      </c>
      <c r="J164" s="56">
        <v>54.85</v>
      </c>
      <c r="K164" s="49">
        <v>75.819999999999993</v>
      </c>
      <c r="L164" s="49">
        <v>33.43</v>
      </c>
      <c r="M164" s="72">
        <f t="shared" si="2"/>
        <v>4.9000000000000004</v>
      </c>
      <c r="N164" s="36">
        <v>4.9000000000000002E-2</v>
      </c>
      <c r="O164" s="68">
        <v>11.862499999999997</v>
      </c>
      <c r="P164" s="73">
        <v>5.8</v>
      </c>
      <c r="Q164" s="73">
        <f>'Trade Data'!B14</f>
        <v>0.49273767380624867</v>
      </c>
      <c r="R164" s="35">
        <v>0</v>
      </c>
    </row>
    <row r="165" spans="1:18" ht="20.100000000000001" customHeight="1">
      <c r="A165" s="44" t="s">
        <v>56</v>
      </c>
      <c r="B165" s="44" t="s">
        <v>705</v>
      </c>
      <c r="C165" s="59">
        <v>595.55200000000002</v>
      </c>
      <c r="D165" s="47">
        <v>141157.12100000001</v>
      </c>
      <c r="E165" s="47">
        <v>4.2190715975285436E-3</v>
      </c>
      <c r="F165" s="47">
        <v>1</v>
      </c>
      <c r="G165" s="49">
        <v>1</v>
      </c>
      <c r="H165" s="47">
        <v>6</v>
      </c>
      <c r="I165" s="56">
        <v>56.2</v>
      </c>
      <c r="J165" s="56">
        <v>54.85</v>
      </c>
      <c r="K165" s="49">
        <v>75.819999999999993</v>
      </c>
      <c r="L165" s="49">
        <v>33.43</v>
      </c>
      <c r="M165" s="72">
        <f t="shared" si="2"/>
        <v>4.9000000000000004</v>
      </c>
      <c r="N165" s="36">
        <v>4.9000000000000002E-2</v>
      </c>
      <c r="O165" s="68">
        <v>11.862499999999997</v>
      </c>
      <c r="P165" s="73">
        <v>5.8</v>
      </c>
      <c r="Q165" s="73">
        <f>'Trade Data'!B14</f>
        <v>0.49273767380624867</v>
      </c>
      <c r="R165" s="35">
        <v>1</v>
      </c>
    </row>
    <row r="166" spans="1:18" ht="20.100000000000001" customHeight="1">
      <c r="A166" s="44" t="s">
        <v>56</v>
      </c>
      <c r="B166" s="44" t="s">
        <v>704</v>
      </c>
      <c r="C166" s="59">
        <v>69.31</v>
      </c>
      <c r="D166" s="47">
        <v>215898.54299999998</v>
      </c>
      <c r="E166" s="47">
        <v>3.2103042029329494E-4</v>
      </c>
      <c r="F166" s="47">
        <v>1</v>
      </c>
      <c r="G166" s="49">
        <v>1</v>
      </c>
      <c r="H166" s="47">
        <v>3</v>
      </c>
      <c r="I166" s="56">
        <v>56.2</v>
      </c>
      <c r="J166" s="56">
        <v>54.85</v>
      </c>
      <c r="K166" s="49">
        <v>75.819999999999993</v>
      </c>
      <c r="L166" s="49">
        <v>33.43</v>
      </c>
      <c r="M166" s="72">
        <f t="shared" si="2"/>
        <v>4.9000000000000004</v>
      </c>
      <c r="N166" s="36">
        <v>4.9000000000000002E-2</v>
      </c>
      <c r="O166" s="68">
        <v>11.862499999999997</v>
      </c>
      <c r="P166" s="73">
        <v>5.8</v>
      </c>
      <c r="Q166" s="73">
        <f>'Trade Data'!B14</f>
        <v>0.49273767380624867</v>
      </c>
      <c r="R166" s="35">
        <v>1</v>
      </c>
    </row>
    <row r="167" spans="1:18" ht="20.100000000000001" customHeight="1">
      <c r="A167" s="44" t="s">
        <v>57</v>
      </c>
      <c r="B167" s="44" t="s">
        <v>703</v>
      </c>
      <c r="C167" s="59">
        <v>0</v>
      </c>
      <c r="D167" s="47">
        <v>23114.335999999999</v>
      </c>
      <c r="E167" s="47">
        <v>0</v>
      </c>
      <c r="F167" s="47">
        <v>0</v>
      </c>
      <c r="G167" s="49">
        <v>0</v>
      </c>
      <c r="H167" s="47">
        <v>0</v>
      </c>
      <c r="I167" s="56">
        <v>46.21</v>
      </c>
      <c r="J167" s="56">
        <v>25.18</v>
      </c>
      <c r="K167" s="52">
        <v>79.989999999999995</v>
      </c>
      <c r="L167" s="49">
        <v>33.43</v>
      </c>
      <c r="M167" s="72">
        <f t="shared" si="2"/>
        <v>4.9000000000000004</v>
      </c>
      <c r="N167" s="36">
        <v>4.9000000000000002E-2</v>
      </c>
      <c r="O167" s="68">
        <v>12.64875</v>
      </c>
      <c r="P167" s="73">
        <v>5.8</v>
      </c>
      <c r="Q167" s="73">
        <f>'Trade Data'!B14</f>
        <v>0.49273767380624867</v>
      </c>
      <c r="R167" s="37">
        <v>0</v>
      </c>
    </row>
    <row r="168" spans="1:18" ht="20.100000000000001" customHeight="1">
      <c r="A168" s="44" t="s">
        <v>57</v>
      </c>
      <c r="B168" s="44" t="s">
        <v>702</v>
      </c>
      <c r="C168" s="59">
        <v>746.26300000000003</v>
      </c>
      <c r="D168" s="47">
        <v>141157.12100000001</v>
      </c>
      <c r="E168" s="47">
        <v>5.2867541836589312E-3</v>
      </c>
      <c r="F168" s="47">
        <v>1</v>
      </c>
      <c r="G168" s="49">
        <v>1</v>
      </c>
      <c r="H168" s="47">
        <v>15</v>
      </c>
      <c r="I168" s="56">
        <v>46.21</v>
      </c>
      <c r="J168" s="56">
        <v>25.18</v>
      </c>
      <c r="K168" s="52">
        <v>79.989999999999995</v>
      </c>
      <c r="L168" s="49">
        <v>33.43</v>
      </c>
      <c r="M168" s="72">
        <f t="shared" si="2"/>
        <v>4.9000000000000004</v>
      </c>
      <c r="N168" s="36">
        <v>4.9000000000000002E-2</v>
      </c>
      <c r="O168" s="68">
        <v>12.64875</v>
      </c>
      <c r="P168" s="73">
        <v>5.8</v>
      </c>
      <c r="Q168" s="73">
        <f>'Trade Data'!B14</f>
        <v>0.49273767380624867</v>
      </c>
      <c r="R168" s="37">
        <v>1</v>
      </c>
    </row>
    <row r="169" spans="1:18" ht="20.100000000000001" customHeight="1">
      <c r="A169" s="44" t="s">
        <v>57</v>
      </c>
      <c r="B169" s="44" t="s">
        <v>701</v>
      </c>
      <c r="C169" s="59">
        <v>354.44</v>
      </c>
      <c r="D169" s="47">
        <v>215898.54299999998</v>
      </c>
      <c r="E169" s="47">
        <v>1.6416970447086345E-3</v>
      </c>
      <c r="F169" s="47">
        <v>1</v>
      </c>
      <c r="G169" s="49">
        <v>1</v>
      </c>
      <c r="H169" s="47">
        <v>5</v>
      </c>
      <c r="I169" s="56">
        <v>46.21</v>
      </c>
      <c r="J169" s="56">
        <v>25.18</v>
      </c>
      <c r="K169" s="52">
        <v>79.989999999999995</v>
      </c>
      <c r="L169" s="49">
        <v>33.43</v>
      </c>
      <c r="M169" s="72">
        <f t="shared" si="2"/>
        <v>4.9000000000000004</v>
      </c>
      <c r="N169" s="36">
        <v>4.9000000000000002E-2</v>
      </c>
      <c r="O169" s="68">
        <v>12.64875</v>
      </c>
      <c r="P169" s="73">
        <v>5.8</v>
      </c>
      <c r="Q169" s="73">
        <f>'Trade Data'!B14</f>
        <v>0.49273767380624867</v>
      </c>
      <c r="R169" s="37">
        <v>1</v>
      </c>
    </row>
    <row r="170" spans="1:18" ht="20.100000000000001" customHeight="1">
      <c r="A170" s="44" t="s">
        <v>58</v>
      </c>
      <c r="B170" s="44" t="s">
        <v>700</v>
      </c>
      <c r="C170" s="59">
        <v>0</v>
      </c>
      <c r="D170" s="47">
        <v>23380.175999999999</v>
      </c>
      <c r="E170" s="47">
        <v>0</v>
      </c>
      <c r="F170" s="47">
        <v>0</v>
      </c>
      <c r="G170" s="49">
        <v>0</v>
      </c>
      <c r="H170" s="47">
        <v>0</v>
      </c>
      <c r="I170" s="56">
        <v>64.209999999999994</v>
      </c>
      <c r="J170" s="56">
        <v>71.2</v>
      </c>
      <c r="K170" s="52">
        <v>79.13</v>
      </c>
      <c r="L170" s="49">
        <v>33.43</v>
      </c>
      <c r="M170" s="72">
        <f t="shared" si="2"/>
        <v>4.9000000000000004</v>
      </c>
      <c r="N170" s="36">
        <v>4.9000000000000002E-2</v>
      </c>
      <c r="O170" s="68">
        <v>23.053749999999994</v>
      </c>
      <c r="P170" s="73">
        <v>5.8</v>
      </c>
      <c r="Q170" s="73">
        <f>'Trade Data'!B14</f>
        <v>0.49273767380624867</v>
      </c>
      <c r="R170" s="35">
        <v>0</v>
      </c>
    </row>
    <row r="171" spans="1:18" ht="20.100000000000001" customHeight="1">
      <c r="A171" s="44" t="s">
        <v>58</v>
      </c>
      <c r="B171" s="44" t="s">
        <v>699</v>
      </c>
      <c r="C171" s="59">
        <v>9.15</v>
      </c>
      <c r="D171" s="47">
        <v>135135.90400000001</v>
      </c>
      <c r="E171" s="47">
        <v>6.7709614759375864E-5</v>
      </c>
      <c r="F171" s="47">
        <v>1</v>
      </c>
      <c r="G171" s="49">
        <v>1</v>
      </c>
      <c r="H171" s="47">
        <v>8</v>
      </c>
      <c r="I171" s="56">
        <v>64.209999999999994</v>
      </c>
      <c r="J171" s="56">
        <v>71.2</v>
      </c>
      <c r="K171" s="52">
        <v>79.13</v>
      </c>
      <c r="L171" s="49">
        <v>33.43</v>
      </c>
      <c r="M171" s="72">
        <f t="shared" si="2"/>
        <v>4.9000000000000004</v>
      </c>
      <c r="N171" s="36">
        <v>4.9000000000000002E-2</v>
      </c>
      <c r="O171" s="68">
        <v>23.053749999999994</v>
      </c>
      <c r="P171" s="73">
        <v>5.8</v>
      </c>
      <c r="Q171" s="73">
        <f>'Trade Data'!B14</f>
        <v>0.49273767380624867</v>
      </c>
      <c r="R171" s="35">
        <v>1</v>
      </c>
    </row>
    <row r="172" spans="1:18" ht="20.100000000000001" customHeight="1">
      <c r="A172" s="44" t="s">
        <v>58</v>
      </c>
      <c r="B172" s="44" t="s">
        <v>698</v>
      </c>
      <c r="C172" s="59">
        <v>109</v>
      </c>
      <c r="D172" s="47">
        <v>219766.08799999999</v>
      </c>
      <c r="E172" s="47">
        <v>4.9598189143722671E-4</v>
      </c>
      <c r="F172" s="47">
        <v>1</v>
      </c>
      <c r="G172" s="49">
        <v>1</v>
      </c>
      <c r="H172" s="47">
        <v>5</v>
      </c>
      <c r="I172" s="56">
        <v>64.209999999999994</v>
      </c>
      <c r="J172" s="56">
        <v>71.2</v>
      </c>
      <c r="K172" s="52">
        <v>79.13</v>
      </c>
      <c r="L172" s="49">
        <v>33.43</v>
      </c>
      <c r="M172" s="72">
        <f t="shared" si="2"/>
        <v>4.9000000000000004</v>
      </c>
      <c r="N172" s="36">
        <v>4.9000000000000002E-2</v>
      </c>
      <c r="O172" s="68">
        <v>23.053749999999994</v>
      </c>
      <c r="P172" s="73">
        <v>5.8</v>
      </c>
      <c r="Q172" s="73">
        <f>'Trade Data'!B14</f>
        <v>0.49273767380624867</v>
      </c>
      <c r="R172" s="35">
        <v>1</v>
      </c>
    </row>
    <row r="173" spans="1:18" ht="20.100000000000001" customHeight="1">
      <c r="A173" s="44" t="s">
        <v>59</v>
      </c>
      <c r="B173" s="44" t="s">
        <v>697</v>
      </c>
      <c r="C173" s="59">
        <v>0</v>
      </c>
      <c r="D173" s="47">
        <v>23380.175999999999</v>
      </c>
      <c r="E173" s="47">
        <v>0</v>
      </c>
      <c r="F173" s="47">
        <v>0</v>
      </c>
      <c r="G173" s="49">
        <v>0</v>
      </c>
      <c r="H173" s="47">
        <v>0</v>
      </c>
      <c r="I173" s="56">
        <v>49.7</v>
      </c>
      <c r="J173" s="56">
        <v>39.700000000000003</v>
      </c>
      <c r="K173" s="52">
        <v>75.53</v>
      </c>
      <c r="L173" s="49">
        <v>33.43</v>
      </c>
      <c r="M173" s="72">
        <f t="shared" si="2"/>
        <v>4.9000000000000004</v>
      </c>
      <c r="N173" s="36">
        <v>4.9000000000000002E-2</v>
      </c>
      <c r="O173" s="68">
        <v>13.332500000000003</v>
      </c>
      <c r="P173" s="73">
        <v>5.8</v>
      </c>
      <c r="Q173" s="73">
        <f>'Trade Data'!B14</f>
        <v>0.49273767380624867</v>
      </c>
      <c r="R173" s="37">
        <v>0</v>
      </c>
    </row>
    <row r="174" spans="1:18" ht="20.100000000000001" customHeight="1">
      <c r="A174" s="44" t="s">
        <v>59</v>
      </c>
      <c r="B174" s="44" t="s">
        <v>696</v>
      </c>
      <c r="C174" s="59">
        <v>276.56200000000001</v>
      </c>
      <c r="D174" s="47">
        <v>135135.90400000001</v>
      </c>
      <c r="E174" s="47">
        <v>2.0465471559653016E-3</v>
      </c>
      <c r="F174" s="47">
        <v>1</v>
      </c>
      <c r="G174" s="49">
        <v>1</v>
      </c>
      <c r="H174" s="47">
        <v>6</v>
      </c>
      <c r="I174" s="56">
        <v>49.7</v>
      </c>
      <c r="J174" s="56">
        <v>39.700000000000003</v>
      </c>
      <c r="K174" s="52">
        <v>75.53</v>
      </c>
      <c r="L174" s="49">
        <v>33.43</v>
      </c>
      <c r="M174" s="72">
        <f t="shared" si="2"/>
        <v>4.9000000000000004</v>
      </c>
      <c r="N174" s="36">
        <v>4.9000000000000002E-2</v>
      </c>
      <c r="O174" s="68">
        <v>13.332500000000003</v>
      </c>
      <c r="P174" s="73">
        <v>5.8</v>
      </c>
      <c r="Q174" s="73">
        <f>'Trade Data'!B14</f>
        <v>0.49273767380624867</v>
      </c>
      <c r="R174" s="37">
        <v>1</v>
      </c>
    </row>
    <row r="175" spans="1:18" ht="20.100000000000001" customHeight="1">
      <c r="A175" s="44" t="s">
        <v>59</v>
      </c>
      <c r="B175" s="44" t="s">
        <v>695</v>
      </c>
      <c r="C175" s="59">
        <v>1.208</v>
      </c>
      <c r="D175" s="47">
        <v>219766.08799999999</v>
      </c>
      <c r="E175" s="47">
        <v>5.4967534390474294E-6</v>
      </c>
      <c r="F175" s="47">
        <v>1</v>
      </c>
      <c r="G175" s="49">
        <v>1</v>
      </c>
      <c r="H175" s="47">
        <v>2</v>
      </c>
      <c r="I175" s="56">
        <v>49.7</v>
      </c>
      <c r="J175" s="56">
        <v>39.700000000000003</v>
      </c>
      <c r="K175" s="52">
        <v>75.53</v>
      </c>
      <c r="L175" s="49">
        <v>33.43</v>
      </c>
      <c r="M175" s="72">
        <f t="shared" si="2"/>
        <v>4.9000000000000004</v>
      </c>
      <c r="N175" s="36">
        <v>4.9000000000000002E-2</v>
      </c>
      <c r="O175" s="68">
        <v>13.332500000000003</v>
      </c>
      <c r="P175" s="73">
        <v>5.8</v>
      </c>
      <c r="Q175" s="73">
        <f>'Trade Data'!B14</f>
        <v>0.49273767380624867</v>
      </c>
      <c r="R175" s="37">
        <v>1</v>
      </c>
    </row>
    <row r="176" spans="1:18" ht="20.100000000000001" customHeight="1">
      <c r="A176" s="44" t="s">
        <v>60</v>
      </c>
      <c r="B176" s="44" t="s">
        <v>694</v>
      </c>
      <c r="C176" s="59">
        <v>0</v>
      </c>
      <c r="D176" s="47">
        <v>23380.175999999999</v>
      </c>
      <c r="E176" s="47">
        <v>0</v>
      </c>
      <c r="F176" s="47">
        <v>0</v>
      </c>
      <c r="G176" s="49">
        <v>0</v>
      </c>
      <c r="H176" s="47">
        <v>0</v>
      </c>
      <c r="I176" s="56">
        <v>54.41</v>
      </c>
      <c r="J176" s="56">
        <v>53.3</v>
      </c>
      <c r="K176" s="52">
        <v>73.930000000000007</v>
      </c>
      <c r="L176" s="49">
        <v>33.43</v>
      </c>
      <c r="M176" s="72">
        <f t="shared" si="2"/>
        <v>4.3999999999999995</v>
      </c>
      <c r="N176" s="36">
        <v>4.3999999999999997E-2</v>
      </c>
      <c r="O176" s="68">
        <v>17.827499999999993</v>
      </c>
      <c r="P176" s="73">
        <v>5</v>
      </c>
      <c r="Q176" s="73">
        <f>'Trade Data'!D14</f>
        <v>0.50852464992768731</v>
      </c>
      <c r="R176" s="35">
        <v>0</v>
      </c>
    </row>
    <row r="177" spans="1:18" ht="20.100000000000001" customHeight="1">
      <c r="A177" s="44" t="s">
        <v>60</v>
      </c>
      <c r="B177" s="44" t="s">
        <v>693</v>
      </c>
      <c r="C177" s="59">
        <v>12</v>
      </c>
      <c r="D177" s="47">
        <v>135135.90400000001</v>
      </c>
      <c r="E177" s="47">
        <v>8.8799494766394577E-5</v>
      </c>
      <c r="F177" s="47">
        <v>1</v>
      </c>
      <c r="G177" s="49">
        <v>1</v>
      </c>
      <c r="H177" s="47">
        <v>4</v>
      </c>
      <c r="I177" s="56">
        <v>54.41</v>
      </c>
      <c r="J177" s="56">
        <v>53.3</v>
      </c>
      <c r="K177" s="52">
        <v>73.930000000000007</v>
      </c>
      <c r="L177" s="49">
        <v>33.43</v>
      </c>
      <c r="M177" s="72">
        <f t="shared" si="2"/>
        <v>4.3999999999999995</v>
      </c>
      <c r="N177" s="36">
        <v>4.3999999999999997E-2</v>
      </c>
      <c r="O177" s="68">
        <v>17.827499999999993</v>
      </c>
      <c r="P177" s="73">
        <v>5</v>
      </c>
      <c r="Q177" s="73">
        <f>'Trade Data'!D14</f>
        <v>0.50852464992768731</v>
      </c>
      <c r="R177" s="35">
        <v>1</v>
      </c>
    </row>
    <row r="178" spans="1:18" ht="20.100000000000001" customHeight="1">
      <c r="A178" s="44" t="s">
        <v>60</v>
      </c>
      <c r="B178" s="44" t="s">
        <v>692</v>
      </c>
      <c r="C178" s="59">
        <v>0</v>
      </c>
      <c r="D178" s="47">
        <v>219766.08799999999</v>
      </c>
      <c r="E178" s="47">
        <v>0</v>
      </c>
      <c r="F178" s="47">
        <v>0</v>
      </c>
      <c r="G178" s="49">
        <v>1</v>
      </c>
      <c r="H178" s="47">
        <v>2</v>
      </c>
      <c r="I178" s="56">
        <v>54.41</v>
      </c>
      <c r="J178" s="56">
        <v>53.3</v>
      </c>
      <c r="K178" s="52">
        <v>73.930000000000007</v>
      </c>
      <c r="L178" s="49">
        <v>33.43</v>
      </c>
      <c r="M178" s="72">
        <f t="shared" si="2"/>
        <v>4.3999999999999995</v>
      </c>
      <c r="N178" s="36">
        <v>4.3999999999999997E-2</v>
      </c>
      <c r="O178" s="68">
        <v>17.827499999999993</v>
      </c>
      <c r="P178" s="73">
        <v>5</v>
      </c>
      <c r="Q178" s="73">
        <f>'Trade Data'!D14</f>
        <v>0.50852464992768731</v>
      </c>
      <c r="R178" s="35">
        <v>1</v>
      </c>
    </row>
    <row r="179" spans="1:18" ht="20.100000000000001" customHeight="1">
      <c r="A179" s="44" t="s">
        <v>61</v>
      </c>
      <c r="B179" s="44" t="s">
        <v>691</v>
      </c>
      <c r="C179" s="59">
        <v>0</v>
      </c>
      <c r="D179" s="47">
        <v>23380.175999999999</v>
      </c>
      <c r="E179" s="47">
        <v>0</v>
      </c>
      <c r="F179" s="47">
        <v>0</v>
      </c>
      <c r="G179" s="49">
        <v>0</v>
      </c>
      <c r="H179" s="47">
        <v>0</v>
      </c>
      <c r="I179" s="56">
        <v>51.47</v>
      </c>
      <c r="J179" s="56">
        <v>53.3</v>
      </c>
      <c r="K179" s="52">
        <v>67.81</v>
      </c>
      <c r="L179" s="49">
        <v>33.43</v>
      </c>
      <c r="M179" s="72">
        <f t="shared" si="2"/>
        <v>4.3999999999999995</v>
      </c>
      <c r="N179" s="36">
        <v>4.3999999999999997E-2</v>
      </c>
      <c r="O179" s="68">
        <v>9.5237500000000068</v>
      </c>
      <c r="P179" s="73">
        <v>5</v>
      </c>
      <c r="Q179" s="73">
        <f>'Trade Data'!D14</f>
        <v>0.50852464992768731</v>
      </c>
      <c r="R179" s="37">
        <v>0</v>
      </c>
    </row>
    <row r="180" spans="1:18" ht="20.100000000000001" customHeight="1">
      <c r="A180" s="44" t="s">
        <v>61</v>
      </c>
      <c r="B180" s="44" t="s">
        <v>690</v>
      </c>
      <c r="C180" s="59">
        <v>387.2</v>
      </c>
      <c r="D180" s="47">
        <v>135135.90400000001</v>
      </c>
      <c r="E180" s="47">
        <v>2.8652636977956648E-3</v>
      </c>
      <c r="F180" s="47">
        <v>1</v>
      </c>
      <c r="G180" s="49">
        <v>1</v>
      </c>
      <c r="H180" s="47">
        <v>4</v>
      </c>
      <c r="I180" s="56">
        <v>51.47</v>
      </c>
      <c r="J180" s="56">
        <v>53.3</v>
      </c>
      <c r="K180" s="52">
        <v>67.81</v>
      </c>
      <c r="L180" s="49">
        <v>33.43</v>
      </c>
      <c r="M180" s="72">
        <f t="shared" si="2"/>
        <v>4.3999999999999995</v>
      </c>
      <c r="N180" s="36">
        <v>4.3999999999999997E-2</v>
      </c>
      <c r="O180" s="68">
        <v>9.5237500000000068</v>
      </c>
      <c r="P180" s="73">
        <v>5</v>
      </c>
      <c r="Q180" s="73">
        <f>'Trade Data'!D14</f>
        <v>0.50852464992768731</v>
      </c>
      <c r="R180" s="37">
        <v>1</v>
      </c>
    </row>
    <row r="181" spans="1:18" ht="20.100000000000001" customHeight="1">
      <c r="A181" s="44" t="s">
        <v>61</v>
      </c>
      <c r="B181" s="44" t="s">
        <v>689</v>
      </c>
      <c r="C181" s="59">
        <v>0</v>
      </c>
      <c r="D181" s="47">
        <v>219766.08799999999</v>
      </c>
      <c r="E181" s="47">
        <v>0</v>
      </c>
      <c r="F181" s="47">
        <v>0</v>
      </c>
      <c r="G181" s="49">
        <v>1</v>
      </c>
      <c r="H181" s="47">
        <v>4</v>
      </c>
      <c r="I181" s="56">
        <v>51.47</v>
      </c>
      <c r="J181" s="56">
        <v>53.3</v>
      </c>
      <c r="K181" s="52">
        <v>67.81</v>
      </c>
      <c r="L181" s="49">
        <v>33.43</v>
      </c>
      <c r="M181" s="72">
        <f t="shared" si="2"/>
        <v>4.3999999999999995</v>
      </c>
      <c r="N181" s="36">
        <v>4.3999999999999997E-2</v>
      </c>
      <c r="O181" s="68">
        <v>9.5237500000000068</v>
      </c>
      <c r="P181" s="73">
        <v>5</v>
      </c>
      <c r="Q181" s="73">
        <f>'Trade Data'!D14</f>
        <v>0.50852464992768731</v>
      </c>
      <c r="R181" s="37">
        <v>1</v>
      </c>
    </row>
    <row r="182" spans="1:18" ht="20.100000000000001" customHeight="1">
      <c r="A182" s="44" t="s">
        <v>63</v>
      </c>
      <c r="B182" s="44" t="s">
        <v>688</v>
      </c>
      <c r="C182" s="59">
        <v>0</v>
      </c>
      <c r="D182" s="47">
        <v>19299.286</v>
      </c>
      <c r="E182" s="47">
        <v>0</v>
      </c>
      <c r="F182" s="47">
        <v>0</v>
      </c>
      <c r="G182" s="49">
        <v>0</v>
      </c>
      <c r="H182" s="47">
        <v>0</v>
      </c>
      <c r="I182" s="56">
        <v>45.9</v>
      </c>
      <c r="J182" s="56">
        <v>32.08</v>
      </c>
      <c r="K182" s="48">
        <v>74.650000000000006</v>
      </c>
      <c r="L182" s="49">
        <v>33.43</v>
      </c>
      <c r="M182" s="72">
        <f t="shared" si="2"/>
        <v>4.3999999999999995</v>
      </c>
      <c r="N182" s="36">
        <v>4.3999999999999997E-2</v>
      </c>
      <c r="O182" s="68">
        <v>8.1412499999999994</v>
      </c>
      <c r="P182" s="73">
        <v>5</v>
      </c>
      <c r="Q182" s="73">
        <f>'Trade Data'!D14</f>
        <v>0.50852464992768731</v>
      </c>
      <c r="R182" s="35">
        <v>0</v>
      </c>
    </row>
    <row r="183" spans="1:18" ht="20.100000000000001" customHeight="1">
      <c r="A183" s="44" t="s">
        <v>63</v>
      </c>
      <c r="B183" s="44" t="s">
        <v>687</v>
      </c>
      <c r="C183" s="59">
        <v>0</v>
      </c>
      <c r="D183" s="47">
        <v>97487.631999999998</v>
      </c>
      <c r="E183" s="47">
        <v>0</v>
      </c>
      <c r="F183" s="47">
        <v>0</v>
      </c>
      <c r="G183" s="49">
        <v>1</v>
      </c>
      <c r="H183" s="47">
        <v>3</v>
      </c>
      <c r="I183" s="56">
        <v>45.9</v>
      </c>
      <c r="J183" s="56">
        <v>32.08</v>
      </c>
      <c r="K183" s="48">
        <v>74.650000000000006</v>
      </c>
      <c r="L183" s="49">
        <v>33.43</v>
      </c>
      <c r="M183" s="72">
        <f t="shared" si="2"/>
        <v>4.3999999999999995</v>
      </c>
      <c r="N183" s="36">
        <v>4.3999999999999997E-2</v>
      </c>
      <c r="O183" s="68">
        <v>8.1412499999999994</v>
      </c>
      <c r="P183" s="73">
        <v>5</v>
      </c>
      <c r="Q183" s="73">
        <f>'Trade Data'!D14</f>
        <v>0.50852464992768731</v>
      </c>
      <c r="R183" s="35">
        <v>1</v>
      </c>
    </row>
    <row r="184" spans="1:18" ht="20.100000000000001" customHeight="1">
      <c r="A184" s="44" t="s">
        <v>63</v>
      </c>
      <c r="B184" s="44" t="s">
        <v>686</v>
      </c>
      <c r="C184" s="59">
        <v>74.376000000000005</v>
      </c>
      <c r="D184" s="47">
        <v>174772.23500000002</v>
      </c>
      <c r="E184" s="47">
        <v>4.2555958616653268E-4</v>
      </c>
      <c r="F184" s="47">
        <v>1</v>
      </c>
      <c r="G184" s="49">
        <v>1</v>
      </c>
      <c r="H184" s="47">
        <v>7</v>
      </c>
      <c r="I184" s="56">
        <v>45.9</v>
      </c>
      <c r="J184" s="56">
        <v>32.08</v>
      </c>
      <c r="K184" s="48">
        <v>74.650000000000006</v>
      </c>
      <c r="L184" s="49">
        <v>33.43</v>
      </c>
      <c r="M184" s="72">
        <f t="shared" si="2"/>
        <v>4.3999999999999995</v>
      </c>
      <c r="N184" s="36">
        <v>4.3999999999999997E-2</v>
      </c>
      <c r="O184" s="68">
        <v>8.1412499999999994</v>
      </c>
      <c r="P184" s="73">
        <v>5</v>
      </c>
      <c r="Q184" s="73">
        <f>'Trade Data'!D14</f>
        <v>0.50852464992768731</v>
      </c>
      <c r="R184" s="35">
        <v>1</v>
      </c>
    </row>
    <row r="185" spans="1:18" ht="20.100000000000001" customHeight="1">
      <c r="A185" s="44" t="s">
        <v>62</v>
      </c>
      <c r="B185" s="44" t="s">
        <v>685</v>
      </c>
      <c r="C185" s="59">
        <v>0</v>
      </c>
      <c r="D185" s="47">
        <v>19299.286</v>
      </c>
      <c r="E185" s="47">
        <v>0</v>
      </c>
      <c r="F185" s="47">
        <v>0</v>
      </c>
      <c r="G185" s="49">
        <v>0</v>
      </c>
      <c r="H185" s="47">
        <v>0</v>
      </c>
      <c r="I185" s="48">
        <v>34.92</v>
      </c>
      <c r="J185" s="48">
        <v>22.09</v>
      </c>
      <c r="K185" s="48">
        <v>63.88</v>
      </c>
      <c r="L185" s="49">
        <v>28.93</v>
      </c>
      <c r="M185" s="72">
        <f t="shared" si="2"/>
        <v>4.3999999999999995</v>
      </c>
      <c r="N185" s="36">
        <v>4.3999999999999997E-2</v>
      </c>
      <c r="O185" s="68">
        <v>1.2137499999999974</v>
      </c>
      <c r="P185" s="73">
        <v>5</v>
      </c>
      <c r="Q185" s="73">
        <f>'Trade Data'!D14</f>
        <v>0.50852464992768731</v>
      </c>
      <c r="R185" s="37">
        <v>0</v>
      </c>
    </row>
    <row r="186" spans="1:18" ht="20.100000000000001" customHeight="1">
      <c r="A186" s="44" t="s">
        <v>62</v>
      </c>
      <c r="B186" s="44" t="s">
        <v>684</v>
      </c>
      <c r="C186" s="59">
        <v>1402.8100000000002</v>
      </c>
      <c r="D186" s="47">
        <v>97487.631999999998</v>
      </c>
      <c r="E186" s="47">
        <v>1.4389620213567196E-2</v>
      </c>
      <c r="F186" s="47">
        <v>1</v>
      </c>
      <c r="G186" s="49">
        <v>1</v>
      </c>
      <c r="H186" s="47">
        <v>8</v>
      </c>
      <c r="I186" s="48">
        <v>34.92</v>
      </c>
      <c r="J186" s="48">
        <v>22.09</v>
      </c>
      <c r="K186" s="48">
        <v>63.88</v>
      </c>
      <c r="L186" s="49">
        <v>28.93</v>
      </c>
      <c r="M186" s="72">
        <f t="shared" ref="M186:M246" si="3">N186*100</f>
        <v>4.3999999999999995</v>
      </c>
      <c r="N186" s="36">
        <v>4.3999999999999997E-2</v>
      </c>
      <c r="O186" s="68">
        <v>1.2137499999999974</v>
      </c>
      <c r="P186" s="73">
        <v>5</v>
      </c>
      <c r="Q186" s="73">
        <f>'Trade Data'!D14</f>
        <v>0.50852464992768731</v>
      </c>
      <c r="R186" s="37">
        <v>1</v>
      </c>
    </row>
    <row r="187" spans="1:18" ht="20.100000000000001" customHeight="1">
      <c r="A187" s="44" t="s">
        <v>62</v>
      </c>
      <c r="B187" s="44" t="s">
        <v>683</v>
      </c>
      <c r="C187" s="59">
        <v>0</v>
      </c>
      <c r="D187" s="47">
        <v>174772.23500000002</v>
      </c>
      <c r="E187" s="47">
        <v>0</v>
      </c>
      <c r="F187" s="47">
        <v>0</v>
      </c>
      <c r="G187" s="49">
        <v>1</v>
      </c>
      <c r="H187" s="47">
        <v>2</v>
      </c>
      <c r="I187" s="48">
        <v>34.92</v>
      </c>
      <c r="J187" s="48">
        <v>22.09</v>
      </c>
      <c r="K187" s="48">
        <v>63.88</v>
      </c>
      <c r="L187" s="49">
        <v>28.93</v>
      </c>
      <c r="M187" s="72">
        <f t="shared" si="3"/>
        <v>4.3999999999999995</v>
      </c>
      <c r="N187" s="36">
        <v>4.3999999999999997E-2</v>
      </c>
      <c r="O187" s="68">
        <v>1.2137499999999974</v>
      </c>
      <c r="P187" s="73">
        <v>5</v>
      </c>
      <c r="Q187" s="73">
        <f>'Trade Data'!D14</f>
        <v>0.50852464992768731</v>
      </c>
      <c r="R187" s="37">
        <v>1</v>
      </c>
    </row>
    <row r="188" spans="1:18" ht="20.100000000000001" customHeight="1">
      <c r="A188" s="44" t="s">
        <v>64</v>
      </c>
      <c r="B188" s="44" t="s">
        <v>682</v>
      </c>
      <c r="C188" s="59">
        <v>0</v>
      </c>
      <c r="D188" s="47">
        <v>19299.286</v>
      </c>
      <c r="E188" s="47">
        <v>0</v>
      </c>
      <c r="F188" s="47">
        <v>0</v>
      </c>
      <c r="G188" s="49">
        <v>0</v>
      </c>
      <c r="H188" s="47">
        <v>0</v>
      </c>
      <c r="I188" s="48">
        <v>28.71</v>
      </c>
      <c r="J188" s="48">
        <v>16.97</v>
      </c>
      <c r="K188" s="48">
        <v>53.86</v>
      </c>
      <c r="L188" s="49">
        <v>28.93</v>
      </c>
      <c r="M188" s="72">
        <f t="shared" si="3"/>
        <v>3.1</v>
      </c>
      <c r="N188" s="36">
        <v>3.1E-2</v>
      </c>
      <c r="O188" s="68">
        <v>-4.5775000000000006</v>
      </c>
      <c r="P188" s="73">
        <v>5.75</v>
      </c>
      <c r="Q188" s="73">
        <f>'Trade Data'!F14</f>
        <v>0.46023430147690592</v>
      </c>
      <c r="R188" s="35">
        <v>0</v>
      </c>
    </row>
    <row r="189" spans="1:18" ht="20.100000000000001" customHeight="1">
      <c r="A189" s="44" t="s">
        <v>64</v>
      </c>
      <c r="B189" s="44" t="s">
        <v>681</v>
      </c>
      <c r="C189" s="59">
        <v>9.8780000000000001</v>
      </c>
      <c r="D189" s="47">
        <v>97487.631999999998</v>
      </c>
      <c r="E189" s="47">
        <v>1.0132567380444732E-4</v>
      </c>
      <c r="F189" s="47">
        <v>1</v>
      </c>
      <c r="G189" s="49">
        <v>1</v>
      </c>
      <c r="H189" s="47">
        <v>3</v>
      </c>
      <c r="I189" s="48">
        <v>28.71</v>
      </c>
      <c r="J189" s="48">
        <v>16.97</v>
      </c>
      <c r="K189" s="48">
        <v>53.86</v>
      </c>
      <c r="L189" s="49">
        <v>28.93</v>
      </c>
      <c r="M189" s="72">
        <f t="shared" si="3"/>
        <v>3.1</v>
      </c>
      <c r="N189" s="36">
        <v>3.1E-2</v>
      </c>
      <c r="O189" s="68">
        <v>-4.5775000000000006</v>
      </c>
      <c r="P189" s="73">
        <v>5.75</v>
      </c>
      <c r="Q189" s="73">
        <f>'Trade Data'!F14</f>
        <v>0.46023430147690592</v>
      </c>
      <c r="R189" s="35">
        <v>1</v>
      </c>
    </row>
    <row r="190" spans="1:18" ht="20.100000000000001" customHeight="1">
      <c r="A190" s="44" t="s">
        <v>64</v>
      </c>
      <c r="B190" s="44" t="s">
        <v>680</v>
      </c>
      <c r="C190" s="59">
        <v>108.259</v>
      </c>
      <c r="D190" s="47">
        <v>174772.23500000002</v>
      </c>
      <c r="E190" s="47">
        <v>6.1942905290419839E-4</v>
      </c>
      <c r="F190" s="47">
        <v>1</v>
      </c>
      <c r="G190" s="49">
        <v>1</v>
      </c>
      <c r="H190" s="47">
        <v>7</v>
      </c>
      <c r="I190" s="48">
        <v>28.71</v>
      </c>
      <c r="J190" s="48">
        <v>16.97</v>
      </c>
      <c r="K190" s="48">
        <v>53.86</v>
      </c>
      <c r="L190" s="49">
        <v>28.93</v>
      </c>
      <c r="M190" s="72">
        <f t="shared" si="3"/>
        <v>3.1</v>
      </c>
      <c r="N190" s="36">
        <v>3.1E-2</v>
      </c>
      <c r="O190" s="68">
        <v>-4.5775000000000006</v>
      </c>
      <c r="P190" s="73">
        <v>5.75</v>
      </c>
      <c r="Q190" s="73">
        <f>'Trade Data'!F14</f>
        <v>0.46023430147690592</v>
      </c>
      <c r="R190" s="35">
        <v>1</v>
      </c>
    </row>
    <row r="191" spans="1:18" ht="20.100000000000001" customHeight="1">
      <c r="A191" s="44" t="s">
        <v>65</v>
      </c>
      <c r="B191" s="44" t="s">
        <v>679</v>
      </c>
      <c r="C191" s="59">
        <v>0</v>
      </c>
      <c r="D191" s="47">
        <v>19299.286</v>
      </c>
      <c r="E191" s="47">
        <v>0</v>
      </c>
      <c r="F191" s="47">
        <v>0</v>
      </c>
      <c r="G191" s="49">
        <v>0</v>
      </c>
      <c r="H191" s="47">
        <v>0</v>
      </c>
      <c r="I191" s="48">
        <v>41.35</v>
      </c>
      <c r="J191" s="48">
        <v>45.17</v>
      </c>
      <c r="K191" s="48">
        <v>55.52</v>
      </c>
      <c r="L191" s="49">
        <v>28.93</v>
      </c>
      <c r="M191" s="72">
        <f t="shared" si="3"/>
        <v>3.1</v>
      </c>
      <c r="N191" s="36">
        <v>3.1E-2</v>
      </c>
      <c r="O191" s="68">
        <v>3.292500000000004</v>
      </c>
      <c r="P191" s="73">
        <v>5.75</v>
      </c>
      <c r="Q191" s="73">
        <f>'Trade Data'!F14</f>
        <v>0.46023430147690592</v>
      </c>
      <c r="R191" s="37">
        <v>0</v>
      </c>
    </row>
    <row r="192" spans="1:18" ht="20.100000000000001" customHeight="1">
      <c r="A192" s="44" t="s">
        <v>65</v>
      </c>
      <c r="B192" s="44" t="s">
        <v>678</v>
      </c>
      <c r="C192" s="59">
        <v>0</v>
      </c>
      <c r="D192" s="47">
        <v>97487.631999999998</v>
      </c>
      <c r="E192" s="47">
        <v>0</v>
      </c>
      <c r="F192" s="47">
        <v>0</v>
      </c>
      <c r="G192" s="49">
        <v>0</v>
      </c>
      <c r="H192" s="47">
        <v>0</v>
      </c>
      <c r="I192" s="48">
        <v>41.35</v>
      </c>
      <c r="J192" s="48">
        <v>45.17</v>
      </c>
      <c r="K192" s="48">
        <v>55.52</v>
      </c>
      <c r="L192" s="49">
        <v>28.93</v>
      </c>
      <c r="M192" s="72">
        <f t="shared" si="3"/>
        <v>3.1</v>
      </c>
      <c r="N192" s="36">
        <v>3.1E-2</v>
      </c>
      <c r="O192" s="68">
        <v>3.292500000000004</v>
      </c>
      <c r="P192" s="73">
        <v>5.75</v>
      </c>
      <c r="Q192" s="73">
        <f>'Trade Data'!F14</f>
        <v>0.46023430147690592</v>
      </c>
      <c r="R192" s="37">
        <v>1</v>
      </c>
    </row>
    <row r="193" spans="1:18" ht="20.100000000000001" customHeight="1">
      <c r="A193" s="44" t="s">
        <v>65</v>
      </c>
      <c r="B193" s="44" t="s">
        <v>677</v>
      </c>
      <c r="C193" s="59">
        <v>50</v>
      </c>
      <c r="D193" s="47">
        <v>174772.23500000002</v>
      </c>
      <c r="E193" s="47">
        <v>2.8608663155220274E-4</v>
      </c>
      <c r="F193" s="47">
        <v>1</v>
      </c>
      <c r="G193" s="49">
        <v>1</v>
      </c>
      <c r="H193" s="47">
        <v>7</v>
      </c>
      <c r="I193" s="48">
        <v>41.35</v>
      </c>
      <c r="J193" s="48">
        <v>45.17</v>
      </c>
      <c r="K193" s="48">
        <v>55.52</v>
      </c>
      <c r="L193" s="49">
        <v>28.93</v>
      </c>
      <c r="M193" s="72">
        <f t="shared" si="3"/>
        <v>3.1</v>
      </c>
      <c r="N193" s="36">
        <v>3.1E-2</v>
      </c>
      <c r="O193" s="68">
        <v>3.292500000000004</v>
      </c>
      <c r="P193" s="73">
        <v>5.75</v>
      </c>
      <c r="Q193" s="73">
        <f>'Trade Data'!F14</f>
        <v>0.46023430147690592</v>
      </c>
      <c r="R193" s="37">
        <v>1</v>
      </c>
    </row>
    <row r="194" spans="1:18" ht="20.100000000000001" customHeight="1">
      <c r="A194" s="44" t="s">
        <v>66</v>
      </c>
      <c r="B194" s="44" t="s">
        <v>676</v>
      </c>
      <c r="C194" s="59">
        <v>0</v>
      </c>
      <c r="D194" s="47">
        <v>20104.031999999999</v>
      </c>
      <c r="E194" s="47">
        <v>0</v>
      </c>
      <c r="F194" s="47">
        <v>0</v>
      </c>
      <c r="G194" s="49">
        <v>0</v>
      </c>
      <c r="H194" s="47">
        <v>0</v>
      </c>
      <c r="I194" s="48">
        <v>31.52</v>
      </c>
      <c r="J194" s="48">
        <v>20.170000000000002</v>
      </c>
      <c r="K194" s="48">
        <v>54.29</v>
      </c>
      <c r="L194" s="49">
        <v>28.93</v>
      </c>
      <c r="M194" s="72">
        <f t="shared" si="3"/>
        <v>3.1</v>
      </c>
      <c r="N194" s="36">
        <v>3.1E-2</v>
      </c>
      <c r="O194" s="68">
        <v>0.57249999999999801</v>
      </c>
      <c r="P194" s="73">
        <v>5.75</v>
      </c>
      <c r="Q194" s="73">
        <f>'Trade Data'!F14</f>
        <v>0.46023430147690592</v>
      </c>
      <c r="R194" s="35">
        <v>0</v>
      </c>
    </row>
    <row r="195" spans="1:18" ht="20.100000000000001" customHeight="1">
      <c r="A195" s="44" t="s">
        <v>66</v>
      </c>
      <c r="B195" s="44" t="s">
        <v>675</v>
      </c>
      <c r="C195" s="59">
        <v>2013.7670000000001</v>
      </c>
      <c r="D195" s="47">
        <v>92021.124000000011</v>
      </c>
      <c r="E195" s="47">
        <v>2.1883747040516478E-2</v>
      </c>
      <c r="F195" s="47">
        <v>1</v>
      </c>
      <c r="G195" s="49">
        <v>1</v>
      </c>
      <c r="H195" s="47">
        <v>8</v>
      </c>
      <c r="I195" s="48">
        <v>31.52</v>
      </c>
      <c r="J195" s="48">
        <v>20.170000000000002</v>
      </c>
      <c r="K195" s="48">
        <v>54.29</v>
      </c>
      <c r="L195" s="49">
        <v>28.93</v>
      </c>
      <c r="M195" s="72">
        <f t="shared" si="3"/>
        <v>3.1</v>
      </c>
      <c r="N195" s="36">
        <v>3.1E-2</v>
      </c>
      <c r="O195" s="68">
        <v>0.57249999999999801</v>
      </c>
      <c r="P195" s="73">
        <v>5.75</v>
      </c>
      <c r="Q195" s="73">
        <f>'Trade Data'!F14</f>
        <v>0.46023430147690592</v>
      </c>
      <c r="R195" s="35">
        <v>1</v>
      </c>
    </row>
    <row r="196" spans="1:18" ht="20.100000000000001" customHeight="1">
      <c r="A196" s="44" t="s">
        <v>66</v>
      </c>
      <c r="B196" s="44" t="s">
        <v>674</v>
      </c>
      <c r="C196" s="59">
        <v>67.509</v>
      </c>
      <c r="D196" s="47">
        <v>170234.84400000001</v>
      </c>
      <c r="E196" s="47">
        <v>3.9656393728654043E-4</v>
      </c>
      <c r="F196" s="47">
        <v>1</v>
      </c>
      <c r="G196" s="49">
        <v>1</v>
      </c>
      <c r="H196" s="47">
        <v>11</v>
      </c>
      <c r="I196" s="48">
        <v>31.52</v>
      </c>
      <c r="J196" s="48">
        <v>20.170000000000002</v>
      </c>
      <c r="K196" s="48">
        <v>54.29</v>
      </c>
      <c r="L196" s="49">
        <v>28.93</v>
      </c>
      <c r="M196" s="72">
        <f t="shared" si="3"/>
        <v>3.1</v>
      </c>
      <c r="N196" s="36">
        <v>3.1E-2</v>
      </c>
      <c r="O196" s="68">
        <v>0.57249999999999801</v>
      </c>
      <c r="P196" s="73">
        <v>5.75</v>
      </c>
      <c r="Q196" s="73">
        <f>'Trade Data'!F14</f>
        <v>0.46023430147690592</v>
      </c>
      <c r="R196" s="35">
        <v>1</v>
      </c>
    </row>
    <row r="197" spans="1:18" ht="20.100000000000001" customHeight="1">
      <c r="A197" s="44" t="s">
        <v>67</v>
      </c>
      <c r="B197" s="44" t="s">
        <v>673</v>
      </c>
      <c r="C197" s="59">
        <v>0</v>
      </c>
      <c r="D197" s="47">
        <v>20104.031999999999</v>
      </c>
      <c r="E197" s="47">
        <v>0</v>
      </c>
      <c r="F197" s="47">
        <v>0</v>
      </c>
      <c r="G197" s="49">
        <v>0</v>
      </c>
      <c r="H197" s="47">
        <v>0</v>
      </c>
      <c r="I197" s="48">
        <v>31.06</v>
      </c>
      <c r="J197" s="48">
        <v>19.71</v>
      </c>
      <c r="K197" s="48">
        <v>53.72</v>
      </c>
      <c r="L197" s="49">
        <v>30.53</v>
      </c>
      <c r="M197" s="72">
        <f t="shared" si="3"/>
        <v>3.1</v>
      </c>
      <c r="N197" s="36">
        <v>3.1E-2</v>
      </c>
      <c r="O197" s="68">
        <v>-0.23375000000000412</v>
      </c>
      <c r="P197" s="73">
        <v>5.75</v>
      </c>
      <c r="Q197" s="73">
        <f>'Trade Data'!F14</f>
        <v>0.46023430147690592</v>
      </c>
      <c r="R197" s="37">
        <v>0</v>
      </c>
    </row>
    <row r="198" spans="1:18" ht="20.100000000000001" customHeight="1">
      <c r="A198" s="44" t="s">
        <v>67</v>
      </c>
      <c r="B198" s="44" t="s">
        <v>672</v>
      </c>
      <c r="C198" s="59">
        <v>250</v>
      </c>
      <c r="D198" s="47">
        <v>92021.124000000011</v>
      </c>
      <c r="E198" s="47">
        <v>2.7167675109032569E-3</v>
      </c>
      <c r="F198" s="47">
        <v>1</v>
      </c>
      <c r="G198" s="49">
        <v>1</v>
      </c>
      <c r="H198" s="47">
        <v>3</v>
      </c>
      <c r="I198" s="48">
        <v>31.06</v>
      </c>
      <c r="J198" s="48">
        <v>19.71</v>
      </c>
      <c r="K198" s="48">
        <v>53.72</v>
      </c>
      <c r="L198" s="49">
        <v>30.53</v>
      </c>
      <c r="M198" s="72">
        <f t="shared" si="3"/>
        <v>3.1</v>
      </c>
      <c r="N198" s="36">
        <v>3.1E-2</v>
      </c>
      <c r="O198" s="68">
        <v>-0.23375000000000412</v>
      </c>
      <c r="P198" s="73">
        <v>5.75</v>
      </c>
      <c r="Q198" s="73">
        <f>'Trade Data'!F14</f>
        <v>0.46023430147690592</v>
      </c>
      <c r="R198" s="37">
        <v>1</v>
      </c>
    </row>
    <row r="199" spans="1:18" ht="20.100000000000001" customHeight="1">
      <c r="A199" s="44" t="s">
        <v>67</v>
      </c>
      <c r="B199" s="44" t="s">
        <v>671</v>
      </c>
      <c r="C199" s="59">
        <v>0</v>
      </c>
      <c r="D199" s="47">
        <v>170234.84400000001</v>
      </c>
      <c r="E199" s="47">
        <v>0</v>
      </c>
      <c r="F199" s="47">
        <v>0</v>
      </c>
      <c r="G199" s="49">
        <v>1</v>
      </c>
      <c r="H199" s="47">
        <v>3</v>
      </c>
      <c r="I199" s="48">
        <v>31.06</v>
      </c>
      <c r="J199" s="48">
        <v>19.71</v>
      </c>
      <c r="K199" s="48">
        <v>53.72</v>
      </c>
      <c r="L199" s="49">
        <v>30.53</v>
      </c>
      <c r="M199" s="72">
        <f t="shared" si="3"/>
        <v>3.1</v>
      </c>
      <c r="N199" s="36">
        <v>3.1E-2</v>
      </c>
      <c r="O199" s="68">
        <v>-0.23375000000000412</v>
      </c>
      <c r="P199" s="73">
        <v>5.75</v>
      </c>
      <c r="Q199" s="73">
        <f>'Trade Data'!F14</f>
        <v>0.46023430147690592</v>
      </c>
      <c r="R199" s="37">
        <v>1</v>
      </c>
    </row>
    <row r="200" spans="1:18" ht="20.100000000000001" customHeight="1">
      <c r="A200" s="44" t="s">
        <v>68</v>
      </c>
      <c r="B200" s="44" t="s">
        <v>670</v>
      </c>
      <c r="C200" s="59">
        <v>2.1560000000000001</v>
      </c>
      <c r="D200" s="47">
        <v>20104.031999999999</v>
      </c>
      <c r="E200" s="47">
        <v>1.072421691330376E-4</v>
      </c>
      <c r="F200" s="47">
        <v>1</v>
      </c>
      <c r="G200" s="49">
        <v>1</v>
      </c>
      <c r="H200" s="47">
        <v>1</v>
      </c>
      <c r="I200" s="48">
        <v>43</v>
      </c>
      <c r="J200" s="52">
        <v>53.41</v>
      </c>
      <c r="K200" s="52">
        <v>50.43</v>
      </c>
      <c r="L200" s="49">
        <v>30.53</v>
      </c>
      <c r="M200" s="72">
        <f t="shared" si="3"/>
        <v>2</v>
      </c>
      <c r="N200" s="36">
        <v>0.02</v>
      </c>
      <c r="O200" s="68">
        <v>6.375</v>
      </c>
      <c r="P200" s="73">
        <v>6.25</v>
      </c>
      <c r="Q200" s="73">
        <f>'Trade Data'!H14</f>
        <v>0.42796964135110316</v>
      </c>
      <c r="R200" s="35">
        <v>0</v>
      </c>
    </row>
    <row r="201" spans="1:18" ht="20.100000000000001" customHeight="1">
      <c r="A201" s="44" t="s">
        <v>68</v>
      </c>
      <c r="B201" s="44" t="s">
        <v>669</v>
      </c>
      <c r="C201" s="59">
        <v>63.051000000000002</v>
      </c>
      <c r="D201" s="47">
        <v>92021.124000000011</v>
      </c>
      <c r="E201" s="47">
        <v>6.8517963331984509E-4</v>
      </c>
      <c r="F201" s="47">
        <v>1</v>
      </c>
      <c r="G201" s="49">
        <v>1</v>
      </c>
      <c r="H201" s="47">
        <v>5</v>
      </c>
      <c r="I201" s="48">
        <v>43</v>
      </c>
      <c r="J201" s="52">
        <v>53.41</v>
      </c>
      <c r="K201" s="52">
        <v>50.43</v>
      </c>
      <c r="L201" s="49">
        <v>30.53</v>
      </c>
      <c r="M201" s="72">
        <f t="shared" si="3"/>
        <v>2</v>
      </c>
      <c r="N201" s="36">
        <v>0.02</v>
      </c>
      <c r="O201" s="68">
        <v>6.375</v>
      </c>
      <c r="P201" s="73">
        <v>6.25</v>
      </c>
      <c r="Q201" s="73">
        <f>'Trade Data'!H14</f>
        <v>0.42796964135110316</v>
      </c>
      <c r="R201" s="35">
        <v>1</v>
      </c>
    </row>
    <row r="202" spans="1:18" ht="20.100000000000001" customHeight="1">
      <c r="A202" s="44" t="s">
        <v>68</v>
      </c>
      <c r="B202" s="44" t="s">
        <v>668</v>
      </c>
      <c r="C202" s="59">
        <v>0.193</v>
      </c>
      <c r="D202" s="47">
        <v>170234.84400000001</v>
      </c>
      <c r="E202" s="47">
        <v>1.1337279458487358E-6</v>
      </c>
      <c r="F202" s="47">
        <v>1</v>
      </c>
      <c r="G202" s="49">
        <v>1</v>
      </c>
      <c r="H202" s="47">
        <v>5</v>
      </c>
      <c r="I202" s="48">
        <v>43</v>
      </c>
      <c r="J202" s="52">
        <v>53.41</v>
      </c>
      <c r="K202" s="52">
        <v>50.43</v>
      </c>
      <c r="L202" s="49">
        <v>30.53</v>
      </c>
      <c r="M202" s="72">
        <f t="shared" si="3"/>
        <v>2</v>
      </c>
      <c r="N202" s="36">
        <v>0.02</v>
      </c>
      <c r="O202" s="68">
        <v>6.375</v>
      </c>
      <c r="P202" s="73">
        <v>6.25</v>
      </c>
      <c r="Q202" s="73">
        <f>'Trade Data'!H14</f>
        <v>0.42796964135110316</v>
      </c>
      <c r="R202" s="35">
        <v>1</v>
      </c>
    </row>
    <row r="203" spans="1:18" ht="20.100000000000001" customHeight="1">
      <c r="A203" s="44" t="s">
        <v>69</v>
      </c>
      <c r="B203" s="44" t="s">
        <v>667</v>
      </c>
      <c r="C203" s="59">
        <v>0</v>
      </c>
      <c r="D203" s="47">
        <v>20104.031999999999</v>
      </c>
      <c r="E203" s="47">
        <v>0</v>
      </c>
      <c r="F203" s="47">
        <v>0</v>
      </c>
      <c r="G203" s="49">
        <v>0</v>
      </c>
      <c r="H203" s="47">
        <v>0</v>
      </c>
      <c r="I203" s="48">
        <v>35.78</v>
      </c>
      <c r="J203" s="48">
        <v>35.94</v>
      </c>
      <c r="K203" s="52">
        <v>47.98</v>
      </c>
      <c r="L203" s="49">
        <v>30.53</v>
      </c>
      <c r="M203" s="72">
        <f t="shared" si="3"/>
        <v>2</v>
      </c>
      <c r="N203" s="36">
        <v>0.02</v>
      </c>
      <c r="O203" s="68">
        <v>0.80875000000000341</v>
      </c>
      <c r="P203" s="73">
        <v>6.25</v>
      </c>
      <c r="Q203" s="73">
        <f>'Trade Data'!H14</f>
        <v>0.42796964135110316</v>
      </c>
      <c r="R203" s="37">
        <v>0</v>
      </c>
    </row>
    <row r="204" spans="1:18" ht="20.100000000000001" customHeight="1">
      <c r="A204" s="44" t="s">
        <v>69</v>
      </c>
      <c r="B204" s="44" t="s">
        <v>666</v>
      </c>
      <c r="C204" s="59">
        <v>53.4</v>
      </c>
      <c r="D204" s="47">
        <v>92021.124000000011</v>
      </c>
      <c r="E204" s="47">
        <v>5.8030154032893565E-4</v>
      </c>
      <c r="F204" s="47">
        <v>1</v>
      </c>
      <c r="G204" s="49">
        <v>1</v>
      </c>
      <c r="H204" s="47">
        <v>2</v>
      </c>
      <c r="I204" s="48">
        <v>35.78</v>
      </c>
      <c r="J204" s="48">
        <v>35.94</v>
      </c>
      <c r="K204" s="52">
        <v>47.98</v>
      </c>
      <c r="L204" s="49">
        <v>30.53</v>
      </c>
      <c r="M204" s="72">
        <f t="shared" si="3"/>
        <v>2</v>
      </c>
      <c r="N204" s="36">
        <v>0.02</v>
      </c>
      <c r="O204" s="68">
        <v>0.80875000000000341</v>
      </c>
      <c r="P204" s="73">
        <v>6.25</v>
      </c>
      <c r="Q204" s="73">
        <f>'Trade Data'!H14</f>
        <v>0.42796964135110316</v>
      </c>
      <c r="R204" s="37">
        <v>1</v>
      </c>
    </row>
    <row r="205" spans="1:18" ht="20.100000000000001" customHeight="1">
      <c r="A205" s="44" t="s">
        <v>69</v>
      </c>
      <c r="B205" s="44" t="s">
        <v>665</v>
      </c>
      <c r="C205" s="59">
        <v>0</v>
      </c>
      <c r="D205" s="47">
        <v>170234.84400000001</v>
      </c>
      <c r="E205" s="47">
        <v>0</v>
      </c>
      <c r="F205" s="47">
        <v>0</v>
      </c>
      <c r="G205" s="49">
        <v>1</v>
      </c>
      <c r="H205" s="47">
        <v>3</v>
      </c>
      <c r="I205" s="48">
        <v>35.78</v>
      </c>
      <c r="J205" s="48">
        <v>35.94</v>
      </c>
      <c r="K205" s="52">
        <v>47.98</v>
      </c>
      <c r="L205" s="49">
        <v>30.53</v>
      </c>
      <c r="M205" s="72">
        <f t="shared" si="3"/>
        <v>2</v>
      </c>
      <c r="N205" s="36">
        <v>0.02</v>
      </c>
      <c r="O205" s="68">
        <v>0.80875000000000341</v>
      </c>
      <c r="P205" s="73">
        <v>6.25</v>
      </c>
      <c r="Q205" s="73">
        <f>'Trade Data'!H14</f>
        <v>0.42796964135110316</v>
      </c>
      <c r="R205" s="37">
        <v>1</v>
      </c>
    </row>
    <row r="206" spans="1:18" ht="20.100000000000001" customHeight="1">
      <c r="A206" s="44" t="s">
        <v>70</v>
      </c>
      <c r="B206" s="44" t="s">
        <v>664</v>
      </c>
      <c r="C206" s="59">
        <v>0</v>
      </c>
      <c r="D206" s="47">
        <v>22753.52</v>
      </c>
      <c r="E206" s="47">
        <v>0</v>
      </c>
      <c r="F206" s="47">
        <v>0</v>
      </c>
      <c r="G206" s="49">
        <v>0</v>
      </c>
      <c r="H206" s="47">
        <v>0</v>
      </c>
      <c r="I206" s="48">
        <v>31.39</v>
      </c>
      <c r="J206" s="48">
        <v>32.83</v>
      </c>
      <c r="K206" s="52">
        <v>38.72</v>
      </c>
      <c r="L206" s="49">
        <v>30.53</v>
      </c>
      <c r="M206" s="72">
        <f t="shared" si="3"/>
        <v>2</v>
      </c>
      <c r="N206" s="36">
        <v>0.02</v>
      </c>
      <c r="O206" s="68">
        <v>-1.9475000000000051</v>
      </c>
      <c r="P206" s="73">
        <v>6.25</v>
      </c>
      <c r="Q206" s="73">
        <f>'Trade Data'!H14</f>
        <v>0.42796964135110316</v>
      </c>
      <c r="R206" s="35">
        <v>0</v>
      </c>
    </row>
    <row r="207" spans="1:18" ht="20.100000000000001" customHeight="1">
      <c r="A207" s="44" t="s">
        <v>70</v>
      </c>
      <c r="B207" s="44" t="s">
        <v>663</v>
      </c>
      <c r="C207" s="59">
        <v>5.35</v>
      </c>
      <c r="D207" s="47">
        <v>96241.24</v>
      </c>
      <c r="E207" s="47">
        <v>5.558947494857713E-5</v>
      </c>
      <c r="F207" s="47">
        <v>1</v>
      </c>
      <c r="G207" s="49">
        <v>1</v>
      </c>
      <c r="H207" s="47">
        <v>5</v>
      </c>
      <c r="I207" s="48">
        <v>31.39</v>
      </c>
      <c r="J207" s="48">
        <v>32.83</v>
      </c>
      <c r="K207" s="48">
        <v>38.72</v>
      </c>
      <c r="L207" s="49">
        <v>30.53</v>
      </c>
      <c r="M207" s="72">
        <f t="shared" si="3"/>
        <v>2</v>
      </c>
      <c r="N207" s="36">
        <v>0.02</v>
      </c>
      <c r="O207" s="68">
        <v>-1.9475000000000051</v>
      </c>
      <c r="P207" s="73">
        <v>6.25</v>
      </c>
      <c r="Q207" s="73">
        <f>'Trade Data'!H14</f>
        <v>0.42796964135110316</v>
      </c>
      <c r="R207" s="35">
        <v>1</v>
      </c>
    </row>
    <row r="208" spans="1:18" ht="20.100000000000001" customHeight="1">
      <c r="A208" s="44" t="s">
        <v>70</v>
      </c>
      <c r="B208" s="44" t="s">
        <v>662</v>
      </c>
      <c r="C208" s="59">
        <v>0</v>
      </c>
      <c r="D208" s="47">
        <v>188792.72</v>
      </c>
      <c r="E208" s="47">
        <v>0</v>
      </c>
      <c r="F208" s="47">
        <v>0</v>
      </c>
      <c r="G208" s="49">
        <v>1</v>
      </c>
      <c r="H208" s="47">
        <v>3</v>
      </c>
      <c r="I208" s="48">
        <v>31.39</v>
      </c>
      <c r="J208" s="48">
        <v>32.83</v>
      </c>
      <c r="K208" s="48">
        <v>38.72</v>
      </c>
      <c r="L208" s="49">
        <v>30.53</v>
      </c>
      <c r="M208" s="72">
        <f t="shared" si="3"/>
        <v>2</v>
      </c>
      <c r="N208" s="36">
        <v>0.02</v>
      </c>
      <c r="O208" s="68">
        <v>-1.9475000000000051</v>
      </c>
      <c r="P208" s="73">
        <v>6.25</v>
      </c>
      <c r="Q208" s="73">
        <f>'Trade Data'!H14</f>
        <v>0.42796964135110316</v>
      </c>
      <c r="R208" s="35">
        <v>1</v>
      </c>
    </row>
    <row r="209" spans="1:18" ht="20.100000000000001" customHeight="1">
      <c r="A209" s="44" t="s">
        <v>71</v>
      </c>
      <c r="B209" s="44" t="s">
        <v>661</v>
      </c>
      <c r="C209" s="59">
        <v>0</v>
      </c>
      <c r="D209" s="47">
        <v>22753.52</v>
      </c>
      <c r="E209" s="47">
        <v>0</v>
      </c>
      <c r="F209" s="47">
        <v>0</v>
      </c>
      <c r="G209" s="49">
        <v>0</v>
      </c>
      <c r="H209" s="47">
        <v>0</v>
      </c>
      <c r="I209" s="48">
        <v>31.74</v>
      </c>
      <c r="J209" s="48">
        <v>32.24</v>
      </c>
      <c r="K209" s="49">
        <v>40.81</v>
      </c>
      <c r="L209" s="49">
        <v>29.8</v>
      </c>
      <c r="M209" s="72">
        <f t="shared" si="3"/>
        <v>2</v>
      </c>
      <c r="N209" s="36">
        <v>0.02</v>
      </c>
      <c r="O209" s="68">
        <v>1.7324999999999982</v>
      </c>
      <c r="P209" s="73">
        <v>6.25</v>
      </c>
      <c r="Q209" s="73">
        <f>'Trade Data'!H14</f>
        <v>0.42796964135110316</v>
      </c>
      <c r="R209" s="37">
        <v>0</v>
      </c>
    </row>
    <row r="210" spans="1:18" ht="20.100000000000001" customHeight="1">
      <c r="A210" s="44" t="s">
        <v>71</v>
      </c>
      <c r="B210" s="44" t="s">
        <v>660</v>
      </c>
      <c r="C210" s="59">
        <v>0</v>
      </c>
      <c r="D210" s="47">
        <v>96241.24</v>
      </c>
      <c r="E210" s="47">
        <v>0</v>
      </c>
      <c r="F210" s="47">
        <v>0</v>
      </c>
      <c r="G210" s="49">
        <v>1</v>
      </c>
      <c r="H210" s="47">
        <v>3</v>
      </c>
      <c r="I210" s="48">
        <v>31.74</v>
      </c>
      <c r="J210" s="48">
        <v>32.24</v>
      </c>
      <c r="K210" s="49">
        <v>40.81</v>
      </c>
      <c r="L210" s="49">
        <v>29.8</v>
      </c>
      <c r="M210" s="72">
        <f t="shared" si="3"/>
        <v>2</v>
      </c>
      <c r="N210" s="36">
        <v>0.02</v>
      </c>
      <c r="O210" s="68">
        <v>1.7324999999999982</v>
      </c>
      <c r="P210" s="73">
        <v>6.25</v>
      </c>
      <c r="Q210" s="73">
        <f>'Trade Data'!H14</f>
        <v>0.42796964135110316</v>
      </c>
      <c r="R210" s="37">
        <v>1</v>
      </c>
    </row>
    <row r="211" spans="1:18" ht="20.100000000000001" customHeight="1">
      <c r="A211" s="44" t="s">
        <v>71</v>
      </c>
      <c r="B211" s="44" t="s">
        <v>659</v>
      </c>
      <c r="C211" s="59">
        <v>49.933000000000007</v>
      </c>
      <c r="D211" s="47">
        <v>188792.72</v>
      </c>
      <c r="E211" s="47">
        <v>2.6448583398766648E-4</v>
      </c>
      <c r="F211" s="47">
        <v>1</v>
      </c>
      <c r="G211" s="49">
        <v>1</v>
      </c>
      <c r="H211" s="47">
        <v>7</v>
      </c>
      <c r="I211" s="48">
        <v>31.74</v>
      </c>
      <c r="J211" s="48">
        <v>32.24</v>
      </c>
      <c r="K211" s="49">
        <v>40.81</v>
      </c>
      <c r="L211" s="49">
        <v>29.8</v>
      </c>
      <c r="M211" s="72">
        <f t="shared" si="3"/>
        <v>2</v>
      </c>
      <c r="N211" s="36">
        <v>0.02</v>
      </c>
      <c r="O211" s="68">
        <v>1.7324999999999982</v>
      </c>
      <c r="P211" s="73">
        <v>6.25</v>
      </c>
      <c r="Q211" s="73">
        <f>'Trade Data'!H14</f>
        <v>0.42796964135110316</v>
      </c>
      <c r="R211" s="37">
        <v>1</v>
      </c>
    </row>
    <row r="212" spans="1:18" ht="20.100000000000001" customHeight="1">
      <c r="A212" s="44" t="s">
        <v>72</v>
      </c>
      <c r="B212" s="44" t="s">
        <v>658</v>
      </c>
      <c r="C212" s="59">
        <v>0</v>
      </c>
      <c r="D212" s="47">
        <v>22753.52</v>
      </c>
      <c r="E212" s="47">
        <v>0</v>
      </c>
      <c r="F212" s="47">
        <v>0</v>
      </c>
      <c r="G212" s="49">
        <v>0</v>
      </c>
      <c r="H212" s="47">
        <v>0</v>
      </c>
      <c r="I212" s="48">
        <v>30.38</v>
      </c>
      <c r="J212" s="48">
        <v>35.17</v>
      </c>
      <c r="K212" s="48">
        <v>33.99</v>
      </c>
      <c r="L212" s="49">
        <v>29.8</v>
      </c>
      <c r="M212" s="72">
        <f t="shared" si="3"/>
        <v>2.2999999999999998</v>
      </c>
      <c r="N212" s="36">
        <v>2.3E-2</v>
      </c>
      <c r="O212" s="68">
        <v>-4.870000000000001</v>
      </c>
      <c r="P212" s="73">
        <v>5.69</v>
      </c>
      <c r="Q212" s="73">
        <f>'Trade Data'!J14</f>
        <v>0.42097378518607759</v>
      </c>
      <c r="R212" s="35">
        <v>0</v>
      </c>
    </row>
    <row r="213" spans="1:18" ht="20.100000000000001" customHeight="1">
      <c r="A213" s="44" t="s">
        <v>72</v>
      </c>
      <c r="B213" s="44" t="s">
        <v>657</v>
      </c>
      <c r="C213" s="59">
        <v>90</v>
      </c>
      <c r="D213" s="47">
        <v>96241.24</v>
      </c>
      <c r="E213" s="47">
        <v>9.3515004586391438E-4</v>
      </c>
      <c r="F213" s="47">
        <v>1</v>
      </c>
      <c r="G213" s="49">
        <v>1</v>
      </c>
      <c r="H213" s="47">
        <v>2</v>
      </c>
      <c r="I213" s="48">
        <v>30.38</v>
      </c>
      <c r="J213" s="48">
        <v>35.17</v>
      </c>
      <c r="K213" s="48">
        <v>33.99</v>
      </c>
      <c r="L213" s="49">
        <v>29.8</v>
      </c>
      <c r="M213" s="72">
        <f t="shared" si="3"/>
        <v>2.2999999999999998</v>
      </c>
      <c r="N213" s="36">
        <v>2.3E-2</v>
      </c>
      <c r="O213" s="68">
        <v>-4.870000000000001</v>
      </c>
      <c r="P213" s="73">
        <v>5.69</v>
      </c>
      <c r="Q213" s="73">
        <f>'Trade Data'!J14</f>
        <v>0.42097378518607759</v>
      </c>
      <c r="R213" s="35">
        <v>1</v>
      </c>
    </row>
    <row r="214" spans="1:18" ht="20.100000000000001" customHeight="1">
      <c r="A214" s="44" t="s">
        <v>72</v>
      </c>
      <c r="B214" s="44" t="s">
        <v>656</v>
      </c>
      <c r="C214" s="59">
        <v>308.82000000000005</v>
      </c>
      <c r="D214" s="47">
        <v>188792.72</v>
      </c>
      <c r="E214" s="47">
        <v>1.6357622264248327E-3</v>
      </c>
      <c r="F214" s="47">
        <v>1</v>
      </c>
      <c r="G214" s="49">
        <v>1</v>
      </c>
      <c r="H214" s="47">
        <v>5</v>
      </c>
      <c r="I214" s="48">
        <v>30.38</v>
      </c>
      <c r="J214" s="48">
        <v>35.17</v>
      </c>
      <c r="K214" s="48">
        <v>33.99</v>
      </c>
      <c r="L214" s="49">
        <v>29.8</v>
      </c>
      <c r="M214" s="72">
        <f t="shared" si="3"/>
        <v>2.2999999999999998</v>
      </c>
      <c r="N214" s="36">
        <v>2.3E-2</v>
      </c>
      <c r="O214" s="68">
        <v>-4.870000000000001</v>
      </c>
      <c r="P214" s="73">
        <v>5.69</v>
      </c>
      <c r="Q214" s="73">
        <f>'Trade Data'!J14</f>
        <v>0.42097378518607759</v>
      </c>
      <c r="R214" s="35">
        <v>1</v>
      </c>
    </row>
    <row r="215" spans="1:18" ht="20.100000000000001" customHeight="1">
      <c r="A215" s="44" t="s">
        <v>73</v>
      </c>
      <c r="B215" s="44" t="s">
        <v>858</v>
      </c>
      <c r="C215" s="59">
        <v>0</v>
      </c>
      <c r="D215" s="47">
        <v>22753.52</v>
      </c>
      <c r="E215" s="47">
        <v>0</v>
      </c>
      <c r="F215" s="47">
        <v>0</v>
      </c>
      <c r="G215" s="49">
        <v>0</v>
      </c>
      <c r="H215" s="47">
        <v>0</v>
      </c>
      <c r="I215" s="48">
        <v>35.74</v>
      </c>
      <c r="J215" s="48">
        <v>51.23</v>
      </c>
      <c r="K215" s="49">
        <v>34.25</v>
      </c>
      <c r="L215" s="49">
        <v>29.8</v>
      </c>
      <c r="M215" s="72">
        <f t="shared" si="3"/>
        <v>2.2999999999999998</v>
      </c>
      <c r="N215" s="36">
        <v>2.3E-2</v>
      </c>
      <c r="O215" s="68">
        <v>4.0962500000000013</v>
      </c>
      <c r="P215" s="73">
        <v>5.69</v>
      </c>
      <c r="Q215" s="73">
        <f>'Trade Data'!J14</f>
        <v>0.42097378518607759</v>
      </c>
      <c r="R215" s="37">
        <v>0</v>
      </c>
    </row>
    <row r="216" spans="1:18" ht="20.100000000000001" customHeight="1">
      <c r="A216" s="77" t="s">
        <v>73</v>
      </c>
      <c r="B216" s="44" t="s">
        <v>859</v>
      </c>
      <c r="C216" s="59">
        <v>765.93900000000008</v>
      </c>
      <c r="D216" s="47">
        <v>96241.24</v>
      </c>
      <c r="E216" s="47">
        <v>7.9585321219884531E-3</v>
      </c>
      <c r="F216" s="47">
        <v>1</v>
      </c>
      <c r="G216" s="49">
        <v>1</v>
      </c>
      <c r="H216" s="47">
        <v>5</v>
      </c>
      <c r="I216" s="48">
        <v>35.74</v>
      </c>
      <c r="J216" s="48">
        <v>51.23</v>
      </c>
      <c r="K216" s="49">
        <v>34.25</v>
      </c>
      <c r="L216" s="49">
        <v>29.8</v>
      </c>
      <c r="M216" s="72">
        <f t="shared" si="3"/>
        <v>2.2999999999999998</v>
      </c>
      <c r="N216" s="36">
        <v>2.3E-2</v>
      </c>
      <c r="O216" s="68">
        <v>4.0962500000000013</v>
      </c>
      <c r="P216" s="73">
        <v>5.69</v>
      </c>
      <c r="Q216" s="73">
        <f>'Trade Data'!J14</f>
        <v>0.42097378518607759</v>
      </c>
      <c r="R216" s="37">
        <v>1</v>
      </c>
    </row>
    <row r="217" spans="1:18" ht="20.100000000000001" customHeight="1">
      <c r="A217" s="77" t="s">
        <v>73</v>
      </c>
      <c r="B217" s="44" t="s">
        <v>860</v>
      </c>
      <c r="C217" s="59">
        <v>11.497</v>
      </c>
      <c r="D217" s="47">
        <v>188792.72</v>
      </c>
      <c r="E217" s="47">
        <v>6.0897475284004593E-5</v>
      </c>
      <c r="F217" s="47">
        <v>1</v>
      </c>
      <c r="G217" s="49">
        <v>1</v>
      </c>
      <c r="H217" s="47">
        <v>5</v>
      </c>
      <c r="I217" s="48">
        <v>35.74</v>
      </c>
      <c r="J217" s="48">
        <v>51.23</v>
      </c>
      <c r="K217" s="49">
        <v>34.25</v>
      </c>
      <c r="L217" s="49">
        <v>29.8</v>
      </c>
      <c r="M217" s="72">
        <f t="shared" si="3"/>
        <v>2.2999999999999998</v>
      </c>
      <c r="N217" s="36">
        <v>2.3E-2</v>
      </c>
      <c r="O217" s="68">
        <v>4.0962500000000013</v>
      </c>
      <c r="P217" s="73">
        <v>5.69</v>
      </c>
      <c r="Q217" s="73">
        <f>'Trade Data'!J14</f>
        <v>0.42097378518607759</v>
      </c>
      <c r="R217" s="37">
        <v>1</v>
      </c>
    </row>
    <row r="218" spans="1:18" ht="20.100000000000001" customHeight="1">
      <c r="A218" s="44" t="s">
        <v>75</v>
      </c>
      <c r="B218" s="44" t="s">
        <v>652</v>
      </c>
      <c r="C218" s="59">
        <v>0</v>
      </c>
      <c r="D218" s="47">
        <v>8761.473</v>
      </c>
      <c r="E218" s="47">
        <v>0</v>
      </c>
      <c r="F218" s="47">
        <v>0</v>
      </c>
      <c r="G218" s="49">
        <v>0</v>
      </c>
      <c r="H218" s="47">
        <v>0</v>
      </c>
      <c r="I218" s="48">
        <v>13.97</v>
      </c>
      <c r="J218" s="56">
        <v>23.22</v>
      </c>
      <c r="K218" s="49">
        <v>32.51</v>
      </c>
      <c r="L218" s="49">
        <v>6.53</v>
      </c>
      <c r="M218" s="72">
        <f t="shared" si="3"/>
        <v>4.9000000000000004</v>
      </c>
      <c r="N218" s="36">
        <v>4.9000000000000002E-2</v>
      </c>
      <c r="O218" s="68">
        <v>-30.367500000000007</v>
      </c>
      <c r="P218" s="73">
        <v>5.8</v>
      </c>
      <c r="Q218" s="73">
        <f>'Trade Data'!B17</f>
        <v>0.20459335150255525</v>
      </c>
      <c r="R218" s="37">
        <v>0</v>
      </c>
    </row>
    <row r="219" spans="1:18" ht="20.100000000000001" customHeight="1">
      <c r="A219" s="44" t="s">
        <v>75</v>
      </c>
      <c r="B219" s="44" t="s">
        <v>651</v>
      </c>
      <c r="C219" s="59">
        <v>0</v>
      </c>
      <c r="D219" s="47">
        <v>37129.239000000001</v>
      </c>
      <c r="E219" s="47">
        <v>0</v>
      </c>
      <c r="F219" s="47">
        <v>0</v>
      </c>
      <c r="G219" s="49">
        <v>1</v>
      </c>
      <c r="H219" s="47">
        <v>1</v>
      </c>
      <c r="I219" s="48">
        <v>13.97</v>
      </c>
      <c r="J219" s="56">
        <v>23.22</v>
      </c>
      <c r="K219" s="49">
        <v>32.51</v>
      </c>
      <c r="L219" s="49">
        <v>6.53</v>
      </c>
      <c r="M219" s="72">
        <f t="shared" si="3"/>
        <v>4.9000000000000004</v>
      </c>
      <c r="N219" s="36">
        <v>4.9000000000000002E-2</v>
      </c>
      <c r="O219" s="68">
        <v>-30.367500000000007</v>
      </c>
      <c r="P219" s="73">
        <v>5.8</v>
      </c>
      <c r="Q219" s="73">
        <f>'Trade Data'!B17</f>
        <v>0.20459335150255525</v>
      </c>
      <c r="R219" s="37">
        <v>1</v>
      </c>
    </row>
    <row r="220" spans="1:18" ht="20.100000000000001" customHeight="1">
      <c r="A220" s="44" t="s">
        <v>75</v>
      </c>
      <c r="B220" s="44" t="s">
        <v>650</v>
      </c>
      <c r="C220" s="59">
        <v>0</v>
      </c>
      <c r="D220" s="47">
        <v>49229.774999999994</v>
      </c>
      <c r="E220" s="47">
        <v>0</v>
      </c>
      <c r="F220" s="47">
        <v>0</v>
      </c>
      <c r="G220" s="49">
        <v>0</v>
      </c>
      <c r="H220" s="47">
        <v>0</v>
      </c>
      <c r="I220" s="48">
        <v>13.97</v>
      </c>
      <c r="J220" s="56">
        <v>23.22</v>
      </c>
      <c r="K220" s="49">
        <v>32.51</v>
      </c>
      <c r="L220" s="49">
        <v>6.53</v>
      </c>
      <c r="M220" s="72">
        <f t="shared" si="3"/>
        <v>4.9000000000000004</v>
      </c>
      <c r="N220" s="36">
        <v>4.9000000000000002E-2</v>
      </c>
      <c r="O220" s="68">
        <v>-30.367500000000007</v>
      </c>
      <c r="P220" s="73">
        <v>5.8</v>
      </c>
      <c r="Q220" s="73">
        <f>'Trade Data'!B17</f>
        <v>0.20459335150255525</v>
      </c>
      <c r="R220" s="37">
        <v>1</v>
      </c>
    </row>
    <row r="221" spans="1:18" ht="20.100000000000001" customHeight="1">
      <c r="A221" s="44" t="s">
        <v>76</v>
      </c>
      <c r="B221" s="44" t="s">
        <v>649</v>
      </c>
      <c r="C221" s="59">
        <v>0</v>
      </c>
      <c r="D221" s="47">
        <v>8761.473</v>
      </c>
      <c r="E221" s="47">
        <v>0</v>
      </c>
      <c r="F221" s="47">
        <v>0</v>
      </c>
      <c r="G221" s="49">
        <v>0</v>
      </c>
      <c r="H221" s="47">
        <v>0</v>
      </c>
      <c r="I221" s="48">
        <v>9.44</v>
      </c>
      <c r="J221" s="56">
        <v>28.75</v>
      </c>
      <c r="K221" s="52">
        <v>13.64</v>
      </c>
      <c r="L221" s="49">
        <v>6.53</v>
      </c>
      <c r="M221" s="72">
        <f t="shared" si="3"/>
        <v>4.9000000000000004</v>
      </c>
      <c r="N221" s="36">
        <v>4.9000000000000002E-2</v>
      </c>
      <c r="O221" s="68">
        <v>-24.121250000000003</v>
      </c>
      <c r="P221" s="73">
        <v>5.8</v>
      </c>
      <c r="Q221" s="73">
        <f>'Trade Data'!B17</f>
        <v>0.20459335150255525</v>
      </c>
      <c r="R221" s="35">
        <v>0</v>
      </c>
    </row>
    <row r="222" spans="1:18" ht="20.100000000000001" customHeight="1">
      <c r="A222" s="44" t="s">
        <v>76</v>
      </c>
      <c r="B222" s="44" t="s">
        <v>648</v>
      </c>
      <c r="C222" s="59">
        <v>0</v>
      </c>
      <c r="D222" s="47">
        <v>37129.239000000001</v>
      </c>
      <c r="E222" s="47">
        <v>0</v>
      </c>
      <c r="F222" s="47">
        <v>0</v>
      </c>
      <c r="G222" s="49">
        <v>1</v>
      </c>
      <c r="H222" s="47">
        <v>1</v>
      </c>
      <c r="I222" s="48">
        <v>9.44</v>
      </c>
      <c r="J222" s="56">
        <v>28.75</v>
      </c>
      <c r="K222" s="52">
        <v>13.64</v>
      </c>
      <c r="L222" s="49">
        <v>6.53</v>
      </c>
      <c r="M222" s="72">
        <f t="shared" si="3"/>
        <v>4.9000000000000004</v>
      </c>
      <c r="N222" s="36">
        <v>4.9000000000000002E-2</v>
      </c>
      <c r="O222" s="68">
        <v>-24.121250000000003</v>
      </c>
      <c r="P222" s="73">
        <v>5.8</v>
      </c>
      <c r="Q222" s="73">
        <f>'Trade Data'!B17</f>
        <v>0.20459335150255525</v>
      </c>
      <c r="R222" s="35">
        <v>1</v>
      </c>
    </row>
    <row r="223" spans="1:18" ht="20.100000000000001" customHeight="1">
      <c r="A223" s="44" t="s">
        <v>76</v>
      </c>
      <c r="B223" s="44" t="s">
        <v>647</v>
      </c>
      <c r="C223" s="59">
        <v>0</v>
      </c>
      <c r="D223" s="47">
        <v>49229.774999999994</v>
      </c>
      <c r="E223" s="47">
        <v>0</v>
      </c>
      <c r="F223" s="47">
        <v>0</v>
      </c>
      <c r="G223" s="49">
        <v>0</v>
      </c>
      <c r="H223" s="47">
        <v>0</v>
      </c>
      <c r="I223" s="48">
        <v>9.44</v>
      </c>
      <c r="J223" s="56">
        <v>28.75</v>
      </c>
      <c r="K223" s="52">
        <v>13.64</v>
      </c>
      <c r="L223" s="49">
        <v>6.53</v>
      </c>
      <c r="M223" s="72">
        <f t="shared" si="3"/>
        <v>4.9000000000000004</v>
      </c>
      <c r="N223" s="36">
        <v>4.9000000000000002E-2</v>
      </c>
      <c r="O223" s="68">
        <v>-24.121250000000003</v>
      </c>
      <c r="P223" s="73">
        <v>5.8</v>
      </c>
      <c r="Q223" s="73">
        <f>'Trade Data'!B17</f>
        <v>0.20459335150255525</v>
      </c>
      <c r="R223" s="35">
        <v>1</v>
      </c>
    </row>
    <row r="224" spans="1:18" ht="20.100000000000001" customHeight="1">
      <c r="A224" s="44" t="s">
        <v>77</v>
      </c>
      <c r="B224" s="44" t="s">
        <v>646</v>
      </c>
      <c r="C224" s="59">
        <v>0</v>
      </c>
      <c r="D224" s="47">
        <v>9697.0919999999987</v>
      </c>
      <c r="E224" s="47">
        <v>0</v>
      </c>
      <c r="F224" s="47">
        <v>0</v>
      </c>
      <c r="G224" s="49">
        <v>0</v>
      </c>
      <c r="H224" s="47">
        <v>0</v>
      </c>
      <c r="I224" s="48">
        <v>19.28</v>
      </c>
      <c r="J224" s="56">
        <v>42.11</v>
      </c>
      <c r="K224" s="52">
        <v>30.85</v>
      </c>
      <c r="L224" s="49">
        <v>6.53</v>
      </c>
      <c r="M224" s="72">
        <f t="shared" si="3"/>
        <v>4.9000000000000004</v>
      </c>
      <c r="N224" s="36">
        <v>4.9000000000000002E-2</v>
      </c>
      <c r="O224" s="68">
        <v>-21.876249999999999</v>
      </c>
      <c r="P224" s="73">
        <v>5.8</v>
      </c>
      <c r="Q224" s="73">
        <f>'Trade Data'!B17</f>
        <v>0.20459335150255525</v>
      </c>
      <c r="R224" s="37">
        <v>0</v>
      </c>
    </row>
    <row r="225" spans="1:18" ht="20.100000000000001" customHeight="1">
      <c r="A225" s="44" t="s">
        <v>77</v>
      </c>
      <c r="B225" s="44" t="s">
        <v>645</v>
      </c>
      <c r="C225" s="59">
        <v>0</v>
      </c>
      <c r="D225" s="47">
        <v>39483.94</v>
      </c>
      <c r="E225" s="47">
        <v>0</v>
      </c>
      <c r="F225" s="47">
        <v>0</v>
      </c>
      <c r="G225" s="49">
        <v>0</v>
      </c>
      <c r="H225" s="47">
        <v>0</v>
      </c>
      <c r="I225" s="48">
        <v>19.28</v>
      </c>
      <c r="J225" s="56">
        <v>42.11</v>
      </c>
      <c r="K225" s="52">
        <v>30.85</v>
      </c>
      <c r="L225" s="49">
        <v>6.53</v>
      </c>
      <c r="M225" s="72">
        <f t="shared" si="3"/>
        <v>4.9000000000000004</v>
      </c>
      <c r="N225" s="36">
        <v>4.9000000000000002E-2</v>
      </c>
      <c r="O225" s="68">
        <v>-21.876249999999999</v>
      </c>
      <c r="P225" s="73">
        <v>5.8</v>
      </c>
      <c r="Q225" s="73">
        <f>'Trade Data'!B17</f>
        <v>0.20459335150255525</v>
      </c>
      <c r="R225" s="37">
        <v>1</v>
      </c>
    </row>
    <row r="226" spans="1:18" ht="20.100000000000001" customHeight="1">
      <c r="A226" s="44" t="s">
        <v>77</v>
      </c>
      <c r="B226" s="44" t="s">
        <v>644</v>
      </c>
      <c r="C226" s="59">
        <v>0</v>
      </c>
      <c r="D226" s="47">
        <v>53108.968000000001</v>
      </c>
      <c r="E226" s="47">
        <v>0</v>
      </c>
      <c r="F226" s="47">
        <v>0</v>
      </c>
      <c r="G226" s="49">
        <v>0</v>
      </c>
      <c r="H226" s="47">
        <v>0</v>
      </c>
      <c r="I226" s="48">
        <v>19.28</v>
      </c>
      <c r="J226" s="56">
        <v>42.11</v>
      </c>
      <c r="K226" s="52">
        <v>30.85</v>
      </c>
      <c r="L226" s="49">
        <v>6.53</v>
      </c>
      <c r="M226" s="72">
        <f t="shared" si="3"/>
        <v>4.9000000000000004</v>
      </c>
      <c r="N226" s="36">
        <v>4.9000000000000002E-2</v>
      </c>
      <c r="O226" s="68">
        <v>-21.876249999999999</v>
      </c>
      <c r="P226" s="73">
        <v>5.8</v>
      </c>
      <c r="Q226" s="73">
        <f>'Trade Data'!B17</f>
        <v>0.20459335150255525</v>
      </c>
      <c r="R226" s="37">
        <v>1</v>
      </c>
    </row>
    <row r="227" spans="1:18" ht="20.100000000000001" customHeight="1">
      <c r="A227" s="44" t="s">
        <v>78</v>
      </c>
      <c r="B227" s="44" t="s">
        <v>643</v>
      </c>
      <c r="C227" s="59">
        <v>0</v>
      </c>
      <c r="D227" s="47">
        <v>9697.0919999999987</v>
      </c>
      <c r="E227" s="47">
        <v>0</v>
      </c>
      <c r="F227" s="47">
        <v>0</v>
      </c>
      <c r="G227" s="49">
        <v>0</v>
      </c>
      <c r="H227" s="47">
        <v>0</v>
      </c>
      <c r="I227" s="48">
        <v>18.91</v>
      </c>
      <c r="J227" s="56">
        <v>50.66</v>
      </c>
      <c r="K227" s="52">
        <v>25.41</v>
      </c>
      <c r="L227" s="49">
        <v>6.53</v>
      </c>
      <c r="M227" s="72">
        <f t="shared" si="3"/>
        <v>4.9000000000000004</v>
      </c>
      <c r="N227" s="36">
        <v>4.9000000000000002E-2</v>
      </c>
      <c r="O227" s="68">
        <v>-17.4575</v>
      </c>
      <c r="P227" s="73">
        <v>5.8</v>
      </c>
      <c r="Q227" s="73">
        <f>'Trade Data'!B17</f>
        <v>0.20459335150255525</v>
      </c>
      <c r="R227" s="35">
        <v>0</v>
      </c>
    </row>
    <row r="228" spans="1:18" ht="20.100000000000001" customHeight="1">
      <c r="A228" s="44" t="s">
        <v>78</v>
      </c>
      <c r="B228" s="44" t="s">
        <v>642</v>
      </c>
      <c r="C228" s="59">
        <v>0</v>
      </c>
      <c r="D228" s="47">
        <v>39483.94</v>
      </c>
      <c r="E228" s="47">
        <v>0</v>
      </c>
      <c r="F228" s="47">
        <v>0</v>
      </c>
      <c r="G228" s="49">
        <v>0</v>
      </c>
      <c r="H228" s="47">
        <v>0</v>
      </c>
      <c r="I228" s="48">
        <v>18.91</v>
      </c>
      <c r="J228" s="56">
        <v>50.66</v>
      </c>
      <c r="K228" s="52">
        <v>25.41</v>
      </c>
      <c r="L228" s="49">
        <v>6.53</v>
      </c>
      <c r="M228" s="72">
        <f t="shared" si="3"/>
        <v>4.9000000000000004</v>
      </c>
      <c r="N228" s="36">
        <v>4.9000000000000002E-2</v>
      </c>
      <c r="O228" s="68">
        <v>-17.4575</v>
      </c>
      <c r="P228" s="73">
        <v>5.8</v>
      </c>
      <c r="Q228" s="73">
        <f>'Trade Data'!B17</f>
        <v>0.20459335150255525</v>
      </c>
      <c r="R228" s="35">
        <v>1</v>
      </c>
    </row>
    <row r="229" spans="1:18" ht="20.100000000000001" customHeight="1">
      <c r="A229" s="44" t="s">
        <v>78</v>
      </c>
      <c r="B229" s="44" t="s">
        <v>641</v>
      </c>
      <c r="C229" s="59">
        <v>0</v>
      </c>
      <c r="D229" s="47">
        <v>53108.968000000001</v>
      </c>
      <c r="E229" s="47">
        <v>0</v>
      </c>
      <c r="F229" s="47">
        <v>0</v>
      </c>
      <c r="G229" s="49">
        <v>1</v>
      </c>
      <c r="H229" s="47">
        <v>1</v>
      </c>
      <c r="I229" s="48">
        <v>18.91</v>
      </c>
      <c r="J229" s="56">
        <v>50.66</v>
      </c>
      <c r="K229" s="52">
        <v>25.41</v>
      </c>
      <c r="L229" s="49">
        <v>6.53</v>
      </c>
      <c r="M229" s="72">
        <f t="shared" si="3"/>
        <v>4.9000000000000004</v>
      </c>
      <c r="N229" s="36">
        <v>4.9000000000000002E-2</v>
      </c>
      <c r="O229" s="68">
        <v>-17.4575</v>
      </c>
      <c r="P229" s="73">
        <v>5.8</v>
      </c>
      <c r="Q229" s="73">
        <f>'Trade Data'!B17</f>
        <v>0.20459335150255525</v>
      </c>
      <c r="R229" s="35">
        <v>1</v>
      </c>
    </row>
    <row r="230" spans="1:18" ht="20.100000000000001" customHeight="1">
      <c r="A230" s="44" t="s">
        <v>79</v>
      </c>
      <c r="B230" s="44" t="s">
        <v>640</v>
      </c>
      <c r="C230" s="59">
        <v>0</v>
      </c>
      <c r="D230" s="47">
        <v>9697.0919999999987</v>
      </c>
      <c r="E230" s="47">
        <v>0</v>
      </c>
      <c r="F230" s="47">
        <v>0</v>
      </c>
      <c r="G230" s="49">
        <v>0</v>
      </c>
      <c r="H230" s="47">
        <v>0</v>
      </c>
      <c r="I230" s="48">
        <v>13.76</v>
      </c>
      <c r="J230" s="56">
        <v>45.69</v>
      </c>
      <c r="K230" s="52">
        <v>13.92</v>
      </c>
      <c r="L230" s="49">
        <v>6.53</v>
      </c>
      <c r="M230" s="72">
        <f t="shared" si="3"/>
        <v>3.8</v>
      </c>
      <c r="N230" s="36">
        <v>3.7999999999999999E-2</v>
      </c>
      <c r="O230" s="68">
        <v>-22.822500000000005</v>
      </c>
      <c r="P230" s="73">
        <v>5</v>
      </c>
      <c r="Q230" s="73">
        <f>'Trade Data'!D17</f>
        <v>0.21478515098898887</v>
      </c>
      <c r="R230" s="37">
        <v>0</v>
      </c>
    </row>
    <row r="231" spans="1:18" ht="20.100000000000001" customHeight="1">
      <c r="A231" s="44" t="s">
        <v>79</v>
      </c>
      <c r="B231" s="44" t="s">
        <v>639</v>
      </c>
      <c r="C231" s="59">
        <v>0</v>
      </c>
      <c r="D231" s="47">
        <v>39483.94</v>
      </c>
      <c r="E231" s="47">
        <v>0</v>
      </c>
      <c r="F231" s="47">
        <v>0</v>
      </c>
      <c r="G231" s="49">
        <v>1</v>
      </c>
      <c r="H231" s="47">
        <v>3</v>
      </c>
      <c r="I231" s="48">
        <v>13.76</v>
      </c>
      <c r="J231" s="56">
        <v>45.69</v>
      </c>
      <c r="K231" s="52">
        <v>13.92</v>
      </c>
      <c r="L231" s="49">
        <v>6.53</v>
      </c>
      <c r="M231" s="72">
        <f t="shared" si="3"/>
        <v>3.8</v>
      </c>
      <c r="N231" s="36">
        <v>3.7999999999999999E-2</v>
      </c>
      <c r="O231" s="68">
        <v>-22.822500000000005</v>
      </c>
      <c r="P231" s="73">
        <v>5</v>
      </c>
      <c r="Q231" s="73">
        <f>'Trade Data'!D17</f>
        <v>0.21478515098898887</v>
      </c>
      <c r="R231" s="37">
        <v>1</v>
      </c>
    </row>
    <row r="232" spans="1:18" ht="20.100000000000001" customHeight="1">
      <c r="A232" s="44" t="s">
        <v>79</v>
      </c>
      <c r="B232" s="44" t="s">
        <v>638</v>
      </c>
      <c r="C232" s="59">
        <v>0</v>
      </c>
      <c r="D232" s="47">
        <v>53108.968000000001</v>
      </c>
      <c r="E232" s="47">
        <v>0</v>
      </c>
      <c r="F232" s="47">
        <v>0</v>
      </c>
      <c r="G232" s="49">
        <v>1</v>
      </c>
      <c r="H232" s="47">
        <v>1</v>
      </c>
      <c r="I232" s="48">
        <v>13.76</v>
      </c>
      <c r="J232" s="56">
        <v>45.69</v>
      </c>
      <c r="K232" s="52">
        <v>13.92</v>
      </c>
      <c r="L232" s="49">
        <v>6.53</v>
      </c>
      <c r="M232" s="72">
        <f t="shared" si="3"/>
        <v>3.8</v>
      </c>
      <c r="N232" s="36">
        <v>3.7999999999999999E-2</v>
      </c>
      <c r="O232" s="68">
        <v>-22.822500000000005</v>
      </c>
      <c r="P232" s="73">
        <v>5</v>
      </c>
      <c r="Q232" s="73">
        <f>'Trade Data'!D17</f>
        <v>0.21478515098898887</v>
      </c>
      <c r="R232" s="37">
        <v>1</v>
      </c>
    </row>
    <row r="233" spans="1:18" ht="20.100000000000001" customHeight="1">
      <c r="A233" s="44" t="s">
        <v>1705</v>
      </c>
      <c r="B233" s="44" t="s">
        <v>637</v>
      </c>
      <c r="C233" s="59">
        <v>0</v>
      </c>
      <c r="D233" s="47">
        <v>9697.0919999999987</v>
      </c>
      <c r="E233" s="47">
        <v>0</v>
      </c>
      <c r="F233" s="47">
        <v>0</v>
      </c>
      <c r="G233" s="49">
        <v>0</v>
      </c>
      <c r="H233" s="47">
        <v>0</v>
      </c>
      <c r="I233" s="48">
        <v>19.22</v>
      </c>
      <c r="J233" s="56">
        <v>43.15</v>
      </c>
      <c r="K233" s="52">
        <v>32.31</v>
      </c>
      <c r="L233" s="49">
        <v>6.53</v>
      </c>
      <c r="M233" s="72">
        <f t="shared" si="3"/>
        <v>3.8</v>
      </c>
      <c r="N233" s="36">
        <v>3.7999999999999999E-2</v>
      </c>
      <c r="O233" s="68">
        <v>-22.726249999999993</v>
      </c>
      <c r="P233" s="73">
        <v>5</v>
      </c>
      <c r="Q233" s="73">
        <f>'Trade Data'!D17</f>
        <v>0.21478515098898887</v>
      </c>
      <c r="R233" s="35">
        <v>0</v>
      </c>
    </row>
    <row r="234" spans="1:18" ht="20.100000000000001" customHeight="1">
      <c r="A234" s="44" t="s">
        <v>1705</v>
      </c>
      <c r="B234" s="44" t="s">
        <v>636</v>
      </c>
      <c r="C234" s="59">
        <v>213.846</v>
      </c>
      <c r="D234" s="47">
        <v>39483.94</v>
      </c>
      <c r="E234" s="47">
        <v>5.416024844531726E-3</v>
      </c>
      <c r="F234" s="47">
        <v>1</v>
      </c>
      <c r="G234" s="49">
        <v>1</v>
      </c>
      <c r="H234" s="47">
        <v>2</v>
      </c>
      <c r="I234" s="48">
        <v>19.22</v>
      </c>
      <c r="J234" s="56">
        <v>43.15</v>
      </c>
      <c r="K234" s="52">
        <v>32.31</v>
      </c>
      <c r="L234" s="49">
        <v>6.53</v>
      </c>
      <c r="M234" s="72">
        <f t="shared" si="3"/>
        <v>3.8</v>
      </c>
      <c r="N234" s="36">
        <v>3.7999999999999999E-2</v>
      </c>
      <c r="O234" s="68">
        <v>-22.726249999999993</v>
      </c>
      <c r="P234" s="73">
        <v>5</v>
      </c>
      <c r="Q234" s="73">
        <f>'Trade Data'!D17</f>
        <v>0.21478515098898887</v>
      </c>
      <c r="R234" s="35">
        <v>1</v>
      </c>
    </row>
    <row r="235" spans="1:18" ht="20.100000000000001" customHeight="1">
      <c r="A235" s="44" t="s">
        <v>1705</v>
      </c>
      <c r="B235" s="44" t="s">
        <v>635</v>
      </c>
      <c r="C235" s="59">
        <v>0</v>
      </c>
      <c r="D235" s="47">
        <v>53108.968000000001</v>
      </c>
      <c r="E235" s="47">
        <v>0</v>
      </c>
      <c r="F235" s="47">
        <v>0</v>
      </c>
      <c r="G235" s="49">
        <v>1</v>
      </c>
      <c r="H235" s="47">
        <v>1</v>
      </c>
      <c r="I235" s="48">
        <v>19.22</v>
      </c>
      <c r="J235" s="56">
        <v>43.15</v>
      </c>
      <c r="K235" s="52">
        <v>32.31</v>
      </c>
      <c r="L235" s="49">
        <v>6.53</v>
      </c>
      <c r="M235" s="72">
        <f t="shared" si="3"/>
        <v>3.8</v>
      </c>
      <c r="N235" s="36">
        <v>3.7999999999999999E-2</v>
      </c>
      <c r="O235" s="68">
        <v>-22.726249999999993</v>
      </c>
      <c r="P235" s="73">
        <v>5</v>
      </c>
      <c r="Q235" s="73">
        <f>'Trade Data'!D17</f>
        <v>0.21478515098898887</v>
      </c>
      <c r="R235" s="35">
        <v>1</v>
      </c>
    </row>
    <row r="236" spans="1:18" ht="20.100000000000001" customHeight="1">
      <c r="A236" s="44" t="s">
        <v>81</v>
      </c>
      <c r="B236" s="44" t="s">
        <v>634</v>
      </c>
      <c r="C236" s="59">
        <v>0</v>
      </c>
      <c r="D236" s="47">
        <v>10128.198</v>
      </c>
      <c r="E236" s="47">
        <v>0</v>
      </c>
      <c r="F236" s="47">
        <v>0</v>
      </c>
      <c r="G236" s="49">
        <v>0</v>
      </c>
      <c r="H236" s="47">
        <v>0</v>
      </c>
      <c r="I236" s="48">
        <v>17.05</v>
      </c>
      <c r="J236" s="56">
        <v>40.270000000000003</v>
      </c>
      <c r="K236" s="48">
        <v>29.76</v>
      </c>
      <c r="L236" s="49">
        <v>6.53</v>
      </c>
      <c r="M236" s="72">
        <f t="shared" si="3"/>
        <v>3.8</v>
      </c>
      <c r="N236" s="36">
        <v>3.7999999999999999E-2</v>
      </c>
      <c r="O236" s="68">
        <v>-20.708749999999998</v>
      </c>
      <c r="P236" s="73">
        <v>5</v>
      </c>
      <c r="Q236" s="73">
        <f>'Trade Data'!D17</f>
        <v>0.21478515098898887</v>
      </c>
      <c r="R236" s="37">
        <v>0</v>
      </c>
    </row>
    <row r="237" spans="1:18" ht="20.100000000000001" customHeight="1">
      <c r="A237" s="44" t="s">
        <v>81</v>
      </c>
      <c r="B237" s="44" t="s">
        <v>633</v>
      </c>
      <c r="C237" s="59">
        <v>0</v>
      </c>
      <c r="D237" s="47">
        <v>34141.343999999997</v>
      </c>
      <c r="E237" s="47">
        <v>0</v>
      </c>
      <c r="F237" s="47">
        <v>0</v>
      </c>
      <c r="G237" s="49">
        <v>0</v>
      </c>
      <c r="H237" s="47">
        <v>0</v>
      </c>
      <c r="I237" s="48">
        <v>17.05</v>
      </c>
      <c r="J237" s="56">
        <v>40.270000000000003</v>
      </c>
      <c r="K237" s="48">
        <v>29.76</v>
      </c>
      <c r="L237" s="49">
        <v>6.53</v>
      </c>
      <c r="M237" s="72">
        <f t="shared" si="3"/>
        <v>3.8</v>
      </c>
      <c r="N237" s="36">
        <v>3.7999999999999999E-2</v>
      </c>
      <c r="O237" s="68">
        <v>-20.708749999999998</v>
      </c>
      <c r="P237" s="73">
        <v>5</v>
      </c>
      <c r="Q237" s="73">
        <f>'Trade Data'!D17</f>
        <v>0.21478515098898887</v>
      </c>
      <c r="R237" s="37">
        <v>1</v>
      </c>
    </row>
    <row r="238" spans="1:18" ht="20.100000000000001" customHeight="1">
      <c r="A238" s="44" t="s">
        <v>81</v>
      </c>
      <c r="B238" s="44" t="s">
        <v>632</v>
      </c>
      <c r="C238" s="59">
        <v>0</v>
      </c>
      <c r="D238" s="47">
        <v>55910.458000000006</v>
      </c>
      <c r="E238" s="47">
        <v>0</v>
      </c>
      <c r="F238" s="47">
        <v>0</v>
      </c>
      <c r="G238" s="49">
        <v>0</v>
      </c>
      <c r="H238" s="47">
        <v>0</v>
      </c>
      <c r="I238" s="48">
        <v>17.05</v>
      </c>
      <c r="J238" s="56">
        <v>40.270000000000003</v>
      </c>
      <c r="K238" s="48">
        <v>29.76</v>
      </c>
      <c r="L238" s="49">
        <v>6.53</v>
      </c>
      <c r="M238" s="72">
        <f t="shared" si="3"/>
        <v>3.8</v>
      </c>
      <c r="N238" s="36">
        <v>3.7999999999999999E-2</v>
      </c>
      <c r="O238" s="68">
        <v>-20.708749999999998</v>
      </c>
      <c r="P238" s="73">
        <v>5</v>
      </c>
      <c r="Q238" s="73">
        <f>'Trade Data'!D17</f>
        <v>0.21478515098898887</v>
      </c>
      <c r="R238" s="37">
        <v>1</v>
      </c>
    </row>
    <row r="239" spans="1:18" ht="20.100000000000001" customHeight="1">
      <c r="A239" s="44" t="s">
        <v>82</v>
      </c>
      <c r="B239" s="44" t="s">
        <v>631</v>
      </c>
      <c r="C239" s="59">
        <v>0</v>
      </c>
      <c r="D239" s="47">
        <v>10128.198</v>
      </c>
      <c r="E239" s="47">
        <v>0</v>
      </c>
      <c r="F239" s="47">
        <v>0</v>
      </c>
      <c r="G239" s="49">
        <v>0</v>
      </c>
      <c r="H239" s="47">
        <v>0</v>
      </c>
      <c r="I239" s="48">
        <v>12.74</v>
      </c>
      <c r="J239" s="48">
        <v>46.24</v>
      </c>
      <c r="K239" s="48">
        <v>8.36</v>
      </c>
      <c r="L239" s="49">
        <v>6.46</v>
      </c>
      <c r="M239" s="72">
        <f t="shared" si="3"/>
        <v>3.8</v>
      </c>
      <c r="N239" s="36">
        <v>3.7999999999999999E-2</v>
      </c>
      <c r="O239" s="68">
        <v>-20.966250000000002</v>
      </c>
      <c r="P239" s="73">
        <v>5</v>
      </c>
      <c r="Q239" s="73">
        <f>'Trade Data'!D17</f>
        <v>0.21478515098898887</v>
      </c>
      <c r="R239" s="35">
        <v>0</v>
      </c>
    </row>
    <row r="240" spans="1:18" ht="20.100000000000001" customHeight="1">
      <c r="A240" s="44" t="s">
        <v>82</v>
      </c>
      <c r="B240" s="44" t="s">
        <v>630</v>
      </c>
      <c r="C240" s="59">
        <v>0</v>
      </c>
      <c r="D240" s="47">
        <v>34141.343999999997</v>
      </c>
      <c r="E240" s="47">
        <v>0</v>
      </c>
      <c r="F240" s="47">
        <v>0</v>
      </c>
      <c r="G240" s="49">
        <v>0</v>
      </c>
      <c r="H240" s="47">
        <v>0</v>
      </c>
      <c r="I240" s="48">
        <v>12.74</v>
      </c>
      <c r="J240" s="48">
        <v>46.24</v>
      </c>
      <c r="K240" s="48">
        <v>8.36</v>
      </c>
      <c r="L240" s="49">
        <v>6.46</v>
      </c>
      <c r="M240" s="72">
        <f t="shared" si="3"/>
        <v>3.8</v>
      </c>
      <c r="N240" s="36">
        <v>3.7999999999999999E-2</v>
      </c>
      <c r="O240" s="68">
        <v>-20.966250000000002</v>
      </c>
      <c r="P240" s="73">
        <v>5</v>
      </c>
      <c r="Q240" s="73">
        <f>'Trade Data'!D17</f>
        <v>0.21478515098898887</v>
      </c>
      <c r="R240" s="35">
        <v>1</v>
      </c>
    </row>
    <row r="241" spans="1:18" ht="20.100000000000001" customHeight="1">
      <c r="A241" s="44" t="s">
        <v>82</v>
      </c>
      <c r="B241" s="44" t="s">
        <v>629</v>
      </c>
      <c r="C241" s="59">
        <v>0</v>
      </c>
      <c r="D241" s="47">
        <v>55910.458000000006</v>
      </c>
      <c r="E241" s="47">
        <v>0</v>
      </c>
      <c r="F241" s="47">
        <v>0</v>
      </c>
      <c r="G241" s="49">
        <v>0</v>
      </c>
      <c r="H241" s="47">
        <v>0</v>
      </c>
      <c r="I241" s="48">
        <v>12.74</v>
      </c>
      <c r="J241" s="48">
        <v>46.24</v>
      </c>
      <c r="K241" s="48">
        <v>8.36</v>
      </c>
      <c r="L241" s="49">
        <v>6.46</v>
      </c>
      <c r="M241" s="72">
        <f t="shared" si="3"/>
        <v>3.8</v>
      </c>
      <c r="N241" s="36">
        <v>3.7999999999999999E-2</v>
      </c>
      <c r="O241" s="68">
        <v>-20.966250000000002</v>
      </c>
      <c r="P241" s="73">
        <v>5</v>
      </c>
      <c r="Q241" s="73">
        <f>'Trade Data'!D17</f>
        <v>0.21478515098898887</v>
      </c>
      <c r="R241" s="35">
        <v>1</v>
      </c>
    </row>
    <row r="242" spans="1:18" ht="20.100000000000001" customHeight="1">
      <c r="A242" s="44" t="s">
        <v>83</v>
      </c>
      <c r="B242" s="44" t="s">
        <v>628</v>
      </c>
      <c r="C242" s="59">
        <v>0</v>
      </c>
      <c r="D242" s="47">
        <v>10128.198</v>
      </c>
      <c r="E242" s="47">
        <v>0</v>
      </c>
      <c r="F242" s="47">
        <v>0</v>
      </c>
      <c r="G242" s="49">
        <v>0</v>
      </c>
      <c r="H242" s="47">
        <v>0</v>
      </c>
      <c r="I242" s="48">
        <v>12.69</v>
      </c>
      <c r="J242" s="48">
        <v>35.590000000000003</v>
      </c>
      <c r="K242" s="48">
        <v>13.46</v>
      </c>
      <c r="L242" s="49">
        <v>6.46</v>
      </c>
      <c r="M242" s="72">
        <f t="shared" si="3"/>
        <v>1</v>
      </c>
      <c r="N242" s="36">
        <v>0.01</v>
      </c>
      <c r="O242" s="68">
        <v>-20.597500000000004</v>
      </c>
      <c r="P242" s="73">
        <v>5.75</v>
      </c>
      <c r="Q242" s="73">
        <f>'Trade Data'!F17</f>
        <v>0.18924668917039178</v>
      </c>
      <c r="R242" s="37">
        <v>0</v>
      </c>
    </row>
    <row r="243" spans="1:18" ht="20.100000000000001" customHeight="1">
      <c r="A243" s="44" t="s">
        <v>83</v>
      </c>
      <c r="B243" s="44" t="s">
        <v>627</v>
      </c>
      <c r="C243" s="59">
        <v>0.38100000000000001</v>
      </c>
      <c r="D243" s="47">
        <v>34141.343999999997</v>
      </c>
      <c r="E243" s="47">
        <v>1.1159490382100952E-5</v>
      </c>
      <c r="F243" s="47">
        <v>1</v>
      </c>
      <c r="G243" s="49">
        <v>1</v>
      </c>
      <c r="H243" s="47">
        <v>1</v>
      </c>
      <c r="I243" s="48">
        <v>12.69</v>
      </c>
      <c r="J243" s="48">
        <v>35.590000000000003</v>
      </c>
      <c r="K243" s="48">
        <v>13.46</v>
      </c>
      <c r="L243" s="49">
        <v>6.46</v>
      </c>
      <c r="M243" s="72">
        <f t="shared" si="3"/>
        <v>1</v>
      </c>
      <c r="N243" s="36">
        <v>0.01</v>
      </c>
      <c r="O243" s="68">
        <v>-20.597500000000004</v>
      </c>
      <c r="P243" s="73">
        <v>5.75</v>
      </c>
      <c r="Q243" s="73">
        <f>'Trade Data'!F17</f>
        <v>0.18924668917039178</v>
      </c>
      <c r="R243" s="37">
        <v>1</v>
      </c>
    </row>
    <row r="244" spans="1:18" ht="20.100000000000001" customHeight="1">
      <c r="A244" s="44" t="s">
        <v>83</v>
      </c>
      <c r="B244" s="44" t="s">
        <v>626</v>
      </c>
      <c r="C244" s="59">
        <v>0</v>
      </c>
      <c r="D244" s="47">
        <v>55910.458000000006</v>
      </c>
      <c r="E244" s="47">
        <v>0</v>
      </c>
      <c r="F244" s="47">
        <v>0</v>
      </c>
      <c r="G244" s="49">
        <v>1</v>
      </c>
      <c r="H244" s="47">
        <v>1</v>
      </c>
      <c r="I244" s="48">
        <v>12.69</v>
      </c>
      <c r="J244" s="48">
        <v>35.590000000000003</v>
      </c>
      <c r="K244" s="48">
        <v>13.46</v>
      </c>
      <c r="L244" s="49">
        <v>6.46</v>
      </c>
      <c r="M244" s="72">
        <f t="shared" si="3"/>
        <v>1</v>
      </c>
      <c r="N244" s="36">
        <v>0.01</v>
      </c>
      <c r="O244" s="68">
        <v>-20.597500000000004</v>
      </c>
      <c r="P244" s="73">
        <v>5.75</v>
      </c>
      <c r="Q244" s="73">
        <f>'Trade Data'!F17</f>
        <v>0.18924668917039178</v>
      </c>
      <c r="R244" s="37">
        <v>1</v>
      </c>
    </row>
    <row r="245" spans="1:18" ht="20.100000000000001" customHeight="1">
      <c r="A245" s="44" t="s">
        <v>84</v>
      </c>
      <c r="B245" s="44" t="s">
        <v>625</v>
      </c>
      <c r="C245" s="59">
        <v>0</v>
      </c>
      <c r="D245" s="47">
        <v>10128.198</v>
      </c>
      <c r="E245" s="47">
        <v>0</v>
      </c>
      <c r="F245" s="47">
        <v>0</v>
      </c>
      <c r="G245" s="49">
        <v>0</v>
      </c>
      <c r="H245" s="47">
        <v>0</v>
      </c>
      <c r="I245" s="48">
        <v>12.75</v>
      </c>
      <c r="J245" s="48">
        <v>34.380000000000003</v>
      </c>
      <c r="K245" s="48">
        <v>18.07</v>
      </c>
      <c r="L245" s="49">
        <v>6.46</v>
      </c>
      <c r="M245" s="72">
        <f t="shared" si="3"/>
        <v>1</v>
      </c>
      <c r="N245" s="36">
        <v>0.01</v>
      </c>
      <c r="O245" s="68">
        <v>-25.307499999999997</v>
      </c>
      <c r="P245" s="73">
        <v>5.75</v>
      </c>
      <c r="Q245" s="73">
        <f>'Trade Data'!F17</f>
        <v>0.18924668917039178</v>
      </c>
      <c r="R245" s="35">
        <v>0</v>
      </c>
    </row>
    <row r="246" spans="1:18" ht="20.100000000000001" customHeight="1">
      <c r="A246" s="44" t="s">
        <v>84</v>
      </c>
      <c r="B246" s="44" t="s">
        <v>624</v>
      </c>
      <c r="C246" s="59">
        <v>0</v>
      </c>
      <c r="D246" s="47">
        <v>34141.343999999997</v>
      </c>
      <c r="E246" s="47">
        <v>0</v>
      </c>
      <c r="F246" s="47">
        <v>0</v>
      </c>
      <c r="G246" s="49">
        <v>1</v>
      </c>
      <c r="H246" s="47">
        <v>1</v>
      </c>
      <c r="I246" s="48">
        <v>12.75</v>
      </c>
      <c r="J246" s="48">
        <v>34.380000000000003</v>
      </c>
      <c r="K246" s="48">
        <v>18.07</v>
      </c>
      <c r="L246" s="49">
        <v>6.46</v>
      </c>
      <c r="M246" s="72">
        <f t="shared" si="3"/>
        <v>1</v>
      </c>
      <c r="N246" s="36">
        <v>0.01</v>
      </c>
      <c r="O246" s="68">
        <v>-25.307499999999997</v>
      </c>
      <c r="P246" s="73">
        <v>5.75</v>
      </c>
      <c r="Q246" s="73">
        <f>'Trade Data'!F17</f>
        <v>0.18924668917039178</v>
      </c>
      <c r="R246" s="35">
        <v>1</v>
      </c>
    </row>
    <row r="247" spans="1:18" ht="20.100000000000001" customHeight="1">
      <c r="A247" s="44" t="s">
        <v>84</v>
      </c>
      <c r="B247" s="44" t="s">
        <v>623</v>
      </c>
      <c r="C247" s="59">
        <v>0</v>
      </c>
      <c r="D247" s="47">
        <v>55910.458000000006</v>
      </c>
      <c r="E247" s="47">
        <v>0</v>
      </c>
      <c r="F247" s="47">
        <v>0</v>
      </c>
      <c r="G247" s="49">
        <v>0</v>
      </c>
      <c r="H247" s="47">
        <v>0</v>
      </c>
      <c r="I247" s="48">
        <v>12.75</v>
      </c>
      <c r="J247" s="48">
        <v>34.380000000000003</v>
      </c>
      <c r="K247" s="48">
        <v>18.07</v>
      </c>
      <c r="L247" s="49">
        <v>6.46</v>
      </c>
      <c r="M247" s="72">
        <f t="shared" ref="M247:M307" si="4">N247*100</f>
        <v>1</v>
      </c>
      <c r="N247" s="36">
        <v>0.01</v>
      </c>
      <c r="O247" s="68">
        <v>-25.307499999999997</v>
      </c>
      <c r="P247" s="73">
        <v>5.75</v>
      </c>
      <c r="Q247" s="73">
        <f>'Trade Data'!F17</f>
        <v>0.18924668917039178</v>
      </c>
      <c r="R247" s="35">
        <v>1</v>
      </c>
    </row>
    <row r="248" spans="1:18" ht="20.100000000000001" customHeight="1">
      <c r="A248" s="44" t="s">
        <v>85</v>
      </c>
      <c r="B248" s="44" t="s">
        <v>622</v>
      </c>
      <c r="C248" s="59">
        <v>0</v>
      </c>
      <c r="D248" s="47">
        <v>10200.540000000001</v>
      </c>
      <c r="E248" s="47">
        <v>0</v>
      </c>
      <c r="F248" s="47">
        <v>0</v>
      </c>
      <c r="G248" s="49">
        <v>0</v>
      </c>
      <c r="H248" s="47">
        <v>0</v>
      </c>
      <c r="I248" s="48">
        <v>9.73</v>
      </c>
      <c r="J248" s="48">
        <v>44.05</v>
      </c>
      <c r="K248" s="49">
        <v>5.41</v>
      </c>
      <c r="L248" s="49">
        <v>6.46</v>
      </c>
      <c r="M248" s="72">
        <f t="shared" si="4"/>
        <v>1</v>
      </c>
      <c r="N248" s="36">
        <v>0.01</v>
      </c>
      <c r="O248" s="68">
        <v>-21.217500000000001</v>
      </c>
      <c r="P248" s="73">
        <v>5.75</v>
      </c>
      <c r="Q248" s="73">
        <f>'Trade Data'!F17</f>
        <v>0.18924668917039178</v>
      </c>
      <c r="R248" s="37">
        <v>0</v>
      </c>
    </row>
    <row r="249" spans="1:18" ht="20.100000000000001" customHeight="1">
      <c r="A249" s="44" t="s">
        <v>85</v>
      </c>
      <c r="B249" s="44" t="s">
        <v>621</v>
      </c>
      <c r="C249" s="59">
        <v>0</v>
      </c>
      <c r="D249" s="47">
        <v>32694.539999999997</v>
      </c>
      <c r="E249" s="47">
        <v>0</v>
      </c>
      <c r="F249" s="47">
        <v>0</v>
      </c>
      <c r="G249" s="49">
        <v>1</v>
      </c>
      <c r="H249" s="47">
        <v>2</v>
      </c>
      <c r="I249" s="48">
        <v>9.73</v>
      </c>
      <c r="J249" s="48">
        <v>44.05</v>
      </c>
      <c r="K249" s="49">
        <v>5.41</v>
      </c>
      <c r="L249" s="49">
        <v>6.46</v>
      </c>
      <c r="M249" s="72">
        <f t="shared" si="4"/>
        <v>1</v>
      </c>
      <c r="N249" s="36">
        <v>0.01</v>
      </c>
      <c r="O249" s="68">
        <v>-21.217500000000001</v>
      </c>
      <c r="P249" s="73">
        <v>5.75</v>
      </c>
      <c r="Q249" s="73">
        <f>'Trade Data'!F17</f>
        <v>0.18924668917039178</v>
      </c>
      <c r="R249" s="37">
        <v>1</v>
      </c>
    </row>
    <row r="250" spans="1:18" ht="20.100000000000001" customHeight="1">
      <c r="A250" s="44" t="s">
        <v>85</v>
      </c>
      <c r="B250" s="44" t="s">
        <v>620</v>
      </c>
      <c r="C250" s="59">
        <v>0</v>
      </c>
      <c r="D250" s="47">
        <v>54904.92</v>
      </c>
      <c r="E250" s="47">
        <v>0</v>
      </c>
      <c r="F250" s="47">
        <v>0</v>
      </c>
      <c r="G250" s="49">
        <v>0</v>
      </c>
      <c r="H250" s="47">
        <v>0</v>
      </c>
      <c r="I250" s="48">
        <v>9.73</v>
      </c>
      <c r="J250" s="48">
        <v>44.05</v>
      </c>
      <c r="K250" s="49">
        <v>5.41</v>
      </c>
      <c r="L250" s="49">
        <v>6.46</v>
      </c>
      <c r="M250" s="72">
        <f t="shared" si="4"/>
        <v>1</v>
      </c>
      <c r="N250" s="36">
        <v>0.01</v>
      </c>
      <c r="O250" s="68">
        <v>-21.217500000000001</v>
      </c>
      <c r="P250" s="73">
        <v>5.75</v>
      </c>
      <c r="Q250" s="73">
        <f>'Trade Data'!F17</f>
        <v>0.18924668917039178</v>
      </c>
      <c r="R250" s="37">
        <v>1</v>
      </c>
    </row>
    <row r="251" spans="1:18" ht="20.100000000000001" customHeight="1">
      <c r="A251" s="44" t="s">
        <v>86</v>
      </c>
      <c r="B251" s="44" t="s">
        <v>619</v>
      </c>
      <c r="C251" s="59">
        <v>0</v>
      </c>
      <c r="D251" s="47">
        <v>10200.540000000001</v>
      </c>
      <c r="E251" s="47">
        <v>0</v>
      </c>
      <c r="F251" s="47">
        <v>0</v>
      </c>
      <c r="G251" s="49">
        <v>0</v>
      </c>
      <c r="H251" s="47">
        <v>0</v>
      </c>
      <c r="I251" s="48">
        <v>8.09</v>
      </c>
      <c r="J251" s="48">
        <v>31.46</v>
      </c>
      <c r="K251" s="48">
        <v>4.5199999999999996</v>
      </c>
      <c r="L251" s="49">
        <v>6.82</v>
      </c>
      <c r="M251" s="72">
        <f t="shared" si="4"/>
        <v>1</v>
      </c>
      <c r="N251" s="36">
        <v>0.01</v>
      </c>
      <c r="O251" s="68">
        <v>-23.203750000000003</v>
      </c>
      <c r="P251" s="73">
        <v>5.75</v>
      </c>
      <c r="Q251" s="73">
        <f>'Trade Data'!F17</f>
        <v>0.18924668917039178</v>
      </c>
      <c r="R251" s="35">
        <v>0</v>
      </c>
    </row>
    <row r="252" spans="1:18" ht="20.100000000000001" customHeight="1">
      <c r="A252" s="44" t="s">
        <v>86</v>
      </c>
      <c r="B252" s="44" t="s">
        <v>618</v>
      </c>
      <c r="C252" s="59">
        <v>0</v>
      </c>
      <c r="D252" s="47">
        <v>32694.539999999997</v>
      </c>
      <c r="E252" s="47">
        <v>0</v>
      </c>
      <c r="F252" s="47">
        <v>0</v>
      </c>
      <c r="G252" s="49">
        <v>0</v>
      </c>
      <c r="H252" s="47">
        <v>0</v>
      </c>
      <c r="I252" s="48">
        <v>8.09</v>
      </c>
      <c r="J252" s="48">
        <v>31.46</v>
      </c>
      <c r="K252" s="48">
        <v>4.5199999999999996</v>
      </c>
      <c r="L252" s="49">
        <v>6.82</v>
      </c>
      <c r="M252" s="72">
        <f t="shared" si="4"/>
        <v>1</v>
      </c>
      <c r="N252" s="36">
        <v>0.01</v>
      </c>
      <c r="O252" s="68">
        <v>-23.203750000000003</v>
      </c>
      <c r="P252" s="73">
        <v>5.75</v>
      </c>
      <c r="Q252" s="73">
        <f>'Trade Data'!F17</f>
        <v>0.18924668917039178</v>
      </c>
      <c r="R252" s="35">
        <v>1</v>
      </c>
    </row>
    <row r="253" spans="1:18" ht="20.100000000000001" customHeight="1">
      <c r="A253" s="44" t="s">
        <v>86</v>
      </c>
      <c r="B253" s="44" t="s">
        <v>617</v>
      </c>
      <c r="C253" s="59">
        <v>0</v>
      </c>
      <c r="D253" s="47">
        <v>54904.92</v>
      </c>
      <c r="E253" s="47">
        <v>0</v>
      </c>
      <c r="F253" s="47">
        <v>0</v>
      </c>
      <c r="G253" s="49">
        <v>1</v>
      </c>
      <c r="H253" s="47">
        <v>1</v>
      </c>
      <c r="I253" s="48">
        <v>8.09</v>
      </c>
      <c r="J253" s="48">
        <v>31.46</v>
      </c>
      <c r="K253" s="48">
        <v>4.5199999999999996</v>
      </c>
      <c r="L253" s="49">
        <v>6.82</v>
      </c>
      <c r="M253" s="72">
        <f t="shared" si="4"/>
        <v>1</v>
      </c>
      <c r="N253" s="36">
        <v>0.01</v>
      </c>
      <c r="O253" s="68">
        <v>-23.203750000000003</v>
      </c>
      <c r="P253" s="73">
        <v>5.75</v>
      </c>
      <c r="Q253" s="73">
        <f>'Trade Data'!F17</f>
        <v>0.18924668917039178</v>
      </c>
      <c r="R253" s="35">
        <v>1</v>
      </c>
    </row>
    <row r="254" spans="1:18" ht="20.100000000000001" customHeight="1">
      <c r="A254" s="44" t="s">
        <v>87</v>
      </c>
      <c r="B254" s="44" t="s">
        <v>616</v>
      </c>
      <c r="C254" s="59">
        <v>0</v>
      </c>
      <c r="D254" s="47">
        <v>10200.540000000001</v>
      </c>
      <c r="E254" s="47">
        <v>0</v>
      </c>
      <c r="F254" s="47">
        <v>0</v>
      </c>
      <c r="G254" s="49">
        <v>0</v>
      </c>
      <c r="H254" s="47">
        <v>0</v>
      </c>
      <c r="I254" s="48">
        <v>7.99</v>
      </c>
      <c r="J254" s="48">
        <v>29.73</v>
      </c>
      <c r="K254" s="48">
        <v>7.12</v>
      </c>
      <c r="L254" s="49">
        <v>6.82</v>
      </c>
      <c r="M254" s="72">
        <f t="shared" si="4"/>
        <v>-1.6</v>
      </c>
      <c r="N254" s="36">
        <v>-1.6E-2</v>
      </c>
      <c r="O254" s="68">
        <v>-28.634999999999998</v>
      </c>
      <c r="P254" s="73">
        <v>6.25</v>
      </c>
      <c r="Q254" s="73">
        <f>'Trade Data'!H17</f>
        <v>0.1716585196910696</v>
      </c>
      <c r="R254" s="37">
        <v>0</v>
      </c>
    </row>
    <row r="255" spans="1:18" ht="20.100000000000001" customHeight="1">
      <c r="A255" s="44" t="s">
        <v>87</v>
      </c>
      <c r="B255" s="44" t="s">
        <v>615</v>
      </c>
      <c r="C255" s="59">
        <v>0</v>
      </c>
      <c r="D255" s="47">
        <v>32694.539999999997</v>
      </c>
      <c r="E255" s="47">
        <v>0</v>
      </c>
      <c r="F255" s="47">
        <v>0</v>
      </c>
      <c r="G255" s="49">
        <v>1</v>
      </c>
      <c r="H255" s="47">
        <v>1</v>
      </c>
      <c r="I255" s="48">
        <v>7.99</v>
      </c>
      <c r="J255" s="48">
        <v>29.73</v>
      </c>
      <c r="K255" s="48">
        <v>7.12</v>
      </c>
      <c r="L255" s="49">
        <v>6.82</v>
      </c>
      <c r="M255" s="72">
        <f t="shared" si="4"/>
        <v>-1.6</v>
      </c>
      <c r="N255" s="36">
        <v>-1.6E-2</v>
      </c>
      <c r="O255" s="68">
        <v>-28.634999999999998</v>
      </c>
      <c r="P255" s="73">
        <v>6.25</v>
      </c>
      <c r="Q255" s="73">
        <f>'Trade Data'!H17</f>
        <v>0.1716585196910696</v>
      </c>
      <c r="R255" s="37">
        <v>1</v>
      </c>
    </row>
    <row r="256" spans="1:18" ht="20.100000000000001" customHeight="1">
      <c r="A256" s="44" t="s">
        <v>87</v>
      </c>
      <c r="B256" s="44" t="s">
        <v>614</v>
      </c>
      <c r="C256" s="59">
        <v>0</v>
      </c>
      <c r="D256" s="47">
        <v>54904.92</v>
      </c>
      <c r="E256" s="47">
        <v>0</v>
      </c>
      <c r="F256" s="47">
        <v>0</v>
      </c>
      <c r="G256" s="49">
        <v>0</v>
      </c>
      <c r="H256" s="47">
        <v>0</v>
      </c>
      <c r="I256" s="48">
        <v>7.99</v>
      </c>
      <c r="J256" s="48">
        <v>29.73</v>
      </c>
      <c r="K256" s="52">
        <v>7.12</v>
      </c>
      <c r="L256" s="49">
        <v>6.82</v>
      </c>
      <c r="M256" s="72">
        <f t="shared" si="4"/>
        <v>-1.6</v>
      </c>
      <c r="N256" s="36">
        <v>-1.6E-2</v>
      </c>
      <c r="O256" s="68">
        <v>-28.634999999999998</v>
      </c>
      <c r="P256" s="73">
        <v>6.25</v>
      </c>
      <c r="Q256" s="73">
        <f>'Trade Data'!H17</f>
        <v>0.1716585196910696</v>
      </c>
      <c r="R256" s="37">
        <v>1</v>
      </c>
    </row>
    <row r="257" spans="1:18" ht="20.100000000000001" customHeight="1">
      <c r="A257" s="44" t="s">
        <v>88</v>
      </c>
      <c r="B257" s="44" t="s">
        <v>613</v>
      </c>
      <c r="C257" s="59">
        <v>0</v>
      </c>
      <c r="D257" s="47">
        <v>10200.540000000001</v>
      </c>
      <c r="E257" s="47">
        <v>0</v>
      </c>
      <c r="F257" s="47">
        <v>0</v>
      </c>
      <c r="G257" s="49">
        <v>0</v>
      </c>
      <c r="H257" s="47">
        <v>0</v>
      </c>
      <c r="I257" s="48">
        <v>11.56</v>
      </c>
      <c r="J257" s="48">
        <v>32.729999999999997</v>
      </c>
      <c r="K257" s="52">
        <v>15.25</v>
      </c>
      <c r="L257" s="49">
        <v>6.82</v>
      </c>
      <c r="M257" s="72">
        <f t="shared" si="4"/>
        <v>-1.6</v>
      </c>
      <c r="N257" s="36">
        <v>-1.6E-2</v>
      </c>
      <c r="O257" s="68">
        <v>-23.411249999999995</v>
      </c>
      <c r="P257" s="73">
        <v>6.25</v>
      </c>
      <c r="Q257" s="73">
        <f>'Trade Data'!H17</f>
        <v>0.1716585196910696</v>
      </c>
      <c r="R257" s="35">
        <v>0</v>
      </c>
    </row>
    <row r="258" spans="1:18" ht="20.100000000000001" customHeight="1">
      <c r="A258" s="44" t="s">
        <v>88</v>
      </c>
      <c r="B258" s="44" t="s">
        <v>612</v>
      </c>
      <c r="C258" s="59">
        <v>275.05</v>
      </c>
      <c r="D258" s="47">
        <v>32694.539999999997</v>
      </c>
      <c r="E258" s="47">
        <v>8.4127196773528552E-3</v>
      </c>
      <c r="F258" s="47">
        <v>1</v>
      </c>
      <c r="G258" s="49">
        <v>1</v>
      </c>
      <c r="H258" s="47">
        <v>3</v>
      </c>
      <c r="I258" s="48">
        <v>11.56</v>
      </c>
      <c r="J258" s="48">
        <v>32.729999999999997</v>
      </c>
      <c r="K258" s="52">
        <v>15.25</v>
      </c>
      <c r="L258" s="49">
        <v>6.82</v>
      </c>
      <c r="M258" s="72">
        <f t="shared" si="4"/>
        <v>-1.6</v>
      </c>
      <c r="N258" s="36">
        <v>-1.6E-2</v>
      </c>
      <c r="O258" s="68">
        <v>-23.411249999999995</v>
      </c>
      <c r="P258" s="73">
        <v>6.25</v>
      </c>
      <c r="Q258" s="73">
        <f>'Trade Data'!H17</f>
        <v>0.1716585196910696</v>
      </c>
      <c r="R258" s="35">
        <v>1</v>
      </c>
    </row>
    <row r="259" spans="1:18" ht="20.100000000000001" customHeight="1">
      <c r="A259" s="44" t="s">
        <v>88</v>
      </c>
      <c r="B259" s="44" t="s">
        <v>611</v>
      </c>
      <c r="C259" s="59">
        <v>0</v>
      </c>
      <c r="D259" s="47">
        <v>54904.92</v>
      </c>
      <c r="E259" s="47">
        <v>0</v>
      </c>
      <c r="F259" s="47">
        <v>0</v>
      </c>
      <c r="G259" s="49">
        <v>0</v>
      </c>
      <c r="H259" s="47">
        <v>0</v>
      </c>
      <c r="I259" s="48">
        <v>11.56</v>
      </c>
      <c r="J259" s="48">
        <v>32.729999999999997</v>
      </c>
      <c r="K259" s="52">
        <v>15.25</v>
      </c>
      <c r="L259" s="49">
        <v>6.82</v>
      </c>
      <c r="M259" s="72">
        <f t="shared" si="4"/>
        <v>-1.6</v>
      </c>
      <c r="N259" s="36">
        <v>-1.6E-2</v>
      </c>
      <c r="O259" s="68">
        <v>-23.411249999999995</v>
      </c>
      <c r="P259" s="73">
        <v>6.25</v>
      </c>
      <c r="Q259" s="73">
        <f>'Trade Data'!H17</f>
        <v>0.1716585196910696</v>
      </c>
      <c r="R259" s="35">
        <v>1</v>
      </c>
    </row>
    <row r="260" spans="1:18" ht="20.100000000000001" customHeight="1">
      <c r="A260" s="44" t="s">
        <v>89</v>
      </c>
      <c r="B260" s="44" t="s">
        <v>610</v>
      </c>
      <c r="C260" s="59">
        <v>0</v>
      </c>
      <c r="D260" s="47">
        <v>64077</v>
      </c>
      <c r="E260" s="47">
        <v>0</v>
      </c>
      <c r="F260" s="47">
        <v>0</v>
      </c>
      <c r="G260" s="49">
        <v>0</v>
      </c>
      <c r="H260" s="47">
        <v>0</v>
      </c>
      <c r="I260" s="48">
        <v>9.7100000000000009</v>
      </c>
      <c r="J260" s="48">
        <v>22.85</v>
      </c>
      <c r="K260" s="52">
        <v>14.48</v>
      </c>
      <c r="L260" s="49">
        <v>6.82</v>
      </c>
      <c r="M260" s="72">
        <f t="shared" si="4"/>
        <v>-1.6</v>
      </c>
      <c r="N260" s="36">
        <v>-1.6E-2</v>
      </c>
      <c r="O260" s="68">
        <v>-23.627500000000005</v>
      </c>
      <c r="P260" s="73">
        <v>6.25</v>
      </c>
      <c r="Q260" s="73">
        <f>'Trade Data'!H17</f>
        <v>0.1716585196910696</v>
      </c>
      <c r="R260" s="37">
        <v>0</v>
      </c>
    </row>
    <row r="261" spans="1:18" ht="20.100000000000001" customHeight="1">
      <c r="A261" s="44" t="s">
        <v>89</v>
      </c>
      <c r="B261" s="44" t="s">
        <v>609</v>
      </c>
      <c r="C261" s="59">
        <v>0.91500000000000004</v>
      </c>
      <c r="D261" s="47">
        <v>333200.40000000002</v>
      </c>
      <c r="E261" s="47">
        <v>2.7460951427429256E-6</v>
      </c>
      <c r="F261" s="47">
        <v>1</v>
      </c>
      <c r="G261" s="49">
        <v>1</v>
      </c>
      <c r="H261" s="47">
        <v>1</v>
      </c>
      <c r="I261" s="48">
        <v>9.7100000000000009</v>
      </c>
      <c r="J261" s="48">
        <v>22.85</v>
      </c>
      <c r="K261" s="52">
        <v>14.48</v>
      </c>
      <c r="L261" s="49">
        <v>6.82</v>
      </c>
      <c r="M261" s="72">
        <f t="shared" si="4"/>
        <v>-1.6</v>
      </c>
      <c r="N261" s="36">
        <v>-1.6E-2</v>
      </c>
      <c r="O261" s="68">
        <v>-23.627500000000005</v>
      </c>
      <c r="P261" s="73">
        <v>6.25</v>
      </c>
      <c r="Q261" s="73">
        <f>'Trade Data'!H17</f>
        <v>0.1716585196910696</v>
      </c>
      <c r="R261" s="37">
        <v>1</v>
      </c>
    </row>
    <row r="262" spans="1:18" ht="20.100000000000001" customHeight="1">
      <c r="A262" s="44" t="s">
        <v>89</v>
      </c>
      <c r="B262" s="44" t="s">
        <v>608</v>
      </c>
      <c r="C262" s="59">
        <v>0</v>
      </c>
      <c r="D262" s="47">
        <v>588522.6</v>
      </c>
      <c r="E262" s="47">
        <v>0</v>
      </c>
      <c r="F262" s="47">
        <v>0</v>
      </c>
      <c r="G262" s="49">
        <v>0</v>
      </c>
      <c r="H262" s="47">
        <v>0</v>
      </c>
      <c r="I262" s="48">
        <v>9.7100000000000009</v>
      </c>
      <c r="J262" s="48">
        <v>22.85</v>
      </c>
      <c r="K262" s="52">
        <v>14.48</v>
      </c>
      <c r="L262" s="49">
        <v>6.82</v>
      </c>
      <c r="M262" s="72">
        <f t="shared" si="4"/>
        <v>-1.6</v>
      </c>
      <c r="N262" s="36">
        <v>-1.6E-2</v>
      </c>
      <c r="O262" s="68">
        <v>-23.627500000000005</v>
      </c>
      <c r="P262" s="73">
        <v>6.25</v>
      </c>
      <c r="Q262" s="73">
        <f>'Trade Data'!H17</f>
        <v>0.1716585196910696</v>
      </c>
      <c r="R262" s="37">
        <v>1</v>
      </c>
    </row>
    <row r="263" spans="1:18" ht="20.100000000000001" customHeight="1">
      <c r="A263" s="44" t="s">
        <v>90</v>
      </c>
      <c r="B263" s="44" t="s">
        <v>607</v>
      </c>
      <c r="C263" s="59">
        <v>0</v>
      </c>
      <c r="D263" s="47">
        <v>64077</v>
      </c>
      <c r="E263" s="47">
        <v>0</v>
      </c>
      <c r="F263" s="47">
        <v>0</v>
      </c>
      <c r="G263" s="49">
        <v>0</v>
      </c>
      <c r="H263" s="47">
        <v>0</v>
      </c>
      <c r="I263" s="48">
        <v>9.1999999999999993</v>
      </c>
      <c r="J263" s="48">
        <v>31.76</v>
      </c>
      <c r="K263" s="48">
        <v>7.19</v>
      </c>
      <c r="L263" s="49">
        <v>7.21</v>
      </c>
      <c r="M263" s="72">
        <f t="shared" si="4"/>
        <v>-1.6</v>
      </c>
      <c r="N263" s="36">
        <v>-1.6E-2</v>
      </c>
      <c r="O263" s="68">
        <v>-20.807500000000001</v>
      </c>
      <c r="P263" s="73">
        <v>6.25</v>
      </c>
      <c r="Q263" s="73">
        <f>'Trade Data'!H17</f>
        <v>0.1716585196910696</v>
      </c>
      <c r="R263" s="35">
        <v>0</v>
      </c>
    </row>
    <row r="264" spans="1:18" ht="20.100000000000001" customHeight="1">
      <c r="A264" s="44" t="s">
        <v>90</v>
      </c>
      <c r="B264" s="44" t="s">
        <v>606</v>
      </c>
      <c r="C264" s="59">
        <v>119</v>
      </c>
      <c r="D264" s="47">
        <v>333200.40000000002</v>
      </c>
      <c r="E264" s="47">
        <v>3.5714242840044605E-4</v>
      </c>
      <c r="F264" s="47">
        <v>1</v>
      </c>
      <c r="G264" s="49">
        <v>1</v>
      </c>
      <c r="H264" s="47">
        <v>1</v>
      </c>
      <c r="I264" s="48">
        <v>9.1999999999999993</v>
      </c>
      <c r="J264" s="48">
        <v>31.76</v>
      </c>
      <c r="K264" s="48">
        <v>7.19</v>
      </c>
      <c r="L264" s="49">
        <v>7.21</v>
      </c>
      <c r="M264" s="72">
        <f t="shared" si="4"/>
        <v>-1.6</v>
      </c>
      <c r="N264" s="36">
        <v>-1.6E-2</v>
      </c>
      <c r="O264" s="68">
        <v>-20.807500000000001</v>
      </c>
      <c r="P264" s="73">
        <v>6.25</v>
      </c>
      <c r="Q264" s="73">
        <f>'Trade Data'!H17</f>
        <v>0.1716585196910696</v>
      </c>
      <c r="R264" s="35">
        <v>1</v>
      </c>
    </row>
    <row r="265" spans="1:18" ht="20.100000000000001" customHeight="1">
      <c r="A265" s="44" t="s">
        <v>90</v>
      </c>
      <c r="B265" s="44" t="s">
        <v>605</v>
      </c>
      <c r="C265" s="59">
        <v>0</v>
      </c>
      <c r="D265" s="47">
        <v>588522.6</v>
      </c>
      <c r="E265" s="47">
        <v>0</v>
      </c>
      <c r="F265" s="47">
        <v>0</v>
      </c>
      <c r="G265" s="49">
        <v>0</v>
      </c>
      <c r="H265" s="47">
        <v>0</v>
      </c>
      <c r="I265" s="48">
        <v>9.1999999999999993</v>
      </c>
      <c r="J265" s="48">
        <v>31.76</v>
      </c>
      <c r="K265" s="48">
        <v>7.19</v>
      </c>
      <c r="L265" s="49">
        <v>7.21</v>
      </c>
      <c r="M265" s="72">
        <f t="shared" si="4"/>
        <v>-1.6</v>
      </c>
      <c r="N265" s="36">
        <v>-1.6E-2</v>
      </c>
      <c r="O265" s="68">
        <v>-20.807500000000001</v>
      </c>
      <c r="P265" s="73">
        <v>6.25</v>
      </c>
      <c r="Q265" s="73">
        <f>'Trade Data'!H17</f>
        <v>0.1716585196910696</v>
      </c>
      <c r="R265" s="35">
        <v>1</v>
      </c>
    </row>
    <row r="266" spans="1:18" ht="20.100000000000001" customHeight="1">
      <c r="A266" s="44" t="s">
        <v>91</v>
      </c>
      <c r="B266" s="44" t="s">
        <v>604</v>
      </c>
      <c r="C266" s="59">
        <v>0</v>
      </c>
      <c r="D266" s="47">
        <v>64077</v>
      </c>
      <c r="E266" s="47">
        <v>0</v>
      </c>
      <c r="F266" s="47">
        <v>0</v>
      </c>
      <c r="G266" s="49">
        <v>0</v>
      </c>
      <c r="H266" s="47">
        <v>0</v>
      </c>
      <c r="I266" s="56">
        <v>11.61</v>
      </c>
      <c r="J266" s="56">
        <v>48.61</v>
      </c>
      <c r="K266" s="48">
        <v>6.47</v>
      </c>
      <c r="L266" s="49">
        <v>7.21</v>
      </c>
      <c r="M266" s="72">
        <f t="shared" si="4"/>
        <v>2.9000000000000004</v>
      </c>
      <c r="N266" s="36">
        <v>2.9000000000000001E-2</v>
      </c>
      <c r="O266" s="68">
        <v>-23.64</v>
      </c>
      <c r="P266" s="73">
        <v>5.69</v>
      </c>
      <c r="Q266" s="73">
        <f>'Trade Data'!J17</f>
        <v>0.17936201392434084</v>
      </c>
      <c r="R266" s="37">
        <v>0</v>
      </c>
    </row>
    <row r="267" spans="1:18" ht="20.100000000000001" customHeight="1">
      <c r="A267" s="44" t="s">
        <v>91</v>
      </c>
      <c r="B267" s="44" t="s">
        <v>603</v>
      </c>
      <c r="C267" s="59">
        <v>0</v>
      </c>
      <c r="D267" s="47">
        <v>333200.40000000002</v>
      </c>
      <c r="E267" s="47">
        <v>0</v>
      </c>
      <c r="F267" s="47">
        <v>0</v>
      </c>
      <c r="G267" s="49">
        <v>0</v>
      </c>
      <c r="H267" s="47">
        <v>0</v>
      </c>
      <c r="I267" s="56">
        <v>11.61</v>
      </c>
      <c r="J267" s="56">
        <v>48.61</v>
      </c>
      <c r="K267" s="48">
        <v>6.47</v>
      </c>
      <c r="L267" s="49">
        <v>7.21</v>
      </c>
      <c r="M267" s="72">
        <f t="shared" si="4"/>
        <v>2.9000000000000004</v>
      </c>
      <c r="N267" s="36">
        <v>2.9000000000000001E-2</v>
      </c>
      <c r="O267" s="68">
        <v>-23.64</v>
      </c>
      <c r="P267" s="73">
        <v>5.69</v>
      </c>
      <c r="Q267" s="73">
        <f>'Trade Data'!J17</f>
        <v>0.17936201392434084</v>
      </c>
      <c r="R267" s="37">
        <v>1</v>
      </c>
    </row>
    <row r="268" spans="1:18" ht="20.100000000000001" customHeight="1">
      <c r="A268" s="44" t="s">
        <v>91</v>
      </c>
      <c r="B268" s="44" t="s">
        <v>602</v>
      </c>
      <c r="C268" s="59">
        <v>0</v>
      </c>
      <c r="D268" s="47">
        <v>588522.6</v>
      </c>
      <c r="E268" s="47">
        <v>0</v>
      </c>
      <c r="F268" s="47">
        <v>0</v>
      </c>
      <c r="G268" s="49">
        <v>0</v>
      </c>
      <c r="H268" s="47">
        <v>0</v>
      </c>
      <c r="I268" s="56">
        <v>11.61</v>
      </c>
      <c r="J268" s="56">
        <v>48.61</v>
      </c>
      <c r="K268" s="48">
        <v>6.47</v>
      </c>
      <c r="L268" s="49">
        <v>7.21</v>
      </c>
      <c r="M268" s="72">
        <f t="shared" si="4"/>
        <v>2.9000000000000004</v>
      </c>
      <c r="N268" s="36">
        <v>2.9000000000000001E-2</v>
      </c>
      <c r="O268" s="68">
        <v>-23.64</v>
      </c>
      <c r="P268" s="73">
        <v>5.69</v>
      </c>
      <c r="Q268" s="73">
        <f>'Trade Data'!J17</f>
        <v>0.17936201392434084</v>
      </c>
      <c r="R268" s="37">
        <v>1</v>
      </c>
    </row>
    <row r="269" spans="1:18" ht="20.100000000000001" customHeight="1">
      <c r="A269" s="44" t="s">
        <v>92</v>
      </c>
      <c r="B269" s="44" t="s">
        <v>861</v>
      </c>
      <c r="C269" s="59">
        <v>0</v>
      </c>
      <c r="D269" s="47">
        <v>64077</v>
      </c>
      <c r="E269" s="47">
        <v>0</v>
      </c>
      <c r="F269" s="47">
        <v>0</v>
      </c>
      <c r="G269" s="49">
        <v>0</v>
      </c>
      <c r="H269" s="47">
        <v>0</v>
      </c>
      <c r="I269" s="48">
        <v>17.98</v>
      </c>
      <c r="J269" s="48">
        <v>51.35</v>
      </c>
      <c r="K269" s="48">
        <v>19.940000000000001</v>
      </c>
      <c r="L269" s="49">
        <v>7.21</v>
      </c>
      <c r="M269" s="72">
        <f t="shared" si="4"/>
        <v>2.9000000000000004</v>
      </c>
      <c r="N269" s="36">
        <v>2.9000000000000001E-2</v>
      </c>
      <c r="O269" s="68">
        <v>-13.66375</v>
      </c>
      <c r="P269" s="73">
        <v>5.69</v>
      </c>
      <c r="Q269" s="73">
        <f>'Trade Data'!J17</f>
        <v>0.17936201392434084</v>
      </c>
      <c r="R269" s="35">
        <v>0</v>
      </c>
    </row>
    <row r="270" spans="1:18" ht="20.100000000000001" customHeight="1">
      <c r="A270" s="44" t="s">
        <v>92</v>
      </c>
      <c r="B270" s="44" t="s">
        <v>862</v>
      </c>
      <c r="C270" s="59">
        <v>42.2</v>
      </c>
      <c r="D270" s="47">
        <v>333200.40000000002</v>
      </c>
      <c r="E270" s="47">
        <v>1.2665050822267921E-4</v>
      </c>
      <c r="F270" s="47">
        <v>1</v>
      </c>
      <c r="G270" s="49">
        <v>1</v>
      </c>
      <c r="H270" s="47">
        <v>1</v>
      </c>
      <c r="I270" s="48">
        <v>17.98</v>
      </c>
      <c r="J270" s="48">
        <v>51.35</v>
      </c>
      <c r="K270" s="48">
        <v>19.940000000000001</v>
      </c>
      <c r="L270" s="49">
        <v>7.21</v>
      </c>
      <c r="M270" s="72">
        <f t="shared" si="4"/>
        <v>2.9000000000000004</v>
      </c>
      <c r="N270" s="36">
        <v>2.9000000000000001E-2</v>
      </c>
      <c r="O270" s="68">
        <v>-13.66375</v>
      </c>
      <c r="P270" s="73">
        <v>5.69</v>
      </c>
      <c r="Q270" s="73">
        <f>'Trade Data'!J17</f>
        <v>0.17936201392434084</v>
      </c>
      <c r="R270" s="35">
        <v>1</v>
      </c>
    </row>
    <row r="271" spans="1:18" ht="20.100000000000001" customHeight="1">
      <c r="A271" s="44" t="s">
        <v>92</v>
      </c>
      <c r="B271" s="44" t="s">
        <v>863</v>
      </c>
      <c r="C271" s="59">
        <v>0</v>
      </c>
      <c r="D271" s="47">
        <v>588522.6</v>
      </c>
      <c r="E271" s="47">
        <v>0</v>
      </c>
      <c r="F271" s="47">
        <v>0</v>
      </c>
      <c r="G271" s="49">
        <v>0</v>
      </c>
      <c r="H271" s="47">
        <v>0</v>
      </c>
      <c r="I271" s="48">
        <v>17.98</v>
      </c>
      <c r="J271" s="48">
        <v>51.35</v>
      </c>
      <c r="K271" s="48">
        <v>19.940000000000001</v>
      </c>
      <c r="L271" s="49">
        <v>7.21</v>
      </c>
      <c r="M271" s="72">
        <f t="shared" si="4"/>
        <v>2.9000000000000004</v>
      </c>
      <c r="N271" s="36">
        <v>2.9000000000000001E-2</v>
      </c>
      <c r="O271" s="68">
        <v>-13.66375</v>
      </c>
      <c r="P271" s="73">
        <v>5.69</v>
      </c>
      <c r="Q271" s="73">
        <f>'Trade Data'!J17</f>
        <v>0.17936201392434084</v>
      </c>
      <c r="R271" s="35">
        <v>1</v>
      </c>
    </row>
    <row r="272" spans="1:18" ht="20.100000000000001" customHeight="1">
      <c r="A272" s="44" t="s">
        <v>94</v>
      </c>
      <c r="B272" s="44" t="s">
        <v>598</v>
      </c>
      <c r="C272" s="59">
        <v>0</v>
      </c>
      <c r="D272" s="47">
        <v>44352</v>
      </c>
      <c r="E272" s="47">
        <v>0</v>
      </c>
      <c r="F272" s="47">
        <v>0</v>
      </c>
      <c r="G272" s="49">
        <v>0</v>
      </c>
      <c r="H272" s="47">
        <v>0</v>
      </c>
      <c r="I272" s="48">
        <v>61.99</v>
      </c>
      <c r="J272" s="52">
        <v>61.25</v>
      </c>
      <c r="K272" s="49">
        <v>77.8</v>
      </c>
      <c r="L272" s="49">
        <v>39.020000000000003</v>
      </c>
      <c r="M272" s="72">
        <f t="shared" si="4"/>
        <v>1.4000000000000001</v>
      </c>
      <c r="N272" s="36">
        <v>1.4E-2</v>
      </c>
      <c r="O272" s="68">
        <v>17.652499999999996</v>
      </c>
      <c r="P272" s="73">
        <v>5.8</v>
      </c>
      <c r="Q272" s="73">
        <f>'Trade Data'!B20</f>
        <v>2.906327899488228</v>
      </c>
      <c r="R272" s="35">
        <v>0</v>
      </c>
    </row>
    <row r="273" spans="1:18" ht="20.100000000000001" customHeight="1">
      <c r="A273" s="44" t="s">
        <v>94</v>
      </c>
      <c r="B273" s="44" t="s">
        <v>597</v>
      </c>
      <c r="C273" s="59">
        <v>9.5019999999999989</v>
      </c>
      <c r="D273" s="47">
        <v>433439.99999999994</v>
      </c>
      <c r="E273" s="47">
        <v>2.1922296050203027E-5</v>
      </c>
      <c r="F273" s="47">
        <v>1</v>
      </c>
      <c r="G273" s="49">
        <v>1</v>
      </c>
      <c r="H273" s="47">
        <v>8</v>
      </c>
      <c r="I273" s="48">
        <v>61.99</v>
      </c>
      <c r="J273" s="52">
        <v>61.25</v>
      </c>
      <c r="K273" s="49">
        <v>77.8</v>
      </c>
      <c r="L273" s="49">
        <v>39.020000000000003</v>
      </c>
      <c r="M273" s="72">
        <f t="shared" si="4"/>
        <v>1.4000000000000001</v>
      </c>
      <c r="N273" s="36">
        <v>1.4E-2</v>
      </c>
      <c r="O273" s="68">
        <v>17.652499999999996</v>
      </c>
      <c r="P273" s="73">
        <v>5.8</v>
      </c>
      <c r="Q273" s="73">
        <f>'Trade Data'!B20</f>
        <v>2.906327899488228</v>
      </c>
      <c r="R273" s="35">
        <v>1</v>
      </c>
    </row>
    <row r="274" spans="1:18" ht="20.100000000000001" customHeight="1">
      <c r="A274" s="44" t="s">
        <v>94</v>
      </c>
      <c r="B274" s="44" t="s">
        <v>596</v>
      </c>
      <c r="C274" s="59">
        <v>1750.643</v>
      </c>
      <c r="D274" s="47">
        <v>782082</v>
      </c>
      <c r="E274" s="47">
        <v>2.2384391917983026E-3</v>
      </c>
      <c r="F274" s="47">
        <v>1</v>
      </c>
      <c r="G274" s="49">
        <v>1</v>
      </c>
      <c r="H274" s="47">
        <v>11</v>
      </c>
      <c r="I274" s="48">
        <v>61.99</v>
      </c>
      <c r="J274" s="52">
        <v>61.25</v>
      </c>
      <c r="K274" s="49">
        <v>77.8</v>
      </c>
      <c r="L274" s="49">
        <v>39.020000000000003</v>
      </c>
      <c r="M274" s="72">
        <f t="shared" si="4"/>
        <v>1.4000000000000001</v>
      </c>
      <c r="N274" s="36">
        <v>1.4E-2</v>
      </c>
      <c r="O274" s="68">
        <v>17.652499999999996</v>
      </c>
      <c r="P274" s="73">
        <v>5.8</v>
      </c>
      <c r="Q274" s="73">
        <f>'Trade Data'!B20</f>
        <v>2.906327899488228</v>
      </c>
      <c r="R274" s="35">
        <v>1</v>
      </c>
    </row>
    <row r="275" spans="1:18" ht="20.100000000000001" customHeight="1">
      <c r="A275" s="44" t="s">
        <v>95</v>
      </c>
      <c r="B275" s="44" t="s">
        <v>595</v>
      </c>
      <c r="C275" s="59">
        <v>0</v>
      </c>
      <c r="D275" s="47">
        <v>44352</v>
      </c>
      <c r="E275" s="47">
        <v>0</v>
      </c>
      <c r="F275" s="47">
        <v>0</v>
      </c>
      <c r="G275" s="49">
        <v>0</v>
      </c>
      <c r="H275" s="47">
        <v>0</v>
      </c>
      <c r="I275" s="48">
        <v>49.44</v>
      </c>
      <c r="J275" s="48">
        <v>32.67</v>
      </c>
      <c r="K275" s="52">
        <v>75.099999999999994</v>
      </c>
      <c r="L275" s="49">
        <v>39.020000000000003</v>
      </c>
      <c r="M275" s="72">
        <f t="shared" si="4"/>
        <v>1.4000000000000001</v>
      </c>
      <c r="N275" s="36">
        <v>1.4E-2</v>
      </c>
      <c r="O275" s="68">
        <v>15.878749999999997</v>
      </c>
      <c r="P275" s="73">
        <v>5.8</v>
      </c>
      <c r="Q275" s="73">
        <f>'Trade Data'!B20</f>
        <v>2.906327899488228</v>
      </c>
      <c r="R275" s="37">
        <v>0</v>
      </c>
    </row>
    <row r="276" spans="1:18" ht="20.100000000000001" customHeight="1">
      <c r="A276" s="44" t="s">
        <v>95</v>
      </c>
      <c r="B276" s="44" t="s">
        <v>594</v>
      </c>
      <c r="C276" s="59">
        <v>208.91000000000003</v>
      </c>
      <c r="D276" s="47">
        <v>433439.99999999994</v>
      </c>
      <c r="E276" s="47">
        <v>4.8198135843484694E-4</v>
      </c>
      <c r="F276" s="47">
        <v>1</v>
      </c>
      <c r="G276" s="49">
        <v>1</v>
      </c>
      <c r="H276" s="47">
        <v>18</v>
      </c>
      <c r="I276" s="48">
        <v>49.44</v>
      </c>
      <c r="J276" s="48">
        <v>32.67</v>
      </c>
      <c r="K276" s="52">
        <v>75.099999999999994</v>
      </c>
      <c r="L276" s="49">
        <v>39.020000000000003</v>
      </c>
      <c r="M276" s="72">
        <f t="shared" si="4"/>
        <v>1.4000000000000001</v>
      </c>
      <c r="N276" s="36">
        <v>1.4E-2</v>
      </c>
      <c r="O276" s="68">
        <v>15.878749999999997</v>
      </c>
      <c r="P276" s="73">
        <v>5.8</v>
      </c>
      <c r="Q276" s="73">
        <f>'Trade Data'!B20</f>
        <v>2.906327899488228</v>
      </c>
      <c r="R276" s="37">
        <v>1</v>
      </c>
    </row>
    <row r="277" spans="1:18" ht="20.100000000000001" customHeight="1">
      <c r="A277" s="44" t="s">
        <v>95</v>
      </c>
      <c r="B277" s="44" t="s">
        <v>593</v>
      </c>
      <c r="C277" s="59">
        <v>679.221</v>
      </c>
      <c r="D277" s="47">
        <v>782082</v>
      </c>
      <c r="E277" s="47">
        <v>8.684779856843656E-4</v>
      </c>
      <c r="F277" s="47">
        <v>1</v>
      </c>
      <c r="G277" s="49">
        <v>1</v>
      </c>
      <c r="H277" s="47">
        <v>12</v>
      </c>
      <c r="I277" s="48">
        <v>49.44</v>
      </c>
      <c r="J277" s="48">
        <v>32.67</v>
      </c>
      <c r="K277" s="52">
        <v>75.099999999999994</v>
      </c>
      <c r="L277" s="49">
        <v>39.020000000000003</v>
      </c>
      <c r="M277" s="72">
        <f t="shared" si="4"/>
        <v>1.4000000000000001</v>
      </c>
      <c r="N277" s="36">
        <v>1.4E-2</v>
      </c>
      <c r="O277" s="68">
        <v>15.878749999999997</v>
      </c>
      <c r="P277" s="73">
        <v>5.8</v>
      </c>
      <c r="Q277" s="73">
        <f>'Trade Data'!B20</f>
        <v>2.906327899488228</v>
      </c>
      <c r="R277" s="37">
        <v>1</v>
      </c>
    </row>
    <row r="278" spans="1:18" ht="20.100000000000001" customHeight="1">
      <c r="A278" s="44" t="s">
        <v>96</v>
      </c>
      <c r="B278" s="44" t="s">
        <v>592</v>
      </c>
      <c r="C278" s="59">
        <v>0</v>
      </c>
      <c r="D278" s="47">
        <v>46020</v>
      </c>
      <c r="E278" s="47">
        <v>0</v>
      </c>
      <c r="F278" s="47">
        <v>0</v>
      </c>
      <c r="G278" s="49">
        <v>0</v>
      </c>
      <c r="H278" s="47">
        <v>0</v>
      </c>
      <c r="I278" s="48">
        <v>46.97</v>
      </c>
      <c r="J278" s="48">
        <v>30.92</v>
      </c>
      <c r="K278" s="52">
        <v>71.8</v>
      </c>
      <c r="L278" s="49">
        <v>39.020000000000003</v>
      </c>
      <c r="M278" s="72">
        <f t="shared" si="4"/>
        <v>1.4000000000000001</v>
      </c>
      <c r="N278" s="36">
        <v>1.4E-2</v>
      </c>
      <c r="O278" s="68">
        <v>5.8137499999999989</v>
      </c>
      <c r="P278" s="73">
        <v>5.8</v>
      </c>
      <c r="Q278" s="73">
        <f>'Trade Data'!B20</f>
        <v>2.906327899488228</v>
      </c>
      <c r="R278" s="35">
        <v>0</v>
      </c>
    </row>
    <row r="279" spans="1:18" ht="20.100000000000001" customHeight="1">
      <c r="A279" s="44" t="s">
        <v>96</v>
      </c>
      <c r="B279" s="44" t="s">
        <v>591</v>
      </c>
      <c r="C279" s="59">
        <v>781.58399999999995</v>
      </c>
      <c r="D279" s="47">
        <v>446290</v>
      </c>
      <c r="E279" s="47">
        <v>1.7512917609626027E-3</v>
      </c>
      <c r="F279" s="47">
        <v>1</v>
      </c>
      <c r="G279" s="49">
        <v>1</v>
      </c>
      <c r="H279" s="47">
        <v>15</v>
      </c>
      <c r="I279" s="48">
        <v>46.97</v>
      </c>
      <c r="J279" s="48">
        <v>30.92</v>
      </c>
      <c r="K279" s="52">
        <v>71.8</v>
      </c>
      <c r="L279" s="49">
        <v>39.020000000000003</v>
      </c>
      <c r="M279" s="72">
        <f t="shared" si="4"/>
        <v>1.4000000000000001</v>
      </c>
      <c r="N279" s="36">
        <v>1.4E-2</v>
      </c>
      <c r="O279" s="68">
        <v>5.8137499999999989</v>
      </c>
      <c r="P279" s="73">
        <v>5.8</v>
      </c>
      <c r="Q279" s="73">
        <f>'Trade Data'!B20</f>
        <v>2.906327899488228</v>
      </c>
      <c r="R279" s="35">
        <v>1</v>
      </c>
    </row>
    <row r="280" spans="1:18" ht="20.100000000000001" customHeight="1">
      <c r="A280" s="44" t="s">
        <v>96</v>
      </c>
      <c r="B280" s="44" t="s">
        <v>590</v>
      </c>
      <c r="C280" s="59">
        <v>364.98400000000004</v>
      </c>
      <c r="D280" s="47">
        <v>807690</v>
      </c>
      <c r="E280" s="47">
        <v>4.5188624348450527E-4</v>
      </c>
      <c r="F280" s="47">
        <v>1</v>
      </c>
      <c r="G280" s="49">
        <v>1</v>
      </c>
      <c r="H280" s="47">
        <v>7</v>
      </c>
      <c r="I280" s="48">
        <v>46.97</v>
      </c>
      <c r="J280" s="48">
        <v>30.92</v>
      </c>
      <c r="K280" s="52">
        <v>71.8</v>
      </c>
      <c r="L280" s="49">
        <v>39.020000000000003</v>
      </c>
      <c r="M280" s="72">
        <f t="shared" si="4"/>
        <v>1.4000000000000001</v>
      </c>
      <c r="N280" s="36">
        <v>1.4E-2</v>
      </c>
      <c r="O280" s="68">
        <v>5.8137499999999989</v>
      </c>
      <c r="P280" s="73">
        <v>5.8</v>
      </c>
      <c r="Q280" s="73">
        <f>'Trade Data'!B20</f>
        <v>2.906327899488228</v>
      </c>
      <c r="R280" s="35">
        <v>1</v>
      </c>
    </row>
    <row r="281" spans="1:18" ht="20.100000000000001" customHeight="1">
      <c r="A281" s="44" t="s">
        <v>97</v>
      </c>
      <c r="B281" s="44" t="s">
        <v>589</v>
      </c>
      <c r="C281" s="59">
        <v>0</v>
      </c>
      <c r="D281" s="47">
        <v>46020</v>
      </c>
      <c r="E281" s="47">
        <v>0</v>
      </c>
      <c r="F281" s="47">
        <v>0</v>
      </c>
      <c r="G281" s="49">
        <v>0</v>
      </c>
      <c r="H281" s="47">
        <v>0</v>
      </c>
      <c r="I281" s="48">
        <v>52.53</v>
      </c>
      <c r="J281" s="48">
        <v>45.44</v>
      </c>
      <c r="K281" s="52">
        <v>71.56</v>
      </c>
      <c r="L281" s="49">
        <v>39.020000000000003</v>
      </c>
      <c r="M281" s="72">
        <f t="shared" si="4"/>
        <v>1.4000000000000001</v>
      </c>
      <c r="N281" s="36">
        <v>1.4E-2</v>
      </c>
      <c r="O281" s="68">
        <v>16.162500000000001</v>
      </c>
      <c r="P281" s="73">
        <v>5.8</v>
      </c>
      <c r="Q281" s="73">
        <f>'Trade Data'!B20</f>
        <v>2.906327899488228</v>
      </c>
      <c r="R281" s="37">
        <v>0</v>
      </c>
    </row>
    <row r="282" spans="1:18" ht="20.100000000000001" customHeight="1">
      <c r="A282" s="44" t="s">
        <v>97</v>
      </c>
      <c r="B282" s="44" t="s">
        <v>588</v>
      </c>
      <c r="C282" s="59">
        <v>2645.5909999999999</v>
      </c>
      <c r="D282" s="47">
        <v>446290</v>
      </c>
      <c r="E282" s="47">
        <v>5.9279638799883483E-3</v>
      </c>
      <c r="F282" s="47">
        <v>1</v>
      </c>
      <c r="G282" s="49">
        <v>1</v>
      </c>
      <c r="H282" s="47">
        <v>12</v>
      </c>
      <c r="I282" s="48">
        <v>52.53</v>
      </c>
      <c r="J282" s="48">
        <v>45.44</v>
      </c>
      <c r="K282" s="52">
        <v>71.56</v>
      </c>
      <c r="L282" s="49">
        <v>39.020000000000003</v>
      </c>
      <c r="M282" s="72">
        <f t="shared" si="4"/>
        <v>1.4000000000000001</v>
      </c>
      <c r="N282" s="36">
        <v>1.4E-2</v>
      </c>
      <c r="O282" s="68">
        <v>16.162500000000001</v>
      </c>
      <c r="P282" s="73">
        <v>5.8</v>
      </c>
      <c r="Q282" s="73">
        <f>'Trade Data'!B20</f>
        <v>2.906327899488228</v>
      </c>
      <c r="R282" s="37">
        <v>1</v>
      </c>
    </row>
    <row r="283" spans="1:18" ht="20.100000000000001" customHeight="1">
      <c r="A283" s="44" t="s">
        <v>97</v>
      </c>
      <c r="B283" s="44" t="s">
        <v>587</v>
      </c>
      <c r="C283" s="59">
        <v>130.64099999999999</v>
      </c>
      <c r="D283" s="47">
        <v>807690</v>
      </c>
      <c r="E283" s="47">
        <v>1.6174646213274894E-4</v>
      </c>
      <c r="F283" s="47">
        <v>1</v>
      </c>
      <c r="G283" s="49">
        <v>1</v>
      </c>
      <c r="H283" s="47">
        <v>8</v>
      </c>
      <c r="I283" s="48">
        <v>52.53</v>
      </c>
      <c r="J283" s="48">
        <v>45.44</v>
      </c>
      <c r="K283" s="52">
        <v>71.56</v>
      </c>
      <c r="L283" s="49">
        <v>39.020000000000003</v>
      </c>
      <c r="M283" s="72">
        <f t="shared" si="4"/>
        <v>1.4000000000000001</v>
      </c>
      <c r="N283" s="36">
        <v>1.4E-2</v>
      </c>
      <c r="O283" s="68">
        <v>16.162500000000001</v>
      </c>
      <c r="P283" s="73">
        <v>5.8</v>
      </c>
      <c r="Q283" s="73">
        <f>'Trade Data'!B20</f>
        <v>2.906327899488228</v>
      </c>
      <c r="R283" s="37">
        <v>1</v>
      </c>
    </row>
    <row r="284" spans="1:18" ht="20.100000000000001" customHeight="1">
      <c r="A284" s="44" t="s">
        <v>98</v>
      </c>
      <c r="B284" s="44" t="s">
        <v>586</v>
      </c>
      <c r="C284" s="59">
        <v>0</v>
      </c>
      <c r="D284" s="47">
        <v>46020</v>
      </c>
      <c r="E284" s="47">
        <v>0</v>
      </c>
      <c r="F284" s="47">
        <v>0</v>
      </c>
      <c r="G284" s="49">
        <v>0</v>
      </c>
      <c r="H284" s="47">
        <v>0</v>
      </c>
      <c r="I284" s="48">
        <v>49.65</v>
      </c>
      <c r="J284" s="48">
        <v>38.78</v>
      </c>
      <c r="K284" s="52">
        <v>70.64</v>
      </c>
      <c r="L284" s="49">
        <v>39.020000000000003</v>
      </c>
      <c r="M284" s="72">
        <f t="shared" si="4"/>
        <v>2.2999999999999998</v>
      </c>
      <c r="N284" s="36">
        <v>2.3E-2</v>
      </c>
      <c r="O284" s="68">
        <v>13.067499999999995</v>
      </c>
      <c r="P284" s="73">
        <v>5</v>
      </c>
      <c r="Q284" s="73">
        <f>'Trade Data'!D20</f>
        <v>3.1016734840790141</v>
      </c>
      <c r="R284" s="35">
        <v>0</v>
      </c>
    </row>
    <row r="285" spans="1:18" ht="20.100000000000001" customHeight="1">
      <c r="A285" s="44" t="s">
        <v>98</v>
      </c>
      <c r="B285" s="44" t="s">
        <v>585</v>
      </c>
      <c r="C285" s="59">
        <v>2152.607</v>
      </c>
      <c r="D285" s="47">
        <v>446290</v>
      </c>
      <c r="E285" s="47">
        <v>4.8233368437563019E-3</v>
      </c>
      <c r="F285" s="47">
        <v>1</v>
      </c>
      <c r="G285" s="49">
        <v>1</v>
      </c>
      <c r="H285" s="47">
        <v>14</v>
      </c>
      <c r="I285" s="48">
        <v>49.65</v>
      </c>
      <c r="J285" s="48">
        <v>38.78</v>
      </c>
      <c r="K285" s="52">
        <v>70.64</v>
      </c>
      <c r="L285" s="49">
        <v>39.020000000000003</v>
      </c>
      <c r="M285" s="72">
        <f t="shared" si="4"/>
        <v>2.2999999999999998</v>
      </c>
      <c r="N285" s="36">
        <v>2.3E-2</v>
      </c>
      <c r="O285" s="68">
        <v>13.067499999999995</v>
      </c>
      <c r="P285" s="73">
        <v>5</v>
      </c>
      <c r="Q285" s="73">
        <f>'Trade Data'!D20</f>
        <v>3.1016734840790141</v>
      </c>
      <c r="R285" s="35">
        <v>1</v>
      </c>
    </row>
    <row r="286" spans="1:18" ht="20.100000000000001" customHeight="1">
      <c r="A286" s="44" t="s">
        <v>98</v>
      </c>
      <c r="B286" s="44" t="s">
        <v>584</v>
      </c>
      <c r="C286" s="59">
        <v>43.5</v>
      </c>
      <c r="D286" s="47">
        <v>807690</v>
      </c>
      <c r="E286" s="47">
        <v>5.3857296735133531E-5</v>
      </c>
      <c r="F286" s="47">
        <v>1</v>
      </c>
      <c r="G286" s="49">
        <v>1</v>
      </c>
      <c r="H286" s="47">
        <v>10</v>
      </c>
      <c r="I286" s="48">
        <v>49.65</v>
      </c>
      <c r="J286" s="48">
        <v>38.78</v>
      </c>
      <c r="K286" s="52">
        <v>70.64</v>
      </c>
      <c r="L286" s="49">
        <v>39.020000000000003</v>
      </c>
      <c r="M286" s="72">
        <f t="shared" si="4"/>
        <v>2.2999999999999998</v>
      </c>
      <c r="N286" s="36">
        <v>2.3E-2</v>
      </c>
      <c r="O286" s="68">
        <v>13.067499999999995</v>
      </c>
      <c r="P286" s="73">
        <v>5</v>
      </c>
      <c r="Q286" s="73">
        <f>'Trade Data'!D20</f>
        <v>3.1016734840790141</v>
      </c>
      <c r="R286" s="35">
        <v>1</v>
      </c>
    </row>
    <row r="287" spans="1:18" ht="20.100000000000001" customHeight="1">
      <c r="A287" s="44" t="s">
        <v>99</v>
      </c>
      <c r="B287" s="44" t="s">
        <v>583</v>
      </c>
      <c r="C287" s="59">
        <v>0</v>
      </c>
      <c r="D287" s="47">
        <v>46020</v>
      </c>
      <c r="E287" s="47">
        <v>0</v>
      </c>
      <c r="F287" s="47">
        <v>0</v>
      </c>
      <c r="G287" s="49">
        <v>0</v>
      </c>
      <c r="H287" s="47">
        <v>0</v>
      </c>
      <c r="I287" s="48">
        <v>62.69</v>
      </c>
      <c r="J287" s="48">
        <v>70.7</v>
      </c>
      <c r="K287" s="52">
        <v>72.37</v>
      </c>
      <c r="L287" s="49">
        <v>39.020000000000003</v>
      </c>
      <c r="M287" s="72">
        <f t="shared" si="4"/>
        <v>2.2999999999999998</v>
      </c>
      <c r="N287" s="36">
        <v>2.3E-2</v>
      </c>
      <c r="O287" s="68">
        <v>20.743750000000006</v>
      </c>
      <c r="P287" s="73">
        <v>5</v>
      </c>
      <c r="Q287" s="73">
        <f>'Trade Data'!D20</f>
        <v>3.1016734840790141</v>
      </c>
      <c r="R287" s="37">
        <v>0</v>
      </c>
    </row>
    <row r="288" spans="1:18" ht="20.100000000000001" customHeight="1">
      <c r="A288" s="44" t="s">
        <v>99</v>
      </c>
      <c r="B288" s="44" t="s">
        <v>582</v>
      </c>
      <c r="C288" s="59">
        <v>441.04399999999998</v>
      </c>
      <c r="D288" s="47">
        <v>446290</v>
      </c>
      <c r="E288" s="47">
        <v>9.8824531134464127E-4</v>
      </c>
      <c r="F288" s="47">
        <v>1</v>
      </c>
      <c r="G288" s="49">
        <v>1</v>
      </c>
      <c r="H288" s="47">
        <v>16</v>
      </c>
      <c r="I288" s="48">
        <v>62.69</v>
      </c>
      <c r="J288" s="48">
        <v>70.7</v>
      </c>
      <c r="K288" s="52">
        <v>72.37</v>
      </c>
      <c r="L288" s="49">
        <v>39.020000000000003</v>
      </c>
      <c r="M288" s="72">
        <f t="shared" si="4"/>
        <v>2.2999999999999998</v>
      </c>
      <c r="N288" s="36">
        <v>2.3E-2</v>
      </c>
      <c r="O288" s="68">
        <v>20.743750000000006</v>
      </c>
      <c r="P288" s="73">
        <v>5</v>
      </c>
      <c r="Q288" s="73">
        <f>'Trade Data'!D20</f>
        <v>3.1016734840790141</v>
      </c>
      <c r="R288" s="37">
        <v>1</v>
      </c>
    </row>
    <row r="289" spans="1:18" ht="20.100000000000001" customHeight="1">
      <c r="A289" s="44" t="s">
        <v>99</v>
      </c>
      <c r="B289" s="44" t="s">
        <v>581</v>
      </c>
      <c r="C289" s="59">
        <v>2516.9580000000001</v>
      </c>
      <c r="D289" s="47">
        <v>807690</v>
      </c>
      <c r="E289" s="47">
        <v>3.116242617836051E-3</v>
      </c>
      <c r="F289" s="47">
        <v>1</v>
      </c>
      <c r="G289" s="49">
        <v>1</v>
      </c>
      <c r="H289" s="47">
        <v>13</v>
      </c>
      <c r="I289" s="48">
        <v>62.69</v>
      </c>
      <c r="J289" s="48">
        <v>70.7</v>
      </c>
      <c r="K289" s="52">
        <v>72.37</v>
      </c>
      <c r="L289" s="49">
        <v>39.020000000000003</v>
      </c>
      <c r="M289" s="72">
        <f t="shared" si="4"/>
        <v>2.2999999999999998</v>
      </c>
      <c r="N289" s="36">
        <v>2.3E-2</v>
      </c>
      <c r="O289" s="68">
        <v>20.743750000000006</v>
      </c>
      <c r="P289" s="73">
        <v>5</v>
      </c>
      <c r="Q289" s="73">
        <f>'Trade Data'!D20</f>
        <v>3.1016734840790141</v>
      </c>
      <c r="R289" s="37">
        <v>1</v>
      </c>
    </row>
    <row r="290" spans="1:18" ht="20.100000000000001" customHeight="1">
      <c r="A290" s="44" t="s">
        <v>100</v>
      </c>
      <c r="B290" s="44" t="s">
        <v>580</v>
      </c>
      <c r="C290" s="59">
        <v>0</v>
      </c>
      <c r="D290" s="47">
        <v>41515</v>
      </c>
      <c r="E290" s="47">
        <v>0</v>
      </c>
      <c r="F290" s="47">
        <v>0</v>
      </c>
      <c r="G290" s="49">
        <v>0</v>
      </c>
      <c r="H290" s="47">
        <v>0</v>
      </c>
      <c r="I290" s="48">
        <v>59.26</v>
      </c>
      <c r="J290" s="48">
        <v>57.59</v>
      </c>
      <c r="K290" s="52">
        <v>76.239999999999995</v>
      </c>
      <c r="L290" s="49">
        <v>39.020000000000003</v>
      </c>
      <c r="M290" s="72">
        <f t="shared" si="4"/>
        <v>2.2999999999999998</v>
      </c>
      <c r="N290" s="36">
        <v>2.3E-2</v>
      </c>
      <c r="O290" s="68">
        <v>21.501249999999999</v>
      </c>
      <c r="P290" s="73">
        <v>5</v>
      </c>
      <c r="Q290" s="73">
        <f>'Trade Data'!D20</f>
        <v>3.1016734840790141</v>
      </c>
      <c r="R290" s="35">
        <v>0</v>
      </c>
    </row>
    <row r="291" spans="1:18" ht="20.100000000000001" customHeight="1">
      <c r="A291" s="44" t="s">
        <v>100</v>
      </c>
      <c r="B291" s="44" t="s">
        <v>579</v>
      </c>
      <c r="C291" s="59">
        <v>111.133</v>
      </c>
      <c r="D291" s="47">
        <v>375935</v>
      </c>
      <c r="E291" s="47">
        <v>2.9561759346695573E-4</v>
      </c>
      <c r="F291" s="47">
        <v>1</v>
      </c>
      <c r="G291" s="49">
        <v>1</v>
      </c>
      <c r="H291" s="47">
        <v>8</v>
      </c>
      <c r="I291" s="48">
        <v>59.26</v>
      </c>
      <c r="J291" s="48">
        <v>57.59</v>
      </c>
      <c r="K291" s="52">
        <v>76.239999999999995</v>
      </c>
      <c r="L291" s="49">
        <v>39.020000000000003</v>
      </c>
      <c r="M291" s="72">
        <f t="shared" si="4"/>
        <v>2.2999999999999998</v>
      </c>
      <c r="N291" s="36">
        <v>2.3E-2</v>
      </c>
      <c r="O291" s="68">
        <v>21.501249999999999</v>
      </c>
      <c r="P291" s="73">
        <v>5</v>
      </c>
      <c r="Q291" s="73">
        <f>'Trade Data'!D20</f>
        <v>3.1016734840790141</v>
      </c>
      <c r="R291" s="35">
        <v>1</v>
      </c>
    </row>
    <row r="292" spans="1:18" ht="20.100000000000001" customHeight="1">
      <c r="A292" s="44" t="s">
        <v>100</v>
      </c>
      <c r="B292" s="44" t="s">
        <v>578</v>
      </c>
      <c r="C292" s="59">
        <v>2533.1669999999999</v>
      </c>
      <c r="D292" s="47">
        <v>732550</v>
      </c>
      <c r="E292" s="47">
        <v>3.4580124223602482E-3</v>
      </c>
      <c r="F292" s="47">
        <v>1</v>
      </c>
      <c r="G292" s="49">
        <v>1</v>
      </c>
      <c r="H292" s="47">
        <v>6</v>
      </c>
      <c r="I292" s="48">
        <v>59.26</v>
      </c>
      <c r="J292" s="48">
        <v>57.59</v>
      </c>
      <c r="K292" s="52">
        <v>76.239999999999995</v>
      </c>
      <c r="L292" s="49">
        <v>39.020000000000003</v>
      </c>
      <c r="M292" s="72">
        <f t="shared" si="4"/>
        <v>2.2999999999999998</v>
      </c>
      <c r="N292" s="36">
        <v>2.3E-2</v>
      </c>
      <c r="O292" s="68">
        <v>21.501249999999999</v>
      </c>
      <c r="P292" s="73">
        <v>5</v>
      </c>
      <c r="Q292" s="73">
        <f>'Trade Data'!D20</f>
        <v>3.1016734840790141</v>
      </c>
      <c r="R292" s="35">
        <v>1</v>
      </c>
    </row>
    <row r="293" spans="1:18" ht="20.100000000000001" customHeight="1">
      <c r="A293" s="44" t="s">
        <v>101</v>
      </c>
      <c r="B293" s="44" t="s">
        <v>577</v>
      </c>
      <c r="C293" s="59">
        <v>0</v>
      </c>
      <c r="D293" s="47">
        <v>41515</v>
      </c>
      <c r="E293" s="47">
        <v>0</v>
      </c>
      <c r="F293" s="47">
        <v>0</v>
      </c>
      <c r="G293" s="49">
        <v>0</v>
      </c>
      <c r="H293" s="47">
        <v>0</v>
      </c>
      <c r="I293" s="48">
        <v>56.36</v>
      </c>
      <c r="J293" s="48">
        <v>55.59</v>
      </c>
      <c r="K293" s="48">
        <v>77.510000000000005</v>
      </c>
      <c r="L293" s="49">
        <v>32.9</v>
      </c>
      <c r="M293" s="72">
        <f t="shared" si="4"/>
        <v>2.2999999999999998</v>
      </c>
      <c r="N293" s="36">
        <v>2.3E-2</v>
      </c>
      <c r="O293" s="68">
        <v>22.653749999999995</v>
      </c>
      <c r="P293" s="73">
        <v>5</v>
      </c>
      <c r="Q293" s="73">
        <f>'Trade Data'!D20</f>
        <v>3.1016734840790141</v>
      </c>
      <c r="R293" s="37">
        <v>0</v>
      </c>
    </row>
    <row r="294" spans="1:18" ht="20.100000000000001" customHeight="1">
      <c r="A294" s="44" t="s">
        <v>101</v>
      </c>
      <c r="B294" s="44" t="s">
        <v>576</v>
      </c>
      <c r="C294" s="59">
        <v>2218.3329999999996</v>
      </c>
      <c r="D294" s="47">
        <v>375935</v>
      </c>
      <c r="E294" s="47">
        <v>5.9008419008605203E-3</v>
      </c>
      <c r="F294" s="47">
        <v>1</v>
      </c>
      <c r="G294" s="49">
        <v>1</v>
      </c>
      <c r="H294" s="47">
        <v>15</v>
      </c>
      <c r="I294" s="48">
        <v>56.36</v>
      </c>
      <c r="J294" s="48">
        <v>55.59</v>
      </c>
      <c r="K294" s="48">
        <v>77.510000000000005</v>
      </c>
      <c r="L294" s="49">
        <v>32.9</v>
      </c>
      <c r="M294" s="72">
        <f t="shared" si="4"/>
        <v>2.2999999999999998</v>
      </c>
      <c r="N294" s="36">
        <v>2.3E-2</v>
      </c>
      <c r="O294" s="68">
        <v>22.653749999999995</v>
      </c>
      <c r="P294" s="73">
        <v>5</v>
      </c>
      <c r="Q294" s="73">
        <f>'Trade Data'!D20</f>
        <v>3.1016734840790141</v>
      </c>
      <c r="R294" s="37">
        <v>1</v>
      </c>
    </row>
    <row r="295" spans="1:18" ht="20.100000000000001" customHeight="1">
      <c r="A295" s="44" t="s">
        <v>101</v>
      </c>
      <c r="B295" s="44" t="s">
        <v>575</v>
      </c>
      <c r="C295" s="59">
        <v>463.98699999999997</v>
      </c>
      <c r="D295" s="47">
        <v>732550</v>
      </c>
      <c r="E295" s="47">
        <v>6.3338611698860142E-4</v>
      </c>
      <c r="F295" s="47">
        <v>1</v>
      </c>
      <c r="G295" s="49">
        <v>1</v>
      </c>
      <c r="H295" s="47">
        <v>20</v>
      </c>
      <c r="I295" s="48">
        <v>56.36</v>
      </c>
      <c r="J295" s="48">
        <v>55.59</v>
      </c>
      <c r="K295" s="48">
        <v>77.510000000000005</v>
      </c>
      <c r="L295" s="49">
        <v>32.9</v>
      </c>
      <c r="M295" s="72">
        <f t="shared" si="4"/>
        <v>2.2999999999999998</v>
      </c>
      <c r="N295" s="36">
        <v>2.3E-2</v>
      </c>
      <c r="O295" s="68">
        <v>22.653749999999995</v>
      </c>
      <c r="P295" s="73">
        <v>5</v>
      </c>
      <c r="Q295" s="73">
        <f>'Trade Data'!D20</f>
        <v>3.1016734840790141</v>
      </c>
      <c r="R295" s="37">
        <v>1</v>
      </c>
    </row>
    <row r="296" spans="1:18" ht="20.100000000000001" customHeight="1">
      <c r="A296" s="44" t="s">
        <v>102</v>
      </c>
      <c r="B296" s="44" t="s">
        <v>574</v>
      </c>
      <c r="C296" s="59">
        <v>0</v>
      </c>
      <c r="D296" s="47">
        <v>41515</v>
      </c>
      <c r="E296" s="47">
        <v>0</v>
      </c>
      <c r="F296" s="47">
        <v>0</v>
      </c>
      <c r="G296" s="49">
        <v>1</v>
      </c>
      <c r="H296" s="47">
        <v>1</v>
      </c>
      <c r="I296" s="48">
        <v>49.89</v>
      </c>
      <c r="J296" s="48">
        <v>43.32</v>
      </c>
      <c r="K296" s="48">
        <v>73.760000000000005</v>
      </c>
      <c r="L296" s="49">
        <v>32.9</v>
      </c>
      <c r="M296" s="72">
        <f t="shared" si="4"/>
        <v>2.6</v>
      </c>
      <c r="N296" s="36">
        <v>2.5999999999999999E-2</v>
      </c>
      <c r="O296" s="68">
        <v>16.602499999999999</v>
      </c>
      <c r="P296" s="73">
        <v>5.75</v>
      </c>
      <c r="Q296" s="73">
        <f>'Trade Data'!F20</f>
        <v>3.4735540112673915</v>
      </c>
      <c r="R296" s="35">
        <v>0</v>
      </c>
    </row>
    <row r="297" spans="1:18" ht="20.100000000000001" customHeight="1">
      <c r="A297" s="44" t="s">
        <v>102</v>
      </c>
      <c r="B297" s="44" t="s">
        <v>573</v>
      </c>
      <c r="C297" s="59">
        <v>296.86799999999999</v>
      </c>
      <c r="D297" s="47">
        <v>375935</v>
      </c>
      <c r="E297" s="47">
        <v>7.896790668599625E-4</v>
      </c>
      <c r="F297" s="47">
        <v>1</v>
      </c>
      <c r="G297" s="49">
        <v>1</v>
      </c>
      <c r="H297" s="47">
        <v>16</v>
      </c>
      <c r="I297" s="48">
        <v>49.89</v>
      </c>
      <c r="J297" s="48">
        <v>43.32</v>
      </c>
      <c r="K297" s="48">
        <v>73.760000000000005</v>
      </c>
      <c r="L297" s="49">
        <v>32.9</v>
      </c>
      <c r="M297" s="72">
        <f t="shared" si="4"/>
        <v>2.6</v>
      </c>
      <c r="N297" s="36">
        <v>2.5999999999999999E-2</v>
      </c>
      <c r="O297" s="68">
        <v>16.602499999999999</v>
      </c>
      <c r="P297" s="73">
        <v>5.75</v>
      </c>
      <c r="Q297" s="73">
        <f>'Trade Data'!F20</f>
        <v>3.4735540112673915</v>
      </c>
      <c r="R297" s="35">
        <v>1</v>
      </c>
    </row>
    <row r="298" spans="1:18" ht="20.100000000000001" customHeight="1">
      <c r="A298" s="44" t="s">
        <v>102</v>
      </c>
      <c r="B298" s="44" t="s">
        <v>572</v>
      </c>
      <c r="C298" s="59">
        <v>47</v>
      </c>
      <c r="D298" s="47">
        <v>732550</v>
      </c>
      <c r="E298" s="47">
        <v>6.4159443041430616E-5</v>
      </c>
      <c r="F298" s="47">
        <v>1</v>
      </c>
      <c r="G298" s="49">
        <v>1</v>
      </c>
      <c r="H298" s="47">
        <v>9</v>
      </c>
      <c r="I298" s="48">
        <v>49.89</v>
      </c>
      <c r="J298" s="48">
        <v>43.32</v>
      </c>
      <c r="K298" s="48">
        <v>73.760000000000005</v>
      </c>
      <c r="L298" s="49">
        <v>32.9</v>
      </c>
      <c r="M298" s="72">
        <f t="shared" si="4"/>
        <v>2.6</v>
      </c>
      <c r="N298" s="36">
        <v>2.5999999999999999E-2</v>
      </c>
      <c r="O298" s="68">
        <v>16.602499999999999</v>
      </c>
      <c r="P298" s="73">
        <v>5.75</v>
      </c>
      <c r="Q298" s="73">
        <f>'Trade Data'!F20</f>
        <v>3.4735540112673915</v>
      </c>
      <c r="R298" s="35">
        <v>1</v>
      </c>
    </row>
    <row r="299" spans="1:18" ht="20.100000000000001" customHeight="1">
      <c r="A299" s="44" t="s">
        <v>103</v>
      </c>
      <c r="B299" s="44" t="s">
        <v>571</v>
      </c>
      <c r="C299" s="59">
        <v>0</v>
      </c>
      <c r="D299" s="47">
        <v>41515</v>
      </c>
      <c r="E299" s="47">
        <v>0</v>
      </c>
      <c r="F299" s="47">
        <v>0</v>
      </c>
      <c r="G299" s="49">
        <v>0</v>
      </c>
      <c r="H299" s="47">
        <v>0</v>
      </c>
      <c r="I299" s="48">
        <v>55.63</v>
      </c>
      <c r="J299" s="48">
        <v>64.19</v>
      </c>
      <c r="K299" s="49">
        <v>68.38</v>
      </c>
      <c r="L299" s="49">
        <v>32.9</v>
      </c>
      <c r="M299" s="72">
        <f t="shared" si="4"/>
        <v>2.6</v>
      </c>
      <c r="N299" s="36">
        <v>2.5999999999999999E-2</v>
      </c>
      <c r="O299" s="68">
        <v>17.572500000000005</v>
      </c>
      <c r="P299" s="73">
        <v>5.75</v>
      </c>
      <c r="Q299" s="73">
        <f>'Trade Data'!F20</f>
        <v>3.4735540112673915</v>
      </c>
      <c r="R299" s="37">
        <v>0</v>
      </c>
    </row>
    <row r="300" spans="1:18" ht="20.100000000000001" customHeight="1">
      <c r="A300" s="44" t="s">
        <v>103</v>
      </c>
      <c r="B300" s="44" t="s">
        <v>570</v>
      </c>
      <c r="C300" s="59">
        <v>2733.5210000000002</v>
      </c>
      <c r="D300" s="47">
        <v>375935</v>
      </c>
      <c r="E300" s="47">
        <v>7.271259659249605E-3</v>
      </c>
      <c r="F300" s="47">
        <v>1</v>
      </c>
      <c r="G300" s="49">
        <v>1</v>
      </c>
      <c r="H300" s="47">
        <v>10</v>
      </c>
      <c r="I300" s="48">
        <v>55.63</v>
      </c>
      <c r="J300" s="48">
        <v>64.19</v>
      </c>
      <c r="K300" s="49">
        <v>68.38</v>
      </c>
      <c r="L300" s="49">
        <v>32.9</v>
      </c>
      <c r="M300" s="72">
        <f t="shared" si="4"/>
        <v>2.6</v>
      </c>
      <c r="N300" s="36">
        <v>2.5999999999999999E-2</v>
      </c>
      <c r="O300" s="68">
        <v>17.572500000000005</v>
      </c>
      <c r="P300" s="73">
        <v>5.75</v>
      </c>
      <c r="Q300" s="73">
        <f>'Trade Data'!F20</f>
        <v>3.4735540112673915</v>
      </c>
      <c r="R300" s="37">
        <v>1</v>
      </c>
    </row>
    <row r="301" spans="1:18" ht="20.100000000000001" customHeight="1">
      <c r="A301" s="44" t="s">
        <v>103</v>
      </c>
      <c r="B301" s="44" t="s">
        <v>569</v>
      </c>
      <c r="C301" s="59">
        <v>1820.499</v>
      </c>
      <c r="D301" s="47">
        <v>732550</v>
      </c>
      <c r="E301" s="47">
        <v>2.4851532318613066E-3</v>
      </c>
      <c r="F301" s="47">
        <v>1</v>
      </c>
      <c r="G301" s="49">
        <v>1</v>
      </c>
      <c r="H301" s="47">
        <v>8</v>
      </c>
      <c r="I301" s="48">
        <v>55.63</v>
      </c>
      <c r="J301" s="48">
        <v>64.19</v>
      </c>
      <c r="K301" s="49">
        <v>68.38</v>
      </c>
      <c r="L301" s="49">
        <v>32.9</v>
      </c>
      <c r="M301" s="72">
        <f t="shared" si="4"/>
        <v>2.6</v>
      </c>
      <c r="N301" s="36">
        <v>2.5999999999999999E-2</v>
      </c>
      <c r="O301" s="68">
        <v>17.572500000000005</v>
      </c>
      <c r="P301" s="73">
        <v>5.75</v>
      </c>
      <c r="Q301" s="73">
        <f>'Trade Data'!F20</f>
        <v>3.4735540112673915</v>
      </c>
      <c r="R301" s="37">
        <v>1</v>
      </c>
    </row>
    <row r="302" spans="1:18" ht="20.100000000000001" customHeight="1">
      <c r="A302" s="44" t="s">
        <v>104</v>
      </c>
      <c r="B302" s="44" t="s">
        <v>568</v>
      </c>
      <c r="C302" s="59">
        <v>0</v>
      </c>
      <c r="D302" s="47">
        <v>40425</v>
      </c>
      <c r="E302" s="47">
        <v>0</v>
      </c>
      <c r="F302" s="47">
        <v>0</v>
      </c>
      <c r="G302" s="49">
        <v>1</v>
      </c>
      <c r="H302" s="47">
        <v>1</v>
      </c>
      <c r="I302" s="48">
        <v>51.9</v>
      </c>
      <c r="J302" s="48">
        <v>52.64</v>
      </c>
      <c r="K302" s="49">
        <v>69.47</v>
      </c>
      <c r="L302" s="49">
        <v>32.9</v>
      </c>
      <c r="M302" s="72">
        <f t="shared" si="4"/>
        <v>2.6</v>
      </c>
      <c r="N302" s="36">
        <v>2.5999999999999999E-2</v>
      </c>
      <c r="O302" s="68">
        <v>20.952499999999997</v>
      </c>
      <c r="P302" s="73">
        <v>5.75</v>
      </c>
      <c r="Q302" s="73">
        <f>'Trade Data'!F20</f>
        <v>3.4735540112673915</v>
      </c>
      <c r="R302" s="35">
        <v>0</v>
      </c>
    </row>
    <row r="303" spans="1:18" ht="20.100000000000001" customHeight="1">
      <c r="A303" s="44" t="s">
        <v>104</v>
      </c>
      <c r="B303" s="44" t="s">
        <v>567</v>
      </c>
      <c r="C303" s="59">
        <v>131.73599999999999</v>
      </c>
      <c r="D303" s="47">
        <v>343245</v>
      </c>
      <c r="E303" s="47">
        <v>3.8379583096621943E-4</v>
      </c>
      <c r="F303" s="47">
        <v>1</v>
      </c>
      <c r="G303" s="49">
        <v>1</v>
      </c>
      <c r="H303" s="47">
        <v>10</v>
      </c>
      <c r="I303" s="48">
        <v>51.9</v>
      </c>
      <c r="J303" s="48">
        <v>52.64</v>
      </c>
      <c r="K303" s="49">
        <v>69.47</v>
      </c>
      <c r="L303" s="49">
        <v>32.9</v>
      </c>
      <c r="M303" s="72">
        <f t="shared" si="4"/>
        <v>2.6</v>
      </c>
      <c r="N303" s="36">
        <v>2.5999999999999999E-2</v>
      </c>
      <c r="O303" s="68">
        <v>20.952499999999997</v>
      </c>
      <c r="P303" s="73">
        <v>5.75</v>
      </c>
      <c r="Q303" s="73">
        <f>'Trade Data'!F20</f>
        <v>3.4735540112673915</v>
      </c>
      <c r="R303" s="35">
        <v>1</v>
      </c>
    </row>
    <row r="304" spans="1:18" ht="20.100000000000001" customHeight="1">
      <c r="A304" s="44" t="s">
        <v>104</v>
      </c>
      <c r="B304" s="44" t="s">
        <v>566</v>
      </c>
      <c r="C304" s="59">
        <v>62.5</v>
      </c>
      <c r="D304" s="47">
        <v>666330</v>
      </c>
      <c r="E304" s="47">
        <v>9.3797367670673688E-5</v>
      </c>
      <c r="F304" s="47">
        <v>1</v>
      </c>
      <c r="G304" s="49">
        <v>1</v>
      </c>
      <c r="H304" s="47">
        <v>4</v>
      </c>
      <c r="I304" s="48">
        <v>51.9</v>
      </c>
      <c r="J304" s="48">
        <v>52.64</v>
      </c>
      <c r="K304" s="49">
        <v>69.47</v>
      </c>
      <c r="L304" s="49">
        <v>32.9</v>
      </c>
      <c r="M304" s="72">
        <f t="shared" si="4"/>
        <v>2.6</v>
      </c>
      <c r="N304" s="36">
        <v>2.5999999999999999E-2</v>
      </c>
      <c r="O304" s="68">
        <v>20.952499999999997</v>
      </c>
      <c r="P304" s="73">
        <v>5.75</v>
      </c>
      <c r="Q304" s="73">
        <f>'Trade Data'!F20</f>
        <v>3.4735540112673915</v>
      </c>
      <c r="R304" s="35">
        <v>1</v>
      </c>
    </row>
    <row r="305" spans="1:18" ht="20.100000000000001" customHeight="1">
      <c r="A305" s="44" t="s">
        <v>105</v>
      </c>
      <c r="B305" s="44" t="s">
        <v>565</v>
      </c>
      <c r="C305" s="59">
        <v>0</v>
      </c>
      <c r="D305" s="47">
        <v>40425</v>
      </c>
      <c r="E305" s="47">
        <v>0</v>
      </c>
      <c r="F305" s="47">
        <v>0</v>
      </c>
      <c r="G305" s="49">
        <v>0</v>
      </c>
      <c r="H305" s="47">
        <v>0</v>
      </c>
      <c r="I305" s="48">
        <v>51.92</v>
      </c>
      <c r="J305" s="48">
        <v>54.78</v>
      </c>
      <c r="K305" s="49">
        <v>68.47</v>
      </c>
      <c r="L305" s="49">
        <v>32.549999999999997</v>
      </c>
      <c r="M305" s="72">
        <f t="shared" si="4"/>
        <v>2.6</v>
      </c>
      <c r="N305" s="36">
        <v>2.5999999999999999E-2</v>
      </c>
      <c r="O305" s="68">
        <v>20.626249999999999</v>
      </c>
      <c r="P305" s="73">
        <v>5.75</v>
      </c>
      <c r="Q305" s="73">
        <f>'Trade Data'!F20</f>
        <v>3.4735540112673915</v>
      </c>
      <c r="R305" s="37">
        <v>0</v>
      </c>
    </row>
    <row r="306" spans="1:18" ht="20.100000000000001" customHeight="1">
      <c r="A306" s="44" t="s">
        <v>105</v>
      </c>
      <c r="B306" s="44" t="s">
        <v>564</v>
      </c>
      <c r="C306" s="59">
        <v>58.375999999999998</v>
      </c>
      <c r="D306" s="47">
        <v>343245</v>
      </c>
      <c r="E306" s="47">
        <v>1.7007094058180017E-4</v>
      </c>
      <c r="F306" s="47">
        <v>1</v>
      </c>
      <c r="G306" s="49">
        <v>1</v>
      </c>
      <c r="H306" s="47">
        <v>14</v>
      </c>
      <c r="I306" s="48">
        <v>51.92</v>
      </c>
      <c r="J306" s="48">
        <v>54.78</v>
      </c>
      <c r="K306" s="49">
        <v>68.47</v>
      </c>
      <c r="L306" s="49">
        <v>32.549999999999997</v>
      </c>
      <c r="M306" s="72">
        <f t="shared" si="4"/>
        <v>2.6</v>
      </c>
      <c r="N306" s="36">
        <v>2.5999999999999999E-2</v>
      </c>
      <c r="O306" s="68">
        <v>20.626249999999999</v>
      </c>
      <c r="P306" s="73">
        <v>5.75</v>
      </c>
      <c r="Q306" s="73">
        <f>'Trade Data'!F20</f>
        <v>3.4735540112673915</v>
      </c>
      <c r="R306" s="37">
        <v>1</v>
      </c>
    </row>
    <row r="307" spans="1:18" ht="20.100000000000001" customHeight="1">
      <c r="A307" s="44" t="s">
        <v>105</v>
      </c>
      <c r="B307" s="44" t="s">
        <v>563</v>
      </c>
      <c r="C307" s="59">
        <v>1116.492</v>
      </c>
      <c r="D307" s="47">
        <v>666330</v>
      </c>
      <c r="E307" s="47">
        <v>1.6755841700058529E-3</v>
      </c>
      <c r="F307" s="47">
        <v>1</v>
      </c>
      <c r="G307" s="49">
        <v>1</v>
      </c>
      <c r="H307" s="47">
        <v>14</v>
      </c>
      <c r="I307" s="48">
        <v>51.92</v>
      </c>
      <c r="J307" s="48">
        <v>54.78</v>
      </c>
      <c r="K307" s="49">
        <v>68.47</v>
      </c>
      <c r="L307" s="49">
        <v>32.549999999999997</v>
      </c>
      <c r="M307" s="72">
        <f t="shared" si="4"/>
        <v>2.6</v>
      </c>
      <c r="N307" s="36">
        <v>2.5999999999999999E-2</v>
      </c>
      <c r="O307" s="68">
        <v>20.626249999999999</v>
      </c>
      <c r="P307" s="73">
        <v>5.75</v>
      </c>
      <c r="Q307" s="73">
        <f>'Trade Data'!F20</f>
        <v>3.4735540112673915</v>
      </c>
      <c r="R307" s="37">
        <v>1</v>
      </c>
    </row>
    <row r="308" spans="1:18" ht="20.100000000000001" customHeight="1">
      <c r="A308" s="44" t="s">
        <v>106</v>
      </c>
      <c r="B308" s="44" t="s">
        <v>562</v>
      </c>
      <c r="C308" s="59">
        <v>0</v>
      </c>
      <c r="D308" s="47">
        <v>40425</v>
      </c>
      <c r="E308" s="47">
        <v>0</v>
      </c>
      <c r="F308" s="47">
        <v>0</v>
      </c>
      <c r="G308" s="49">
        <v>0</v>
      </c>
      <c r="H308" s="47">
        <v>0</v>
      </c>
      <c r="I308" s="48">
        <v>55.45</v>
      </c>
      <c r="J308" s="48">
        <v>60.95</v>
      </c>
      <c r="K308" s="49">
        <v>70.89</v>
      </c>
      <c r="L308" s="49">
        <v>32.549999999999997</v>
      </c>
      <c r="M308" s="72">
        <f t="shared" ref="M308:M368" si="5">N308*100</f>
        <v>2.2999999999999998</v>
      </c>
      <c r="N308" s="36">
        <v>2.3E-2</v>
      </c>
      <c r="O308" s="68">
        <v>18.825000000000003</v>
      </c>
      <c r="P308" s="73">
        <v>6.25</v>
      </c>
      <c r="Q308" s="73">
        <f>'Trade Data'!H20</f>
        <v>3.6441271351698408</v>
      </c>
      <c r="R308" s="35">
        <v>0</v>
      </c>
    </row>
    <row r="309" spans="1:18" ht="20.100000000000001" customHeight="1">
      <c r="A309" s="44" t="s">
        <v>106</v>
      </c>
      <c r="B309" s="44" t="s">
        <v>561</v>
      </c>
      <c r="C309" s="59">
        <v>150.36800000000002</v>
      </c>
      <c r="D309" s="47">
        <v>343245</v>
      </c>
      <c r="E309" s="47">
        <v>4.3807775786974324E-4</v>
      </c>
      <c r="F309" s="47">
        <v>1</v>
      </c>
      <c r="G309" s="49">
        <v>1</v>
      </c>
      <c r="H309" s="47">
        <v>10</v>
      </c>
      <c r="I309" s="48">
        <v>55.45</v>
      </c>
      <c r="J309" s="48">
        <v>60.95</v>
      </c>
      <c r="K309" s="49">
        <v>70.89</v>
      </c>
      <c r="L309" s="49">
        <v>32.549999999999997</v>
      </c>
      <c r="M309" s="72">
        <f t="shared" si="5"/>
        <v>2.2999999999999998</v>
      </c>
      <c r="N309" s="36">
        <v>2.3E-2</v>
      </c>
      <c r="O309" s="68">
        <v>18.825000000000003</v>
      </c>
      <c r="P309" s="73">
        <v>6.25</v>
      </c>
      <c r="Q309" s="73">
        <f>'Trade Data'!H20</f>
        <v>3.6441271351698408</v>
      </c>
      <c r="R309" s="35">
        <v>1</v>
      </c>
    </row>
    <row r="310" spans="1:18" ht="20.100000000000001" customHeight="1">
      <c r="A310" s="44" t="s">
        <v>106</v>
      </c>
      <c r="B310" s="44" t="s">
        <v>560</v>
      </c>
      <c r="C310" s="59">
        <v>1.333</v>
      </c>
      <c r="D310" s="47">
        <v>666330</v>
      </c>
      <c r="E310" s="47">
        <v>2.0005102576801285E-6</v>
      </c>
      <c r="F310" s="47">
        <v>1</v>
      </c>
      <c r="G310" s="49">
        <v>1</v>
      </c>
      <c r="H310" s="47">
        <v>7</v>
      </c>
      <c r="I310" s="48">
        <v>55.45</v>
      </c>
      <c r="J310" s="48">
        <v>60.95</v>
      </c>
      <c r="K310" s="49">
        <v>70.89</v>
      </c>
      <c r="L310" s="49">
        <v>32.549999999999997</v>
      </c>
      <c r="M310" s="72">
        <f t="shared" si="5"/>
        <v>2.2999999999999998</v>
      </c>
      <c r="N310" s="36">
        <v>2.3E-2</v>
      </c>
      <c r="O310" s="68">
        <v>18.825000000000003</v>
      </c>
      <c r="P310" s="73">
        <v>6.25</v>
      </c>
      <c r="Q310" s="73">
        <f>'Trade Data'!H20</f>
        <v>3.6441271351698408</v>
      </c>
      <c r="R310" s="35">
        <v>1</v>
      </c>
    </row>
    <row r="311" spans="1:18" ht="20.100000000000001" customHeight="1">
      <c r="A311" s="44" t="s">
        <v>107</v>
      </c>
      <c r="B311" s="44" t="s">
        <v>559</v>
      </c>
      <c r="C311" s="59">
        <v>0</v>
      </c>
      <c r="D311" s="47">
        <v>40425</v>
      </c>
      <c r="E311" s="47">
        <v>0</v>
      </c>
      <c r="F311" s="47">
        <v>0</v>
      </c>
      <c r="G311" s="49">
        <v>0</v>
      </c>
      <c r="H311" s="47">
        <v>0</v>
      </c>
      <c r="I311" s="48">
        <v>46.03</v>
      </c>
      <c r="J311" s="48">
        <v>33.020000000000003</v>
      </c>
      <c r="K311" s="49">
        <v>73.25</v>
      </c>
      <c r="L311" s="49">
        <v>32.549999999999997</v>
      </c>
      <c r="M311" s="72">
        <f t="shared" si="5"/>
        <v>2.2999999999999998</v>
      </c>
      <c r="N311" s="36">
        <v>2.3E-2</v>
      </c>
      <c r="O311" s="68">
        <v>11.058750000000003</v>
      </c>
      <c r="P311" s="73">
        <v>6.25</v>
      </c>
      <c r="Q311" s="73">
        <f>'Trade Data'!H20</f>
        <v>3.6441271351698408</v>
      </c>
      <c r="R311" s="37">
        <v>0</v>
      </c>
    </row>
    <row r="312" spans="1:18" ht="20.100000000000001" customHeight="1">
      <c r="A312" s="44" t="s">
        <v>107</v>
      </c>
      <c r="B312" s="44" t="s">
        <v>558</v>
      </c>
      <c r="C312" s="59">
        <v>1122.223</v>
      </c>
      <c r="D312" s="47">
        <v>343245</v>
      </c>
      <c r="E312" s="47">
        <v>3.2694518492621888E-3</v>
      </c>
      <c r="F312" s="47">
        <v>1</v>
      </c>
      <c r="G312" s="49">
        <v>1</v>
      </c>
      <c r="H312" s="47">
        <v>13</v>
      </c>
      <c r="I312" s="48">
        <v>46.03</v>
      </c>
      <c r="J312" s="48">
        <v>33.020000000000003</v>
      </c>
      <c r="K312" s="49">
        <v>73.25</v>
      </c>
      <c r="L312" s="49">
        <v>32.549999999999997</v>
      </c>
      <c r="M312" s="72">
        <f t="shared" si="5"/>
        <v>2.2999999999999998</v>
      </c>
      <c r="N312" s="36">
        <v>2.3E-2</v>
      </c>
      <c r="O312" s="68">
        <v>11.058750000000003</v>
      </c>
      <c r="P312" s="73">
        <v>6.25</v>
      </c>
      <c r="Q312" s="73">
        <f>'Trade Data'!H20</f>
        <v>3.6441271351698408</v>
      </c>
      <c r="R312" s="37">
        <v>1</v>
      </c>
    </row>
    <row r="313" spans="1:18" ht="20.100000000000001" customHeight="1">
      <c r="A313" s="44" t="s">
        <v>107</v>
      </c>
      <c r="B313" s="44" t="s">
        <v>557</v>
      </c>
      <c r="C313" s="59">
        <v>472.47</v>
      </c>
      <c r="D313" s="47">
        <v>666330</v>
      </c>
      <c r="E313" s="47">
        <v>7.0906307685381119E-4</v>
      </c>
      <c r="F313" s="47">
        <v>1</v>
      </c>
      <c r="G313" s="49">
        <v>1</v>
      </c>
      <c r="H313" s="47">
        <v>5</v>
      </c>
      <c r="I313" s="48">
        <v>46.03</v>
      </c>
      <c r="J313" s="48">
        <v>33.020000000000003</v>
      </c>
      <c r="K313" s="49">
        <v>73.25</v>
      </c>
      <c r="L313" s="49">
        <v>32.549999999999997</v>
      </c>
      <c r="M313" s="72">
        <f t="shared" si="5"/>
        <v>2.2999999999999998</v>
      </c>
      <c r="N313" s="36">
        <v>2.3E-2</v>
      </c>
      <c r="O313" s="68">
        <v>11.058750000000003</v>
      </c>
      <c r="P313" s="73">
        <v>6.25</v>
      </c>
      <c r="Q313" s="73">
        <f>'Trade Data'!H20</f>
        <v>3.6441271351698408</v>
      </c>
      <c r="R313" s="37">
        <v>1</v>
      </c>
    </row>
    <row r="314" spans="1:18" ht="20.100000000000001" customHeight="1">
      <c r="A314" s="44" t="s">
        <v>108</v>
      </c>
      <c r="B314" s="44" t="s">
        <v>556</v>
      </c>
      <c r="C314" s="59">
        <v>0</v>
      </c>
      <c r="D314" s="47">
        <v>44460</v>
      </c>
      <c r="E314" s="47">
        <v>0</v>
      </c>
      <c r="F314" s="47">
        <v>0</v>
      </c>
      <c r="G314" s="49">
        <v>0</v>
      </c>
      <c r="H314" s="47">
        <v>0</v>
      </c>
      <c r="I314" s="48">
        <v>41.05</v>
      </c>
      <c r="J314" s="48">
        <v>28.19</v>
      </c>
      <c r="K314" s="49">
        <v>67.040000000000006</v>
      </c>
      <c r="L314" s="49">
        <v>32.549999999999997</v>
      </c>
      <c r="M314" s="72">
        <f t="shared" si="5"/>
        <v>2.2999999999999998</v>
      </c>
      <c r="N314" s="36">
        <v>2.3E-2</v>
      </c>
      <c r="O314" s="68">
        <v>7.7124999999999915</v>
      </c>
      <c r="P314" s="73">
        <v>6.25</v>
      </c>
      <c r="Q314" s="73">
        <f>'Trade Data'!H20</f>
        <v>3.6441271351698408</v>
      </c>
      <c r="R314" s="35">
        <v>0</v>
      </c>
    </row>
    <row r="315" spans="1:18" ht="20.100000000000001" customHeight="1">
      <c r="A315" s="44" t="s">
        <v>108</v>
      </c>
      <c r="B315" s="44" t="s">
        <v>555</v>
      </c>
      <c r="C315" s="59">
        <v>568.26899999999989</v>
      </c>
      <c r="D315" s="47">
        <v>360240</v>
      </c>
      <c r="E315" s="47">
        <v>1.5774733510992669E-3</v>
      </c>
      <c r="F315" s="47">
        <v>1</v>
      </c>
      <c r="G315" s="49">
        <v>1</v>
      </c>
      <c r="H315" s="47">
        <v>14</v>
      </c>
      <c r="I315" s="48">
        <v>41.05</v>
      </c>
      <c r="J315" s="48">
        <v>28.19</v>
      </c>
      <c r="K315" s="49">
        <v>67.040000000000006</v>
      </c>
      <c r="L315" s="49">
        <v>32.549999999999997</v>
      </c>
      <c r="M315" s="72">
        <f t="shared" si="5"/>
        <v>2.2999999999999998</v>
      </c>
      <c r="N315" s="36">
        <v>2.3E-2</v>
      </c>
      <c r="O315" s="68">
        <v>7.7124999999999915</v>
      </c>
      <c r="P315" s="73">
        <v>6.25</v>
      </c>
      <c r="Q315" s="73">
        <f>'Trade Data'!H20</f>
        <v>3.6441271351698408</v>
      </c>
      <c r="R315" s="35">
        <v>1</v>
      </c>
    </row>
    <row r="316" spans="1:18" ht="20.100000000000001" customHeight="1">
      <c r="A316" s="44" t="s">
        <v>108</v>
      </c>
      <c r="B316" s="44" t="s">
        <v>554</v>
      </c>
      <c r="C316" s="59">
        <v>58.994</v>
      </c>
      <c r="D316" s="47">
        <v>729600</v>
      </c>
      <c r="E316" s="47">
        <v>8.0858004385964916E-5</v>
      </c>
      <c r="F316" s="47">
        <v>1</v>
      </c>
      <c r="G316" s="49">
        <v>1</v>
      </c>
      <c r="H316" s="47">
        <v>9</v>
      </c>
      <c r="I316" s="48">
        <v>41.05</v>
      </c>
      <c r="J316" s="48">
        <v>28.19</v>
      </c>
      <c r="K316" s="49">
        <v>67.040000000000006</v>
      </c>
      <c r="L316" s="49">
        <v>32.549999999999997</v>
      </c>
      <c r="M316" s="72">
        <f t="shared" si="5"/>
        <v>2.2999999999999998</v>
      </c>
      <c r="N316" s="36">
        <v>2.3E-2</v>
      </c>
      <c r="O316" s="68">
        <v>7.7124999999999915</v>
      </c>
      <c r="P316" s="73">
        <v>6.25</v>
      </c>
      <c r="Q316" s="73">
        <f>'Trade Data'!H20</f>
        <v>3.6441271351698408</v>
      </c>
      <c r="R316" s="35">
        <v>1</v>
      </c>
    </row>
    <row r="317" spans="1:18" ht="20.100000000000001" customHeight="1">
      <c r="A317" s="44" t="s">
        <v>109</v>
      </c>
      <c r="B317" s="44" t="s">
        <v>553</v>
      </c>
      <c r="C317" s="59">
        <v>0</v>
      </c>
      <c r="D317" s="47">
        <v>44460</v>
      </c>
      <c r="E317" s="47">
        <v>0</v>
      </c>
      <c r="F317" s="47">
        <v>0</v>
      </c>
      <c r="G317" s="49">
        <v>0</v>
      </c>
      <c r="H317" s="47">
        <v>0</v>
      </c>
      <c r="I317" s="48">
        <v>34.68</v>
      </c>
      <c r="J317" s="48">
        <v>19.809999999999999</v>
      </c>
      <c r="K317" s="49">
        <v>64.87</v>
      </c>
      <c r="L317" s="49">
        <v>28.99</v>
      </c>
      <c r="M317" s="72">
        <f t="shared" si="5"/>
        <v>2.2999999999999998</v>
      </c>
      <c r="N317" s="36">
        <v>2.3E-2</v>
      </c>
      <c r="O317" s="68">
        <v>4.6724999999999994</v>
      </c>
      <c r="P317" s="73">
        <v>6.25</v>
      </c>
      <c r="Q317" s="73">
        <f>'Trade Data'!H20</f>
        <v>3.6441271351698408</v>
      </c>
      <c r="R317" s="37">
        <v>0</v>
      </c>
    </row>
    <row r="318" spans="1:18" ht="20.100000000000001" customHeight="1">
      <c r="A318" s="44" t="s">
        <v>109</v>
      </c>
      <c r="B318" s="44" t="s">
        <v>552</v>
      </c>
      <c r="C318" s="59">
        <v>61.454000000000001</v>
      </c>
      <c r="D318" s="47">
        <v>360240</v>
      </c>
      <c r="E318" s="47">
        <v>1.7059182767044194E-4</v>
      </c>
      <c r="F318" s="47">
        <v>1</v>
      </c>
      <c r="G318" s="49">
        <v>1</v>
      </c>
      <c r="H318" s="47">
        <v>10</v>
      </c>
      <c r="I318" s="48">
        <v>34.68</v>
      </c>
      <c r="J318" s="48">
        <v>19.809999999999999</v>
      </c>
      <c r="K318" s="49">
        <v>64.87</v>
      </c>
      <c r="L318" s="49">
        <v>28.99</v>
      </c>
      <c r="M318" s="72">
        <f t="shared" si="5"/>
        <v>2.2999999999999998</v>
      </c>
      <c r="N318" s="36">
        <v>2.3E-2</v>
      </c>
      <c r="O318" s="68">
        <v>4.6724999999999994</v>
      </c>
      <c r="P318" s="73">
        <v>6.25</v>
      </c>
      <c r="Q318" s="73">
        <f>'Trade Data'!H20</f>
        <v>3.6441271351698408</v>
      </c>
      <c r="R318" s="37">
        <v>1</v>
      </c>
    </row>
    <row r="319" spans="1:18" ht="20.100000000000001" customHeight="1">
      <c r="A319" s="44" t="s">
        <v>109</v>
      </c>
      <c r="B319" s="44" t="s">
        <v>551</v>
      </c>
      <c r="C319" s="59">
        <v>767.29</v>
      </c>
      <c r="D319" s="47">
        <v>729600</v>
      </c>
      <c r="E319" s="47">
        <v>1.0516584429824561E-3</v>
      </c>
      <c r="F319" s="47">
        <v>1</v>
      </c>
      <c r="G319" s="49">
        <v>1</v>
      </c>
      <c r="H319" s="47">
        <v>13</v>
      </c>
      <c r="I319" s="48">
        <v>34.68</v>
      </c>
      <c r="J319" s="48">
        <v>19.809999999999999</v>
      </c>
      <c r="K319" s="49">
        <v>64.87</v>
      </c>
      <c r="L319" s="49">
        <v>28.99</v>
      </c>
      <c r="M319" s="72">
        <f t="shared" si="5"/>
        <v>2.2999999999999998</v>
      </c>
      <c r="N319" s="36">
        <v>2.3E-2</v>
      </c>
      <c r="O319" s="68">
        <v>4.6724999999999994</v>
      </c>
      <c r="P319" s="73">
        <v>6.25</v>
      </c>
      <c r="Q319" s="73">
        <f>'Trade Data'!H20</f>
        <v>3.6441271351698408</v>
      </c>
      <c r="R319" s="37">
        <v>1</v>
      </c>
    </row>
    <row r="320" spans="1:18" ht="20.100000000000001" customHeight="1">
      <c r="A320" s="44" t="s">
        <v>110</v>
      </c>
      <c r="B320" s="44" t="s">
        <v>550</v>
      </c>
      <c r="C320" s="59">
        <v>0</v>
      </c>
      <c r="D320" s="47">
        <v>44460</v>
      </c>
      <c r="E320" s="47">
        <v>0</v>
      </c>
      <c r="F320" s="47">
        <v>0</v>
      </c>
      <c r="G320" s="49">
        <v>0</v>
      </c>
      <c r="H320" s="47">
        <v>0</v>
      </c>
      <c r="I320" s="48">
        <v>47.8</v>
      </c>
      <c r="J320" s="48">
        <v>49.99</v>
      </c>
      <c r="K320" s="49">
        <v>66.92</v>
      </c>
      <c r="L320" s="49">
        <v>28.99</v>
      </c>
      <c r="M320" s="72">
        <f t="shared" si="5"/>
        <v>1.7000000000000002</v>
      </c>
      <c r="N320" s="36">
        <v>1.7000000000000001E-2</v>
      </c>
      <c r="O320" s="68">
        <v>12.549999999999997</v>
      </c>
      <c r="P320" s="73">
        <v>5.69</v>
      </c>
      <c r="Q320" s="73">
        <f>'Trade Data'!J20</f>
        <v>3.6044694241089577</v>
      </c>
      <c r="R320" s="35">
        <v>0</v>
      </c>
    </row>
    <row r="321" spans="1:18" ht="20.100000000000001" customHeight="1">
      <c r="A321" s="44" t="s">
        <v>110</v>
      </c>
      <c r="B321" s="44" t="s">
        <v>549</v>
      </c>
      <c r="C321" s="59">
        <v>185.03100000000001</v>
      </c>
      <c r="D321" s="47">
        <v>360240</v>
      </c>
      <c r="E321" s="47">
        <v>5.1363257828114593E-4</v>
      </c>
      <c r="F321" s="47">
        <v>1</v>
      </c>
      <c r="G321" s="49">
        <v>1</v>
      </c>
      <c r="H321" s="47">
        <v>5</v>
      </c>
      <c r="I321" s="48">
        <v>47.8</v>
      </c>
      <c r="J321" s="48">
        <v>49.99</v>
      </c>
      <c r="K321" s="49">
        <v>66.92</v>
      </c>
      <c r="L321" s="49">
        <v>28.99</v>
      </c>
      <c r="M321" s="72">
        <f t="shared" si="5"/>
        <v>1.7000000000000002</v>
      </c>
      <c r="N321" s="36">
        <v>1.7000000000000001E-2</v>
      </c>
      <c r="O321" s="68">
        <v>12.549999999999997</v>
      </c>
      <c r="P321" s="73">
        <v>5.69</v>
      </c>
      <c r="Q321" s="73">
        <f>'Trade Data'!J20</f>
        <v>3.6044694241089577</v>
      </c>
      <c r="R321" s="35">
        <v>1</v>
      </c>
    </row>
    <row r="322" spans="1:18" ht="20.100000000000001" customHeight="1">
      <c r="A322" s="44" t="s">
        <v>110</v>
      </c>
      <c r="B322" s="44" t="s">
        <v>548</v>
      </c>
      <c r="C322" s="59">
        <v>39.036999999999999</v>
      </c>
      <c r="D322" s="47">
        <v>729600</v>
      </c>
      <c r="E322" s="47">
        <v>5.3504660087719295E-5</v>
      </c>
      <c r="F322" s="47">
        <v>1</v>
      </c>
      <c r="G322" s="49">
        <v>1</v>
      </c>
      <c r="H322" s="47">
        <v>9</v>
      </c>
      <c r="I322" s="48">
        <v>47.8</v>
      </c>
      <c r="J322" s="48">
        <v>49.99</v>
      </c>
      <c r="K322" s="49">
        <v>66.92</v>
      </c>
      <c r="L322" s="49">
        <v>28.99</v>
      </c>
      <c r="M322" s="72">
        <f t="shared" si="5"/>
        <v>1.7000000000000002</v>
      </c>
      <c r="N322" s="36">
        <v>1.7000000000000001E-2</v>
      </c>
      <c r="O322" s="68">
        <v>12.549999999999997</v>
      </c>
      <c r="P322" s="73">
        <v>5.69</v>
      </c>
      <c r="Q322" s="73">
        <f>'Trade Data'!J20</f>
        <v>3.6044694241089577</v>
      </c>
      <c r="R322" s="35">
        <v>1</v>
      </c>
    </row>
    <row r="323" spans="1:18" ht="20.100000000000001" customHeight="1">
      <c r="A323" s="44" t="s">
        <v>111</v>
      </c>
      <c r="B323" s="44" t="s">
        <v>864</v>
      </c>
      <c r="C323" s="59">
        <v>0</v>
      </c>
      <c r="D323" s="47">
        <v>44460</v>
      </c>
      <c r="E323" s="47">
        <v>0</v>
      </c>
      <c r="F323" s="47">
        <v>0</v>
      </c>
      <c r="G323" s="49">
        <v>0</v>
      </c>
      <c r="H323" s="47">
        <v>0</v>
      </c>
      <c r="I323" s="48">
        <v>47.46</v>
      </c>
      <c r="J323" s="48">
        <v>48.56</v>
      </c>
      <c r="K323" s="49">
        <v>66.98</v>
      </c>
      <c r="L323" s="49">
        <v>28.99</v>
      </c>
      <c r="M323" s="72">
        <f t="shared" si="5"/>
        <v>1.7000000000000002</v>
      </c>
      <c r="N323" s="36">
        <v>1.7000000000000001E-2</v>
      </c>
      <c r="O323" s="68">
        <v>15.81625</v>
      </c>
      <c r="P323" s="73">
        <v>5.69</v>
      </c>
      <c r="Q323" s="73">
        <f>'Trade Data'!J20</f>
        <v>3.6044694241089577</v>
      </c>
      <c r="R323" s="37">
        <v>0</v>
      </c>
    </row>
    <row r="324" spans="1:18" ht="20.100000000000001" customHeight="1">
      <c r="A324" s="44" t="s">
        <v>111</v>
      </c>
      <c r="B324" s="44" t="s">
        <v>865</v>
      </c>
      <c r="C324" s="59">
        <v>2850.22</v>
      </c>
      <c r="D324" s="47">
        <v>360240</v>
      </c>
      <c r="E324" s="47">
        <v>7.912003109038418E-3</v>
      </c>
      <c r="F324" s="47">
        <v>1</v>
      </c>
      <c r="G324" s="49">
        <v>1</v>
      </c>
      <c r="H324" s="47">
        <v>15</v>
      </c>
      <c r="I324" s="48">
        <v>47.46</v>
      </c>
      <c r="J324" s="48">
        <v>48.56</v>
      </c>
      <c r="K324" s="49">
        <v>66.98</v>
      </c>
      <c r="L324" s="49">
        <v>28.99</v>
      </c>
      <c r="M324" s="72">
        <f t="shared" si="5"/>
        <v>1.7000000000000002</v>
      </c>
      <c r="N324" s="36">
        <v>1.7000000000000001E-2</v>
      </c>
      <c r="O324" s="68">
        <v>15.81625</v>
      </c>
      <c r="P324" s="73">
        <v>5.69</v>
      </c>
      <c r="Q324" s="73">
        <f>'Trade Data'!J20</f>
        <v>3.6044694241089577</v>
      </c>
      <c r="R324" s="37">
        <v>1</v>
      </c>
    </row>
    <row r="325" spans="1:18" ht="20.100000000000001" customHeight="1">
      <c r="A325" s="44" t="s">
        <v>111</v>
      </c>
      <c r="B325" s="44" t="s">
        <v>866</v>
      </c>
      <c r="C325" s="59">
        <v>511.16300000000001</v>
      </c>
      <c r="D325" s="47">
        <v>729600</v>
      </c>
      <c r="E325" s="47">
        <v>7.0060718201754384E-4</v>
      </c>
      <c r="F325" s="47">
        <v>1</v>
      </c>
      <c r="G325" s="49">
        <v>1</v>
      </c>
      <c r="H325" s="47">
        <v>12</v>
      </c>
      <c r="I325" s="48">
        <v>47.46</v>
      </c>
      <c r="J325" s="48">
        <v>48.56</v>
      </c>
      <c r="K325" s="49">
        <v>66.98</v>
      </c>
      <c r="L325" s="49">
        <v>28.99</v>
      </c>
      <c r="M325" s="72">
        <f t="shared" si="5"/>
        <v>1.7000000000000002</v>
      </c>
      <c r="N325" s="36">
        <v>1.7000000000000001E-2</v>
      </c>
      <c r="O325" s="68">
        <v>15.81625</v>
      </c>
      <c r="P325" s="73">
        <v>5.69</v>
      </c>
      <c r="Q325" s="73">
        <f>'Trade Data'!J20</f>
        <v>3.6044694241089577</v>
      </c>
      <c r="R325" s="37">
        <v>1</v>
      </c>
    </row>
    <row r="326" spans="1:18" ht="20.100000000000001" customHeight="1">
      <c r="A326" s="44" t="s">
        <v>113</v>
      </c>
      <c r="B326" s="44" t="s">
        <v>544</v>
      </c>
      <c r="C326" s="59">
        <v>0.19800000000000001</v>
      </c>
      <c r="D326" s="47">
        <v>14486.28</v>
      </c>
      <c r="E326" s="47">
        <v>1.3668105269261673E-5</v>
      </c>
      <c r="F326" s="47">
        <v>1</v>
      </c>
      <c r="G326" s="49">
        <v>1</v>
      </c>
      <c r="H326" s="47">
        <v>1</v>
      </c>
      <c r="I326" s="48">
        <v>65.900000000000006</v>
      </c>
      <c r="J326" s="52">
        <v>72.86</v>
      </c>
      <c r="K326" s="49">
        <v>80.14</v>
      </c>
      <c r="L326" s="49">
        <v>34.54</v>
      </c>
      <c r="M326" s="72">
        <f t="shared" si="5"/>
        <v>5.8999999999999995</v>
      </c>
      <c r="N326" s="36">
        <v>5.8999999999999997E-2</v>
      </c>
      <c r="O326" s="68">
        <v>21.5625</v>
      </c>
      <c r="P326" s="73">
        <v>5.8</v>
      </c>
      <c r="Q326" s="73">
        <f>'Trade Data'!B23</f>
        <v>0.3489494176436016</v>
      </c>
      <c r="R326" s="37">
        <v>0</v>
      </c>
    </row>
    <row r="327" spans="1:18" ht="20.100000000000001" customHeight="1">
      <c r="A327" s="44" t="s">
        <v>113</v>
      </c>
      <c r="B327" s="44" t="s">
        <v>543</v>
      </c>
      <c r="C327" s="59">
        <v>11.202</v>
      </c>
      <c r="D327" s="47">
        <v>73579.22</v>
      </c>
      <c r="E327" s="47">
        <v>1.5224407108420013E-4</v>
      </c>
      <c r="F327" s="47">
        <v>1</v>
      </c>
      <c r="G327" s="49">
        <v>1</v>
      </c>
      <c r="H327" s="47">
        <v>5</v>
      </c>
      <c r="I327" s="48">
        <v>65.900000000000006</v>
      </c>
      <c r="J327" s="52">
        <v>72.86</v>
      </c>
      <c r="K327" s="49">
        <v>80.14</v>
      </c>
      <c r="L327" s="49">
        <v>34.54</v>
      </c>
      <c r="M327" s="72">
        <f t="shared" si="5"/>
        <v>5.8999999999999995</v>
      </c>
      <c r="N327" s="36">
        <v>5.8999999999999997E-2</v>
      </c>
      <c r="O327" s="68">
        <v>21.5625</v>
      </c>
      <c r="P327" s="73">
        <v>5.8</v>
      </c>
      <c r="Q327" s="73">
        <f>'Trade Data'!B23</f>
        <v>0.3489494176436016</v>
      </c>
      <c r="R327" s="37">
        <v>1</v>
      </c>
    </row>
    <row r="328" spans="1:18" ht="20.100000000000001" customHeight="1">
      <c r="A328" s="44" t="s">
        <v>113</v>
      </c>
      <c r="B328" s="44" t="s">
        <v>542</v>
      </c>
      <c r="C328" s="59">
        <v>0</v>
      </c>
      <c r="D328" s="47">
        <v>109834.50000000001</v>
      </c>
      <c r="E328" s="47">
        <v>0</v>
      </c>
      <c r="F328" s="47">
        <v>0</v>
      </c>
      <c r="G328" s="49">
        <v>0</v>
      </c>
      <c r="H328" s="47">
        <v>0</v>
      </c>
      <c r="I328" s="48">
        <v>65.900000000000006</v>
      </c>
      <c r="J328" s="52">
        <v>72.86</v>
      </c>
      <c r="K328" s="49">
        <v>80.14</v>
      </c>
      <c r="L328" s="49">
        <v>34.54</v>
      </c>
      <c r="M328" s="72">
        <f t="shared" si="5"/>
        <v>5.8999999999999995</v>
      </c>
      <c r="N328" s="36">
        <v>5.8999999999999997E-2</v>
      </c>
      <c r="O328" s="68">
        <v>21.5625</v>
      </c>
      <c r="P328" s="73">
        <v>5.8</v>
      </c>
      <c r="Q328" s="73">
        <f>'Trade Data'!B23</f>
        <v>0.3489494176436016</v>
      </c>
      <c r="R328" s="37">
        <v>1</v>
      </c>
    </row>
    <row r="329" spans="1:18" ht="20.100000000000001" customHeight="1">
      <c r="A329" s="44" t="s">
        <v>114</v>
      </c>
      <c r="B329" s="44" t="s">
        <v>541</v>
      </c>
      <c r="C329" s="59">
        <v>0</v>
      </c>
      <c r="D329" s="47">
        <v>14486.28</v>
      </c>
      <c r="E329" s="47">
        <v>0</v>
      </c>
      <c r="F329" s="47">
        <v>0</v>
      </c>
      <c r="G329" s="49">
        <v>0</v>
      </c>
      <c r="H329" s="47">
        <v>0</v>
      </c>
      <c r="I329" s="48">
        <v>48.81</v>
      </c>
      <c r="J329" s="48">
        <v>31.23</v>
      </c>
      <c r="K329" s="52">
        <v>78.84</v>
      </c>
      <c r="L329" s="49">
        <v>34.54</v>
      </c>
      <c r="M329" s="72">
        <f t="shared" si="5"/>
        <v>5.8999999999999995</v>
      </c>
      <c r="N329" s="36">
        <v>5.8999999999999997E-2</v>
      </c>
      <c r="O329" s="68">
        <v>15.248750000000001</v>
      </c>
      <c r="P329" s="73">
        <v>5.8</v>
      </c>
      <c r="Q329" s="73">
        <f>'Trade Data'!B23</f>
        <v>0.3489494176436016</v>
      </c>
      <c r="R329" s="35">
        <v>0</v>
      </c>
    </row>
    <row r="330" spans="1:18" ht="20.100000000000001" customHeight="1">
      <c r="A330" s="44" t="s">
        <v>114</v>
      </c>
      <c r="B330" s="44" t="s">
        <v>540</v>
      </c>
      <c r="C330" s="59">
        <v>2611.395</v>
      </c>
      <c r="D330" s="47">
        <v>73579.22</v>
      </c>
      <c r="E330" s="47">
        <v>3.5490930727452671E-2</v>
      </c>
      <c r="F330" s="47">
        <v>1</v>
      </c>
      <c r="G330" s="49">
        <v>1</v>
      </c>
      <c r="H330" s="47">
        <v>5</v>
      </c>
      <c r="I330" s="48">
        <v>48.81</v>
      </c>
      <c r="J330" s="48">
        <v>31.23</v>
      </c>
      <c r="K330" s="52">
        <v>78.84</v>
      </c>
      <c r="L330" s="49">
        <v>34.54</v>
      </c>
      <c r="M330" s="72">
        <f t="shared" si="5"/>
        <v>5.8999999999999995</v>
      </c>
      <c r="N330" s="36">
        <v>5.8999999999999997E-2</v>
      </c>
      <c r="O330" s="68">
        <v>15.248750000000001</v>
      </c>
      <c r="P330" s="73">
        <v>5.8</v>
      </c>
      <c r="Q330" s="73">
        <f>'Trade Data'!B23</f>
        <v>0.3489494176436016</v>
      </c>
      <c r="R330" s="35">
        <v>1</v>
      </c>
    </row>
    <row r="331" spans="1:18" ht="20.100000000000001" customHeight="1">
      <c r="A331" s="44" t="s">
        <v>114</v>
      </c>
      <c r="B331" s="44" t="s">
        <v>539</v>
      </c>
      <c r="C331" s="59">
        <v>0</v>
      </c>
      <c r="D331" s="47">
        <v>109834.50000000001</v>
      </c>
      <c r="E331" s="47">
        <v>0</v>
      </c>
      <c r="F331" s="47">
        <v>0</v>
      </c>
      <c r="G331" s="49">
        <v>1</v>
      </c>
      <c r="H331" s="47">
        <v>1</v>
      </c>
      <c r="I331" s="48">
        <v>48.81</v>
      </c>
      <c r="J331" s="48">
        <v>31.23</v>
      </c>
      <c r="K331" s="52">
        <v>78.84</v>
      </c>
      <c r="L331" s="49">
        <v>34.54</v>
      </c>
      <c r="M331" s="72">
        <f t="shared" si="5"/>
        <v>5.8999999999999995</v>
      </c>
      <c r="N331" s="36">
        <v>5.8999999999999997E-2</v>
      </c>
      <c r="O331" s="68">
        <v>15.248750000000001</v>
      </c>
      <c r="P331" s="73">
        <v>5.8</v>
      </c>
      <c r="Q331" s="73">
        <f>'Trade Data'!B23</f>
        <v>0.3489494176436016</v>
      </c>
      <c r="R331" s="35">
        <v>1</v>
      </c>
    </row>
    <row r="332" spans="1:18" ht="20.100000000000001" customHeight="1">
      <c r="A332" s="44" t="s">
        <v>115</v>
      </c>
      <c r="B332" s="44" t="s">
        <v>538</v>
      </c>
      <c r="C332" s="59">
        <v>0</v>
      </c>
      <c r="D332" s="47">
        <v>15171.57</v>
      </c>
      <c r="E332" s="47">
        <v>0</v>
      </c>
      <c r="F332" s="47">
        <v>0</v>
      </c>
      <c r="G332" s="49">
        <v>0</v>
      </c>
      <c r="H332" s="47">
        <v>0</v>
      </c>
      <c r="I332" s="48">
        <v>60.1</v>
      </c>
      <c r="J332" s="48">
        <v>67.989999999999995</v>
      </c>
      <c r="K332" s="52">
        <v>72.400000000000006</v>
      </c>
      <c r="L332" s="49">
        <v>34.54</v>
      </c>
      <c r="M332" s="72">
        <f t="shared" si="5"/>
        <v>5.8999999999999995</v>
      </c>
      <c r="N332" s="36">
        <v>5.8999999999999997E-2</v>
      </c>
      <c r="O332" s="68">
        <v>18.943750000000001</v>
      </c>
      <c r="P332" s="73">
        <v>5.8</v>
      </c>
      <c r="Q332" s="73">
        <f>'Trade Data'!B23</f>
        <v>0.3489494176436016</v>
      </c>
      <c r="R332" s="37">
        <v>0</v>
      </c>
    </row>
    <row r="333" spans="1:18" ht="20.100000000000001" customHeight="1">
      <c r="A333" s="44" t="s">
        <v>115</v>
      </c>
      <c r="B333" s="44" t="s">
        <v>537</v>
      </c>
      <c r="C333" s="59">
        <v>1345.135</v>
      </c>
      <c r="D333" s="47">
        <v>70719.42</v>
      </c>
      <c r="E333" s="47">
        <v>1.9020730090829364E-2</v>
      </c>
      <c r="F333" s="47">
        <v>1</v>
      </c>
      <c r="G333" s="49">
        <v>1</v>
      </c>
      <c r="H333" s="47">
        <v>6</v>
      </c>
      <c r="I333" s="48">
        <v>60.1</v>
      </c>
      <c r="J333" s="48">
        <v>67.989999999999995</v>
      </c>
      <c r="K333" s="52">
        <v>72.400000000000006</v>
      </c>
      <c r="L333" s="49">
        <v>34.54</v>
      </c>
      <c r="M333" s="72">
        <f t="shared" si="5"/>
        <v>5.8999999999999995</v>
      </c>
      <c r="N333" s="36">
        <v>5.8999999999999997E-2</v>
      </c>
      <c r="O333" s="68">
        <v>18.943750000000001</v>
      </c>
      <c r="P333" s="73">
        <v>5.8</v>
      </c>
      <c r="Q333" s="73">
        <f>'Trade Data'!B23</f>
        <v>0.3489494176436016</v>
      </c>
      <c r="R333" s="37">
        <v>1</v>
      </c>
    </row>
    <row r="334" spans="1:18" ht="20.100000000000001" customHeight="1">
      <c r="A334" s="44" t="s">
        <v>115</v>
      </c>
      <c r="B334" s="44" t="s">
        <v>536</v>
      </c>
      <c r="C334" s="59">
        <v>0</v>
      </c>
      <c r="D334" s="47">
        <v>117209.01</v>
      </c>
      <c r="E334" s="47">
        <v>0</v>
      </c>
      <c r="F334" s="47">
        <v>0</v>
      </c>
      <c r="G334" s="49">
        <v>1</v>
      </c>
      <c r="H334" s="47">
        <v>2</v>
      </c>
      <c r="I334" s="48">
        <v>60.1</v>
      </c>
      <c r="J334" s="48">
        <v>67.989999999999995</v>
      </c>
      <c r="K334" s="52">
        <v>72.400000000000006</v>
      </c>
      <c r="L334" s="49">
        <v>34.54</v>
      </c>
      <c r="M334" s="72">
        <f t="shared" si="5"/>
        <v>5.8999999999999995</v>
      </c>
      <c r="N334" s="36">
        <v>5.8999999999999997E-2</v>
      </c>
      <c r="O334" s="68">
        <v>18.943750000000001</v>
      </c>
      <c r="P334" s="73">
        <v>5.8</v>
      </c>
      <c r="Q334" s="73">
        <f>'Trade Data'!B23</f>
        <v>0.3489494176436016</v>
      </c>
      <c r="R334" s="37">
        <v>1</v>
      </c>
    </row>
    <row r="335" spans="1:18" ht="20.100000000000001" customHeight="1">
      <c r="A335" s="44" t="s">
        <v>116</v>
      </c>
      <c r="B335" s="44" t="s">
        <v>535</v>
      </c>
      <c r="C335" s="59">
        <v>0</v>
      </c>
      <c r="D335" s="47">
        <v>15171.57</v>
      </c>
      <c r="E335" s="47">
        <v>0</v>
      </c>
      <c r="F335" s="47">
        <v>0</v>
      </c>
      <c r="G335" s="49">
        <v>0</v>
      </c>
      <c r="H335" s="47">
        <v>0</v>
      </c>
      <c r="I335" s="48">
        <v>56.92</v>
      </c>
      <c r="J335" s="48">
        <v>63.64</v>
      </c>
      <c r="K335" s="52">
        <v>69.930000000000007</v>
      </c>
      <c r="L335" s="49">
        <v>34.54</v>
      </c>
      <c r="M335" s="72">
        <f t="shared" si="5"/>
        <v>5.8999999999999995</v>
      </c>
      <c r="N335" s="36">
        <v>5.8999999999999997E-2</v>
      </c>
      <c r="O335" s="68">
        <v>20.552500000000002</v>
      </c>
      <c r="P335" s="73">
        <v>5.8</v>
      </c>
      <c r="Q335" s="73">
        <f>'Trade Data'!B23</f>
        <v>0.3489494176436016</v>
      </c>
      <c r="R335" s="35">
        <v>0</v>
      </c>
    </row>
    <row r="336" spans="1:18" ht="20.100000000000001" customHeight="1">
      <c r="A336" s="44" t="s">
        <v>116</v>
      </c>
      <c r="B336" s="44" t="s">
        <v>534</v>
      </c>
      <c r="C336" s="59">
        <v>7249.6310000000003</v>
      </c>
      <c r="D336" s="47">
        <v>70719.42</v>
      </c>
      <c r="E336" s="47">
        <v>0.10251259130801696</v>
      </c>
      <c r="F336" s="47">
        <v>1</v>
      </c>
      <c r="G336" s="49">
        <v>1</v>
      </c>
      <c r="H336" s="47">
        <v>8</v>
      </c>
      <c r="I336" s="48">
        <v>56.92</v>
      </c>
      <c r="J336" s="48">
        <v>63.64</v>
      </c>
      <c r="K336" s="52">
        <v>69.930000000000007</v>
      </c>
      <c r="L336" s="49">
        <v>34.54</v>
      </c>
      <c r="M336" s="72">
        <f t="shared" si="5"/>
        <v>5.8999999999999995</v>
      </c>
      <c r="N336" s="36">
        <v>5.8999999999999997E-2</v>
      </c>
      <c r="O336" s="68">
        <v>20.552500000000002</v>
      </c>
      <c r="P336" s="73">
        <v>5.8</v>
      </c>
      <c r="Q336" s="73">
        <f>'Trade Data'!B23</f>
        <v>0.3489494176436016</v>
      </c>
      <c r="R336" s="35">
        <v>1</v>
      </c>
    </row>
    <row r="337" spans="1:18" ht="20.100000000000001" customHeight="1">
      <c r="A337" s="44" t="s">
        <v>116</v>
      </c>
      <c r="B337" s="44" t="s">
        <v>533</v>
      </c>
      <c r="C337" s="59">
        <v>0</v>
      </c>
      <c r="D337" s="47">
        <v>117209.01</v>
      </c>
      <c r="E337" s="47">
        <v>0</v>
      </c>
      <c r="F337" s="47">
        <v>0</v>
      </c>
      <c r="G337" s="49">
        <v>1</v>
      </c>
      <c r="H337" s="47">
        <v>2</v>
      </c>
      <c r="I337" s="48">
        <v>56.92</v>
      </c>
      <c r="J337" s="48">
        <v>63.64</v>
      </c>
      <c r="K337" s="52">
        <v>69.930000000000007</v>
      </c>
      <c r="L337" s="49">
        <v>34.54</v>
      </c>
      <c r="M337" s="72">
        <f t="shared" si="5"/>
        <v>5.8999999999999995</v>
      </c>
      <c r="N337" s="36">
        <v>5.8999999999999997E-2</v>
      </c>
      <c r="O337" s="68">
        <v>20.552500000000002</v>
      </c>
      <c r="P337" s="73">
        <v>5.8</v>
      </c>
      <c r="Q337" s="73">
        <f>'Trade Data'!B23</f>
        <v>0.3489494176436016</v>
      </c>
      <c r="R337" s="35">
        <v>1</v>
      </c>
    </row>
    <row r="338" spans="1:18" ht="20.100000000000001" customHeight="1">
      <c r="A338" s="44" t="s">
        <v>117</v>
      </c>
      <c r="B338" s="44" t="s">
        <v>532</v>
      </c>
      <c r="C338" s="59">
        <v>0</v>
      </c>
      <c r="D338" s="47">
        <v>15171.57</v>
      </c>
      <c r="E338" s="47">
        <v>0</v>
      </c>
      <c r="F338" s="47">
        <v>0</v>
      </c>
      <c r="G338" s="49">
        <v>0</v>
      </c>
      <c r="H338" s="47">
        <v>0</v>
      </c>
      <c r="I338" s="48">
        <v>55.14</v>
      </c>
      <c r="J338" s="48">
        <v>60.46</v>
      </c>
      <c r="K338" s="52">
        <v>68.400000000000006</v>
      </c>
      <c r="L338" s="49">
        <v>34.54</v>
      </c>
      <c r="M338" s="72">
        <f t="shared" si="5"/>
        <v>2.4</v>
      </c>
      <c r="N338" s="71">
        <v>2.4E-2</v>
      </c>
      <c r="O338" s="68">
        <v>18.557499999999997</v>
      </c>
      <c r="P338" s="73">
        <v>5</v>
      </c>
      <c r="Q338" s="73">
        <f>'Trade Data'!D23</f>
        <v>0.34040677916778361</v>
      </c>
      <c r="R338" s="37">
        <v>0</v>
      </c>
    </row>
    <row r="339" spans="1:18" ht="20.100000000000001" customHeight="1">
      <c r="A339" s="44" t="s">
        <v>117</v>
      </c>
      <c r="B339" s="44" t="s">
        <v>531</v>
      </c>
      <c r="C339" s="59">
        <v>40.5</v>
      </c>
      <c r="D339" s="47">
        <v>70719.42</v>
      </c>
      <c r="E339" s="47">
        <v>5.7268569227519113E-4</v>
      </c>
      <c r="F339" s="47">
        <v>1</v>
      </c>
      <c r="G339" s="49">
        <v>1</v>
      </c>
      <c r="H339" s="47">
        <v>4</v>
      </c>
      <c r="I339" s="48">
        <v>55.14</v>
      </c>
      <c r="J339" s="48">
        <v>60.46</v>
      </c>
      <c r="K339" s="52">
        <v>68.400000000000006</v>
      </c>
      <c r="L339" s="49">
        <v>34.54</v>
      </c>
      <c r="M339" s="72">
        <f t="shared" si="5"/>
        <v>2.4</v>
      </c>
      <c r="N339" s="71">
        <v>2.4E-2</v>
      </c>
      <c r="O339" s="68">
        <v>18.557499999999997</v>
      </c>
      <c r="P339" s="73">
        <v>5</v>
      </c>
      <c r="Q339" s="73">
        <f>'Trade Data'!D23</f>
        <v>0.34040677916778361</v>
      </c>
      <c r="R339" s="37">
        <v>1</v>
      </c>
    </row>
    <row r="340" spans="1:18" ht="20.100000000000001" customHeight="1">
      <c r="A340" s="44" t="s">
        <v>117</v>
      </c>
      <c r="B340" s="44" t="s">
        <v>530</v>
      </c>
      <c r="C340" s="59">
        <v>1.988</v>
      </c>
      <c r="D340" s="47">
        <v>117209.01</v>
      </c>
      <c r="E340" s="47">
        <v>1.6961153413035397E-5</v>
      </c>
      <c r="F340" s="47">
        <v>1</v>
      </c>
      <c r="G340" s="49">
        <v>1</v>
      </c>
      <c r="H340" s="47">
        <v>5</v>
      </c>
      <c r="I340" s="48">
        <v>55.14</v>
      </c>
      <c r="J340" s="48">
        <v>60.46</v>
      </c>
      <c r="K340" s="52">
        <v>68.400000000000006</v>
      </c>
      <c r="L340" s="49">
        <v>34.54</v>
      </c>
      <c r="M340" s="72">
        <f t="shared" si="5"/>
        <v>2.4</v>
      </c>
      <c r="N340" s="71">
        <v>2.4E-2</v>
      </c>
      <c r="O340" s="68">
        <v>18.557499999999997</v>
      </c>
      <c r="P340" s="73">
        <v>5</v>
      </c>
      <c r="Q340" s="73">
        <f>'Trade Data'!D23</f>
        <v>0.34040677916778361</v>
      </c>
      <c r="R340" s="37">
        <v>1</v>
      </c>
    </row>
    <row r="341" spans="1:18" ht="20.100000000000001" customHeight="1">
      <c r="A341" s="44" t="s">
        <v>118</v>
      </c>
      <c r="B341" s="44" t="s">
        <v>529</v>
      </c>
      <c r="C341" s="59">
        <v>0</v>
      </c>
      <c r="D341" s="47">
        <v>15171.57</v>
      </c>
      <c r="E341" s="47">
        <v>0</v>
      </c>
      <c r="F341" s="47">
        <v>0</v>
      </c>
      <c r="G341" s="49">
        <v>0</v>
      </c>
      <c r="H341" s="47">
        <v>0</v>
      </c>
      <c r="I341" s="48">
        <v>68.709999999999994</v>
      </c>
      <c r="J341" s="48">
        <v>91.43</v>
      </c>
      <c r="K341" s="52">
        <v>63.68</v>
      </c>
      <c r="L341" s="49">
        <v>34.54</v>
      </c>
      <c r="M341" s="72">
        <f t="shared" si="5"/>
        <v>2.4</v>
      </c>
      <c r="N341" s="71">
        <v>2.4E-2</v>
      </c>
      <c r="O341" s="68">
        <v>26.763750000000002</v>
      </c>
      <c r="P341" s="73">
        <v>5</v>
      </c>
      <c r="Q341" s="73">
        <f>'Trade Data'!D23</f>
        <v>0.34040677916778361</v>
      </c>
      <c r="R341" s="35">
        <v>0</v>
      </c>
    </row>
    <row r="342" spans="1:18" ht="20.100000000000001" customHeight="1">
      <c r="A342" s="44" t="s">
        <v>118</v>
      </c>
      <c r="B342" s="44" t="s">
        <v>528</v>
      </c>
      <c r="C342" s="59">
        <v>8.5849999999999991</v>
      </c>
      <c r="D342" s="47">
        <v>70719.42</v>
      </c>
      <c r="E342" s="47">
        <v>1.2139522637487693E-4</v>
      </c>
      <c r="F342" s="47">
        <v>1</v>
      </c>
      <c r="G342" s="49">
        <v>1</v>
      </c>
      <c r="H342" s="47">
        <v>3</v>
      </c>
      <c r="I342" s="48">
        <v>68.709999999999994</v>
      </c>
      <c r="J342" s="48">
        <v>91.43</v>
      </c>
      <c r="K342" s="52">
        <v>63.68</v>
      </c>
      <c r="L342" s="49">
        <v>34.54</v>
      </c>
      <c r="M342" s="72">
        <f t="shared" si="5"/>
        <v>2.4</v>
      </c>
      <c r="N342" s="71">
        <v>2.4E-2</v>
      </c>
      <c r="O342" s="68">
        <v>26.763750000000002</v>
      </c>
      <c r="P342" s="73">
        <v>5</v>
      </c>
      <c r="Q342" s="73">
        <f>'Trade Data'!D23</f>
        <v>0.34040677916778361</v>
      </c>
      <c r="R342" s="35">
        <v>1</v>
      </c>
    </row>
    <row r="343" spans="1:18" ht="20.100000000000001" customHeight="1">
      <c r="A343" s="44" t="s">
        <v>118</v>
      </c>
      <c r="B343" s="44" t="s">
        <v>527</v>
      </c>
      <c r="C343" s="59">
        <v>0</v>
      </c>
      <c r="D343" s="47">
        <v>117209.01</v>
      </c>
      <c r="E343" s="47">
        <v>0</v>
      </c>
      <c r="F343" s="47">
        <v>0</v>
      </c>
      <c r="G343" s="49">
        <v>1</v>
      </c>
      <c r="H343" s="47">
        <v>2</v>
      </c>
      <c r="I343" s="48">
        <v>68.709999999999994</v>
      </c>
      <c r="J343" s="48">
        <v>91.43</v>
      </c>
      <c r="K343" s="52">
        <v>63.68</v>
      </c>
      <c r="L343" s="49">
        <v>34.54</v>
      </c>
      <c r="M343" s="72">
        <f t="shared" si="5"/>
        <v>2.4</v>
      </c>
      <c r="N343" s="71">
        <v>2.4E-2</v>
      </c>
      <c r="O343" s="68">
        <v>26.763750000000002</v>
      </c>
      <c r="P343" s="73">
        <v>5</v>
      </c>
      <c r="Q343" s="73">
        <f>'Trade Data'!D23</f>
        <v>0.34040677916778361</v>
      </c>
      <c r="R343" s="35">
        <v>1</v>
      </c>
    </row>
    <row r="344" spans="1:18" ht="20.100000000000001" customHeight="1">
      <c r="A344" s="44" t="s">
        <v>119</v>
      </c>
      <c r="B344" s="44" t="s">
        <v>526</v>
      </c>
      <c r="C344" s="59">
        <v>0</v>
      </c>
      <c r="D344" s="47">
        <v>14923.256000000001</v>
      </c>
      <c r="E344" s="47">
        <v>0</v>
      </c>
      <c r="F344" s="47">
        <v>0</v>
      </c>
      <c r="G344" s="49">
        <v>0</v>
      </c>
      <c r="H344" s="47">
        <v>0</v>
      </c>
      <c r="I344" s="48">
        <v>58.18</v>
      </c>
      <c r="J344" s="48">
        <v>68.44</v>
      </c>
      <c r="K344" s="52">
        <v>68.760000000000005</v>
      </c>
      <c r="L344" s="49">
        <v>34.54</v>
      </c>
      <c r="M344" s="72">
        <f t="shared" si="5"/>
        <v>2.4</v>
      </c>
      <c r="N344" s="71">
        <v>2.4E-2</v>
      </c>
      <c r="O344" s="68">
        <v>20.421250000000001</v>
      </c>
      <c r="P344" s="73">
        <v>5</v>
      </c>
      <c r="Q344" s="73">
        <f>'Trade Data'!D23</f>
        <v>0.34040677916778361</v>
      </c>
      <c r="R344" s="37">
        <v>0</v>
      </c>
    </row>
    <row r="345" spans="1:18" ht="20.100000000000001" customHeight="1">
      <c r="A345" s="44" t="s">
        <v>119</v>
      </c>
      <c r="B345" s="44" t="s">
        <v>525</v>
      </c>
      <c r="C345" s="59">
        <v>4.28</v>
      </c>
      <c r="D345" s="47">
        <v>63135.373</v>
      </c>
      <c r="E345" s="47">
        <v>6.7790840484937032E-5</v>
      </c>
      <c r="F345" s="47">
        <v>1</v>
      </c>
      <c r="G345" s="49">
        <v>1</v>
      </c>
      <c r="H345" s="47">
        <v>5</v>
      </c>
      <c r="I345" s="48">
        <v>58.18</v>
      </c>
      <c r="J345" s="48">
        <v>68.44</v>
      </c>
      <c r="K345" s="52">
        <v>68.760000000000005</v>
      </c>
      <c r="L345" s="49">
        <v>34.54</v>
      </c>
      <c r="M345" s="72">
        <f t="shared" si="5"/>
        <v>2.4</v>
      </c>
      <c r="N345" s="71">
        <v>2.4E-2</v>
      </c>
      <c r="O345" s="68">
        <v>20.421250000000001</v>
      </c>
      <c r="P345" s="73">
        <v>5</v>
      </c>
      <c r="Q345" s="73">
        <f>'Trade Data'!D23</f>
        <v>0.34040677916778361</v>
      </c>
      <c r="R345" s="37">
        <v>1</v>
      </c>
    </row>
    <row r="346" spans="1:18" ht="20.100000000000001" customHeight="1">
      <c r="A346" s="44" t="s">
        <v>119</v>
      </c>
      <c r="B346" s="44" t="s">
        <v>524</v>
      </c>
      <c r="C346" s="59">
        <v>0</v>
      </c>
      <c r="D346" s="47">
        <v>114251.371</v>
      </c>
      <c r="E346" s="47">
        <v>0</v>
      </c>
      <c r="F346" s="47">
        <v>0</v>
      </c>
      <c r="G346" s="49">
        <v>1</v>
      </c>
      <c r="H346" s="47">
        <v>4</v>
      </c>
      <c r="I346" s="48">
        <v>58.18</v>
      </c>
      <c r="J346" s="48">
        <v>68.44</v>
      </c>
      <c r="K346" s="52">
        <v>68.760000000000005</v>
      </c>
      <c r="L346" s="49">
        <v>34.54</v>
      </c>
      <c r="M346" s="72">
        <f t="shared" si="5"/>
        <v>2.4</v>
      </c>
      <c r="N346" s="71">
        <v>2.4E-2</v>
      </c>
      <c r="O346" s="68">
        <v>20.421250000000001</v>
      </c>
      <c r="P346" s="73">
        <v>5</v>
      </c>
      <c r="Q346" s="73">
        <f>'Trade Data'!D23</f>
        <v>0.34040677916778361</v>
      </c>
      <c r="R346" s="37">
        <v>1</v>
      </c>
    </row>
    <row r="347" spans="1:18" ht="20.100000000000001" customHeight="1">
      <c r="A347" s="44" t="s">
        <v>120</v>
      </c>
      <c r="B347" s="44" t="s">
        <v>523</v>
      </c>
      <c r="C347" s="59">
        <v>0</v>
      </c>
      <c r="D347" s="47">
        <v>14923.256000000001</v>
      </c>
      <c r="E347" s="47">
        <v>0</v>
      </c>
      <c r="F347" s="47">
        <v>0</v>
      </c>
      <c r="G347" s="49">
        <v>0</v>
      </c>
      <c r="H347" s="47">
        <v>0</v>
      </c>
      <c r="I347" s="48">
        <v>51.71</v>
      </c>
      <c r="J347" s="48">
        <v>65.58</v>
      </c>
      <c r="K347" s="52">
        <v>61.77</v>
      </c>
      <c r="L347" s="49">
        <v>28.33</v>
      </c>
      <c r="M347" s="72">
        <f t="shared" si="5"/>
        <v>2.4</v>
      </c>
      <c r="N347" s="71">
        <v>2.4E-2</v>
      </c>
      <c r="O347" s="68">
        <v>18.003749999999997</v>
      </c>
      <c r="P347" s="73">
        <v>5</v>
      </c>
      <c r="Q347" s="73">
        <f>'Trade Data'!D23</f>
        <v>0.34040677916778361</v>
      </c>
      <c r="R347" s="35">
        <v>0</v>
      </c>
    </row>
    <row r="348" spans="1:18" ht="20.100000000000001" customHeight="1">
      <c r="A348" s="44" t="s">
        <v>120</v>
      </c>
      <c r="B348" s="44" t="s">
        <v>522</v>
      </c>
      <c r="C348" s="59">
        <v>278.78800000000001</v>
      </c>
      <c r="D348" s="47">
        <v>63135.373</v>
      </c>
      <c r="E348" s="47">
        <v>4.4157179525968751E-3</v>
      </c>
      <c r="F348" s="47">
        <v>1</v>
      </c>
      <c r="G348" s="49">
        <v>1</v>
      </c>
      <c r="H348" s="47">
        <v>10</v>
      </c>
      <c r="I348" s="48">
        <v>51.71</v>
      </c>
      <c r="J348" s="48">
        <v>65.58</v>
      </c>
      <c r="K348" s="52">
        <v>61.77</v>
      </c>
      <c r="L348" s="49">
        <v>28.33</v>
      </c>
      <c r="M348" s="72">
        <f t="shared" si="5"/>
        <v>2.4</v>
      </c>
      <c r="N348" s="71">
        <v>2.4E-2</v>
      </c>
      <c r="O348" s="68">
        <v>18.003749999999997</v>
      </c>
      <c r="P348" s="73">
        <v>5</v>
      </c>
      <c r="Q348" s="73">
        <f>'Trade Data'!D23</f>
        <v>0.34040677916778361</v>
      </c>
      <c r="R348" s="35">
        <v>1</v>
      </c>
    </row>
    <row r="349" spans="1:18" ht="20.100000000000001" customHeight="1">
      <c r="A349" s="44" t="s">
        <v>120</v>
      </c>
      <c r="B349" s="44" t="s">
        <v>521</v>
      </c>
      <c r="C349" s="59">
        <v>0</v>
      </c>
      <c r="D349" s="47">
        <v>114251.371</v>
      </c>
      <c r="E349" s="47">
        <v>0</v>
      </c>
      <c r="F349" s="47">
        <v>0</v>
      </c>
      <c r="G349" s="49">
        <v>0</v>
      </c>
      <c r="H349" s="47">
        <v>0</v>
      </c>
      <c r="I349" s="48">
        <v>51.71</v>
      </c>
      <c r="J349" s="48">
        <v>65.58</v>
      </c>
      <c r="K349" s="52">
        <v>61.77</v>
      </c>
      <c r="L349" s="49">
        <v>28.33</v>
      </c>
      <c r="M349" s="72">
        <f t="shared" si="5"/>
        <v>2.4</v>
      </c>
      <c r="N349" s="71">
        <v>2.4E-2</v>
      </c>
      <c r="O349" s="68">
        <v>18.003749999999997</v>
      </c>
      <c r="P349" s="73">
        <v>5</v>
      </c>
      <c r="Q349" s="73">
        <f>'Trade Data'!D23</f>
        <v>0.34040677916778361</v>
      </c>
      <c r="R349" s="35">
        <v>1</v>
      </c>
    </row>
    <row r="350" spans="1:18" ht="20.100000000000001" customHeight="1">
      <c r="A350" s="44" t="s">
        <v>121</v>
      </c>
      <c r="B350" s="44" t="s">
        <v>520</v>
      </c>
      <c r="C350" s="59">
        <v>0</v>
      </c>
      <c r="D350" s="47">
        <v>14923.256000000001</v>
      </c>
      <c r="E350" s="47">
        <v>0</v>
      </c>
      <c r="F350" s="47">
        <v>0</v>
      </c>
      <c r="G350" s="49">
        <v>0</v>
      </c>
      <c r="H350" s="47">
        <v>0</v>
      </c>
      <c r="I350" s="48">
        <v>46.32</v>
      </c>
      <c r="J350" s="48">
        <v>53.74</v>
      </c>
      <c r="K350" s="52">
        <v>59.69</v>
      </c>
      <c r="L350" s="49">
        <v>28.33</v>
      </c>
      <c r="M350" s="72">
        <f t="shared" si="5"/>
        <v>3.3000000000000003</v>
      </c>
      <c r="N350" s="36">
        <v>3.3000000000000002E-2</v>
      </c>
      <c r="O350" s="68">
        <v>13.032499999999999</v>
      </c>
      <c r="P350" s="73">
        <v>5.75</v>
      </c>
      <c r="Q350" s="73">
        <f>'Trade Data'!F23</f>
        <v>0.35702986979301843</v>
      </c>
      <c r="R350" s="37">
        <v>0</v>
      </c>
    </row>
    <row r="351" spans="1:18" ht="20.100000000000001" customHeight="1">
      <c r="A351" s="44" t="s">
        <v>121</v>
      </c>
      <c r="B351" s="44" t="s">
        <v>519</v>
      </c>
      <c r="C351" s="59">
        <v>3.2109999999999999</v>
      </c>
      <c r="D351" s="47">
        <v>63135.373</v>
      </c>
      <c r="E351" s="47">
        <v>5.085896934512448E-5</v>
      </c>
      <c r="F351" s="47">
        <v>1</v>
      </c>
      <c r="G351" s="49">
        <v>1</v>
      </c>
      <c r="H351" s="47">
        <v>4</v>
      </c>
      <c r="I351" s="48">
        <v>46.32</v>
      </c>
      <c r="J351" s="48">
        <v>53.74</v>
      </c>
      <c r="K351" s="52">
        <v>59.69</v>
      </c>
      <c r="L351" s="49">
        <v>28.33</v>
      </c>
      <c r="M351" s="72">
        <f t="shared" si="5"/>
        <v>3.3000000000000003</v>
      </c>
      <c r="N351" s="36">
        <v>3.3000000000000002E-2</v>
      </c>
      <c r="O351" s="68">
        <v>13.032499999999999</v>
      </c>
      <c r="P351" s="73">
        <v>5.75</v>
      </c>
      <c r="Q351" s="73">
        <f>'Trade Data'!F23</f>
        <v>0.35702986979301843</v>
      </c>
      <c r="R351" s="37">
        <v>1</v>
      </c>
    </row>
    <row r="352" spans="1:18" ht="20.100000000000001" customHeight="1">
      <c r="A352" s="44" t="s">
        <v>121</v>
      </c>
      <c r="B352" s="44" t="s">
        <v>518</v>
      </c>
      <c r="C352" s="59">
        <v>0</v>
      </c>
      <c r="D352" s="47">
        <v>114251.371</v>
      </c>
      <c r="E352" s="47">
        <v>0</v>
      </c>
      <c r="F352" s="47">
        <v>0</v>
      </c>
      <c r="G352" s="49">
        <v>1</v>
      </c>
      <c r="H352" s="47">
        <v>5</v>
      </c>
      <c r="I352" s="48">
        <v>46.32</v>
      </c>
      <c r="J352" s="48">
        <v>53.74</v>
      </c>
      <c r="K352" s="52">
        <v>59.69</v>
      </c>
      <c r="L352" s="49">
        <v>28.33</v>
      </c>
      <c r="M352" s="72">
        <f t="shared" si="5"/>
        <v>3.3000000000000003</v>
      </c>
      <c r="N352" s="36">
        <v>3.3000000000000002E-2</v>
      </c>
      <c r="O352" s="68">
        <v>13.032499999999999</v>
      </c>
      <c r="P352" s="73">
        <v>5.75</v>
      </c>
      <c r="Q352" s="73">
        <f>'Trade Data'!F23</f>
        <v>0.35702986979301843</v>
      </c>
      <c r="R352" s="37">
        <v>1</v>
      </c>
    </row>
    <row r="353" spans="1:18" ht="20.100000000000001" customHeight="1">
      <c r="A353" s="44" t="s">
        <v>122</v>
      </c>
      <c r="B353" s="44" t="s">
        <v>517</v>
      </c>
      <c r="C353" s="59">
        <v>0</v>
      </c>
      <c r="D353" s="47">
        <v>14923.256000000001</v>
      </c>
      <c r="E353" s="47">
        <v>0</v>
      </c>
      <c r="F353" s="47">
        <v>0</v>
      </c>
      <c r="G353" s="49">
        <v>0</v>
      </c>
      <c r="H353" s="47">
        <v>0</v>
      </c>
      <c r="I353" s="48">
        <v>61.09</v>
      </c>
      <c r="J353" s="48">
        <v>86.41</v>
      </c>
      <c r="K353" s="52">
        <v>61.29</v>
      </c>
      <c r="L353" s="49">
        <v>28.33</v>
      </c>
      <c r="M353" s="72">
        <f t="shared" si="5"/>
        <v>3.3000000000000003</v>
      </c>
      <c r="N353" s="36">
        <v>3.3000000000000002E-2</v>
      </c>
      <c r="O353" s="68">
        <v>23.032500000000006</v>
      </c>
      <c r="P353" s="73">
        <v>5.75</v>
      </c>
      <c r="Q353" s="73">
        <f>'Trade Data'!F23</f>
        <v>0.35702986979301843</v>
      </c>
      <c r="R353" s="35">
        <v>0</v>
      </c>
    </row>
    <row r="354" spans="1:18" ht="20.100000000000001" customHeight="1">
      <c r="A354" s="44" t="s">
        <v>122</v>
      </c>
      <c r="B354" s="44" t="s">
        <v>516</v>
      </c>
      <c r="C354" s="59">
        <v>0</v>
      </c>
      <c r="D354" s="47">
        <v>63135.373</v>
      </c>
      <c r="E354" s="47">
        <v>0</v>
      </c>
      <c r="F354" s="47">
        <v>0</v>
      </c>
      <c r="G354" s="49">
        <v>0</v>
      </c>
      <c r="H354" s="47">
        <v>0</v>
      </c>
      <c r="I354" s="48">
        <v>61.09</v>
      </c>
      <c r="J354" s="48">
        <v>86.41</v>
      </c>
      <c r="K354" s="52">
        <v>61.29</v>
      </c>
      <c r="L354" s="49">
        <v>28.33</v>
      </c>
      <c r="M354" s="72">
        <f t="shared" si="5"/>
        <v>3.3000000000000003</v>
      </c>
      <c r="N354" s="36">
        <v>3.3000000000000002E-2</v>
      </c>
      <c r="O354" s="68">
        <v>23.032500000000006</v>
      </c>
      <c r="P354" s="73">
        <v>5.75</v>
      </c>
      <c r="Q354" s="73">
        <f>'Trade Data'!F23</f>
        <v>0.35702986979301843</v>
      </c>
      <c r="R354" s="35">
        <v>1</v>
      </c>
    </row>
    <row r="355" spans="1:18" ht="20.100000000000001" customHeight="1">
      <c r="A355" s="44" t="s">
        <v>122</v>
      </c>
      <c r="B355" s="44" t="s">
        <v>515</v>
      </c>
      <c r="C355" s="59">
        <v>0</v>
      </c>
      <c r="D355" s="47">
        <v>114251.371</v>
      </c>
      <c r="E355" s="47">
        <v>0</v>
      </c>
      <c r="F355" s="47">
        <v>0</v>
      </c>
      <c r="G355" s="49">
        <v>0</v>
      </c>
      <c r="H355" s="47">
        <v>0</v>
      </c>
      <c r="I355" s="48">
        <v>61.09</v>
      </c>
      <c r="J355" s="48">
        <v>86.41</v>
      </c>
      <c r="K355" s="52">
        <v>61.29</v>
      </c>
      <c r="L355" s="49">
        <v>28.33</v>
      </c>
      <c r="M355" s="72">
        <f t="shared" si="5"/>
        <v>3.3000000000000003</v>
      </c>
      <c r="N355" s="36">
        <v>3.3000000000000002E-2</v>
      </c>
      <c r="O355" s="68">
        <v>23.032500000000006</v>
      </c>
      <c r="P355" s="73">
        <v>5.75</v>
      </c>
      <c r="Q355" s="73">
        <f>'Trade Data'!F23</f>
        <v>0.35702986979301843</v>
      </c>
      <c r="R355" s="35">
        <v>1</v>
      </c>
    </row>
    <row r="356" spans="1:18" ht="20.100000000000001" customHeight="1">
      <c r="A356" s="44" t="s">
        <v>123</v>
      </c>
      <c r="B356" s="44" t="s">
        <v>514</v>
      </c>
      <c r="C356" s="59">
        <v>0</v>
      </c>
      <c r="D356" s="47">
        <v>14647.5</v>
      </c>
      <c r="E356" s="47">
        <v>0</v>
      </c>
      <c r="F356" s="47">
        <v>0</v>
      </c>
      <c r="G356" s="49">
        <v>0</v>
      </c>
      <c r="H356" s="47">
        <v>0</v>
      </c>
      <c r="I356" s="48">
        <v>46.72</v>
      </c>
      <c r="J356" s="48">
        <v>53.75</v>
      </c>
      <c r="K356" s="52">
        <v>61.3</v>
      </c>
      <c r="L356" s="49">
        <v>28.33</v>
      </c>
      <c r="M356" s="72">
        <f t="shared" si="5"/>
        <v>3.3000000000000003</v>
      </c>
      <c r="N356" s="36">
        <v>3.3000000000000002E-2</v>
      </c>
      <c r="O356" s="68">
        <v>15.772499999999997</v>
      </c>
      <c r="P356" s="73">
        <v>5.75</v>
      </c>
      <c r="Q356" s="73">
        <f>'Trade Data'!F23</f>
        <v>0.35702986979301843</v>
      </c>
      <c r="R356" s="37">
        <v>0</v>
      </c>
    </row>
    <row r="357" spans="1:18" ht="20.100000000000001" customHeight="1">
      <c r="A357" s="44" t="s">
        <v>123</v>
      </c>
      <c r="B357" s="44" t="s">
        <v>513</v>
      </c>
      <c r="C357" s="59">
        <v>8</v>
      </c>
      <c r="D357" s="47">
        <v>70893.899999999994</v>
      </c>
      <c r="E357" s="47">
        <v>1.1284468762474628E-4</v>
      </c>
      <c r="F357" s="47">
        <v>1</v>
      </c>
      <c r="G357" s="49">
        <v>1</v>
      </c>
      <c r="H357" s="47">
        <v>2</v>
      </c>
      <c r="I357" s="48">
        <v>46.72</v>
      </c>
      <c r="J357" s="48">
        <v>53.75</v>
      </c>
      <c r="K357" s="52">
        <v>61.3</v>
      </c>
      <c r="L357" s="49">
        <v>28.33</v>
      </c>
      <c r="M357" s="72">
        <f t="shared" si="5"/>
        <v>3.3000000000000003</v>
      </c>
      <c r="N357" s="36">
        <v>3.3000000000000002E-2</v>
      </c>
      <c r="O357" s="68">
        <v>15.772499999999997</v>
      </c>
      <c r="P357" s="73">
        <v>5.75</v>
      </c>
      <c r="Q357" s="73">
        <f>'Trade Data'!F23</f>
        <v>0.35702986979301843</v>
      </c>
      <c r="R357" s="37">
        <v>1</v>
      </c>
    </row>
    <row r="358" spans="1:18" ht="20.100000000000001" customHeight="1">
      <c r="A358" s="44" t="s">
        <v>123</v>
      </c>
      <c r="B358" s="44" t="s">
        <v>512</v>
      </c>
      <c r="C358" s="59">
        <v>0</v>
      </c>
      <c r="D358" s="47">
        <v>109563.30000000002</v>
      </c>
      <c r="E358" s="47">
        <v>0</v>
      </c>
      <c r="F358" s="47">
        <v>0</v>
      </c>
      <c r="G358" s="49">
        <v>1</v>
      </c>
      <c r="H358" s="47">
        <v>1</v>
      </c>
      <c r="I358" s="48">
        <v>46.72</v>
      </c>
      <c r="J358" s="48">
        <v>53.75</v>
      </c>
      <c r="K358" s="52">
        <v>61.3</v>
      </c>
      <c r="L358" s="49">
        <v>28.33</v>
      </c>
      <c r="M358" s="72">
        <f t="shared" si="5"/>
        <v>3.3000000000000003</v>
      </c>
      <c r="N358" s="36">
        <v>3.3000000000000002E-2</v>
      </c>
      <c r="O358" s="68">
        <v>15.772499999999997</v>
      </c>
      <c r="P358" s="73">
        <v>5.75</v>
      </c>
      <c r="Q358" s="73">
        <f>'Trade Data'!F23</f>
        <v>0.35702986979301843</v>
      </c>
      <c r="R358" s="37">
        <v>1</v>
      </c>
    </row>
    <row r="359" spans="1:18" ht="20.100000000000001" customHeight="1">
      <c r="A359" s="44" t="s">
        <v>124</v>
      </c>
      <c r="B359" s="44" t="s">
        <v>511</v>
      </c>
      <c r="C359" s="59">
        <v>0</v>
      </c>
      <c r="D359" s="47">
        <v>14647.5</v>
      </c>
      <c r="E359" s="47">
        <v>0</v>
      </c>
      <c r="F359" s="47">
        <v>0</v>
      </c>
      <c r="G359" s="49">
        <v>0</v>
      </c>
      <c r="H359" s="47">
        <v>0</v>
      </c>
      <c r="I359" s="48">
        <v>53.62</v>
      </c>
      <c r="J359" s="48">
        <v>66.680000000000007</v>
      </c>
      <c r="K359" s="52">
        <v>67.8</v>
      </c>
      <c r="L359" s="49">
        <v>26.34</v>
      </c>
      <c r="M359" s="72">
        <f t="shared" si="5"/>
        <v>3.3000000000000003</v>
      </c>
      <c r="N359" s="36">
        <v>3.3000000000000002E-2</v>
      </c>
      <c r="O359" s="68">
        <v>22.326249999999995</v>
      </c>
      <c r="P359" s="73">
        <v>5.75</v>
      </c>
      <c r="Q359" s="73">
        <f>'Trade Data'!F23</f>
        <v>0.35702986979301843</v>
      </c>
      <c r="R359" s="35">
        <v>0</v>
      </c>
    </row>
    <row r="360" spans="1:18" ht="20.100000000000001" customHeight="1">
      <c r="A360" s="44" t="s">
        <v>124</v>
      </c>
      <c r="B360" s="44" t="s">
        <v>510</v>
      </c>
      <c r="C360" s="59">
        <v>0.90199999999999991</v>
      </c>
      <c r="D360" s="47">
        <v>70893.899999999994</v>
      </c>
      <c r="E360" s="47">
        <v>1.2723238529690142E-5</v>
      </c>
      <c r="F360" s="47">
        <v>1</v>
      </c>
      <c r="G360" s="49">
        <v>1</v>
      </c>
      <c r="H360" s="47">
        <v>3</v>
      </c>
      <c r="I360" s="48">
        <v>53.62</v>
      </c>
      <c r="J360" s="48">
        <v>66.680000000000007</v>
      </c>
      <c r="K360" s="52">
        <v>67.8</v>
      </c>
      <c r="L360" s="49">
        <v>26.34</v>
      </c>
      <c r="M360" s="72">
        <f t="shared" si="5"/>
        <v>3.3000000000000003</v>
      </c>
      <c r="N360" s="36">
        <v>3.3000000000000002E-2</v>
      </c>
      <c r="O360" s="68">
        <v>22.326249999999995</v>
      </c>
      <c r="P360" s="73">
        <v>5.75</v>
      </c>
      <c r="Q360" s="73">
        <f>'Trade Data'!F23</f>
        <v>0.35702986979301843</v>
      </c>
      <c r="R360" s="35">
        <v>1</v>
      </c>
    </row>
    <row r="361" spans="1:18" ht="20.100000000000001" customHeight="1">
      <c r="A361" s="44" t="s">
        <v>124</v>
      </c>
      <c r="B361" s="44" t="s">
        <v>509</v>
      </c>
      <c r="C361" s="59">
        <v>0</v>
      </c>
      <c r="D361" s="47">
        <v>109563.30000000002</v>
      </c>
      <c r="E361" s="47">
        <v>0</v>
      </c>
      <c r="F361" s="47">
        <v>0</v>
      </c>
      <c r="G361" s="49">
        <v>1</v>
      </c>
      <c r="H361" s="47">
        <v>1</v>
      </c>
      <c r="I361" s="48">
        <v>53.62</v>
      </c>
      <c r="J361" s="48">
        <v>66.680000000000007</v>
      </c>
      <c r="K361" s="52">
        <v>67.8</v>
      </c>
      <c r="L361" s="49">
        <v>26.34</v>
      </c>
      <c r="M361" s="72">
        <f t="shared" si="5"/>
        <v>3.3000000000000003</v>
      </c>
      <c r="N361" s="36">
        <v>3.3000000000000002E-2</v>
      </c>
      <c r="O361" s="68">
        <v>22.326249999999995</v>
      </c>
      <c r="P361" s="73">
        <v>5.75</v>
      </c>
      <c r="Q361" s="73">
        <f>'Trade Data'!F23</f>
        <v>0.35702986979301843</v>
      </c>
      <c r="R361" s="35">
        <v>1</v>
      </c>
    </row>
    <row r="362" spans="1:18" ht="20.100000000000001" customHeight="1">
      <c r="A362" s="44" t="s">
        <v>125</v>
      </c>
      <c r="B362" s="44" t="s">
        <v>508</v>
      </c>
      <c r="C362" s="59">
        <v>0</v>
      </c>
      <c r="D362" s="47">
        <v>14647.5</v>
      </c>
      <c r="E362" s="47">
        <v>0</v>
      </c>
      <c r="F362" s="47">
        <v>0</v>
      </c>
      <c r="G362" s="49">
        <v>0</v>
      </c>
      <c r="H362" s="47">
        <v>0</v>
      </c>
      <c r="I362" s="48">
        <v>63.09</v>
      </c>
      <c r="J362" s="48">
        <v>89.76</v>
      </c>
      <c r="K362" s="52">
        <v>65.2</v>
      </c>
      <c r="L362" s="49">
        <v>26.34</v>
      </c>
      <c r="M362" s="72">
        <f t="shared" si="5"/>
        <v>3.9</v>
      </c>
      <c r="N362" s="36">
        <v>3.9E-2</v>
      </c>
      <c r="O362" s="68">
        <v>26.465000000000003</v>
      </c>
      <c r="P362" s="73">
        <v>6.25</v>
      </c>
      <c r="Q362" s="73">
        <f>'Trade Data'!H23</f>
        <v>0.38369501611034146</v>
      </c>
      <c r="R362" s="37">
        <v>0</v>
      </c>
    </row>
    <row r="363" spans="1:18" ht="20.100000000000001" customHeight="1">
      <c r="A363" s="44" t="s">
        <v>125</v>
      </c>
      <c r="B363" s="44" t="s">
        <v>507</v>
      </c>
      <c r="C363" s="59">
        <v>7.18</v>
      </c>
      <c r="D363" s="47">
        <v>70893.899999999994</v>
      </c>
      <c r="E363" s="47">
        <v>1.0127810714320979E-4</v>
      </c>
      <c r="F363" s="47">
        <v>1</v>
      </c>
      <c r="G363" s="49">
        <v>1</v>
      </c>
      <c r="H363" s="47">
        <v>6</v>
      </c>
      <c r="I363" s="48">
        <v>63.09</v>
      </c>
      <c r="J363" s="48">
        <v>89.76</v>
      </c>
      <c r="K363" s="52">
        <v>65.2</v>
      </c>
      <c r="L363" s="49">
        <v>26.34</v>
      </c>
      <c r="M363" s="72">
        <f t="shared" si="5"/>
        <v>3.9</v>
      </c>
      <c r="N363" s="36">
        <v>3.9E-2</v>
      </c>
      <c r="O363" s="68">
        <v>26.465000000000003</v>
      </c>
      <c r="P363" s="73">
        <v>6.25</v>
      </c>
      <c r="Q363" s="73">
        <f>'Trade Data'!H23</f>
        <v>0.38369501611034146</v>
      </c>
      <c r="R363" s="37">
        <v>1</v>
      </c>
    </row>
    <row r="364" spans="1:18" ht="20.100000000000001" customHeight="1">
      <c r="A364" s="44" t="s">
        <v>125</v>
      </c>
      <c r="B364" s="44" t="s">
        <v>506</v>
      </c>
      <c r="C364" s="59">
        <v>1651.155</v>
      </c>
      <c r="D364" s="47">
        <v>109563.30000000002</v>
      </c>
      <c r="E364" s="47">
        <v>1.5070329206951595E-2</v>
      </c>
      <c r="F364" s="47">
        <v>1</v>
      </c>
      <c r="G364" s="49">
        <v>1</v>
      </c>
      <c r="H364" s="47">
        <v>6</v>
      </c>
      <c r="I364" s="48">
        <v>63.09</v>
      </c>
      <c r="J364" s="48">
        <v>89.76</v>
      </c>
      <c r="K364" s="52">
        <v>65.2</v>
      </c>
      <c r="L364" s="49">
        <v>26.34</v>
      </c>
      <c r="M364" s="72">
        <f t="shared" si="5"/>
        <v>3.9</v>
      </c>
      <c r="N364" s="36">
        <v>3.9E-2</v>
      </c>
      <c r="O364" s="68">
        <v>26.465000000000003</v>
      </c>
      <c r="P364" s="73">
        <v>6.25</v>
      </c>
      <c r="Q364" s="73">
        <f>'Trade Data'!H23</f>
        <v>0.38369501611034146</v>
      </c>
      <c r="R364" s="37">
        <v>1</v>
      </c>
    </row>
    <row r="365" spans="1:18" ht="20.100000000000001" customHeight="1">
      <c r="A365" s="44" t="s">
        <v>126</v>
      </c>
      <c r="B365" s="44" t="s">
        <v>505</v>
      </c>
      <c r="C365" s="59">
        <v>0</v>
      </c>
      <c r="D365" s="47">
        <v>14647.5</v>
      </c>
      <c r="E365" s="47">
        <v>0</v>
      </c>
      <c r="F365" s="47">
        <v>0</v>
      </c>
      <c r="G365" s="49">
        <v>0</v>
      </c>
      <c r="H365" s="47">
        <v>0</v>
      </c>
      <c r="I365" s="48">
        <v>62.44</v>
      </c>
      <c r="J365" s="48">
        <v>90.46</v>
      </c>
      <c r="K365" s="52">
        <v>60.35</v>
      </c>
      <c r="L365" s="49">
        <v>26.34</v>
      </c>
      <c r="M365" s="72">
        <f t="shared" si="5"/>
        <v>3.9</v>
      </c>
      <c r="N365" s="36">
        <v>3.9E-2</v>
      </c>
      <c r="O365" s="68">
        <v>27.46875</v>
      </c>
      <c r="P365" s="73">
        <v>6.25</v>
      </c>
      <c r="Q365" s="73">
        <f>'Trade Data'!H23</f>
        <v>0.38369501611034146</v>
      </c>
      <c r="R365" s="35">
        <v>0</v>
      </c>
    </row>
    <row r="366" spans="1:18" ht="20.100000000000001" customHeight="1">
      <c r="A366" s="44" t="s">
        <v>126</v>
      </c>
      <c r="B366" s="44" t="s">
        <v>504</v>
      </c>
      <c r="C366" s="59">
        <v>1237.7919999999999</v>
      </c>
      <c r="D366" s="47">
        <v>70893.899999999994</v>
      </c>
      <c r="E366" s="47">
        <v>1.7459781448051243E-2</v>
      </c>
      <c r="F366" s="47">
        <v>1</v>
      </c>
      <c r="G366" s="49">
        <v>1</v>
      </c>
      <c r="H366" s="47">
        <v>6</v>
      </c>
      <c r="I366" s="48">
        <v>62.44</v>
      </c>
      <c r="J366" s="48">
        <v>90.46</v>
      </c>
      <c r="K366" s="52">
        <v>60.35</v>
      </c>
      <c r="L366" s="49">
        <v>26.34</v>
      </c>
      <c r="M366" s="72">
        <f t="shared" si="5"/>
        <v>3.9</v>
      </c>
      <c r="N366" s="36">
        <v>3.9E-2</v>
      </c>
      <c r="O366" s="68">
        <v>27.46875</v>
      </c>
      <c r="P366" s="73">
        <v>6.25</v>
      </c>
      <c r="Q366" s="73">
        <f>'Trade Data'!H23</f>
        <v>0.38369501611034146</v>
      </c>
      <c r="R366" s="35">
        <v>1</v>
      </c>
    </row>
    <row r="367" spans="1:18" ht="20.100000000000001" customHeight="1">
      <c r="A367" s="44" t="s">
        <v>126</v>
      </c>
      <c r="B367" s="44" t="s">
        <v>503</v>
      </c>
      <c r="C367" s="59">
        <v>0</v>
      </c>
      <c r="D367" s="47">
        <v>109563.30000000002</v>
      </c>
      <c r="E367" s="47">
        <v>0</v>
      </c>
      <c r="F367" s="47">
        <v>0</v>
      </c>
      <c r="G367" s="49">
        <v>1</v>
      </c>
      <c r="H367" s="47">
        <v>3</v>
      </c>
      <c r="I367" s="48">
        <v>62.44</v>
      </c>
      <c r="J367" s="48">
        <v>90.46</v>
      </c>
      <c r="K367" s="52">
        <v>60.35</v>
      </c>
      <c r="L367" s="49">
        <v>26.34</v>
      </c>
      <c r="M367" s="72">
        <f t="shared" si="5"/>
        <v>3.9</v>
      </c>
      <c r="N367" s="36">
        <v>3.9E-2</v>
      </c>
      <c r="O367" s="68">
        <v>27.46875</v>
      </c>
      <c r="P367" s="73">
        <v>6.25</v>
      </c>
      <c r="Q367" s="73">
        <f>'Trade Data'!H23</f>
        <v>0.38369501611034146</v>
      </c>
      <c r="R367" s="35">
        <v>1</v>
      </c>
    </row>
    <row r="368" spans="1:18" ht="20.100000000000001" customHeight="1">
      <c r="A368" s="44" t="s">
        <v>127</v>
      </c>
      <c r="B368" s="44" t="s">
        <v>502</v>
      </c>
      <c r="C368" s="59">
        <v>0</v>
      </c>
      <c r="D368" s="47">
        <v>15750.75</v>
      </c>
      <c r="E368" s="47">
        <v>0</v>
      </c>
      <c r="F368" s="47">
        <v>0</v>
      </c>
      <c r="G368" s="49">
        <v>1</v>
      </c>
      <c r="H368" s="47">
        <v>1</v>
      </c>
      <c r="I368" s="48">
        <v>67</v>
      </c>
      <c r="J368" s="48">
        <v>88.99</v>
      </c>
      <c r="K368" s="52">
        <v>73.650000000000006</v>
      </c>
      <c r="L368" s="49">
        <v>26.34</v>
      </c>
      <c r="M368" s="72">
        <f t="shared" si="5"/>
        <v>3.9</v>
      </c>
      <c r="N368" s="36">
        <v>3.9E-2</v>
      </c>
      <c r="O368" s="68">
        <v>33.662499999999994</v>
      </c>
      <c r="P368" s="73">
        <v>6.25</v>
      </c>
      <c r="Q368" s="73">
        <f>'Trade Data'!H23</f>
        <v>0.38369501611034146</v>
      </c>
      <c r="R368" s="37">
        <v>0</v>
      </c>
    </row>
    <row r="369" spans="1:18" ht="20.100000000000001" customHeight="1">
      <c r="A369" s="44" t="s">
        <v>127</v>
      </c>
      <c r="B369" s="44" t="s">
        <v>501</v>
      </c>
      <c r="C369" s="59">
        <v>25.866999999999997</v>
      </c>
      <c r="D369" s="47">
        <v>76233.63</v>
      </c>
      <c r="E369" s="47">
        <v>3.3931219069589097E-4</v>
      </c>
      <c r="F369" s="47">
        <v>1</v>
      </c>
      <c r="G369" s="49">
        <v>1</v>
      </c>
      <c r="H369" s="47">
        <v>10</v>
      </c>
      <c r="I369" s="48">
        <v>67</v>
      </c>
      <c r="J369" s="48">
        <v>88.99</v>
      </c>
      <c r="K369" s="52">
        <v>73.650000000000006</v>
      </c>
      <c r="L369" s="49">
        <v>26.34</v>
      </c>
      <c r="M369" s="72">
        <f t="shared" ref="M369:M429" si="6">N369*100</f>
        <v>3.9</v>
      </c>
      <c r="N369" s="36">
        <v>3.9E-2</v>
      </c>
      <c r="O369" s="68">
        <v>33.662499999999994</v>
      </c>
      <c r="P369" s="73">
        <v>6.25</v>
      </c>
      <c r="Q369" s="73">
        <f>'Trade Data'!H23</f>
        <v>0.38369501611034146</v>
      </c>
      <c r="R369" s="37">
        <v>1</v>
      </c>
    </row>
    <row r="370" spans="1:18" ht="20.100000000000001" customHeight="1">
      <c r="A370" s="44" t="s">
        <v>127</v>
      </c>
      <c r="B370" s="44" t="s">
        <v>500</v>
      </c>
      <c r="C370" s="59">
        <v>2.7589999999999999</v>
      </c>
      <c r="D370" s="47">
        <v>117815.61000000002</v>
      </c>
      <c r="E370" s="47">
        <v>2.3417949455084936E-5</v>
      </c>
      <c r="F370" s="47">
        <v>1</v>
      </c>
      <c r="G370" s="49">
        <v>1</v>
      </c>
      <c r="H370" s="47">
        <v>3</v>
      </c>
      <c r="I370" s="48">
        <v>67</v>
      </c>
      <c r="J370" s="48">
        <v>88.99</v>
      </c>
      <c r="K370" s="52">
        <v>73.650000000000006</v>
      </c>
      <c r="L370" s="49">
        <v>26.34</v>
      </c>
      <c r="M370" s="72">
        <f t="shared" si="6"/>
        <v>3.9</v>
      </c>
      <c r="N370" s="36">
        <v>3.9E-2</v>
      </c>
      <c r="O370" s="68">
        <v>33.662499999999994</v>
      </c>
      <c r="P370" s="73">
        <v>6.25</v>
      </c>
      <c r="Q370" s="73">
        <f>'Trade Data'!H23</f>
        <v>0.38369501611034146</v>
      </c>
      <c r="R370" s="37">
        <v>1</v>
      </c>
    </row>
    <row r="371" spans="1:18" ht="20.100000000000001" customHeight="1">
      <c r="A371" s="44" t="s">
        <v>128</v>
      </c>
      <c r="B371" s="44" t="s">
        <v>499</v>
      </c>
      <c r="C371" s="59">
        <v>15</v>
      </c>
      <c r="D371" s="47">
        <v>15750.75</v>
      </c>
      <c r="E371" s="47">
        <v>9.5233560306652067E-4</v>
      </c>
      <c r="F371" s="47">
        <v>1</v>
      </c>
      <c r="G371" s="49">
        <v>1</v>
      </c>
      <c r="H371" s="47">
        <v>1</v>
      </c>
      <c r="I371" s="48">
        <v>52.66</v>
      </c>
      <c r="J371" s="48">
        <v>70.959999999999994</v>
      </c>
      <c r="K371" s="52">
        <v>63.54</v>
      </c>
      <c r="L371" s="49">
        <v>25.99</v>
      </c>
      <c r="M371" s="72">
        <f t="shared" si="6"/>
        <v>3.9</v>
      </c>
      <c r="N371" s="36">
        <v>3.9E-2</v>
      </c>
      <c r="O371" s="68">
        <v>22.652499999999996</v>
      </c>
      <c r="P371" s="73">
        <v>6.25</v>
      </c>
      <c r="Q371" s="73">
        <f>'Trade Data'!H23</f>
        <v>0.38369501611034146</v>
      </c>
      <c r="R371" s="35">
        <v>0</v>
      </c>
    </row>
    <row r="372" spans="1:18" ht="20.100000000000001" customHeight="1">
      <c r="A372" s="44" t="s">
        <v>128</v>
      </c>
      <c r="B372" s="44" t="s">
        <v>498</v>
      </c>
      <c r="C372" s="59">
        <v>24</v>
      </c>
      <c r="D372" s="47">
        <v>76233.63</v>
      </c>
      <c r="E372" s="47">
        <v>3.1482168696413902E-4</v>
      </c>
      <c r="F372" s="47">
        <v>1</v>
      </c>
      <c r="G372" s="49">
        <v>1</v>
      </c>
      <c r="H372" s="47">
        <v>2</v>
      </c>
      <c r="I372" s="48">
        <v>52.66</v>
      </c>
      <c r="J372" s="48">
        <v>70.959999999999994</v>
      </c>
      <c r="K372" s="52">
        <v>63.54</v>
      </c>
      <c r="L372" s="49">
        <v>25.99</v>
      </c>
      <c r="M372" s="72">
        <f t="shared" si="6"/>
        <v>3.9</v>
      </c>
      <c r="N372" s="36">
        <v>3.9E-2</v>
      </c>
      <c r="O372" s="68">
        <v>22.652499999999996</v>
      </c>
      <c r="P372" s="73">
        <v>6.25</v>
      </c>
      <c r="Q372" s="73">
        <f>'Trade Data'!H23</f>
        <v>0.38369501611034146</v>
      </c>
      <c r="R372" s="35">
        <v>1</v>
      </c>
    </row>
    <row r="373" spans="1:18" ht="20.100000000000001" customHeight="1">
      <c r="A373" s="44" t="s">
        <v>128</v>
      </c>
      <c r="B373" s="44" t="s">
        <v>497</v>
      </c>
      <c r="C373" s="59">
        <v>84.7</v>
      </c>
      <c r="D373" s="47">
        <v>117815.61000000002</v>
      </c>
      <c r="E373" s="47">
        <v>7.1892001407962826E-4</v>
      </c>
      <c r="F373" s="47">
        <v>1</v>
      </c>
      <c r="G373" s="49">
        <v>1</v>
      </c>
      <c r="H373" s="47">
        <v>2</v>
      </c>
      <c r="I373" s="48">
        <v>52.66</v>
      </c>
      <c r="J373" s="48">
        <v>70.959999999999994</v>
      </c>
      <c r="K373" s="52">
        <v>63.54</v>
      </c>
      <c r="L373" s="49">
        <v>25.99</v>
      </c>
      <c r="M373" s="72">
        <f t="shared" si="6"/>
        <v>3.9</v>
      </c>
      <c r="N373" s="36">
        <v>3.9E-2</v>
      </c>
      <c r="O373" s="68">
        <v>22.652499999999996</v>
      </c>
      <c r="P373" s="73">
        <v>6.25</v>
      </c>
      <c r="Q373" s="73">
        <f>'Trade Data'!H23</f>
        <v>0.38369501611034146</v>
      </c>
      <c r="R373" s="35">
        <v>1</v>
      </c>
    </row>
    <row r="374" spans="1:18" ht="20.100000000000001" customHeight="1">
      <c r="A374" s="44" t="s">
        <v>129</v>
      </c>
      <c r="B374" s="44" t="s">
        <v>496</v>
      </c>
      <c r="C374" s="59">
        <v>0</v>
      </c>
      <c r="D374" s="47">
        <v>15750.75</v>
      </c>
      <c r="E374" s="47">
        <v>0</v>
      </c>
      <c r="F374" s="47">
        <v>0</v>
      </c>
      <c r="G374" s="49">
        <v>0</v>
      </c>
      <c r="H374" s="47">
        <v>0</v>
      </c>
      <c r="I374" s="48">
        <v>51</v>
      </c>
      <c r="J374" s="48">
        <v>74.89</v>
      </c>
      <c r="K374" s="52">
        <v>54.47</v>
      </c>
      <c r="L374" s="49">
        <v>25.99</v>
      </c>
      <c r="M374" s="72">
        <f t="shared" si="6"/>
        <v>3.5000000000000004</v>
      </c>
      <c r="N374" s="36">
        <v>3.5000000000000003E-2</v>
      </c>
      <c r="O374" s="68">
        <v>15.75</v>
      </c>
      <c r="P374" s="73">
        <v>5.69</v>
      </c>
      <c r="Q374" s="73">
        <f>'Trade Data'!J23</f>
        <v>0.40208861083365133</v>
      </c>
      <c r="R374" s="37">
        <v>0</v>
      </c>
    </row>
    <row r="375" spans="1:18" ht="20.100000000000001" customHeight="1">
      <c r="A375" s="44" t="s">
        <v>129</v>
      </c>
      <c r="B375" s="44" t="s">
        <v>495</v>
      </c>
      <c r="C375" s="59">
        <v>45.439</v>
      </c>
      <c r="D375" s="47">
        <v>76233.63</v>
      </c>
      <c r="E375" s="47">
        <v>5.9604927641514639E-4</v>
      </c>
      <c r="F375" s="47">
        <v>1</v>
      </c>
      <c r="G375" s="49">
        <v>1</v>
      </c>
      <c r="H375" s="47">
        <v>3</v>
      </c>
      <c r="I375" s="48">
        <v>51</v>
      </c>
      <c r="J375" s="48">
        <v>74.89</v>
      </c>
      <c r="K375" s="52">
        <v>54.47</v>
      </c>
      <c r="L375" s="49">
        <v>25.99</v>
      </c>
      <c r="M375" s="72">
        <f t="shared" si="6"/>
        <v>3.5000000000000004</v>
      </c>
      <c r="N375" s="36">
        <v>3.5000000000000003E-2</v>
      </c>
      <c r="O375" s="68">
        <v>15.75</v>
      </c>
      <c r="P375" s="73">
        <v>5.69</v>
      </c>
      <c r="Q375" s="73">
        <f>'Trade Data'!J23</f>
        <v>0.40208861083365133</v>
      </c>
      <c r="R375" s="37">
        <v>1</v>
      </c>
    </row>
    <row r="376" spans="1:18" ht="20.100000000000001" customHeight="1">
      <c r="A376" s="44" t="s">
        <v>129</v>
      </c>
      <c r="B376" s="44" t="s">
        <v>494</v>
      </c>
      <c r="C376" s="59">
        <v>1390.35</v>
      </c>
      <c r="D376" s="47">
        <v>117815.61000000002</v>
      </c>
      <c r="E376" s="47">
        <v>1.1801067787197297E-2</v>
      </c>
      <c r="F376" s="47">
        <v>1</v>
      </c>
      <c r="G376" s="49">
        <v>1</v>
      </c>
      <c r="H376" s="47">
        <v>9</v>
      </c>
      <c r="I376" s="48">
        <v>51</v>
      </c>
      <c r="J376" s="48">
        <v>74.89</v>
      </c>
      <c r="K376" s="52">
        <v>54.47</v>
      </c>
      <c r="L376" s="49">
        <v>25.99</v>
      </c>
      <c r="M376" s="72">
        <f t="shared" si="6"/>
        <v>3.5000000000000004</v>
      </c>
      <c r="N376" s="36">
        <v>3.5000000000000003E-2</v>
      </c>
      <c r="O376" s="68">
        <v>15.75</v>
      </c>
      <c r="P376" s="73">
        <v>5.69</v>
      </c>
      <c r="Q376" s="73">
        <f>'Trade Data'!J23</f>
        <v>0.40208861083365133</v>
      </c>
      <c r="R376" s="37">
        <v>1</v>
      </c>
    </row>
    <row r="377" spans="1:18" ht="20.100000000000001" customHeight="1">
      <c r="A377" s="44" t="s">
        <v>130</v>
      </c>
      <c r="B377" s="44" t="s">
        <v>867</v>
      </c>
      <c r="C377" s="59">
        <v>0</v>
      </c>
      <c r="D377" s="47">
        <v>15750.75</v>
      </c>
      <c r="E377" s="47">
        <v>0</v>
      </c>
      <c r="F377" s="47">
        <v>0</v>
      </c>
      <c r="G377" s="49">
        <v>1</v>
      </c>
      <c r="H377" s="47">
        <v>1</v>
      </c>
      <c r="I377" s="48">
        <v>52.4</v>
      </c>
      <c r="J377" s="48">
        <v>78.42</v>
      </c>
      <c r="K377" s="52">
        <v>53.96</v>
      </c>
      <c r="L377" s="49">
        <v>25.99</v>
      </c>
      <c r="M377" s="72">
        <f t="shared" si="6"/>
        <v>3.5000000000000004</v>
      </c>
      <c r="N377" s="36">
        <v>3.5000000000000003E-2</v>
      </c>
      <c r="O377" s="68">
        <v>20.756249999999998</v>
      </c>
      <c r="P377" s="73">
        <v>5.69</v>
      </c>
      <c r="Q377" s="73">
        <f>'Trade Data'!J23</f>
        <v>0.40208861083365133</v>
      </c>
      <c r="R377" s="35">
        <v>0</v>
      </c>
    </row>
    <row r="378" spans="1:18" ht="20.100000000000001" customHeight="1">
      <c r="A378" s="44" t="s">
        <v>130</v>
      </c>
      <c r="B378" s="44" t="s">
        <v>868</v>
      </c>
      <c r="C378" s="59">
        <v>2684.808</v>
      </c>
      <c r="D378" s="47">
        <v>76233.63</v>
      </c>
      <c r="E378" s="47">
        <v>3.5218157655617338E-2</v>
      </c>
      <c r="F378" s="47">
        <v>1</v>
      </c>
      <c r="G378" s="49">
        <v>1</v>
      </c>
      <c r="H378" s="47">
        <v>5</v>
      </c>
      <c r="I378" s="48">
        <v>52.4</v>
      </c>
      <c r="J378" s="48">
        <v>78.42</v>
      </c>
      <c r="K378" s="52">
        <v>53.96</v>
      </c>
      <c r="L378" s="49">
        <v>25.99</v>
      </c>
      <c r="M378" s="72">
        <f t="shared" si="6"/>
        <v>3.5000000000000004</v>
      </c>
      <c r="N378" s="36">
        <v>3.5000000000000003E-2</v>
      </c>
      <c r="O378" s="68">
        <v>20.756249999999998</v>
      </c>
      <c r="P378" s="73">
        <v>5.69</v>
      </c>
      <c r="Q378" s="73">
        <f>'Trade Data'!J23</f>
        <v>0.40208861083365133</v>
      </c>
      <c r="R378" s="35">
        <v>1</v>
      </c>
    </row>
    <row r="379" spans="1:18" ht="20.100000000000001" customHeight="1">
      <c r="A379" s="44" t="s">
        <v>130</v>
      </c>
      <c r="B379" s="44" t="s">
        <v>869</v>
      </c>
      <c r="C379" s="59">
        <v>0</v>
      </c>
      <c r="D379" s="47">
        <v>117815.61000000002</v>
      </c>
      <c r="E379" s="47">
        <v>0</v>
      </c>
      <c r="F379" s="47">
        <v>0</v>
      </c>
      <c r="G379" s="49">
        <v>1</v>
      </c>
      <c r="H379" s="47">
        <v>2</v>
      </c>
      <c r="I379" s="48">
        <v>52.4</v>
      </c>
      <c r="J379" s="48">
        <v>78.42</v>
      </c>
      <c r="K379" s="52">
        <v>53.96</v>
      </c>
      <c r="L379" s="49">
        <v>25.99</v>
      </c>
      <c r="M379" s="72">
        <f t="shared" si="6"/>
        <v>3.5000000000000004</v>
      </c>
      <c r="N379" s="36">
        <v>3.5000000000000003E-2</v>
      </c>
      <c r="O379" s="68">
        <v>20.756249999999998</v>
      </c>
      <c r="P379" s="73">
        <v>5.69</v>
      </c>
      <c r="Q379" s="73">
        <f>'Trade Data'!J23</f>
        <v>0.40208861083365133</v>
      </c>
      <c r="R379" s="35">
        <v>1</v>
      </c>
    </row>
    <row r="380" spans="1:18" ht="20.100000000000001" customHeight="1">
      <c r="A380" s="44" t="s">
        <v>132</v>
      </c>
      <c r="B380" s="44" t="s">
        <v>490</v>
      </c>
      <c r="C380" s="59">
        <v>0</v>
      </c>
      <c r="D380" s="47">
        <v>12587.279999999999</v>
      </c>
      <c r="E380" s="47">
        <v>0</v>
      </c>
      <c r="F380" s="47">
        <v>0</v>
      </c>
      <c r="G380" s="49">
        <v>0</v>
      </c>
      <c r="H380" s="47">
        <v>0</v>
      </c>
      <c r="I380" s="48">
        <v>4.99</v>
      </c>
      <c r="J380" s="60">
        <v>17.04</v>
      </c>
      <c r="K380" s="49">
        <v>7.6</v>
      </c>
      <c r="L380" s="49">
        <v>4.3899999999999997</v>
      </c>
      <c r="M380" s="72">
        <f t="shared" si="6"/>
        <v>1.3</v>
      </c>
      <c r="N380" s="36">
        <v>1.2999999999999999E-2</v>
      </c>
      <c r="O380" s="68">
        <v>-39.347500000000004</v>
      </c>
      <c r="P380" s="73">
        <v>5.8</v>
      </c>
      <c r="Q380" s="74">
        <f>'Trade Data'!B26</f>
        <v>0.59871477824404573</v>
      </c>
      <c r="R380" s="35">
        <v>0</v>
      </c>
    </row>
    <row r="381" spans="1:18" ht="20.100000000000001" customHeight="1">
      <c r="A381" s="44" t="s">
        <v>132</v>
      </c>
      <c r="B381" s="44" t="s">
        <v>489</v>
      </c>
      <c r="C381" s="59">
        <v>0</v>
      </c>
      <c r="D381" s="47">
        <v>114785.68000000001</v>
      </c>
      <c r="E381" s="47">
        <v>0</v>
      </c>
      <c r="F381" s="47">
        <v>0</v>
      </c>
      <c r="G381" s="49">
        <v>0</v>
      </c>
      <c r="H381" s="47">
        <v>0</v>
      </c>
      <c r="I381" s="48">
        <v>4.99</v>
      </c>
      <c r="J381" s="60">
        <v>17.04</v>
      </c>
      <c r="K381" s="49">
        <v>7.6</v>
      </c>
      <c r="L381" s="52">
        <v>4.3899999999999997</v>
      </c>
      <c r="M381" s="72">
        <f t="shared" si="6"/>
        <v>1.3</v>
      </c>
      <c r="N381" s="36">
        <v>1.2999999999999999E-2</v>
      </c>
      <c r="O381" s="68">
        <v>-39.347500000000004</v>
      </c>
      <c r="P381" s="73">
        <v>5.8</v>
      </c>
      <c r="Q381" s="74">
        <f>'Trade Data'!B26</f>
        <v>0.59871477824404573</v>
      </c>
      <c r="R381" s="35">
        <v>1</v>
      </c>
    </row>
    <row r="382" spans="1:18" ht="20.100000000000001" customHeight="1">
      <c r="A382" s="44" t="s">
        <v>132</v>
      </c>
      <c r="B382" s="44" t="s">
        <v>488</v>
      </c>
      <c r="C382" s="59">
        <v>0</v>
      </c>
      <c r="D382" s="47">
        <v>107027.04000000001</v>
      </c>
      <c r="E382" s="47">
        <v>0</v>
      </c>
      <c r="F382" s="47">
        <v>0</v>
      </c>
      <c r="G382" s="49">
        <v>0</v>
      </c>
      <c r="H382" s="47">
        <v>0</v>
      </c>
      <c r="I382" s="48">
        <v>4.99</v>
      </c>
      <c r="J382" s="60">
        <v>17.04</v>
      </c>
      <c r="K382" s="49">
        <v>7.6</v>
      </c>
      <c r="L382" s="52">
        <v>4.3899999999999997</v>
      </c>
      <c r="M382" s="72">
        <f t="shared" si="6"/>
        <v>1.3</v>
      </c>
      <c r="N382" s="36">
        <v>1.2999999999999999E-2</v>
      </c>
      <c r="O382" s="68">
        <v>-39.347500000000004</v>
      </c>
      <c r="P382" s="73">
        <v>5.8</v>
      </c>
      <c r="Q382" s="74">
        <f>'Trade Data'!B26</f>
        <v>0.59871477824404573</v>
      </c>
      <c r="R382" s="35">
        <v>1</v>
      </c>
    </row>
    <row r="383" spans="1:18" ht="20.100000000000001" customHeight="1">
      <c r="A383" s="44" t="s">
        <v>133</v>
      </c>
      <c r="B383" s="44" t="s">
        <v>487</v>
      </c>
      <c r="C383" s="59">
        <v>0</v>
      </c>
      <c r="D383" s="47">
        <v>12587.279999999999</v>
      </c>
      <c r="E383" s="47">
        <v>0</v>
      </c>
      <c r="F383" s="47">
        <v>0</v>
      </c>
      <c r="G383" s="49">
        <v>0</v>
      </c>
      <c r="H383" s="47">
        <v>0</v>
      </c>
      <c r="I383" s="48">
        <v>5.78</v>
      </c>
      <c r="J383" s="60">
        <v>9.98</v>
      </c>
      <c r="K383" s="48">
        <v>19.760000000000002</v>
      </c>
      <c r="L383" s="52">
        <v>4.3899999999999997</v>
      </c>
      <c r="M383" s="72">
        <f t="shared" si="6"/>
        <v>1.3</v>
      </c>
      <c r="N383" s="36">
        <v>1.2999999999999999E-2</v>
      </c>
      <c r="O383" s="68">
        <v>-27.78125</v>
      </c>
      <c r="P383" s="73">
        <v>5.8</v>
      </c>
      <c r="Q383" s="74">
        <f>'Trade Data'!B26</f>
        <v>0.59871477824404573</v>
      </c>
      <c r="R383" s="37">
        <v>0</v>
      </c>
    </row>
    <row r="384" spans="1:18" ht="20.100000000000001" customHeight="1">
      <c r="A384" s="44" t="s">
        <v>133</v>
      </c>
      <c r="B384" s="44" t="s">
        <v>486</v>
      </c>
      <c r="C384" s="59">
        <v>0</v>
      </c>
      <c r="D384" s="47">
        <v>114785.68000000001</v>
      </c>
      <c r="E384" s="47">
        <v>0</v>
      </c>
      <c r="F384" s="47">
        <v>0</v>
      </c>
      <c r="G384" s="49">
        <v>0</v>
      </c>
      <c r="H384" s="47">
        <v>0</v>
      </c>
      <c r="I384" s="48">
        <v>5.78</v>
      </c>
      <c r="J384" s="60">
        <v>9.98</v>
      </c>
      <c r="K384" s="48">
        <v>19.760000000000002</v>
      </c>
      <c r="L384" s="52">
        <v>4.3899999999999997</v>
      </c>
      <c r="M384" s="72">
        <f t="shared" si="6"/>
        <v>1.3</v>
      </c>
      <c r="N384" s="36">
        <v>1.2999999999999999E-2</v>
      </c>
      <c r="O384" s="68">
        <v>-27.78125</v>
      </c>
      <c r="P384" s="73">
        <v>5.8</v>
      </c>
      <c r="Q384" s="74">
        <f>'Trade Data'!B26</f>
        <v>0.59871477824404573</v>
      </c>
      <c r="R384" s="37">
        <v>1</v>
      </c>
    </row>
    <row r="385" spans="1:18" ht="20.100000000000001" customHeight="1">
      <c r="A385" s="44" t="s">
        <v>133</v>
      </c>
      <c r="B385" s="44" t="s">
        <v>485</v>
      </c>
      <c r="C385" s="59">
        <v>0</v>
      </c>
      <c r="D385" s="47">
        <v>107027.04000000001</v>
      </c>
      <c r="E385" s="47">
        <v>0</v>
      </c>
      <c r="F385" s="47">
        <v>0</v>
      </c>
      <c r="G385" s="49">
        <v>0</v>
      </c>
      <c r="H385" s="47">
        <v>0</v>
      </c>
      <c r="I385" s="48">
        <v>5.78</v>
      </c>
      <c r="J385" s="60">
        <v>9.98</v>
      </c>
      <c r="K385" s="48">
        <v>19.760000000000002</v>
      </c>
      <c r="L385" s="52">
        <v>4.3899999999999997</v>
      </c>
      <c r="M385" s="72">
        <f t="shared" si="6"/>
        <v>1.3</v>
      </c>
      <c r="N385" s="36">
        <v>1.2999999999999999E-2</v>
      </c>
      <c r="O385" s="68">
        <v>-27.78125</v>
      </c>
      <c r="P385" s="73">
        <v>5.8</v>
      </c>
      <c r="Q385" s="74">
        <f>'Trade Data'!B26</f>
        <v>0.59871477824404573</v>
      </c>
      <c r="R385" s="37">
        <v>1</v>
      </c>
    </row>
    <row r="386" spans="1:18" ht="20.100000000000001" customHeight="1">
      <c r="A386" s="44" t="s">
        <v>134</v>
      </c>
      <c r="B386" s="44" t="s">
        <v>484</v>
      </c>
      <c r="C386" s="59">
        <v>0</v>
      </c>
      <c r="D386" s="47">
        <v>11976.539999999999</v>
      </c>
      <c r="E386" s="47">
        <v>0</v>
      </c>
      <c r="F386" s="47">
        <v>0</v>
      </c>
      <c r="G386" s="49">
        <v>0</v>
      </c>
      <c r="H386" s="47">
        <v>0</v>
      </c>
      <c r="I386" s="48">
        <v>3.28</v>
      </c>
      <c r="J386" s="60">
        <v>12.63</v>
      </c>
      <c r="K386" s="48">
        <v>3.14</v>
      </c>
      <c r="L386" s="52">
        <v>4.3899999999999997</v>
      </c>
      <c r="M386" s="72">
        <f t="shared" si="6"/>
        <v>1.3</v>
      </c>
      <c r="N386" s="36">
        <v>1.2999999999999999E-2</v>
      </c>
      <c r="O386" s="68">
        <v>-37.876249999999999</v>
      </c>
      <c r="P386" s="73">
        <v>5.8</v>
      </c>
      <c r="Q386" s="74">
        <f>'Trade Data'!B26</f>
        <v>0.59871477824404573</v>
      </c>
      <c r="R386" s="35">
        <v>0</v>
      </c>
    </row>
    <row r="387" spans="1:18" ht="20.100000000000001" customHeight="1">
      <c r="A387" s="44" t="s">
        <v>134</v>
      </c>
      <c r="B387" s="44" t="s">
        <v>483</v>
      </c>
      <c r="C387" s="59">
        <v>71.528999999999996</v>
      </c>
      <c r="D387" s="47">
        <v>88762.3</v>
      </c>
      <c r="E387" s="47">
        <v>8.0584887953556858E-4</v>
      </c>
      <c r="F387" s="47">
        <v>1</v>
      </c>
      <c r="G387" s="49">
        <v>1</v>
      </c>
      <c r="H387" s="47">
        <v>2</v>
      </c>
      <c r="I387" s="48">
        <v>3.28</v>
      </c>
      <c r="J387" s="60">
        <v>12.63</v>
      </c>
      <c r="K387" s="48">
        <v>3.14</v>
      </c>
      <c r="L387" s="52">
        <v>4.3899999999999997</v>
      </c>
      <c r="M387" s="72">
        <f t="shared" si="6"/>
        <v>1.3</v>
      </c>
      <c r="N387" s="36">
        <v>1.2999999999999999E-2</v>
      </c>
      <c r="O387" s="68">
        <v>-37.876249999999999</v>
      </c>
      <c r="P387" s="73">
        <v>5.8</v>
      </c>
      <c r="Q387" s="74">
        <f>'Trade Data'!B26</f>
        <v>0.59871477824404573</v>
      </c>
      <c r="R387" s="35">
        <v>1</v>
      </c>
    </row>
    <row r="388" spans="1:18" ht="20.100000000000001" customHeight="1">
      <c r="A388" s="44" t="s">
        <v>134</v>
      </c>
      <c r="B388" s="44" t="s">
        <v>482</v>
      </c>
      <c r="C388" s="59">
        <v>0</v>
      </c>
      <c r="D388" s="47">
        <v>111589.92499999999</v>
      </c>
      <c r="E388" s="47">
        <v>0</v>
      </c>
      <c r="F388" s="47">
        <v>0</v>
      </c>
      <c r="G388" s="49">
        <v>0</v>
      </c>
      <c r="H388" s="47">
        <v>0</v>
      </c>
      <c r="I388" s="48">
        <v>3.28</v>
      </c>
      <c r="J388" s="60">
        <v>12.63</v>
      </c>
      <c r="K388" s="48">
        <v>3.14</v>
      </c>
      <c r="L388" s="52">
        <v>4.3899999999999997</v>
      </c>
      <c r="M388" s="72">
        <f t="shared" si="6"/>
        <v>1.3</v>
      </c>
      <c r="N388" s="36">
        <v>1.2999999999999999E-2</v>
      </c>
      <c r="O388" s="68">
        <v>-37.876249999999999</v>
      </c>
      <c r="P388" s="73">
        <v>5.8</v>
      </c>
      <c r="Q388" s="74">
        <f>'Trade Data'!B26</f>
        <v>0.59871477824404573</v>
      </c>
      <c r="R388" s="35">
        <v>1</v>
      </c>
    </row>
    <row r="389" spans="1:18" ht="20.100000000000001" customHeight="1">
      <c r="A389" s="44" t="s">
        <v>135</v>
      </c>
      <c r="B389" s="44" t="s">
        <v>481</v>
      </c>
      <c r="C389" s="59">
        <v>0</v>
      </c>
      <c r="D389" s="47">
        <v>11976.539999999999</v>
      </c>
      <c r="E389" s="47">
        <v>0</v>
      </c>
      <c r="F389" s="47">
        <v>0</v>
      </c>
      <c r="G389" s="49">
        <v>0</v>
      </c>
      <c r="H389" s="47">
        <v>0</v>
      </c>
      <c r="I389" s="48">
        <v>2.71</v>
      </c>
      <c r="J389" s="60">
        <v>5.48</v>
      </c>
      <c r="K389" s="48">
        <v>6.37</v>
      </c>
      <c r="L389" s="52">
        <v>4.3899999999999997</v>
      </c>
      <c r="M389" s="72">
        <f t="shared" si="6"/>
        <v>1.3</v>
      </c>
      <c r="N389" s="36">
        <v>1.2999999999999999E-2</v>
      </c>
      <c r="O389" s="68">
        <v>-33.657499999999999</v>
      </c>
      <c r="P389" s="73">
        <v>5.8</v>
      </c>
      <c r="Q389" s="74">
        <f>'Trade Data'!B26</f>
        <v>0.59871477824404573</v>
      </c>
      <c r="R389" s="37">
        <v>0</v>
      </c>
    </row>
    <row r="390" spans="1:18" ht="20.100000000000001" customHeight="1">
      <c r="A390" s="44" t="s">
        <v>135</v>
      </c>
      <c r="B390" s="44" t="s">
        <v>480</v>
      </c>
      <c r="C390" s="59">
        <v>0</v>
      </c>
      <c r="D390" s="47">
        <v>88762.3</v>
      </c>
      <c r="E390" s="47">
        <v>0</v>
      </c>
      <c r="F390" s="47">
        <v>0</v>
      </c>
      <c r="G390" s="49">
        <v>0</v>
      </c>
      <c r="H390" s="47">
        <v>0</v>
      </c>
      <c r="I390" s="48">
        <v>2.71</v>
      </c>
      <c r="J390" s="60">
        <v>5.48</v>
      </c>
      <c r="K390" s="48">
        <v>6.37</v>
      </c>
      <c r="L390" s="52">
        <v>4.3899999999999997</v>
      </c>
      <c r="M390" s="72">
        <f t="shared" si="6"/>
        <v>1.3</v>
      </c>
      <c r="N390" s="36">
        <v>1.2999999999999999E-2</v>
      </c>
      <c r="O390" s="68">
        <v>-33.657499999999999</v>
      </c>
      <c r="P390" s="73">
        <v>5.8</v>
      </c>
      <c r="Q390" s="74">
        <f>'Trade Data'!B26</f>
        <v>0.59871477824404573</v>
      </c>
      <c r="R390" s="37">
        <v>1</v>
      </c>
    </row>
    <row r="391" spans="1:18" ht="20.100000000000001" customHeight="1">
      <c r="A391" s="44" t="s">
        <v>135</v>
      </c>
      <c r="B391" s="44" t="s">
        <v>479</v>
      </c>
      <c r="C391" s="59">
        <v>0</v>
      </c>
      <c r="D391" s="47">
        <v>111589.92499999999</v>
      </c>
      <c r="E391" s="47">
        <v>0</v>
      </c>
      <c r="F391" s="47">
        <v>0</v>
      </c>
      <c r="G391" s="49">
        <v>0</v>
      </c>
      <c r="H391" s="47">
        <v>0</v>
      </c>
      <c r="I391" s="48">
        <v>2.71</v>
      </c>
      <c r="J391" s="60">
        <v>5.48</v>
      </c>
      <c r="K391" s="48">
        <v>6.37</v>
      </c>
      <c r="L391" s="52">
        <v>4.3899999999999997</v>
      </c>
      <c r="M391" s="72">
        <f t="shared" si="6"/>
        <v>1.3</v>
      </c>
      <c r="N391" s="36">
        <v>1.2999999999999999E-2</v>
      </c>
      <c r="O391" s="68">
        <v>-33.657499999999999</v>
      </c>
      <c r="P391" s="73">
        <v>5.8</v>
      </c>
      <c r="Q391" s="74">
        <f>'Trade Data'!B26</f>
        <v>0.59871477824404573</v>
      </c>
      <c r="R391" s="37">
        <v>1</v>
      </c>
    </row>
    <row r="392" spans="1:18" ht="20.100000000000001" customHeight="1">
      <c r="A392" s="44" t="s">
        <v>149</v>
      </c>
      <c r="B392" s="44" t="s">
        <v>478</v>
      </c>
      <c r="C392" s="59">
        <v>0</v>
      </c>
      <c r="D392" s="47">
        <v>11976.539999999999</v>
      </c>
      <c r="E392" s="47">
        <v>0</v>
      </c>
      <c r="F392" s="47">
        <v>0</v>
      </c>
      <c r="G392" s="49">
        <v>0</v>
      </c>
      <c r="H392" s="47">
        <v>0</v>
      </c>
      <c r="I392" s="48">
        <v>3.92</v>
      </c>
      <c r="J392" s="60">
        <v>5.65</v>
      </c>
      <c r="K392" s="48">
        <v>12.82</v>
      </c>
      <c r="L392" s="52">
        <v>4.3899999999999997</v>
      </c>
      <c r="M392" s="72">
        <f t="shared" si="6"/>
        <v>-3.9</v>
      </c>
      <c r="N392" s="36">
        <v>-3.9E-2</v>
      </c>
      <c r="O392" s="68">
        <v>-32.662500000000001</v>
      </c>
      <c r="P392" s="73">
        <v>5</v>
      </c>
      <c r="Q392" s="74">
        <f>'Trade Data'!D26</f>
        <v>0.51245329015399177</v>
      </c>
      <c r="R392" s="35">
        <v>0</v>
      </c>
    </row>
    <row r="393" spans="1:18" ht="20.100000000000001" customHeight="1">
      <c r="A393" s="44" t="s">
        <v>149</v>
      </c>
      <c r="B393" s="44" t="s">
        <v>477</v>
      </c>
      <c r="C393" s="59">
        <v>500</v>
      </c>
      <c r="D393" s="47">
        <v>88762.3</v>
      </c>
      <c r="E393" s="47">
        <v>5.6330221276375218E-3</v>
      </c>
      <c r="F393" s="47">
        <v>1</v>
      </c>
      <c r="G393" s="49">
        <v>1</v>
      </c>
      <c r="H393" s="47">
        <v>1</v>
      </c>
      <c r="I393" s="48">
        <v>3.92</v>
      </c>
      <c r="J393" s="60">
        <v>5.65</v>
      </c>
      <c r="K393" s="48">
        <v>12.82</v>
      </c>
      <c r="L393" s="52">
        <v>4.3899999999999997</v>
      </c>
      <c r="M393" s="72">
        <f t="shared" si="6"/>
        <v>-3.9</v>
      </c>
      <c r="N393" s="36">
        <v>-3.9E-2</v>
      </c>
      <c r="O393" s="68">
        <v>-32.662500000000001</v>
      </c>
      <c r="P393" s="73">
        <v>5</v>
      </c>
      <c r="Q393" s="74">
        <f>'Trade Data'!D26</f>
        <v>0.51245329015399177</v>
      </c>
      <c r="R393" s="35">
        <v>1</v>
      </c>
    </row>
    <row r="394" spans="1:18" ht="20.100000000000001" customHeight="1">
      <c r="A394" s="44" t="s">
        <v>149</v>
      </c>
      <c r="B394" s="44" t="s">
        <v>476</v>
      </c>
      <c r="C394" s="59">
        <v>0</v>
      </c>
      <c r="D394" s="47">
        <v>111589.92499999999</v>
      </c>
      <c r="E394" s="47">
        <v>0</v>
      </c>
      <c r="F394" s="47">
        <v>0</v>
      </c>
      <c r="G394" s="49">
        <v>1</v>
      </c>
      <c r="H394" s="47">
        <v>1</v>
      </c>
      <c r="I394" s="48">
        <v>3.92</v>
      </c>
      <c r="J394" s="60">
        <v>5.65</v>
      </c>
      <c r="K394" s="48">
        <v>12.82</v>
      </c>
      <c r="L394" s="52">
        <v>4.3899999999999997</v>
      </c>
      <c r="M394" s="72">
        <f t="shared" si="6"/>
        <v>-3.9</v>
      </c>
      <c r="N394" s="36">
        <v>-3.9E-2</v>
      </c>
      <c r="O394" s="68">
        <v>-32.662500000000001</v>
      </c>
      <c r="P394" s="73">
        <v>5</v>
      </c>
      <c r="Q394" s="74">
        <f>'Trade Data'!D26</f>
        <v>0.51245329015399177</v>
      </c>
      <c r="R394" s="35">
        <v>1</v>
      </c>
    </row>
    <row r="395" spans="1:18" ht="20.100000000000001" customHeight="1">
      <c r="A395" s="44" t="s">
        <v>150</v>
      </c>
      <c r="B395" s="44" t="s">
        <v>475</v>
      </c>
      <c r="C395" s="59">
        <v>0</v>
      </c>
      <c r="D395" s="47">
        <v>11976.539999999999</v>
      </c>
      <c r="E395" s="47">
        <v>0</v>
      </c>
      <c r="F395" s="47">
        <v>0</v>
      </c>
      <c r="G395" s="49">
        <v>0</v>
      </c>
      <c r="H395" s="47">
        <v>0</v>
      </c>
      <c r="I395" s="48">
        <v>5.32</v>
      </c>
      <c r="J395" s="60">
        <v>16.739999999999998</v>
      </c>
      <c r="K395" s="48">
        <v>8.27</v>
      </c>
      <c r="L395" s="52">
        <v>4.3899999999999997</v>
      </c>
      <c r="M395" s="72">
        <f t="shared" si="6"/>
        <v>-3.9</v>
      </c>
      <c r="N395" s="36">
        <v>-3.9E-2</v>
      </c>
      <c r="O395" s="68">
        <v>-36.626249999999992</v>
      </c>
      <c r="P395" s="73">
        <v>5</v>
      </c>
      <c r="Q395" s="74">
        <f>'Trade Data'!D26</f>
        <v>0.51245329015399177</v>
      </c>
      <c r="R395" s="37">
        <v>0</v>
      </c>
    </row>
    <row r="396" spans="1:18" ht="20.100000000000001" customHeight="1">
      <c r="A396" s="44" t="s">
        <v>150</v>
      </c>
      <c r="B396" s="44" t="s">
        <v>474</v>
      </c>
      <c r="C396" s="59">
        <v>0</v>
      </c>
      <c r="D396" s="47">
        <v>88762.3</v>
      </c>
      <c r="E396" s="47">
        <v>0</v>
      </c>
      <c r="F396" s="47">
        <v>0</v>
      </c>
      <c r="G396" s="61">
        <v>0</v>
      </c>
      <c r="H396" s="47">
        <v>0</v>
      </c>
      <c r="I396" s="48">
        <v>5.32</v>
      </c>
      <c r="J396" s="60">
        <v>16.739999999999998</v>
      </c>
      <c r="K396" s="48">
        <v>8.27</v>
      </c>
      <c r="L396" s="52">
        <v>4.3899999999999997</v>
      </c>
      <c r="M396" s="72">
        <f t="shared" si="6"/>
        <v>-3.9</v>
      </c>
      <c r="N396" s="36">
        <v>-3.9E-2</v>
      </c>
      <c r="O396" s="68">
        <v>-36.626249999999992</v>
      </c>
      <c r="P396" s="73">
        <v>5</v>
      </c>
      <c r="Q396" s="74">
        <f>'Trade Data'!D26</f>
        <v>0.51245329015399177</v>
      </c>
      <c r="R396" s="37">
        <v>1</v>
      </c>
    </row>
    <row r="397" spans="1:18" ht="20.100000000000001" customHeight="1">
      <c r="A397" s="44" t="s">
        <v>150</v>
      </c>
      <c r="B397" s="44" t="s">
        <v>473</v>
      </c>
      <c r="C397" s="59">
        <v>0</v>
      </c>
      <c r="D397" s="47">
        <v>111589.92499999999</v>
      </c>
      <c r="E397" s="47">
        <v>0</v>
      </c>
      <c r="F397" s="47">
        <v>0</v>
      </c>
      <c r="G397" s="49">
        <v>0</v>
      </c>
      <c r="H397" s="47">
        <v>0</v>
      </c>
      <c r="I397" s="48">
        <v>5.32</v>
      </c>
      <c r="J397" s="60">
        <v>16.739999999999998</v>
      </c>
      <c r="K397" s="48">
        <v>8.27</v>
      </c>
      <c r="L397" s="52">
        <v>4.3899999999999997</v>
      </c>
      <c r="M397" s="72">
        <f t="shared" si="6"/>
        <v>-3.9</v>
      </c>
      <c r="N397" s="36">
        <v>-3.9E-2</v>
      </c>
      <c r="O397" s="68">
        <v>-36.626249999999992</v>
      </c>
      <c r="P397" s="73">
        <v>5</v>
      </c>
      <c r="Q397" s="74">
        <f>'Trade Data'!D26</f>
        <v>0.51245329015399177</v>
      </c>
      <c r="R397" s="37">
        <v>1</v>
      </c>
    </row>
    <row r="398" spans="1:18" ht="20.100000000000001" customHeight="1">
      <c r="A398" s="44" t="s">
        <v>136</v>
      </c>
      <c r="B398" s="44" t="s">
        <v>472</v>
      </c>
      <c r="C398" s="59">
        <v>0</v>
      </c>
      <c r="D398" s="47">
        <v>10674.4</v>
      </c>
      <c r="E398" s="47">
        <v>0</v>
      </c>
      <c r="F398" s="47">
        <v>0</v>
      </c>
      <c r="G398" s="49">
        <v>0</v>
      </c>
      <c r="H398" s="47">
        <v>0</v>
      </c>
      <c r="I398" s="48">
        <v>4.9800000000000004</v>
      </c>
      <c r="J398" s="52">
        <v>14.81</v>
      </c>
      <c r="K398" s="52">
        <v>9.61</v>
      </c>
      <c r="L398" s="52">
        <v>4.3899999999999997</v>
      </c>
      <c r="M398" s="72">
        <f t="shared" si="6"/>
        <v>-3.9</v>
      </c>
      <c r="N398" s="36">
        <v>-3.9E-2</v>
      </c>
      <c r="O398" s="68">
        <v>-32.778750000000002</v>
      </c>
      <c r="P398" s="73">
        <v>5</v>
      </c>
      <c r="Q398" s="74">
        <f>'Trade Data'!D26</f>
        <v>0.51245329015399177</v>
      </c>
      <c r="R398" s="35">
        <v>0</v>
      </c>
    </row>
    <row r="399" spans="1:18" ht="20.100000000000001" customHeight="1">
      <c r="A399" s="44" t="s">
        <v>136</v>
      </c>
      <c r="B399" s="44" t="s">
        <v>471</v>
      </c>
      <c r="C399" s="59">
        <v>0</v>
      </c>
      <c r="D399" s="47">
        <v>92673.2</v>
      </c>
      <c r="E399" s="47">
        <v>0</v>
      </c>
      <c r="F399" s="47">
        <v>0</v>
      </c>
      <c r="G399" s="49">
        <v>0</v>
      </c>
      <c r="H399" s="47">
        <v>0</v>
      </c>
      <c r="I399" s="48">
        <v>4.9800000000000004</v>
      </c>
      <c r="J399" s="52">
        <v>14.81</v>
      </c>
      <c r="K399" s="52">
        <v>9.61</v>
      </c>
      <c r="L399" s="52">
        <v>4.3899999999999997</v>
      </c>
      <c r="M399" s="72">
        <f t="shared" si="6"/>
        <v>-3.9</v>
      </c>
      <c r="N399" s="36">
        <v>-3.9E-2</v>
      </c>
      <c r="O399" s="68">
        <v>-32.778750000000002</v>
      </c>
      <c r="P399" s="73">
        <v>5</v>
      </c>
      <c r="Q399" s="74">
        <f>'Trade Data'!D26</f>
        <v>0.51245329015399177</v>
      </c>
      <c r="R399" s="35">
        <v>1</v>
      </c>
    </row>
    <row r="400" spans="1:18" ht="20.100000000000001" customHeight="1">
      <c r="A400" s="44" t="s">
        <v>136</v>
      </c>
      <c r="B400" s="44" t="s">
        <v>470</v>
      </c>
      <c r="C400" s="59">
        <v>0</v>
      </c>
      <c r="D400" s="47">
        <v>139252.4</v>
      </c>
      <c r="E400" s="47">
        <v>0</v>
      </c>
      <c r="F400" s="47">
        <v>0</v>
      </c>
      <c r="G400" s="49">
        <v>0</v>
      </c>
      <c r="H400" s="47">
        <v>0</v>
      </c>
      <c r="I400" s="48">
        <v>4.9800000000000004</v>
      </c>
      <c r="J400" s="52">
        <v>14.81</v>
      </c>
      <c r="K400" s="52">
        <v>9.61</v>
      </c>
      <c r="L400" s="52">
        <v>4.3899999999999997</v>
      </c>
      <c r="M400" s="72">
        <f t="shared" si="6"/>
        <v>-3.9</v>
      </c>
      <c r="N400" s="36">
        <v>-3.9E-2</v>
      </c>
      <c r="O400" s="68">
        <v>-32.778750000000002</v>
      </c>
      <c r="P400" s="73">
        <v>5</v>
      </c>
      <c r="Q400" s="74">
        <f>'Trade Data'!D26</f>
        <v>0.51245329015399177</v>
      </c>
      <c r="R400" s="35">
        <v>1</v>
      </c>
    </row>
    <row r="401" spans="1:18" ht="20.100000000000001" customHeight="1">
      <c r="A401" s="44" t="s">
        <v>137</v>
      </c>
      <c r="B401" s="44" t="s">
        <v>833</v>
      </c>
      <c r="C401" s="59">
        <v>0</v>
      </c>
      <c r="D401" s="47">
        <v>10674.4</v>
      </c>
      <c r="E401" s="47">
        <v>0</v>
      </c>
      <c r="F401" s="47">
        <v>0</v>
      </c>
      <c r="G401" s="49">
        <v>0</v>
      </c>
      <c r="H401" s="47">
        <v>0</v>
      </c>
      <c r="I401" s="48">
        <v>3.41</v>
      </c>
      <c r="J401" s="48">
        <v>3.87</v>
      </c>
      <c r="K401" s="52">
        <v>11.02</v>
      </c>
      <c r="L401" s="48">
        <v>4.07</v>
      </c>
      <c r="M401" s="72">
        <f t="shared" si="6"/>
        <v>-3.9</v>
      </c>
      <c r="N401" s="36">
        <v>-3.9E-2</v>
      </c>
      <c r="O401" s="68">
        <v>-30.296250000000004</v>
      </c>
      <c r="P401" s="73">
        <v>5</v>
      </c>
      <c r="Q401" s="74">
        <f>'Trade Data'!D26</f>
        <v>0.51245329015399177</v>
      </c>
      <c r="R401" s="37">
        <v>0</v>
      </c>
    </row>
    <row r="402" spans="1:18" ht="20.100000000000001" customHeight="1">
      <c r="A402" s="44" t="s">
        <v>137</v>
      </c>
      <c r="B402" s="44" t="s">
        <v>469</v>
      </c>
      <c r="C402" s="59">
        <v>500</v>
      </c>
      <c r="D402" s="47">
        <v>92673.2</v>
      </c>
      <c r="E402" s="47">
        <v>5.395303064963765E-3</v>
      </c>
      <c r="F402" s="47">
        <v>1</v>
      </c>
      <c r="G402" s="49">
        <v>1</v>
      </c>
      <c r="H402" s="47">
        <v>1</v>
      </c>
      <c r="I402" s="48">
        <v>3.41</v>
      </c>
      <c r="J402" s="48">
        <v>3.87</v>
      </c>
      <c r="K402" s="52">
        <v>11.02</v>
      </c>
      <c r="L402" s="48">
        <v>4.07</v>
      </c>
      <c r="M402" s="72">
        <f t="shared" si="6"/>
        <v>-3.9</v>
      </c>
      <c r="N402" s="36">
        <v>-3.9E-2</v>
      </c>
      <c r="O402" s="68">
        <v>-30.296250000000004</v>
      </c>
      <c r="P402" s="73">
        <v>5</v>
      </c>
      <c r="Q402" s="74">
        <f>'Trade Data'!D26</f>
        <v>0.51245329015399177</v>
      </c>
      <c r="R402" s="37">
        <v>1</v>
      </c>
    </row>
    <row r="403" spans="1:18" ht="20.100000000000001" customHeight="1">
      <c r="A403" s="44" t="s">
        <v>137</v>
      </c>
      <c r="B403" s="44" t="s">
        <v>468</v>
      </c>
      <c r="C403" s="59">
        <v>0</v>
      </c>
      <c r="D403" s="47">
        <v>139252.4</v>
      </c>
      <c r="E403" s="47">
        <v>0</v>
      </c>
      <c r="F403" s="47">
        <v>0</v>
      </c>
      <c r="G403" s="49">
        <v>0</v>
      </c>
      <c r="H403" s="47">
        <v>0</v>
      </c>
      <c r="I403" s="48">
        <v>3.41</v>
      </c>
      <c r="J403" s="48">
        <v>3.87</v>
      </c>
      <c r="K403" s="52">
        <v>11.02</v>
      </c>
      <c r="L403" s="48">
        <v>4.07</v>
      </c>
      <c r="M403" s="72">
        <f t="shared" si="6"/>
        <v>-3.9</v>
      </c>
      <c r="N403" s="36">
        <v>-3.9E-2</v>
      </c>
      <c r="O403" s="68">
        <v>-30.296250000000004</v>
      </c>
      <c r="P403" s="73">
        <v>5</v>
      </c>
      <c r="Q403" s="74">
        <f>'Trade Data'!D26</f>
        <v>0.51245329015399177</v>
      </c>
      <c r="R403" s="37">
        <v>1</v>
      </c>
    </row>
    <row r="404" spans="1:18" ht="20.100000000000001" customHeight="1">
      <c r="A404" s="44" t="s">
        <v>138</v>
      </c>
      <c r="B404" s="44" t="s">
        <v>467</v>
      </c>
      <c r="C404" s="59">
        <v>0</v>
      </c>
      <c r="D404" s="47">
        <v>10674.4</v>
      </c>
      <c r="E404" s="47">
        <v>0</v>
      </c>
      <c r="F404" s="47">
        <v>0</v>
      </c>
      <c r="G404" s="49">
        <v>0</v>
      </c>
      <c r="H404" s="47">
        <v>0</v>
      </c>
      <c r="I404" s="48">
        <v>4.42</v>
      </c>
      <c r="J404" s="48">
        <v>7.75</v>
      </c>
      <c r="K404" s="52">
        <v>10.06</v>
      </c>
      <c r="L404" s="48">
        <v>4.07</v>
      </c>
      <c r="M404" s="72">
        <f t="shared" si="6"/>
        <v>-6.2</v>
      </c>
      <c r="N404" s="36">
        <v>-6.2E-2</v>
      </c>
      <c r="O404" s="68">
        <v>-28.8675</v>
      </c>
      <c r="P404" s="73">
        <v>5.75</v>
      </c>
      <c r="Q404" s="74">
        <f>'Trade Data'!F26</f>
        <v>0.35886822989682643</v>
      </c>
      <c r="R404" s="35">
        <v>0</v>
      </c>
    </row>
    <row r="405" spans="1:18" ht="20.100000000000001" customHeight="1">
      <c r="A405" s="44" t="s">
        <v>138</v>
      </c>
      <c r="B405" s="44" t="s">
        <v>466</v>
      </c>
      <c r="C405" s="59">
        <v>0</v>
      </c>
      <c r="D405" s="47">
        <v>92673.2</v>
      </c>
      <c r="E405" s="47">
        <v>0</v>
      </c>
      <c r="F405" s="47">
        <v>0</v>
      </c>
      <c r="G405" s="49">
        <v>0</v>
      </c>
      <c r="H405" s="47">
        <v>0</v>
      </c>
      <c r="I405" s="48">
        <v>4.42</v>
      </c>
      <c r="J405" s="48">
        <v>7.75</v>
      </c>
      <c r="K405" s="52">
        <v>10.06</v>
      </c>
      <c r="L405" s="48">
        <v>4.07</v>
      </c>
      <c r="M405" s="72">
        <f t="shared" si="6"/>
        <v>-6.2</v>
      </c>
      <c r="N405" s="36">
        <v>-6.2E-2</v>
      </c>
      <c r="O405" s="68">
        <v>-28.8675</v>
      </c>
      <c r="P405" s="73">
        <v>5.75</v>
      </c>
      <c r="Q405" s="74">
        <f>'Trade Data'!F26</f>
        <v>0.35886822989682643</v>
      </c>
      <c r="R405" s="35">
        <v>1</v>
      </c>
    </row>
    <row r="406" spans="1:18" ht="20.100000000000001" customHeight="1">
      <c r="A406" s="44" t="s">
        <v>138</v>
      </c>
      <c r="B406" s="44" t="s">
        <v>465</v>
      </c>
      <c r="C406" s="59">
        <v>0</v>
      </c>
      <c r="D406" s="47">
        <v>139252.4</v>
      </c>
      <c r="E406" s="47">
        <v>0</v>
      </c>
      <c r="F406" s="47">
        <v>0</v>
      </c>
      <c r="G406" s="49">
        <v>0</v>
      </c>
      <c r="H406" s="47">
        <v>0</v>
      </c>
      <c r="I406" s="48">
        <v>4.42</v>
      </c>
      <c r="J406" s="48">
        <v>7.75</v>
      </c>
      <c r="K406" s="52">
        <v>10.06</v>
      </c>
      <c r="L406" s="48">
        <v>4.07</v>
      </c>
      <c r="M406" s="72">
        <f t="shared" si="6"/>
        <v>-6.2</v>
      </c>
      <c r="N406" s="36">
        <v>-6.2E-2</v>
      </c>
      <c r="O406" s="68">
        <v>-28.8675</v>
      </c>
      <c r="P406" s="73">
        <v>5.75</v>
      </c>
      <c r="Q406" s="74">
        <f>'Trade Data'!F26</f>
        <v>0.35886822989682643</v>
      </c>
      <c r="R406" s="35">
        <v>1</v>
      </c>
    </row>
    <row r="407" spans="1:18" ht="20.100000000000001" customHeight="1">
      <c r="A407" s="44" t="s">
        <v>139</v>
      </c>
      <c r="B407" s="44" t="s">
        <v>464</v>
      </c>
      <c r="C407" s="59">
        <v>0</v>
      </c>
      <c r="D407" s="47">
        <v>10674.4</v>
      </c>
      <c r="E407" s="47">
        <v>0</v>
      </c>
      <c r="F407" s="47">
        <v>0</v>
      </c>
      <c r="G407" s="49">
        <v>0</v>
      </c>
      <c r="H407" s="47">
        <v>0</v>
      </c>
      <c r="I407" s="48">
        <v>1.89</v>
      </c>
      <c r="J407" s="48">
        <v>4.84</v>
      </c>
      <c r="K407" s="52">
        <v>3.07</v>
      </c>
      <c r="L407" s="48">
        <v>4.07</v>
      </c>
      <c r="M407" s="72">
        <f t="shared" si="6"/>
        <v>-6.2</v>
      </c>
      <c r="N407" s="36">
        <v>-6.2E-2</v>
      </c>
      <c r="O407" s="68">
        <v>-36.167499999999997</v>
      </c>
      <c r="P407" s="73">
        <v>5.75</v>
      </c>
      <c r="Q407" s="74">
        <f>'Trade Data'!F26</f>
        <v>0.35886822989682643</v>
      </c>
      <c r="R407" s="37">
        <v>0</v>
      </c>
    </row>
    <row r="408" spans="1:18" ht="20.100000000000001" customHeight="1">
      <c r="A408" s="44" t="s">
        <v>139</v>
      </c>
      <c r="B408" s="44" t="s">
        <v>463</v>
      </c>
      <c r="C408" s="59">
        <v>0</v>
      </c>
      <c r="D408" s="47">
        <v>92673.2</v>
      </c>
      <c r="E408" s="47">
        <v>0</v>
      </c>
      <c r="F408" s="47">
        <v>0</v>
      </c>
      <c r="G408" s="49">
        <v>0</v>
      </c>
      <c r="H408" s="47">
        <v>0</v>
      </c>
      <c r="I408" s="48">
        <v>1.89</v>
      </c>
      <c r="J408" s="48">
        <v>4.84</v>
      </c>
      <c r="K408" s="52">
        <v>3.07</v>
      </c>
      <c r="L408" s="48">
        <v>4.07</v>
      </c>
      <c r="M408" s="72">
        <f t="shared" si="6"/>
        <v>-6.2</v>
      </c>
      <c r="N408" s="36">
        <v>-6.2E-2</v>
      </c>
      <c r="O408" s="68">
        <v>-36.167499999999997</v>
      </c>
      <c r="P408" s="73">
        <v>5.75</v>
      </c>
      <c r="Q408" s="74">
        <f>'Trade Data'!F26</f>
        <v>0.35886822989682643</v>
      </c>
      <c r="R408" s="37">
        <v>1</v>
      </c>
    </row>
    <row r="409" spans="1:18" ht="20.100000000000001" customHeight="1">
      <c r="A409" s="44" t="s">
        <v>139</v>
      </c>
      <c r="B409" s="44" t="s">
        <v>462</v>
      </c>
      <c r="C409" s="59">
        <v>0</v>
      </c>
      <c r="D409" s="47">
        <v>139252.4</v>
      </c>
      <c r="E409" s="47">
        <v>0</v>
      </c>
      <c r="F409" s="47">
        <v>0</v>
      </c>
      <c r="G409" s="49">
        <v>0</v>
      </c>
      <c r="H409" s="47">
        <v>0</v>
      </c>
      <c r="I409" s="48">
        <v>1.89</v>
      </c>
      <c r="J409" s="48">
        <v>4.84</v>
      </c>
      <c r="K409" s="52">
        <v>3.07</v>
      </c>
      <c r="L409" s="48">
        <v>4.07</v>
      </c>
      <c r="M409" s="72">
        <f t="shared" si="6"/>
        <v>-6.2</v>
      </c>
      <c r="N409" s="36">
        <v>-6.2E-2</v>
      </c>
      <c r="O409" s="68">
        <v>-36.167499999999997</v>
      </c>
      <c r="P409" s="73">
        <v>5.75</v>
      </c>
      <c r="Q409" s="74">
        <f>'Trade Data'!F26</f>
        <v>0.35886822989682643</v>
      </c>
      <c r="R409" s="37">
        <v>1</v>
      </c>
    </row>
    <row r="410" spans="1:18" ht="20.100000000000001" customHeight="1">
      <c r="A410" s="44" t="s">
        <v>140</v>
      </c>
      <c r="B410" s="44" t="s">
        <v>461</v>
      </c>
      <c r="C410" s="59">
        <v>0</v>
      </c>
      <c r="D410" s="47">
        <v>10403.359999999999</v>
      </c>
      <c r="E410" s="47">
        <v>0</v>
      </c>
      <c r="F410" s="47">
        <v>0</v>
      </c>
      <c r="G410" s="49">
        <v>0</v>
      </c>
      <c r="H410" s="47">
        <v>0</v>
      </c>
      <c r="I410" s="48">
        <v>4.43</v>
      </c>
      <c r="J410" s="60">
        <v>8.64</v>
      </c>
      <c r="K410" s="48">
        <v>9.73</v>
      </c>
      <c r="L410" s="48">
        <v>4.07</v>
      </c>
      <c r="M410" s="72">
        <f t="shared" si="6"/>
        <v>-6.2</v>
      </c>
      <c r="N410" s="36">
        <v>-6.2E-2</v>
      </c>
      <c r="O410" s="68">
        <v>-26.517500000000002</v>
      </c>
      <c r="P410" s="73">
        <v>5.75</v>
      </c>
      <c r="Q410" s="74">
        <f>'Trade Data'!F26</f>
        <v>0.35886822989682643</v>
      </c>
      <c r="R410" s="35">
        <v>0</v>
      </c>
    </row>
    <row r="411" spans="1:18" ht="20.100000000000001" customHeight="1">
      <c r="A411" s="44" t="s">
        <v>140</v>
      </c>
      <c r="B411" s="44" t="s">
        <v>460</v>
      </c>
      <c r="C411" s="59">
        <v>0</v>
      </c>
      <c r="D411" s="47">
        <v>90320.08</v>
      </c>
      <c r="E411" s="47">
        <v>0</v>
      </c>
      <c r="F411" s="47">
        <v>0</v>
      </c>
      <c r="G411" s="49">
        <v>0</v>
      </c>
      <c r="H411" s="47">
        <v>0</v>
      </c>
      <c r="I411" s="48">
        <v>4.43</v>
      </c>
      <c r="J411" s="60">
        <v>8.64</v>
      </c>
      <c r="K411" s="48">
        <v>9.73</v>
      </c>
      <c r="L411" s="48">
        <v>4.07</v>
      </c>
      <c r="M411" s="72">
        <f t="shared" si="6"/>
        <v>-6.2</v>
      </c>
      <c r="N411" s="36">
        <v>-6.2E-2</v>
      </c>
      <c r="O411" s="68">
        <v>-26.517500000000002</v>
      </c>
      <c r="P411" s="73">
        <v>5.75</v>
      </c>
      <c r="Q411" s="74">
        <f>'Trade Data'!F26</f>
        <v>0.35886822989682643</v>
      </c>
      <c r="R411" s="35">
        <v>1</v>
      </c>
    </row>
    <row r="412" spans="1:18" ht="20.100000000000001" customHeight="1">
      <c r="A412" s="44" t="s">
        <v>140</v>
      </c>
      <c r="B412" s="44" t="s">
        <v>459</v>
      </c>
      <c r="C412" s="59">
        <v>0</v>
      </c>
      <c r="D412" s="47">
        <v>135716.56</v>
      </c>
      <c r="E412" s="47">
        <v>0</v>
      </c>
      <c r="F412" s="47">
        <v>0</v>
      </c>
      <c r="G412" s="49">
        <v>0</v>
      </c>
      <c r="H412" s="47">
        <v>0</v>
      </c>
      <c r="I412" s="48">
        <v>4.43</v>
      </c>
      <c r="J412" s="60">
        <v>8.64</v>
      </c>
      <c r="K412" s="48">
        <v>9.73</v>
      </c>
      <c r="L412" s="48">
        <v>4.07</v>
      </c>
      <c r="M412" s="72">
        <f t="shared" si="6"/>
        <v>-6.2</v>
      </c>
      <c r="N412" s="36">
        <v>-6.2E-2</v>
      </c>
      <c r="O412" s="68">
        <v>-26.517500000000002</v>
      </c>
      <c r="P412" s="73">
        <v>5.75</v>
      </c>
      <c r="Q412" s="74">
        <f>'Trade Data'!F26</f>
        <v>0.35886822989682643</v>
      </c>
      <c r="R412" s="35">
        <v>1</v>
      </c>
    </row>
    <row r="413" spans="1:18" ht="20.100000000000001" customHeight="1">
      <c r="A413" s="44" t="s">
        <v>141</v>
      </c>
      <c r="B413" s="44" t="s">
        <v>458</v>
      </c>
      <c r="C413" s="59">
        <v>0</v>
      </c>
      <c r="D413" s="47">
        <v>10403.359999999999</v>
      </c>
      <c r="E413" s="47">
        <v>0</v>
      </c>
      <c r="F413" s="47">
        <v>0</v>
      </c>
      <c r="G413" s="49">
        <v>0</v>
      </c>
      <c r="H413" s="47">
        <v>0</v>
      </c>
      <c r="I413" s="48">
        <v>3.94</v>
      </c>
      <c r="J413" s="60">
        <v>3.38</v>
      </c>
      <c r="K413" s="48">
        <v>15.69</v>
      </c>
      <c r="L413" s="52">
        <v>4.22</v>
      </c>
      <c r="M413" s="72">
        <f t="shared" si="6"/>
        <v>-6.2</v>
      </c>
      <c r="N413" s="36">
        <v>-6.2E-2</v>
      </c>
      <c r="O413" s="68">
        <v>-27.353750000000002</v>
      </c>
      <c r="P413" s="73">
        <v>5.75</v>
      </c>
      <c r="Q413" s="74">
        <f>'Trade Data'!F26</f>
        <v>0.35886822989682643</v>
      </c>
      <c r="R413" s="37">
        <v>0</v>
      </c>
    </row>
    <row r="414" spans="1:18" ht="20.100000000000001" customHeight="1">
      <c r="A414" s="44" t="s">
        <v>141</v>
      </c>
      <c r="B414" s="44" t="s">
        <v>457</v>
      </c>
      <c r="C414" s="59">
        <v>0</v>
      </c>
      <c r="D414" s="47">
        <v>90320.08</v>
      </c>
      <c r="E414" s="47">
        <v>0</v>
      </c>
      <c r="F414" s="47">
        <v>0</v>
      </c>
      <c r="G414" s="49">
        <v>0</v>
      </c>
      <c r="H414" s="47">
        <v>0</v>
      </c>
      <c r="I414" s="48">
        <v>3.94</v>
      </c>
      <c r="J414" s="60">
        <v>3.38</v>
      </c>
      <c r="K414" s="48">
        <v>15.69</v>
      </c>
      <c r="L414" s="52">
        <v>4.22</v>
      </c>
      <c r="M414" s="72">
        <f t="shared" si="6"/>
        <v>-6.2</v>
      </c>
      <c r="N414" s="36">
        <v>-6.2E-2</v>
      </c>
      <c r="O414" s="68">
        <v>-27.353750000000002</v>
      </c>
      <c r="P414" s="73">
        <v>5.75</v>
      </c>
      <c r="Q414" s="74">
        <f>'Trade Data'!F26</f>
        <v>0.35886822989682643</v>
      </c>
      <c r="R414" s="37">
        <v>1</v>
      </c>
    </row>
    <row r="415" spans="1:18" ht="20.100000000000001" customHeight="1">
      <c r="A415" s="44" t="s">
        <v>141</v>
      </c>
      <c r="B415" s="44" t="s">
        <v>456</v>
      </c>
      <c r="C415" s="59">
        <v>0</v>
      </c>
      <c r="D415" s="47">
        <v>135716.56</v>
      </c>
      <c r="E415" s="47">
        <v>0</v>
      </c>
      <c r="F415" s="47">
        <v>0</v>
      </c>
      <c r="G415" s="49">
        <v>0</v>
      </c>
      <c r="H415" s="47">
        <v>0</v>
      </c>
      <c r="I415" s="48">
        <v>3.94</v>
      </c>
      <c r="J415" s="60">
        <v>3.38</v>
      </c>
      <c r="K415" s="48">
        <v>15.69</v>
      </c>
      <c r="L415" s="52">
        <v>4.22</v>
      </c>
      <c r="M415" s="72">
        <f t="shared" si="6"/>
        <v>-6.2</v>
      </c>
      <c r="N415" s="36">
        <v>-6.2E-2</v>
      </c>
      <c r="O415" s="68">
        <v>-27.353750000000002</v>
      </c>
      <c r="P415" s="73">
        <v>5.75</v>
      </c>
      <c r="Q415" s="74">
        <f>'Trade Data'!F26</f>
        <v>0.35886822989682643</v>
      </c>
      <c r="R415" s="37">
        <v>1</v>
      </c>
    </row>
    <row r="416" spans="1:18" ht="20.100000000000001" customHeight="1">
      <c r="A416" s="44" t="s">
        <v>142</v>
      </c>
      <c r="B416" s="44" t="s">
        <v>455</v>
      </c>
      <c r="C416" s="59">
        <v>0</v>
      </c>
      <c r="D416" s="47">
        <v>10403.359999999999</v>
      </c>
      <c r="E416" s="47">
        <v>0</v>
      </c>
      <c r="F416" s="47">
        <v>0</v>
      </c>
      <c r="G416" s="49">
        <v>0</v>
      </c>
      <c r="H416" s="47">
        <v>0</v>
      </c>
      <c r="I416" s="48">
        <v>2.85</v>
      </c>
      <c r="J416" s="60">
        <v>7.62</v>
      </c>
      <c r="K416" s="48">
        <v>4.54</v>
      </c>
      <c r="L416" s="52">
        <v>4.22</v>
      </c>
      <c r="M416" s="72">
        <f t="shared" si="6"/>
        <v>-18</v>
      </c>
      <c r="N416" s="36">
        <v>-0.18</v>
      </c>
      <c r="O416" s="68">
        <v>-33.774999999999999</v>
      </c>
      <c r="P416" s="73">
        <v>6.25</v>
      </c>
      <c r="Q416" s="74">
        <f>'Trade Data'!H26</f>
        <v>0.24223034387010769</v>
      </c>
      <c r="R416" s="35">
        <v>0</v>
      </c>
    </row>
    <row r="417" spans="1:18" ht="20.100000000000001" customHeight="1">
      <c r="A417" s="44" t="s">
        <v>142</v>
      </c>
      <c r="B417" s="44" t="s">
        <v>454</v>
      </c>
      <c r="C417" s="59">
        <v>0</v>
      </c>
      <c r="D417" s="47">
        <v>90320.08</v>
      </c>
      <c r="E417" s="47">
        <v>0</v>
      </c>
      <c r="F417" s="47">
        <v>0</v>
      </c>
      <c r="G417" s="49">
        <v>0</v>
      </c>
      <c r="H417" s="47">
        <v>0</v>
      </c>
      <c r="I417" s="48">
        <v>2.85</v>
      </c>
      <c r="J417" s="60">
        <v>7.62</v>
      </c>
      <c r="K417" s="48">
        <v>4.54</v>
      </c>
      <c r="L417" s="52">
        <v>4.22</v>
      </c>
      <c r="M417" s="72">
        <f t="shared" si="6"/>
        <v>-18</v>
      </c>
      <c r="N417" s="36">
        <v>-0.18</v>
      </c>
      <c r="O417" s="68">
        <v>-33.774999999999999</v>
      </c>
      <c r="P417" s="73">
        <v>6.25</v>
      </c>
      <c r="Q417" s="74">
        <f>'Trade Data'!H26</f>
        <v>0.24223034387010769</v>
      </c>
      <c r="R417" s="35">
        <v>1</v>
      </c>
    </row>
    <row r="418" spans="1:18" ht="20.100000000000001" customHeight="1">
      <c r="A418" s="44" t="s">
        <v>142</v>
      </c>
      <c r="B418" s="44" t="s">
        <v>453</v>
      </c>
      <c r="C418" s="59">
        <v>0</v>
      </c>
      <c r="D418" s="47">
        <v>135716.56</v>
      </c>
      <c r="E418" s="47">
        <v>0</v>
      </c>
      <c r="F418" s="47">
        <v>0</v>
      </c>
      <c r="G418" s="49">
        <v>0</v>
      </c>
      <c r="H418" s="47">
        <v>0</v>
      </c>
      <c r="I418" s="48">
        <v>2.85</v>
      </c>
      <c r="J418" s="60">
        <v>7.62</v>
      </c>
      <c r="K418" s="48">
        <v>4.54</v>
      </c>
      <c r="L418" s="52">
        <v>4.22</v>
      </c>
      <c r="M418" s="72">
        <f t="shared" si="6"/>
        <v>-18</v>
      </c>
      <c r="N418" s="36">
        <v>-0.18</v>
      </c>
      <c r="O418" s="68">
        <v>-33.774999999999999</v>
      </c>
      <c r="P418" s="73">
        <v>6.25</v>
      </c>
      <c r="Q418" s="74">
        <f>'Trade Data'!H26</f>
        <v>0.24223034387010769</v>
      </c>
      <c r="R418" s="35">
        <v>1</v>
      </c>
    </row>
    <row r="419" spans="1:18" ht="20.100000000000001" customHeight="1">
      <c r="A419" s="44" t="s">
        <v>143</v>
      </c>
      <c r="B419" s="44" t="s">
        <v>452</v>
      </c>
      <c r="C419" s="59">
        <v>0</v>
      </c>
      <c r="D419" s="47">
        <v>10403.359999999999</v>
      </c>
      <c r="E419" s="47">
        <v>0</v>
      </c>
      <c r="F419" s="47">
        <v>0</v>
      </c>
      <c r="G419" s="49">
        <v>0</v>
      </c>
      <c r="H419" s="47">
        <v>0</v>
      </c>
      <c r="I419" s="48">
        <v>2.14</v>
      </c>
      <c r="J419" s="60">
        <v>2.7</v>
      </c>
      <c r="K419" s="48">
        <v>6.65</v>
      </c>
      <c r="L419" s="52">
        <v>4.22</v>
      </c>
      <c r="M419" s="72">
        <f t="shared" si="6"/>
        <v>-18</v>
      </c>
      <c r="N419" s="36">
        <v>-0.18</v>
      </c>
      <c r="O419" s="68">
        <v>-32.831249999999997</v>
      </c>
      <c r="P419" s="73">
        <v>6.25</v>
      </c>
      <c r="Q419" s="74">
        <f>'Trade Data'!H26</f>
        <v>0.24223034387010769</v>
      </c>
      <c r="R419" s="37">
        <v>0</v>
      </c>
    </row>
    <row r="420" spans="1:18" ht="20.100000000000001" customHeight="1">
      <c r="A420" s="44" t="s">
        <v>143</v>
      </c>
      <c r="B420" s="44" t="s">
        <v>451</v>
      </c>
      <c r="C420" s="59">
        <v>0</v>
      </c>
      <c r="D420" s="47">
        <v>90320.08</v>
      </c>
      <c r="E420" s="47">
        <v>0</v>
      </c>
      <c r="F420" s="47">
        <v>0</v>
      </c>
      <c r="G420" s="49">
        <v>0</v>
      </c>
      <c r="H420" s="47">
        <v>0</v>
      </c>
      <c r="I420" s="48">
        <v>2.14</v>
      </c>
      <c r="J420" s="60">
        <v>2.7</v>
      </c>
      <c r="K420" s="48">
        <v>6.65</v>
      </c>
      <c r="L420" s="52">
        <v>4.22</v>
      </c>
      <c r="M420" s="72">
        <f t="shared" si="6"/>
        <v>-18</v>
      </c>
      <c r="N420" s="36">
        <v>-0.18</v>
      </c>
      <c r="O420" s="68">
        <v>-32.831249999999997</v>
      </c>
      <c r="P420" s="73">
        <v>6.25</v>
      </c>
      <c r="Q420" s="74">
        <f>'Trade Data'!H26</f>
        <v>0.24223034387010769</v>
      </c>
      <c r="R420" s="37">
        <v>1</v>
      </c>
    </row>
    <row r="421" spans="1:18" ht="20.100000000000001" customHeight="1">
      <c r="A421" s="44" t="s">
        <v>143</v>
      </c>
      <c r="B421" s="44" t="s">
        <v>450</v>
      </c>
      <c r="C421" s="59">
        <v>0</v>
      </c>
      <c r="D421" s="47">
        <v>135716.56</v>
      </c>
      <c r="E421" s="47">
        <v>0</v>
      </c>
      <c r="F421" s="47">
        <v>0</v>
      </c>
      <c r="G421" s="49">
        <v>0</v>
      </c>
      <c r="H421" s="47">
        <v>0</v>
      </c>
      <c r="I421" s="48">
        <v>2.14</v>
      </c>
      <c r="J421" s="60">
        <v>2.7</v>
      </c>
      <c r="K421" s="48">
        <v>6.65</v>
      </c>
      <c r="L421" s="52">
        <v>4.22</v>
      </c>
      <c r="M421" s="72">
        <f t="shared" si="6"/>
        <v>-18</v>
      </c>
      <c r="N421" s="36">
        <v>-0.18</v>
      </c>
      <c r="O421" s="68">
        <v>-32.831249999999997</v>
      </c>
      <c r="P421" s="73">
        <v>6.25</v>
      </c>
      <c r="Q421" s="74">
        <f>'Trade Data'!H26</f>
        <v>0.24223034387010769</v>
      </c>
      <c r="R421" s="37">
        <v>1</v>
      </c>
    </row>
    <row r="422" spans="1:18" ht="20.100000000000001" customHeight="1">
      <c r="A422" s="44" t="s">
        <v>144</v>
      </c>
      <c r="B422" s="44" t="s">
        <v>449</v>
      </c>
      <c r="C422" s="59">
        <v>0</v>
      </c>
      <c r="D422" s="47">
        <v>9473.64</v>
      </c>
      <c r="E422" s="47">
        <v>0</v>
      </c>
      <c r="F422" s="47">
        <v>0</v>
      </c>
      <c r="G422" s="49">
        <v>0</v>
      </c>
      <c r="H422" s="47">
        <v>0</v>
      </c>
      <c r="I422" s="48">
        <v>2.72</v>
      </c>
      <c r="J422" s="60">
        <v>5.66</v>
      </c>
      <c r="K422" s="48">
        <v>5.3</v>
      </c>
      <c r="L422" s="52">
        <v>4.22</v>
      </c>
      <c r="M422" s="72">
        <f t="shared" si="6"/>
        <v>-18</v>
      </c>
      <c r="N422" s="36">
        <v>-0.18</v>
      </c>
      <c r="O422" s="68">
        <v>-30.617500000000007</v>
      </c>
      <c r="P422" s="73">
        <v>6.25</v>
      </c>
      <c r="Q422" s="74">
        <f>'Trade Data'!H26</f>
        <v>0.24223034387010769</v>
      </c>
      <c r="R422" s="35">
        <v>0</v>
      </c>
    </row>
    <row r="423" spans="1:18" ht="20.100000000000001" customHeight="1">
      <c r="A423" s="44" t="s">
        <v>144</v>
      </c>
      <c r="B423" s="44" t="s">
        <v>448</v>
      </c>
      <c r="C423" s="59">
        <v>0</v>
      </c>
      <c r="D423" s="47">
        <v>82248.42</v>
      </c>
      <c r="E423" s="47">
        <v>0</v>
      </c>
      <c r="F423" s="47">
        <v>0</v>
      </c>
      <c r="G423" s="49">
        <v>1</v>
      </c>
      <c r="H423" s="47">
        <v>1</v>
      </c>
      <c r="I423" s="48">
        <v>2.72</v>
      </c>
      <c r="J423" s="60">
        <v>5.66</v>
      </c>
      <c r="K423" s="48">
        <v>5.3</v>
      </c>
      <c r="L423" s="52">
        <v>4.22</v>
      </c>
      <c r="M423" s="72">
        <f t="shared" si="6"/>
        <v>-18</v>
      </c>
      <c r="N423" s="36">
        <v>-0.18</v>
      </c>
      <c r="O423" s="68">
        <v>-30.617500000000007</v>
      </c>
      <c r="P423" s="73">
        <v>6.25</v>
      </c>
      <c r="Q423" s="74">
        <f>'Trade Data'!H26</f>
        <v>0.24223034387010769</v>
      </c>
      <c r="R423" s="35">
        <v>1</v>
      </c>
    </row>
    <row r="424" spans="1:18" ht="20.100000000000001" customHeight="1">
      <c r="A424" s="44" t="s">
        <v>144</v>
      </c>
      <c r="B424" s="44" t="s">
        <v>447</v>
      </c>
      <c r="C424" s="59">
        <v>0</v>
      </c>
      <c r="D424" s="47">
        <v>123587.93999999999</v>
      </c>
      <c r="E424" s="47">
        <v>0</v>
      </c>
      <c r="F424" s="47">
        <v>0</v>
      </c>
      <c r="G424" s="49">
        <v>0</v>
      </c>
      <c r="H424" s="47">
        <v>0</v>
      </c>
      <c r="I424" s="48">
        <v>2.72</v>
      </c>
      <c r="J424" s="60">
        <v>5.66</v>
      </c>
      <c r="K424" s="48">
        <v>5.3</v>
      </c>
      <c r="L424" s="52">
        <v>4.22</v>
      </c>
      <c r="M424" s="72">
        <f t="shared" si="6"/>
        <v>-18</v>
      </c>
      <c r="N424" s="36">
        <v>-0.18</v>
      </c>
      <c r="O424" s="68">
        <v>-30.617500000000007</v>
      </c>
      <c r="P424" s="73">
        <v>6.25</v>
      </c>
      <c r="Q424" s="74">
        <f>'Trade Data'!H26</f>
        <v>0.24223034387010769</v>
      </c>
      <c r="R424" s="35">
        <v>1</v>
      </c>
    </row>
    <row r="425" spans="1:18" ht="20.100000000000001" customHeight="1">
      <c r="A425" s="44" t="s">
        <v>145</v>
      </c>
      <c r="B425" s="44" t="s">
        <v>446</v>
      </c>
      <c r="C425" s="59">
        <v>0</v>
      </c>
      <c r="D425" s="47">
        <v>9473.64</v>
      </c>
      <c r="E425" s="47">
        <v>0</v>
      </c>
      <c r="F425" s="47">
        <v>0</v>
      </c>
      <c r="G425" s="49">
        <v>0</v>
      </c>
      <c r="H425" s="47">
        <v>0</v>
      </c>
      <c r="I425" s="48">
        <v>2.56</v>
      </c>
      <c r="J425" s="60">
        <v>6.28</v>
      </c>
      <c r="K425" s="48">
        <v>3.74</v>
      </c>
      <c r="L425" s="52">
        <v>4.13</v>
      </c>
      <c r="M425" s="72">
        <f t="shared" si="6"/>
        <v>-18</v>
      </c>
      <c r="N425" s="36">
        <v>-0.18</v>
      </c>
      <c r="O425" s="68">
        <v>-27.447500000000002</v>
      </c>
      <c r="P425" s="73">
        <v>6.25</v>
      </c>
      <c r="Q425" s="74">
        <f>'Trade Data'!H26</f>
        <v>0.24223034387010769</v>
      </c>
      <c r="R425" s="37">
        <v>0</v>
      </c>
    </row>
    <row r="426" spans="1:18" ht="20.100000000000001" customHeight="1">
      <c r="A426" s="44" t="s">
        <v>145</v>
      </c>
      <c r="B426" s="44" t="s">
        <v>445</v>
      </c>
      <c r="C426" s="59">
        <v>0</v>
      </c>
      <c r="D426" s="47">
        <v>82248.42</v>
      </c>
      <c r="E426" s="47">
        <v>0</v>
      </c>
      <c r="F426" s="47">
        <v>0</v>
      </c>
      <c r="G426" s="49">
        <v>0</v>
      </c>
      <c r="H426" s="47">
        <v>0</v>
      </c>
      <c r="I426" s="48">
        <v>2.56</v>
      </c>
      <c r="J426" s="60">
        <v>6.28</v>
      </c>
      <c r="K426" s="48">
        <v>3.74</v>
      </c>
      <c r="L426" s="52">
        <v>4.13</v>
      </c>
      <c r="M426" s="72">
        <f t="shared" si="6"/>
        <v>-18</v>
      </c>
      <c r="N426" s="36">
        <v>-0.18</v>
      </c>
      <c r="O426" s="68">
        <v>-27.447500000000002</v>
      </c>
      <c r="P426" s="73">
        <v>6.25</v>
      </c>
      <c r="Q426" s="74">
        <f>'Trade Data'!H26</f>
        <v>0.24223034387010769</v>
      </c>
      <c r="R426" s="37">
        <v>1</v>
      </c>
    </row>
    <row r="427" spans="1:18" ht="20.100000000000001" customHeight="1">
      <c r="A427" s="44" t="s">
        <v>145</v>
      </c>
      <c r="B427" s="44" t="s">
        <v>444</v>
      </c>
      <c r="C427" s="59">
        <v>0</v>
      </c>
      <c r="D427" s="47">
        <v>123587.93999999999</v>
      </c>
      <c r="E427" s="47">
        <v>0</v>
      </c>
      <c r="F427" s="47">
        <v>0</v>
      </c>
      <c r="G427" s="49">
        <v>0</v>
      </c>
      <c r="H427" s="47">
        <v>0</v>
      </c>
      <c r="I427" s="48">
        <v>2.56</v>
      </c>
      <c r="J427" s="60">
        <v>6.28</v>
      </c>
      <c r="K427" s="48">
        <v>3.74</v>
      </c>
      <c r="L427" s="52">
        <v>4.13</v>
      </c>
      <c r="M427" s="72">
        <f t="shared" si="6"/>
        <v>-18</v>
      </c>
      <c r="N427" s="36">
        <v>-0.18</v>
      </c>
      <c r="O427" s="68">
        <v>-27.447500000000002</v>
      </c>
      <c r="P427" s="73">
        <v>6.25</v>
      </c>
      <c r="Q427" s="74">
        <f>'Trade Data'!H26</f>
        <v>0.24223034387010769</v>
      </c>
      <c r="R427" s="37">
        <v>1</v>
      </c>
    </row>
    <row r="428" spans="1:18" ht="20.100000000000001" customHeight="1">
      <c r="A428" s="44" t="s">
        <v>146</v>
      </c>
      <c r="B428" s="44" t="s">
        <v>443</v>
      </c>
      <c r="C428" s="59">
        <v>0</v>
      </c>
      <c r="D428" s="47">
        <v>9473.64</v>
      </c>
      <c r="E428" s="47">
        <v>0</v>
      </c>
      <c r="F428" s="47">
        <v>0</v>
      </c>
      <c r="G428" s="49">
        <v>0</v>
      </c>
      <c r="H428" s="47">
        <v>0</v>
      </c>
      <c r="I428" s="48">
        <v>2.2999999999999998</v>
      </c>
      <c r="J428" s="48">
        <v>3.24</v>
      </c>
      <c r="K428" s="48">
        <v>5.51</v>
      </c>
      <c r="L428" s="52">
        <v>4.13</v>
      </c>
      <c r="M428" s="72">
        <f t="shared" si="6"/>
        <v>-7.3999999999999995</v>
      </c>
      <c r="N428" s="36">
        <v>-7.3999999999999996E-2</v>
      </c>
      <c r="O428" s="68">
        <v>-32.950000000000003</v>
      </c>
      <c r="P428" s="73">
        <v>5.69</v>
      </c>
      <c r="Q428" s="74">
        <f>'Trade Data'!J26</f>
        <v>0.21957087500770597</v>
      </c>
      <c r="R428" s="35">
        <v>0</v>
      </c>
    </row>
    <row r="429" spans="1:18" ht="20.100000000000001" customHeight="1">
      <c r="A429" s="44" t="s">
        <v>146</v>
      </c>
      <c r="B429" s="44" t="s">
        <v>442</v>
      </c>
      <c r="C429" s="59">
        <v>0</v>
      </c>
      <c r="D429" s="47">
        <v>82248.42</v>
      </c>
      <c r="E429" s="47">
        <v>0</v>
      </c>
      <c r="F429" s="47">
        <v>0</v>
      </c>
      <c r="G429" s="49">
        <v>1</v>
      </c>
      <c r="H429" s="47">
        <v>1</v>
      </c>
      <c r="I429" s="48">
        <v>2.2999999999999998</v>
      </c>
      <c r="J429" s="48">
        <v>3.24</v>
      </c>
      <c r="K429" s="48">
        <v>5.51</v>
      </c>
      <c r="L429" s="52">
        <v>4.13</v>
      </c>
      <c r="M429" s="72">
        <f t="shared" si="6"/>
        <v>-7.3999999999999995</v>
      </c>
      <c r="N429" s="36">
        <v>-7.3999999999999996E-2</v>
      </c>
      <c r="O429" s="68">
        <v>-32.950000000000003</v>
      </c>
      <c r="P429" s="73">
        <v>5.69</v>
      </c>
      <c r="Q429" s="74">
        <f>'Trade Data'!J26</f>
        <v>0.21957087500770597</v>
      </c>
      <c r="R429" s="35">
        <v>1</v>
      </c>
    </row>
    <row r="430" spans="1:18" ht="20.100000000000001" customHeight="1">
      <c r="A430" s="44" t="s">
        <v>146</v>
      </c>
      <c r="B430" s="44" t="s">
        <v>441</v>
      </c>
      <c r="C430" s="59">
        <v>0</v>
      </c>
      <c r="D430" s="47">
        <v>123587.93999999999</v>
      </c>
      <c r="E430" s="47">
        <v>0</v>
      </c>
      <c r="F430" s="47">
        <v>0</v>
      </c>
      <c r="G430" s="49">
        <v>0</v>
      </c>
      <c r="H430" s="47">
        <v>0</v>
      </c>
      <c r="I430" s="48">
        <v>2.2999999999999998</v>
      </c>
      <c r="J430" s="48">
        <v>3.24</v>
      </c>
      <c r="K430" s="48">
        <v>5.51</v>
      </c>
      <c r="L430" s="52">
        <v>4.13</v>
      </c>
      <c r="M430" s="72">
        <f t="shared" ref="M430:M433" si="7">N430*100</f>
        <v>-7.3999999999999995</v>
      </c>
      <c r="N430" s="36">
        <v>-7.3999999999999996E-2</v>
      </c>
      <c r="O430" s="68">
        <v>-32.950000000000003</v>
      </c>
      <c r="P430" s="73">
        <v>5.69</v>
      </c>
      <c r="Q430" s="74">
        <f>'Trade Data'!J26</f>
        <v>0.21957087500770597</v>
      </c>
      <c r="R430" s="35">
        <v>1</v>
      </c>
    </row>
    <row r="431" spans="1:18" ht="20.100000000000001" customHeight="1">
      <c r="A431" s="44" t="s">
        <v>147</v>
      </c>
      <c r="B431" s="44" t="s">
        <v>870</v>
      </c>
      <c r="C431" s="59">
        <v>0</v>
      </c>
      <c r="D431" s="47">
        <v>9473.64</v>
      </c>
      <c r="E431" s="47">
        <v>0</v>
      </c>
      <c r="F431" s="47">
        <v>0</v>
      </c>
      <c r="G431" s="49">
        <v>0</v>
      </c>
      <c r="H431" s="47">
        <v>0</v>
      </c>
      <c r="I431" s="48">
        <v>2.4300000000000002</v>
      </c>
      <c r="J431" s="48">
        <v>3.55</v>
      </c>
      <c r="K431" s="62">
        <v>5.99</v>
      </c>
      <c r="L431" s="52">
        <v>4.13</v>
      </c>
      <c r="M431" s="72">
        <f t="shared" si="7"/>
        <v>-7.3999999999999995</v>
      </c>
      <c r="N431" s="36">
        <v>-7.3999999999999996E-2</v>
      </c>
      <c r="O431" s="68">
        <v>-29.213750000000001</v>
      </c>
      <c r="P431" s="73">
        <v>5.69</v>
      </c>
      <c r="Q431" s="74">
        <f>'Trade Data'!J26</f>
        <v>0.21957087500770597</v>
      </c>
      <c r="R431" s="37">
        <v>0</v>
      </c>
    </row>
    <row r="432" spans="1:18" ht="20.100000000000001" customHeight="1">
      <c r="A432" s="44" t="s">
        <v>147</v>
      </c>
      <c r="B432" s="44" t="s">
        <v>871</v>
      </c>
      <c r="C432" s="59">
        <v>0</v>
      </c>
      <c r="D432" s="47">
        <v>82248.42</v>
      </c>
      <c r="E432" s="47">
        <v>0</v>
      </c>
      <c r="F432" s="47">
        <v>0</v>
      </c>
      <c r="G432" s="49">
        <v>0</v>
      </c>
      <c r="H432" s="47">
        <v>0</v>
      </c>
      <c r="I432" s="48">
        <v>2.4300000000000002</v>
      </c>
      <c r="J432" s="48">
        <v>3.55</v>
      </c>
      <c r="K432" s="62">
        <v>5.99</v>
      </c>
      <c r="L432" s="52">
        <v>4.13</v>
      </c>
      <c r="M432" s="72">
        <f t="shared" si="7"/>
        <v>-7.3999999999999995</v>
      </c>
      <c r="N432" s="36">
        <v>-7.3999999999999996E-2</v>
      </c>
      <c r="O432" s="68">
        <v>-29.213750000000001</v>
      </c>
      <c r="P432" s="73">
        <v>5.69</v>
      </c>
      <c r="Q432" s="74">
        <f>'Trade Data'!J26</f>
        <v>0.21957087500770597</v>
      </c>
      <c r="R432" s="37">
        <v>1</v>
      </c>
    </row>
    <row r="433" spans="1:18" ht="20.100000000000001" customHeight="1">
      <c r="A433" s="44" t="s">
        <v>147</v>
      </c>
      <c r="B433" s="44" t="s">
        <v>872</v>
      </c>
      <c r="C433" s="59">
        <v>0</v>
      </c>
      <c r="D433" s="47">
        <v>123587.93999999999</v>
      </c>
      <c r="E433" s="47">
        <v>0</v>
      </c>
      <c r="F433" s="47">
        <v>0</v>
      </c>
      <c r="G433" s="49">
        <v>0</v>
      </c>
      <c r="H433" s="47">
        <v>0</v>
      </c>
      <c r="I433" s="48">
        <v>2.4300000000000002</v>
      </c>
      <c r="J433" s="48">
        <v>3.55</v>
      </c>
      <c r="K433" s="62">
        <v>5.99</v>
      </c>
      <c r="L433" s="52">
        <v>4.13</v>
      </c>
      <c r="M433" s="72">
        <f t="shared" si="7"/>
        <v>-7.3999999999999995</v>
      </c>
      <c r="N433" s="36">
        <v>-7.3999999999999996E-2</v>
      </c>
      <c r="O433" s="68">
        <v>-29.213750000000001</v>
      </c>
      <c r="P433" s="73">
        <v>5.69</v>
      </c>
      <c r="Q433" s="74">
        <f>'Trade Data'!J26</f>
        <v>0.21957087500770597</v>
      </c>
      <c r="R433" s="37">
        <v>1</v>
      </c>
    </row>
    <row r="434" spans="1:18" ht="20.100000000000001" customHeight="1">
      <c r="E434" s="32">
        <f>AVERAGE(E2:E433)</f>
        <v>1.7579691434708418E-3</v>
      </c>
      <c r="R434" s="37"/>
    </row>
    <row r="435" spans="1:18" ht="20.100000000000001" customHeight="1">
      <c r="R435" s="37"/>
    </row>
    <row r="436" spans="1:18" ht="20.100000000000001" customHeight="1">
      <c r="R436" s="37"/>
    </row>
    <row r="437" spans="1:18" ht="20.100000000000001" customHeight="1">
      <c r="R437" s="35"/>
    </row>
    <row r="438" spans="1:18" ht="20.100000000000001" customHeight="1">
      <c r="R438" s="35"/>
    </row>
    <row r="439" spans="1:18" ht="20.100000000000001" customHeight="1">
      <c r="R439" s="35"/>
    </row>
    <row r="440" spans="1:18" ht="20.100000000000001" customHeight="1">
      <c r="R440" s="37"/>
    </row>
    <row r="441" spans="1:18" ht="20.100000000000001" customHeight="1">
      <c r="R441" s="37"/>
    </row>
    <row r="442" spans="1:18" ht="20.100000000000001" customHeight="1">
      <c r="R442" s="37"/>
    </row>
    <row r="443" spans="1:18" ht="20.100000000000001" customHeight="1">
      <c r="R443" s="35"/>
    </row>
    <row r="444" spans="1:18" ht="20.100000000000001" customHeight="1">
      <c r="R444" s="35"/>
    </row>
    <row r="445" spans="1:18" ht="20.100000000000001" customHeight="1">
      <c r="R445" s="35"/>
    </row>
    <row r="446" spans="1:18" ht="20.100000000000001" customHeight="1">
      <c r="R446" s="37"/>
    </row>
    <row r="447" spans="1:18" ht="20.100000000000001" customHeight="1">
      <c r="R447" s="37"/>
    </row>
    <row r="448" spans="1:18" ht="20.100000000000001" customHeight="1">
      <c r="R448" s="37"/>
    </row>
    <row r="449" spans="18:18" ht="20.100000000000001" customHeight="1">
      <c r="R449" s="35"/>
    </row>
    <row r="450" spans="18:18" ht="20.100000000000001" customHeight="1">
      <c r="R450" s="35"/>
    </row>
    <row r="451" spans="18:18" ht="20.100000000000001" customHeight="1">
      <c r="R451" s="35"/>
    </row>
    <row r="452" spans="18:18" ht="20.100000000000001" customHeight="1">
      <c r="R452" s="37"/>
    </row>
    <row r="453" spans="18:18" ht="20.100000000000001" customHeight="1">
      <c r="R453" s="37"/>
    </row>
    <row r="454" spans="18:18" ht="20.100000000000001" customHeight="1">
      <c r="R454" s="37"/>
    </row>
    <row r="455" spans="18:18" ht="20.100000000000001" customHeight="1">
      <c r="R455" s="35"/>
    </row>
    <row r="456" spans="18:18" ht="20.100000000000001" customHeight="1">
      <c r="R456" s="35"/>
    </row>
    <row r="457" spans="18:18" ht="20.100000000000001" customHeight="1">
      <c r="R457" s="35"/>
    </row>
    <row r="458" spans="18:18" ht="20.100000000000001" customHeight="1">
      <c r="R458" s="37"/>
    </row>
    <row r="459" spans="18:18" ht="20.100000000000001" customHeight="1">
      <c r="R459" s="37"/>
    </row>
    <row r="460" spans="18:18" ht="20.100000000000001" customHeight="1">
      <c r="R460" s="37"/>
    </row>
    <row r="461" spans="18:18" ht="20.100000000000001" customHeight="1">
      <c r="R461" s="35"/>
    </row>
    <row r="462" spans="18:18" ht="20.100000000000001" customHeight="1">
      <c r="R462" s="35"/>
    </row>
    <row r="463" spans="18:18" ht="20.100000000000001" customHeight="1">
      <c r="R463" s="35"/>
    </row>
    <row r="464" spans="18:18" ht="20.100000000000001" customHeight="1">
      <c r="R464" s="37"/>
    </row>
    <row r="465" spans="18:18" ht="20.100000000000001" customHeight="1">
      <c r="R465" s="37"/>
    </row>
    <row r="466" spans="18:18" ht="20.100000000000001" customHeight="1">
      <c r="R466" s="37"/>
    </row>
    <row r="467" spans="18:18" ht="20.100000000000001" customHeight="1">
      <c r="R467" s="35"/>
    </row>
    <row r="468" spans="18:18" ht="20.100000000000001" customHeight="1">
      <c r="R468" s="35"/>
    </row>
    <row r="469" spans="18:18" ht="20.100000000000001" customHeight="1">
      <c r="R469" s="35"/>
    </row>
    <row r="470" spans="18:18" ht="20.100000000000001" customHeight="1">
      <c r="R470" s="37"/>
    </row>
    <row r="471" spans="18:18" ht="20.100000000000001" customHeight="1">
      <c r="R471" s="37"/>
    </row>
    <row r="472" spans="18:18" ht="20.100000000000001" customHeight="1">
      <c r="R472" s="37"/>
    </row>
    <row r="473" spans="18:18" ht="20.100000000000001" customHeight="1">
      <c r="R473" s="35"/>
    </row>
    <row r="474" spans="18:18" ht="20.100000000000001" customHeight="1">
      <c r="R474" s="35"/>
    </row>
    <row r="475" spans="18:18" ht="20.100000000000001" customHeight="1">
      <c r="R475" s="35"/>
    </row>
    <row r="476" spans="18:18" ht="20.100000000000001" customHeight="1">
      <c r="R476" s="37"/>
    </row>
    <row r="477" spans="18:18" ht="20.100000000000001" customHeight="1">
      <c r="R477" s="37"/>
    </row>
    <row r="478" spans="18:18" ht="20.100000000000001" customHeight="1">
      <c r="R478" s="37"/>
    </row>
    <row r="479" spans="18:18" ht="20.100000000000001" customHeight="1">
      <c r="R479" s="35"/>
    </row>
    <row r="480" spans="18:18" ht="20.100000000000001" customHeight="1">
      <c r="R480" s="35"/>
    </row>
    <row r="481" spans="18:18" ht="20.100000000000001" customHeight="1">
      <c r="R481" s="35"/>
    </row>
  </sheetData>
  <pageMargins left="0.5" right="0.5" top="0.75" bottom="0.75" header="0.27777800000000002" footer="0.27777800000000002"/>
  <pageSetup orientation="portrait"/>
  <headerFooter>
    <oddFooter>&amp;C&amp;"Helvetica Neue,Regular"&amp;12&amp;K000000&amp;P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Y122"/>
  <sheetViews>
    <sheetView showGridLines="0" topLeftCell="A16" workbookViewId="0">
      <selection activeCell="A45" sqref="A45"/>
    </sheetView>
  </sheetViews>
  <sheetFormatPr baseColWidth="10" defaultColWidth="10.875" defaultRowHeight="15.75"/>
  <cols>
    <col min="1" max="1" width="11.5" style="142" customWidth="1"/>
    <col min="2" max="9" width="9.5" style="63" customWidth="1"/>
    <col min="10" max="16384" width="10.875" style="63"/>
  </cols>
  <sheetData>
    <row r="1" spans="1:19">
      <c r="A1" s="148" t="s">
        <v>820</v>
      </c>
      <c r="B1" s="140" t="s">
        <v>269</v>
      </c>
      <c r="C1" s="140" t="s">
        <v>262</v>
      </c>
      <c r="D1" s="140" t="s">
        <v>268</v>
      </c>
      <c r="E1" s="140" t="s">
        <v>267</v>
      </c>
      <c r="F1" s="140" t="s">
        <v>266</v>
      </c>
      <c r="G1" s="140" t="s">
        <v>265</v>
      </c>
      <c r="H1" s="140" t="s">
        <v>264</v>
      </c>
      <c r="I1" s="140" t="s">
        <v>263</v>
      </c>
      <c r="K1" s="149" t="s">
        <v>1706</v>
      </c>
      <c r="L1" s="140" t="s">
        <v>269</v>
      </c>
      <c r="M1" s="140" t="s">
        <v>262</v>
      </c>
      <c r="N1" s="140" t="s">
        <v>268</v>
      </c>
      <c r="O1" s="140" t="s">
        <v>267</v>
      </c>
      <c r="P1" s="140" t="s">
        <v>266</v>
      </c>
      <c r="Q1" s="140" t="s">
        <v>265</v>
      </c>
      <c r="R1" s="140" t="s">
        <v>264</v>
      </c>
      <c r="S1" s="140" t="s">
        <v>263</v>
      </c>
    </row>
    <row r="2" spans="1:19">
      <c r="A2" s="139" t="s">
        <v>1682</v>
      </c>
      <c r="B2" s="337">
        <v>30.03</v>
      </c>
      <c r="C2" s="337">
        <v>35.770000000000003</v>
      </c>
      <c r="D2" s="337">
        <v>85.85</v>
      </c>
      <c r="E2" s="337">
        <v>56.2</v>
      </c>
      <c r="F2" s="337">
        <v>13.97</v>
      </c>
      <c r="G2" s="337">
        <v>61.99</v>
      </c>
      <c r="H2" s="337">
        <v>65.900000000000006</v>
      </c>
      <c r="I2" s="337">
        <v>4.99</v>
      </c>
      <c r="K2" s="139" t="s">
        <v>1682</v>
      </c>
      <c r="L2" s="337">
        <v>51.53</v>
      </c>
      <c r="M2" s="337">
        <v>34.43</v>
      </c>
      <c r="N2" s="337">
        <v>78.180000000000007</v>
      </c>
      <c r="O2" s="337">
        <v>54.85</v>
      </c>
      <c r="P2" s="337">
        <v>23.22</v>
      </c>
      <c r="Q2" s="337">
        <v>61.25</v>
      </c>
      <c r="R2" s="337">
        <v>72.86</v>
      </c>
      <c r="S2" s="337">
        <v>17.04</v>
      </c>
    </row>
    <row r="3" spans="1:19">
      <c r="A3" s="143">
        <v>41426</v>
      </c>
      <c r="B3" s="337">
        <v>16.59</v>
      </c>
      <c r="C3" s="337">
        <v>20.02</v>
      </c>
      <c r="D3" s="337">
        <v>72.2</v>
      </c>
      <c r="E3" s="337">
        <v>46.21</v>
      </c>
      <c r="F3" s="337">
        <v>9.44</v>
      </c>
      <c r="G3" s="337">
        <v>49.44</v>
      </c>
      <c r="H3" s="337">
        <v>48.81</v>
      </c>
      <c r="I3" s="337">
        <v>5.78</v>
      </c>
      <c r="K3" s="143">
        <v>41426</v>
      </c>
      <c r="L3" s="337">
        <v>18.739999999999998</v>
      </c>
      <c r="M3" s="337">
        <v>6.66</v>
      </c>
      <c r="N3" s="337">
        <v>22.75</v>
      </c>
      <c r="O3" s="337">
        <v>25.18</v>
      </c>
      <c r="P3" s="337">
        <v>28.75</v>
      </c>
      <c r="Q3" s="337">
        <v>32.67</v>
      </c>
      <c r="R3" s="337">
        <v>31.23</v>
      </c>
      <c r="S3" s="337">
        <v>9.98</v>
      </c>
    </row>
    <row r="4" spans="1:19">
      <c r="A4" s="143">
        <v>41518</v>
      </c>
      <c r="B4" s="337">
        <v>26.49</v>
      </c>
      <c r="C4" s="337">
        <v>33.24</v>
      </c>
      <c r="D4" s="337">
        <v>75.680000000000007</v>
      </c>
      <c r="E4" s="337">
        <v>64.209999999999994</v>
      </c>
      <c r="F4" s="337">
        <v>19.28</v>
      </c>
      <c r="G4" s="337">
        <v>46.97</v>
      </c>
      <c r="H4" s="337">
        <v>60.1</v>
      </c>
      <c r="I4" s="337">
        <v>3.28</v>
      </c>
      <c r="K4" s="143">
        <v>41518</v>
      </c>
      <c r="L4" s="337">
        <v>49.55</v>
      </c>
      <c r="M4" s="337">
        <v>34.049999999999997</v>
      </c>
      <c r="N4" s="337">
        <v>44.28</v>
      </c>
      <c r="O4" s="337">
        <v>71.2</v>
      </c>
      <c r="P4" s="337">
        <v>42.11</v>
      </c>
      <c r="Q4" s="337">
        <v>30.92</v>
      </c>
      <c r="R4" s="337">
        <v>67.989999999999995</v>
      </c>
      <c r="S4" s="337">
        <v>12.63</v>
      </c>
    </row>
    <row r="5" spans="1:19">
      <c r="A5" s="139" t="s">
        <v>1683</v>
      </c>
      <c r="B5" s="337">
        <v>19.149999999999999</v>
      </c>
      <c r="C5" s="337">
        <v>21.53</v>
      </c>
      <c r="D5" s="337">
        <v>69.489999999999995</v>
      </c>
      <c r="E5" s="337">
        <v>49.7</v>
      </c>
      <c r="F5" s="337">
        <v>18.91</v>
      </c>
      <c r="G5" s="337">
        <v>52.53</v>
      </c>
      <c r="H5" s="337">
        <v>56.92</v>
      </c>
      <c r="I5" s="337">
        <v>2.71</v>
      </c>
      <c r="K5" s="139" t="s">
        <v>1683</v>
      </c>
      <c r="L5" s="337">
        <v>37.130000000000003</v>
      </c>
      <c r="M5" s="337">
        <v>12.28</v>
      </c>
      <c r="N5" s="337">
        <v>36.65</v>
      </c>
      <c r="O5" s="337">
        <v>39.700000000000003</v>
      </c>
      <c r="P5" s="337">
        <v>50.66</v>
      </c>
      <c r="Q5" s="337">
        <v>45.44</v>
      </c>
      <c r="R5" s="337">
        <v>63.64</v>
      </c>
      <c r="S5" s="337">
        <v>5.48</v>
      </c>
    </row>
    <row r="6" spans="1:19">
      <c r="A6" s="139" t="s">
        <v>1684</v>
      </c>
      <c r="B6" s="337">
        <v>17.45</v>
      </c>
      <c r="C6" s="337">
        <v>26</v>
      </c>
      <c r="D6" s="337">
        <v>72.33</v>
      </c>
      <c r="E6" s="337">
        <v>54.41</v>
      </c>
      <c r="F6" s="337">
        <v>13.76</v>
      </c>
      <c r="G6" s="337">
        <v>49.65</v>
      </c>
      <c r="H6" s="337">
        <v>55.14</v>
      </c>
      <c r="I6" s="337">
        <v>3.92</v>
      </c>
      <c r="K6" s="139" t="s">
        <v>1684</v>
      </c>
      <c r="L6" s="337">
        <v>21.31</v>
      </c>
      <c r="M6" s="337">
        <v>16.28</v>
      </c>
      <c r="N6" s="337">
        <v>41.49</v>
      </c>
      <c r="O6" s="337">
        <v>53.3</v>
      </c>
      <c r="P6" s="337">
        <v>45.69</v>
      </c>
      <c r="Q6" s="337">
        <v>38.78</v>
      </c>
      <c r="R6" s="337">
        <v>60.46</v>
      </c>
      <c r="S6" s="337">
        <v>5.65</v>
      </c>
    </row>
    <row r="7" spans="1:19">
      <c r="A7" s="143">
        <v>41791</v>
      </c>
      <c r="B7" s="337">
        <v>25.83</v>
      </c>
      <c r="C7" s="337">
        <v>29.5</v>
      </c>
      <c r="D7" s="337">
        <v>72.83</v>
      </c>
      <c r="E7" s="337">
        <v>51.47</v>
      </c>
      <c r="F7" s="337">
        <v>19.22</v>
      </c>
      <c r="G7" s="337">
        <v>62.69</v>
      </c>
      <c r="H7" s="337">
        <v>68.709999999999994</v>
      </c>
      <c r="I7" s="337">
        <v>5.32</v>
      </c>
      <c r="K7" s="143">
        <v>41791</v>
      </c>
      <c r="L7" s="337">
        <v>60.54</v>
      </c>
      <c r="M7" s="337">
        <v>39.090000000000003</v>
      </c>
      <c r="N7" s="337">
        <v>48.71</v>
      </c>
      <c r="O7" s="337">
        <v>53.3</v>
      </c>
      <c r="P7" s="337">
        <v>43.15</v>
      </c>
      <c r="Q7" s="337">
        <v>70.7</v>
      </c>
      <c r="R7" s="337">
        <v>91.43</v>
      </c>
      <c r="S7" s="337">
        <v>16.739999999999998</v>
      </c>
    </row>
    <row r="8" spans="1:19">
      <c r="A8" s="143">
        <v>41883</v>
      </c>
      <c r="B8" s="337">
        <v>21.71</v>
      </c>
      <c r="C8" s="337">
        <v>23.34</v>
      </c>
      <c r="D8" s="337">
        <v>71.650000000000006</v>
      </c>
      <c r="E8" s="337">
        <v>45.9</v>
      </c>
      <c r="F8" s="337">
        <v>17.05</v>
      </c>
      <c r="G8" s="337">
        <v>59.26</v>
      </c>
      <c r="H8" s="337">
        <v>58.18</v>
      </c>
      <c r="I8" s="337">
        <v>4.9800000000000004</v>
      </c>
      <c r="K8" s="143">
        <v>41883</v>
      </c>
      <c r="L8" s="337">
        <v>44</v>
      </c>
      <c r="M8" s="337">
        <v>30.51</v>
      </c>
      <c r="N8" s="337">
        <v>46.32</v>
      </c>
      <c r="O8" s="337">
        <v>32.08</v>
      </c>
      <c r="P8" s="337">
        <v>40.270000000000003</v>
      </c>
      <c r="Q8" s="337">
        <v>57.59</v>
      </c>
      <c r="R8" s="337">
        <v>68.44</v>
      </c>
      <c r="S8" s="337">
        <v>14.81</v>
      </c>
    </row>
    <row r="9" spans="1:19">
      <c r="A9" s="139" t="s">
        <v>1685</v>
      </c>
      <c r="B9" s="337">
        <v>16.41</v>
      </c>
      <c r="C9" s="337">
        <v>17.93</v>
      </c>
      <c r="D9" s="337">
        <v>76.17</v>
      </c>
      <c r="E9" s="337">
        <v>34.92</v>
      </c>
      <c r="F9" s="337">
        <v>12.74</v>
      </c>
      <c r="G9" s="337">
        <v>56.36</v>
      </c>
      <c r="H9" s="337">
        <v>51.71</v>
      </c>
      <c r="I9" s="337">
        <v>3.41</v>
      </c>
      <c r="K9" s="139" t="s">
        <v>1685</v>
      </c>
      <c r="L9" s="337">
        <v>18.809999999999999</v>
      </c>
      <c r="M9" s="337">
        <v>21.26</v>
      </c>
      <c r="N9" s="337">
        <v>67.02</v>
      </c>
      <c r="O9" s="337">
        <v>22.09</v>
      </c>
      <c r="P9" s="337">
        <v>46.24</v>
      </c>
      <c r="Q9" s="337">
        <v>55.59</v>
      </c>
      <c r="R9" s="337">
        <v>65.58</v>
      </c>
      <c r="S9" s="337">
        <v>3.87</v>
      </c>
    </row>
    <row r="10" spans="1:19">
      <c r="A10" s="139" t="s">
        <v>1686</v>
      </c>
      <c r="B10" s="337">
        <v>34.42</v>
      </c>
      <c r="C10" s="337">
        <v>14.56</v>
      </c>
      <c r="D10" s="337">
        <v>75.290000000000006</v>
      </c>
      <c r="E10" s="337">
        <v>28.71</v>
      </c>
      <c r="F10" s="337">
        <v>12.69</v>
      </c>
      <c r="G10" s="337">
        <v>49.89</v>
      </c>
      <c r="H10" s="337">
        <v>46.32</v>
      </c>
      <c r="I10" s="337">
        <v>4.42</v>
      </c>
      <c r="K10" s="139" t="s">
        <v>1686</v>
      </c>
      <c r="L10" s="337">
        <v>64.06</v>
      </c>
      <c r="M10" s="337">
        <v>17.149999999999999</v>
      </c>
      <c r="N10" s="337">
        <v>61.6</v>
      </c>
      <c r="O10" s="337">
        <v>16.97</v>
      </c>
      <c r="P10" s="337">
        <v>35.590000000000003</v>
      </c>
      <c r="Q10" s="337">
        <v>43.32</v>
      </c>
      <c r="R10" s="337">
        <v>53.74</v>
      </c>
      <c r="S10" s="337">
        <v>7.75</v>
      </c>
    </row>
    <row r="11" spans="1:19">
      <c r="A11" s="143">
        <v>42156</v>
      </c>
      <c r="B11" s="337">
        <v>35.11</v>
      </c>
      <c r="C11" s="337">
        <v>16.5</v>
      </c>
      <c r="D11" s="337">
        <v>80.14</v>
      </c>
      <c r="E11" s="337">
        <v>41.35</v>
      </c>
      <c r="F11" s="337">
        <v>12.75</v>
      </c>
      <c r="G11" s="337">
        <v>55.63</v>
      </c>
      <c r="H11" s="337">
        <v>61.09</v>
      </c>
      <c r="I11" s="337">
        <v>1.89</v>
      </c>
      <c r="K11" s="143">
        <v>42156</v>
      </c>
      <c r="L11" s="337">
        <v>57.4</v>
      </c>
      <c r="M11" s="337">
        <v>26.8</v>
      </c>
      <c r="N11" s="337">
        <v>74.81</v>
      </c>
      <c r="O11" s="337">
        <v>45.17</v>
      </c>
      <c r="P11" s="337">
        <v>34.380000000000003</v>
      </c>
      <c r="Q11" s="337">
        <v>64.19</v>
      </c>
      <c r="R11" s="337">
        <v>86.41</v>
      </c>
      <c r="S11" s="337">
        <v>4.84</v>
      </c>
    </row>
    <row r="12" spans="1:19">
      <c r="A12" s="143">
        <v>42248</v>
      </c>
      <c r="B12" s="337">
        <v>17.920000000000002</v>
      </c>
      <c r="C12" s="337">
        <v>9</v>
      </c>
      <c r="D12" s="337">
        <v>76.36</v>
      </c>
      <c r="E12" s="337">
        <v>31.52</v>
      </c>
      <c r="F12" s="337">
        <v>9.73</v>
      </c>
      <c r="G12" s="337">
        <v>51.9</v>
      </c>
      <c r="H12" s="337">
        <v>46.72</v>
      </c>
      <c r="I12" s="337">
        <v>4.43</v>
      </c>
      <c r="K12" s="143">
        <v>42248</v>
      </c>
      <c r="L12" s="337">
        <v>15.47</v>
      </c>
      <c r="M12" s="337">
        <v>4.95</v>
      </c>
      <c r="N12" s="337">
        <v>64.930000000000007</v>
      </c>
      <c r="O12" s="337">
        <v>20.170000000000002</v>
      </c>
      <c r="P12" s="337">
        <v>44.05</v>
      </c>
      <c r="Q12" s="337">
        <v>52.64</v>
      </c>
      <c r="R12" s="337">
        <v>53.75</v>
      </c>
      <c r="S12" s="337">
        <v>8.64</v>
      </c>
    </row>
    <row r="13" spans="1:19">
      <c r="A13" s="139" t="s">
        <v>1687</v>
      </c>
      <c r="B13" s="337">
        <v>13.77</v>
      </c>
      <c r="C13" s="337">
        <v>10.64</v>
      </c>
      <c r="D13" s="337">
        <v>77.31</v>
      </c>
      <c r="E13" s="337">
        <v>31.06</v>
      </c>
      <c r="F13" s="337">
        <v>8.09</v>
      </c>
      <c r="G13" s="337">
        <v>51.92</v>
      </c>
      <c r="H13" s="337">
        <v>53.62</v>
      </c>
      <c r="I13" s="337">
        <v>3.94</v>
      </c>
      <c r="K13" s="139" t="s">
        <v>1687</v>
      </c>
      <c r="L13" s="337">
        <v>23.69</v>
      </c>
      <c r="M13" s="337">
        <v>9.99</v>
      </c>
      <c r="N13" s="337">
        <v>58.98</v>
      </c>
      <c r="O13" s="337">
        <v>19.71</v>
      </c>
      <c r="P13" s="337">
        <v>31.46</v>
      </c>
      <c r="Q13" s="337">
        <v>54.78</v>
      </c>
      <c r="R13" s="337">
        <v>66.680000000000007</v>
      </c>
      <c r="S13" s="337">
        <v>3.38</v>
      </c>
    </row>
    <row r="14" spans="1:19">
      <c r="A14" s="139" t="s">
        <v>1688</v>
      </c>
      <c r="B14" s="337">
        <v>18.53</v>
      </c>
      <c r="C14" s="337">
        <v>20.91</v>
      </c>
      <c r="D14" s="337">
        <v>81.180000000000007</v>
      </c>
      <c r="E14" s="337">
        <v>43</v>
      </c>
      <c r="F14" s="337">
        <v>7.99</v>
      </c>
      <c r="G14" s="337">
        <v>55.45</v>
      </c>
      <c r="H14" s="337">
        <v>63.09</v>
      </c>
      <c r="I14" s="337">
        <v>2.85</v>
      </c>
      <c r="K14" s="139" t="s">
        <v>1688</v>
      </c>
      <c r="L14" s="337">
        <v>25</v>
      </c>
      <c r="M14" s="337">
        <v>44.83</v>
      </c>
      <c r="N14" s="337">
        <v>84.1</v>
      </c>
      <c r="O14" s="337">
        <v>53.41</v>
      </c>
      <c r="P14" s="337">
        <v>29.73</v>
      </c>
      <c r="Q14" s="337">
        <v>60.95</v>
      </c>
      <c r="R14" s="337">
        <v>89.76</v>
      </c>
      <c r="S14" s="337">
        <v>7.62</v>
      </c>
    </row>
    <row r="15" spans="1:19">
      <c r="A15" s="143">
        <v>42522</v>
      </c>
      <c r="B15" s="337">
        <v>23.03</v>
      </c>
      <c r="C15" s="337">
        <v>21.37</v>
      </c>
      <c r="D15" s="337">
        <v>77.42</v>
      </c>
      <c r="E15" s="337">
        <v>35.78</v>
      </c>
      <c r="F15" s="337">
        <v>11.56</v>
      </c>
      <c r="G15" s="337">
        <v>46.03</v>
      </c>
      <c r="H15" s="337">
        <v>62.44</v>
      </c>
      <c r="I15" s="337">
        <v>2.14</v>
      </c>
      <c r="K15" s="143">
        <v>42522</v>
      </c>
      <c r="L15" s="337">
        <v>54.9</v>
      </c>
      <c r="M15" s="337">
        <v>39.130000000000003</v>
      </c>
      <c r="N15" s="337">
        <v>73.06</v>
      </c>
      <c r="O15" s="337">
        <v>35.94</v>
      </c>
      <c r="P15" s="337">
        <v>32.729999999999997</v>
      </c>
      <c r="Q15" s="337">
        <v>33.020000000000003</v>
      </c>
      <c r="R15" s="337">
        <v>90.46</v>
      </c>
      <c r="S15" s="337">
        <v>2.7</v>
      </c>
    </row>
    <row r="16" spans="1:19">
      <c r="A16" s="143">
        <v>42614</v>
      </c>
      <c r="B16" s="337">
        <v>16.260000000000002</v>
      </c>
      <c r="C16" s="337">
        <v>28.07</v>
      </c>
      <c r="D16" s="337">
        <v>70.5</v>
      </c>
      <c r="E16" s="337">
        <v>31.39</v>
      </c>
      <c r="F16" s="337">
        <v>9.7100000000000009</v>
      </c>
      <c r="G16" s="337">
        <v>41.05</v>
      </c>
      <c r="H16" s="337">
        <v>67</v>
      </c>
      <c r="I16" s="337">
        <v>2.72</v>
      </c>
      <c r="K16" s="143">
        <v>42614</v>
      </c>
      <c r="L16" s="337">
        <v>40.22</v>
      </c>
      <c r="M16" s="337">
        <v>55.23</v>
      </c>
      <c r="N16" s="337">
        <v>53.44</v>
      </c>
      <c r="O16" s="337">
        <v>32.83</v>
      </c>
      <c r="P16" s="337">
        <v>22.85</v>
      </c>
      <c r="Q16" s="337">
        <v>28.19</v>
      </c>
      <c r="R16" s="337">
        <v>88.99</v>
      </c>
      <c r="S16" s="337">
        <v>5.66</v>
      </c>
    </row>
    <row r="17" spans="1:25">
      <c r="A17" s="139" t="s">
        <v>1689</v>
      </c>
      <c r="B17" s="337">
        <v>17.940000000000001</v>
      </c>
      <c r="C17" s="337">
        <v>15.42</v>
      </c>
      <c r="D17" s="337">
        <v>75.86</v>
      </c>
      <c r="E17" s="337">
        <v>31.74</v>
      </c>
      <c r="F17" s="337">
        <v>9.1999999999999993</v>
      </c>
      <c r="G17" s="337">
        <v>34.68</v>
      </c>
      <c r="H17" s="337">
        <v>52.66</v>
      </c>
      <c r="I17" s="337">
        <v>2.56</v>
      </c>
      <c r="K17" s="139" t="s">
        <v>1689</v>
      </c>
      <c r="L17" s="337">
        <v>20.399999999999999</v>
      </c>
      <c r="M17" s="337">
        <v>26.82</v>
      </c>
      <c r="N17" s="337">
        <v>69.19</v>
      </c>
      <c r="O17" s="337">
        <v>32.24</v>
      </c>
      <c r="P17" s="337">
        <v>31.76</v>
      </c>
      <c r="Q17" s="337">
        <v>19.809999999999999</v>
      </c>
      <c r="R17" s="337">
        <v>70.959999999999994</v>
      </c>
      <c r="S17" s="337">
        <v>6.28</v>
      </c>
    </row>
    <row r="18" spans="1:25">
      <c r="A18" s="139" t="s">
        <v>1690</v>
      </c>
      <c r="B18" s="337">
        <v>35.090000000000003</v>
      </c>
      <c r="C18" s="337">
        <v>26.08</v>
      </c>
      <c r="D18" s="337">
        <v>77.739999999999995</v>
      </c>
      <c r="E18" s="337">
        <v>30.38</v>
      </c>
      <c r="F18" s="337">
        <v>11.61</v>
      </c>
      <c r="G18" s="337">
        <v>47.8</v>
      </c>
      <c r="H18" s="337">
        <v>51</v>
      </c>
      <c r="I18" s="337">
        <v>2.2999999999999998</v>
      </c>
      <c r="K18" s="139" t="s">
        <v>1690</v>
      </c>
      <c r="L18" s="337">
        <v>59.98</v>
      </c>
      <c r="M18" s="337">
        <v>53</v>
      </c>
      <c r="N18" s="337">
        <v>88.81</v>
      </c>
      <c r="O18" s="337">
        <v>35.17</v>
      </c>
      <c r="P18" s="337">
        <v>48.61</v>
      </c>
      <c r="Q18" s="337">
        <v>49.99</v>
      </c>
      <c r="R18" s="337">
        <v>74.89</v>
      </c>
      <c r="S18" s="337">
        <v>3.24</v>
      </c>
    </row>
    <row r="19" spans="1:25">
      <c r="A19" s="143">
        <v>42887</v>
      </c>
      <c r="B19" s="337">
        <v>18.11</v>
      </c>
      <c r="C19" s="337">
        <v>12.23</v>
      </c>
      <c r="D19" s="337">
        <v>66.8</v>
      </c>
      <c r="E19" s="337">
        <v>35.74</v>
      </c>
      <c r="F19" s="337">
        <v>17.98</v>
      </c>
      <c r="G19" s="337">
        <v>47.46</v>
      </c>
      <c r="H19" s="337">
        <v>52.4</v>
      </c>
      <c r="I19" s="337">
        <v>2.4300000000000002</v>
      </c>
      <c r="K19" s="143">
        <v>42887</v>
      </c>
      <c r="L19" s="337">
        <v>33.799999999999997</v>
      </c>
      <c r="M19" s="337">
        <v>10.26</v>
      </c>
      <c r="N19" s="337">
        <v>59.21</v>
      </c>
      <c r="O19" s="337">
        <v>51.23</v>
      </c>
      <c r="P19" s="337">
        <v>51.35</v>
      </c>
      <c r="Q19" s="337">
        <v>48.56</v>
      </c>
      <c r="R19" s="337">
        <v>78.42</v>
      </c>
      <c r="S19" s="337">
        <v>3.55</v>
      </c>
    </row>
    <row r="20" spans="1:25">
      <c r="A20" s="143">
        <v>42979</v>
      </c>
      <c r="B20" s="337">
        <v>21.24</v>
      </c>
      <c r="C20" s="337">
        <v>33.74</v>
      </c>
      <c r="D20" s="337">
        <v>80.5</v>
      </c>
      <c r="E20" s="337">
        <v>33.15</v>
      </c>
      <c r="F20" s="337">
        <v>12.44</v>
      </c>
      <c r="G20" s="337">
        <v>48.57</v>
      </c>
      <c r="H20" s="337">
        <v>66.83</v>
      </c>
      <c r="I20" s="337">
        <v>2.65</v>
      </c>
      <c r="K20" s="143">
        <v>42979</v>
      </c>
      <c r="L20" s="337">
        <v>32.29</v>
      </c>
      <c r="M20" s="337">
        <v>70.010000000000005</v>
      </c>
      <c r="N20" s="337">
        <v>90.62</v>
      </c>
      <c r="O20" s="337">
        <v>38.89</v>
      </c>
      <c r="P20" s="337">
        <v>55.37</v>
      </c>
      <c r="Q20" s="337">
        <v>47.17</v>
      </c>
      <c r="R20" s="337">
        <v>95.25</v>
      </c>
      <c r="S20" s="337">
        <v>3.75</v>
      </c>
    </row>
    <row r="21" spans="1:25">
      <c r="A21" s="141" t="s">
        <v>1691</v>
      </c>
      <c r="B21" s="338">
        <v>25.37</v>
      </c>
      <c r="C21" s="338">
        <v>20.57</v>
      </c>
      <c r="D21" s="338">
        <v>68.27</v>
      </c>
      <c r="E21" s="338">
        <v>36.450000000000003</v>
      </c>
      <c r="F21" s="338">
        <v>8.6999999999999993</v>
      </c>
      <c r="G21" s="338">
        <v>25.9</v>
      </c>
      <c r="H21" s="338">
        <v>60.17</v>
      </c>
      <c r="I21" s="338">
        <v>3.6</v>
      </c>
      <c r="K21" s="139" t="s">
        <v>1691</v>
      </c>
      <c r="L21" s="337">
        <v>44</v>
      </c>
      <c r="M21" s="337">
        <v>17.88</v>
      </c>
      <c r="N21" s="337">
        <v>60.74</v>
      </c>
      <c r="O21" s="337">
        <v>43.77</v>
      </c>
      <c r="P21" s="337">
        <v>33.590000000000003</v>
      </c>
      <c r="Q21" s="337">
        <v>12.69</v>
      </c>
      <c r="R21" s="337">
        <v>90.22</v>
      </c>
      <c r="S21" s="337">
        <v>8.99</v>
      </c>
    </row>
    <row r="22" spans="1:25">
      <c r="A22" s="145"/>
    </row>
    <row r="23" spans="1:25">
      <c r="A23" s="149" t="s">
        <v>873</v>
      </c>
      <c r="B23" s="140" t="s">
        <v>269</v>
      </c>
      <c r="C23" s="140" t="s">
        <v>262</v>
      </c>
      <c r="D23" s="140" t="s">
        <v>268</v>
      </c>
      <c r="E23" s="140" t="s">
        <v>267</v>
      </c>
      <c r="F23" s="140" t="s">
        <v>266</v>
      </c>
      <c r="G23" s="140" t="s">
        <v>265</v>
      </c>
      <c r="H23" s="140" t="s">
        <v>264</v>
      </c>
      <c r="I23" s="140" t="s">
        <v>263</v>
      </c>
      <c r="K23" s="149" t="s">
        <v>1707</v>
      </c>
      <c r="L23" s="140" t="s">
        <v>269</v>
      </c>
      <c r="M23" s="140" t="s">
        <v>262</v>
      </c>
      <c r="N23" s="140" t="s">
        <v>268</v>
      </c>
      <c r="O23" s="140" t="s">
        <v>267</v>
      </c>
      <c r="P23" s="140" t="s">
        <v>266</v>
      </c>
      <c r="Q23" s="140" t="s">
        <v>265</v>
      </c>
      <c r="R23" s="140" t="s">
        <v>264</v>
      </c>
      <c r="S23" s="140" t="s">
        <v>263</v>
      </c>
      <c r="T23" s="107"/>
      <c r="U23" s="106"/>
      <c r="V23" s="106"/>
      <c r="W23" s="107"/>
      <c r="X23" s="107"/>
      <c r="Y23" s="106"/>
    </row>
    <row r="24" spans="1:25">
      <c r="A24" s="139" t="s">
        <v>1682</v>
      </c>
      <c r="B24" s="337">
        <v>53.3</v>
      </c>
      <c r="C24" s="337">
        <v>66.790000000000006</v>
      </c>
      <c r="D24" s="337">
        <v>78.55</v>
      </c>
      <c r="E24" s="337">
        <v>75.819999999999993</v>
      </c>
      <c r="F24" s="337">
        <v>32.51</v>
      </c>
      <c r="G24" s="337">
        <v>77.8</v>
      </c>
      <c r="H24" s="337">
        <v>80.14</v>
      </c>
      <c r="I24" s="337">
        <v>7.6</v>
      </c>
      <c r="K24" s="139" t="s">
        <v>1682</v>
      </c>
      <c r="L24" s="336">
        <v>8.26</v>
      </c>
      <c r="M24" s="336">
        <v>17.03</v>
      </c>
      <c r="N24" s="336">
        <v>86.75</v>
      </c>
      <c r="O24" s="336">
        <v>33.43</v>
      </c>
      <c r="P24" s="336">
        <v>6.53</v>
      </c>
      <c r="Q24" s="336">
        <v>39.020000000000003</v>
      </c>
      <c r="R24" s="336">
        <v>34.54</v>
      </c>
      <c r="S24" s="336">
        <v>4.3899999999999997</v>
      </c>
      <c r="T24" s="38"/>
      <c r="U24" s="38"/>
      <c r="V24" s="38"/>
      <c r="W24" s="38"/>
      <c r="X24" s="38"/>
      <c r="Y24" s="38"/>
    </row>
    <row r="25" spans="1:25">
      <c r="A25" s="143">
        <v>41426</v>
      </c>
      <c r="B25" s="337">
        <v>46.66</v>
      </c>
      <c r="C25" s="337">
        <v>63.76</v>
      </c>
      <c r="D25" s="337">
        <v>83.35</v>
      </c>
      <c r="E25" s="337">
        <v>79.989999999999995</v>
      </c>
      <c r="F25" s="337">
        <v>13.64</v>
      </c>
      <c r="G25" s="337">
        <v>75.099999999999994</v>
      </c>
      <c r="H25" s="337">
        <v>78.84</v>
      </c>
      <c r="I25" s="337">
        <v>19.760000000000002</v>
      </c>
      <c r="K25" s="143">
        <v>41426</v>
      </c>
      <c r="L25" s="336">
        <v>8.26</v>
      </c>
      <c r="M25" s="336">
        <v>17.03</v>
      </c>
      <c r="N25" s="336">
        <v>86.75</v>
      </c>
      <c r="O25" s="336">
        <v>33.43</v>
      </c>
      <c r="P25" s="336">
        <v>6.53</v>
      </c>
      <c r="Q25" s="336">
        <v>39.020000000000003</v>
      </c>
      <c r="R25" s="336">
        <v>34.54</v>
      </c>
      <c r="S25" s="336">
        <v>4.3899999999999997</v>
      </c>
      <c r="T25" s="38"/>
      <c r="U25" s="38"/>
      <c r="V25" s="38"/>
      <c r="W25" s="38"/>
      <c r="X25" s="38"/>
      <c r="Y25" s="38"/>
    </row>
    <row r="26" spans="1:25">
      <c r="A26" s="143">
        <v>41518</v>
      </c>
      <c r="B26" s="337">
        <v>42.16</v>
      </c>
      <c r="C26" s="337">
        <v>60.1</v>
      </c>
      <c r="D26" s="337">
        <v>78.790000000000006</v>
      </c>
      <c r="E26" s="337">
        <v>79.13</v>
      </c>
      <c r="F26" s="337">
        <v>30.85</v>
      </c>
      <c r="G26" s="337">
        <v>71.8</v>
      </c>
      <c r="H26" s="337">
        <v>72.400000000000006</v>
      </c>
      <c r="I26" s="337">
        <v>3.14</v>
      </c>
      <c r="K26" s="143">
        <v>41518</v>
      </c>
      <c r="L26" s="336">
        <v>8.26</v>
      </c>
      <c r="M26" s="336">
        <v>17.03</v>
      </c>
      <c r="N26" s="336">
        <v>86.75</v>
      </c>
      <c r="O26" s="336">
        <v>33.43</v>
      </c>
      <c r="P26" s="336">
        <v>6.53</v>
      </c>
      <c r="Q26" s="336">
        <v>39.020000000000003</v>
      </c>
      <c r="R26" s="336">
        <v>34.54</v>
      </c>
      <c r="S26" s="336">
        <v>4.3899999999999997</v>
      </c>
      <c r="T26" s="38"/>
      <c r="U26" s="38"/>
      <c r="V26" s="38"/>
      <c r="W26" s="38"/>
      <c r="X26" s="38"/>
      <c r="Y26" s="38"/>
    </row>
    <row r="27" spans="1:25">
      <c r="A27" s="139" t="s">
        <v>1683</v>
      </c>
      <c r="B27" s="337">
        <v>33.32</v>
      </c>
      <c r="C27" s="337">
        <v>55.65</v>
      </c>
      <c r="D27" s="337">
        <v>67.510000000000005</v>
      </c>
      <c r="E27" s="337">
        <v>75.53</v>
      </c>
      <c r="F27" s="337">
        <v>25.41</v>
      </c>
      <c r="G27" s="337">
        <v>71.56</v>
      </c>
      <c r="H27" s="337">
        <v>69.930000000000007</v>
      </c>
      <c r="I27" s="337">
        <v>6.37</v>
      </c>
      <c r="K27" s="139" t="s">
        <v>1683</v>
      </c>
      <c r="L27" s="336">
        <v>8.26</v>
      </c>
      <c r="M27" s="336">
        <v>17.03</v>
      </c>
      <c r="N27" s="336">
        <v>86.75</v>
      </c>
      <c r="O27" s="336">
        <v>33.43</v>
      </c>
      <c r="P27" s="336">
        <v>6.53</v>
      </c>
      <c r="Q27" s="336">
        <v>39.020000000000003</v>
      </c>
      <c r="R27" s="336">
        <v>34.54</v>
      </c>
      <c r="S27" s="336">
        <v>4.3899999999999997</v>
      </c>
      <c r="T27" s="38"/>
      <c r="U27" s="38"/>
      <c r="V27" s="38"/>
      <c r="W27" s="38"/>
      <c r="X27" s="38"/>
      <c r="Y27" s="38"/>
    </row>
    <row r="28" spans="1:25">
      <c r="A28" s="139" t="s">
        <v>1684</v>
      </c>
      <c r="B28" s="337">
        <v>43.87</v>
      </c>
      <c r="C28" s="337">
        <v>62.49</v>
      </c>
      <c r="D28" s="337">
        <v>70.95</v>
      </c>
      <c r="E28" s="337">
        <v>73.930000000000007</v>
      </c>
      <c r="F28" s="337">
        <v>13.92</v>
      </c>
      <c r="G28" s="337">
        <v>70.64</v>
      </c>
      <c r="H28" s="337">
        <v>68.400000000000006</v>
      </c>
      <c r="I28" s="337">
        <v>12.82</v>
      </c>
      <c r="K28" s="139" t="s">
        <v>1684</v>
      </c>
      <c r="L28" s="336">
        <v>8.26</v>
      </c>
      <c r="M28" s="336">
        <v>17.03</v>
      </c>
      <c r="N28" s="336">
        <v>86.75</v>
      </c>
      <c r="O28" s="336">
        <v>33.43</v>
      </c>
      <c r="P28" s="336">
        <v>6.53</v>
      </c>
      <c r="Q28" s="336">
        <v>39.020000000000003</v>
      </c>
      <c r="R28" s="336">
        <v>34.54</v>
      </c>
      <c r="S28" s="336">
        <v>4.3899999999999997</v>
      </c>
      <c r="T28" s="38"/>
      <c r="U28" s="38"/>
      <c r="V28" s="38"/>
      <c r="W28" s="38"/>
      <c r="X28" s="38"/>
      <c r="Y28" s="38"/>
    </row>
    <row r="29" spans="1:25">
      <c r="A29" s="143">
        <v>41791</v>
      </c>
      <c r="B29" s="337">
        <v>32.75</v>
      </c>
      <c r="C29" s="337">
        <v>45.81</v>
      </c>
      <c r="D29" s="337">
        <v>65.739999999999995</v>
      </c>
      <c r="E29" s="337">
        <v>67.81</v>
      </c>
      <c r="F29" s="337">
        <v>32.31</v>
      </c>
      <c r="G29" s="337">
        <v>72.37</v>
      </c>
      <c r="H29" s="337">
        <v>63.68</v>
      </c>
      <c r="I29" s="337">
        <v>8.27</v>
      </c>
      <c r="K29" s="143">
        <v>41791</v>
      </c>
      <c r="L29" s="336">
        <v>8.26</v>
      </c>
      <c r="M29" s="336">
        <v>17.03</v>
      </c>
      <c r="N29" s="336">
        <v>86.75</v>
      </c>
      <c r="O29" s="336">
        <v>33.43</v>
      </c>
      <c r="P29" s="336">
        <v>6.53</v>
      </c>
      <c r="Q29" s="336">
        <v>39.020000000000003</v>
      </c>
      <c r="R29" s="336">
        <v>34.54</v>
      </c>
      <c r="S29" s="336">
        <v>4.3899999999999997</v>
      </c>
      <c r="T29" s="38"/>
      <c r="U29" s="38"/>
      <c r="V29" s="38"/>
      <c r="W29" s="38"/>
      <c r="X29" s="38"/>
      <c r="Y29" s="38"/>
    </row>
    <row r="30" spans="1:25">
      <c r="A30" s="143">
        <v>41883</v>
      </c>
      <c r="B30" s="337">
        <v>37.159999999999997</v>
      </c>
      <c r="C30" s="337">
        <v>37.79</v>
      </c>
      <c r="D30" s="337">
        <v>62.98</v>
      </c>
      <c r="E30" s="337">
        <v>74.650000000000006</v>
      </c>
      <c r="F30" s="337">
        <v>29.76</v>
      </c>
      <c r="G30" s="337">
        <v>76.239999999999995</v>
      </c>
      <c r="H30" s="337">
        <v>68.760000000000005</v>
      </c>
      <c r="I30" s="337">
        <v>9.61</v>
      </c>
      <c r="K30" s="143">
        <v>41883</v>
      </c>
      <c r="L30" s="336">
        <v>8.26</v>
      </c>
      <c r="M30" s="336">
        <v>17.03</v>
      </c>
      <c r="N30" s="336">
        <v>86.75</v>
      </c>
      <c r="O30" s="336">
        <v>33.43</v>
      </c>
      <c r="P30" s="336">
        <v>6.53</v>
      </c>
      <c r="Q30" s="336">
        <v>39.020000000000003</v>
      </c>
      <c r="R30" s="336">
        <v>34.54</v>
      </c>
      <c r="S30" s="336">
        <v>4.3899999999999997</v>
      </c>
      <c r="T30" s="38"/>
      <c r="U30" s="38"/>
      <c r="V30" s="38"/>
      <c r="W30" s="38"/>
      <c r="X30" s="38"/>
      <c r="Y30" s="38"/>
    </row>
    <row r="31" spans="1:25">
      <c r="A31" s="139" t="s">
        <v>1685</v>
      </c>
      <c r="B31" s="337">
        <v>42.1</v>
      </c>
      <c r="C31" s="337">
        <v>34.24</v>
      </c>
      <c r="D31" s="337">
        <v>68.53</v>
      </c>
      <c r="E31" s="337">
        <v>63.88</v>
      </c>
      <c r="F31" s="337">
        <v>8.36</v>
      </c>
      <c r="G31" s="337">
        <v>77.510000000000005</v>
      </c>
      <c r="H31" s="337">
        <v>61.77</v>
      </c>
      <c r="I31" s="337">
        <v>11.02</v>
      </c>
      <c r="K31" s="139" t="s">
        <v>1685</v>
      </c>
      <c r="L31" s="336">
        <v>7.68</v>
      </c>
      <c r="M31" s="336">
        <v>12.15</v>
      </c>
      <c r="N31" s="336">
        <v>82.25</v>
      </c>
      <c r="O31" s="336">
        <v>28.93</v>
      </c>
      <c r="P31" s="336">
        <v>6.46</v>
      </c>
      <c r="Q31" s="336">
        <v>32.9</v>
      </c>
      <c r="R31" s="336">
        <v>28.33</v>
      </c>
      <c r="S31" s="336">
        <v>4.07</v>
      </c>
      <c r="T31" s="38"/>
      <c r="U31" s="38"/>
      <c r="V31" s="38"/>
      <c r="W31" s="38"/>
      <c r="X31" s="38"/>
      <c r="Y31" s="38"/>
    </row>
    <row r="32" spans="1:25">
      <c r="A32" s="139" t="s">
        <v>1686</v>
      </c>
      <c r="B32" s="337">
        <v>50.43</v>
      </c>
      <c r="C32" s="337">
        <v>27.17</v>
      </c>
      <c r="D32" s="337">
        <v>71.38</v>
      </c>
      <c r="E32" s="337">
        <v>53.86</v>
      </c>
      <c r="F32" s="337">
        <v>13.46</v>
      </c>
      <c r="G32" s="337">
        <v>73.760000000000005</v>
      </c>
      <c r="H32" s="337">
        <v>59.69</v>
      </c>
      <c r="I32" s="337">
        <v>10.6</v>
      </c>
      <c r="K32" s="139" t="s">
        <v>1686</v>
      </c>
      <c r="L32" s="336">
        <v>7.68</v>
      </c>
      <c r="M32" s="336">
        <v>12.15</v>
      </c>
      <c r="N32" s="336">
        <v>82.25</v>
      </c>
      <c r="O32" s="336">
        <v>28.93</v>
      </c>
      <c r="P32" s="336">
        <v>6.46</v>
      </c>
      <c r="Q32" s="336">
        <v>32.9</v>
      </c>
      <c r="R32" s="336">
        <v>28.33</v>
      </c>
      <c r="S32" s="336">
        <v>4.07</v>
      </c>
    </row>
    <row r="33" spans="1:19">
      <c r="A33" s="143">
        <v>42156</v>
      </c>
      <c r="B33" s="337">
        <v>63.55</v>
      </c>
      <c r="C33" s="337">
        <v>25.37</v>
      </c>
      <c r="D33" s="337">
        <v>70.84</v>
      </c>
      <c r="E33" s="337">
        <v>55.52</v>
      </c>
      <c r="F33" s="337">
        <v>18.07</v>
      </c>
      <c r="G33" s="337">
        <v>68.38</v>
      </c>
      <c r="H33" s="337">
        <v>61.29</v>
      </c>
      <c r="I33" s="337">
        <v>3.07</v>
      </c>
      <c r="K33" s="143">
        <v>42156</v>
      </c>
      <c r="L33" s="336">
        <v>7.68</v>
      </c>
      <c r="M33" s="336">
        <v>12.15</v>
      </c>
      <c r="N33" s="336">
        <v>82.25</v>
      </c>
      <c r="O33" s="336">
        <v>28.93</v>
      </c>
      <c r="P33" s="336">
        <v>6.46</v>
      </c>
      <c r="Q33" s="336">
        <v>32.9</v>
      </c>
      <c r="R33" s="336">
        <v>28.33</v>
      </c>
      <c r="S33" s="336">
        <v>4.07</v>
      </c>
    </row>
    <row r="34" spans="1:19">
      <c r="A34" s="143">
        <v>42248</v>
      </c>
      <c r="B34" s="337">
        <v>52.02</v>
      </c>
      <c r="C34" s="337">
        <v>24.06</v>
      </c>
      <c r="D34" s="337">
        <v>70.14</v>
      </c>
      <c r="E34" s="337">
        <v>54.29</v>
      </c>
      <c r="F34" s="337">
        <v>5.41</v>
      </c>
      <c r="G34" s="337">
        <v>69.47</v>
      </c>
      <c r="H34" s="337">
        <v>61.3</v>
      </c>
      <c r="I34" s="337">
        <v>9.73</v>
      </c>
      <c r="K34" s="143">
        <v>42248</v>
      </c>
      <c r="L34" s="336">
        <v>7.68</v>
      </c>
      <c r="M34" s="336">
        <v>12.15</v>
      </c>
      <c r="N34" s="336">
        <v>82.25</v>
      </c>
      <c r="O34" s="336">
        <v>28.93</v>
      </c>
      <c r="P34" s="336">
        <v>6.46</v>
      </c>
      <c r="Q34" s="336">
        <v>32.9</v>
      </c>
      <c r="R34" s="336">
        <v>28.33</v>
      </c>
      <c r="S34" s="336">
        <v>4.07</v>
      </c>
    </row>
    <row r="35" spans="1:19">
      <c r="A35" s="139" t="s">
        <v>1687</v>
      </c>
      <c r="B35" s="337">
        <v>22.56</v>
      </c>
      <c r="C35" s="337">
        <v>22.13</v>
      </c>
      <c r="D35" s="337">
        <v>83.17</v>
      </c>
      <c r="E35" s="337">
        <v>53.72</v>
      </c>
      <c r="F35" s="337">
        <v>4.5199999999999996</v>
      </c>
      <c r="G35" s="337">
        <v>68.47</v>
      </c>
      <c r="H35" s="337">
        <v>67.8</v>
      </c>
      <c r="I35" s="337">
        <v>15.69</v>
      </c>
      <c r="K35" s="139" t="s">
        <v>1687</v>
      </c>
      <c r="L35" s="336">
        <v>8.65</v>
      </c>
      <c r="M35" s="336">
        <v>11.76</v>
      </c>
      <c r="N35" s="336">
        <v>78.150000000000006</v>
      </c>
      <c r="O35" s="336">
        <v>30.53</v>
      </c>
      <c r="P35" s="336">
        <v>6.82</v>
      </c>
      <c r="Q35" s="336">
        <v>32.549999999999997</v>
      </c>
      <c r="R35" s="336">
        <v>26.34</v>
      </c>
      <c r="S35" s="336">
        <v>4.22</v>
      </c>
    </row>
    <row r="36" spans="1:19">
      <c r="A36" s="139" t="s">
        <v>1688</v>
      </c>
      <c r="B36" s="337">
        <v>40.229999999999997</v>
      </c>
      <c r="C36" s="337">
        <v>25.35</v>
      </c>
      <c r="D36" s="337">
        <v>70.430000000000007</v>
      </c>
      <c r="E36" s="337">
        <v>50.43</v>
      </c>
      <c r="F36" s="337">
        <v>7.12</v>
      </c>
      <c r="G36" s="337">
        <v>70.89</v>
      </c>
      <c r="H36" s="337">
        <v>65.2</v>
      </c>
      <c r="I36" s="337">
        <v>4.54</v>
      </c>
      <c r="K36" s="139" t="s">
        <v>1688</v>
      </c>
      <c r="L36" s="336">
        <v>8.65</v>
      </c>
      <c r="M36" s="336">
        <v>11.76</v>
      </c>
      <c r="N36" s="336">
        <v>78.150000000000006</v>
      </c>
      <c r="O36" s="336">
        <v>30.53</v>
      </c>
      <c r="P36" s="336">
        <v>6.82</v>
      </c>
      <c r="Q36" s="336">
        <v>32.549999999999997</v>
      </c>
      <c r="R36" s="336">
        <v>26.34</v>
      </c>
      <c r="S36" s="336">
        <v>4.22</v>
      </c>
    </row>
    <row r="37" spans="1:19">
      <c r="A37" s="143">
        <v>42522</v>
      </c>
      <c r="B37" s="337">
        <v>29.79</v>
      </c>
      <c r="C37" s="337">
        <v>31.18</v>
      </c>
      <c r="D37" s="337">
        <v>69.45</v>
      </c>
      <c r="E37" s="337">
        <v>47.98</v>
      </c>
      <c r="F37" s="337">
        <v>15.25</v>
      </c>
      <c r="G37" s="337">
        <v>73.25</v>
      </c>
      <c r="H37" s="337">
        <v>60.35</v>
      </c>
      <c r="I37" s="337">
        <v>6.65</v>
      </c>
      <c r="K37" s="143">
        <v>42522</v>
      </c>
      <c r="L37" s="336">
        <v>8.65</v>
      </c>
      <c r="M37" s="336">
        <v>11.76</v>
      </c>
      <c r="N37" s="336">
        <v>78.150000000000006</v>
      </c>
      <c r="O37" s="336">
        <v>30.53</v>
      </c>
      <c r="P37" s="336">
        <v>6.82</v>
      </c>
      <c r="Q37" s="336">
        <v>32.549999999999997</v>
      </c>
      <c r="R37" s="336">
        <v>26.34</v>
      </c>
      <c r="S37" s="336">
        <v>4.22</v>
      </c>
    </row>
    <row r="38" spans="1:19">
      <c r="A38" s="143">
        <v>42614</v>
      </c>
      <c r="B38" s="337">
        <v>19.649999999999999</v>
      </c>
      <c r="C38" s="337">
        <v>35.74</v>
      </c>
      <c r="D38" s="337">
        <v>68.510000000000005</v>
      </c>
      <c r="E38" s="337">
        <v>38.72</v>
      </c>
      <c r="F38" s="337">
        <v>14.48</v>
      </c>
      <c r="G38" s="337">
        <v>67.040000000000006</v>
      </c>
      <c r="H38" s="337">
        <v>73.650000000000006</v>
      </c>
      <c r="I38" s="337">
        <v>5.3</v>
      </c>
      <c r="K38" s="143">
        <v>42614</v>
      </c>
      <c r="L38" s="336">
        <v>8.65</v>
      </c>
      <c r="M38" s="336">
        <v>11.76</v>
      </c>
      <c r="N38" s="336">
        <v>78.150000000000006</v>
      </c>
      <c r="O38" s="336">
        <v>30.53</v>
      </c>
      <c r="P38" s="336">
        <v>6.82</v>
      </c>
      <c r="Q38" s="336">
        <v>32.549999999999997</v>
      </c>
      <c r="R38" s="336">
        <v>26.34</v>
      </c>
      <c r="S38" s="336">
        <v>4.22</v>
      </c>
    </row>
    <row r="39" spans="1:19">
      <c r="A39" s="139" t="s">
        <v>1689</v>
      </c>
      <c r="B39" s="337">
        <v>36.880000000000003</v>
      </c>
      <c r="C39" s="337">
        <v>22.16</v>
      </c>
      <c r="D39" s="337">
        <v>73.36</v>
      </c>
      <c r="E39" s="337">
        <v>40.81</v>
      </c>
      <c r="F39" s="337">
        <v>7.19</v>
      </c>
      <c r="G39" s="337">
        <v>64.87</v>
      </c>
      <c r="H39" s="337">
        <v>63.54</v>
      </c>
      <c r="I39" s="337">
        <v>3.74</v>
      </c>
      <c r="K39" s="139" t="s">
        <v>1689</v>
      </c>
      <c r="L39" s="336">
        <v>11.82</v>
      </c>
      <c r="M39" s="336">
        <v>11.14</v>
      </c>
      <c r="N39" s="336">
        <v>75.34</v>
      </c>
      <c r="O39" s="336">
        <v>29.8</v>
      </c>
      <c r="P39" s="336">
        <v>7.21</v>
      </c>
      <c r="Q39" s="336">
        <v>28.99</v>
      </c>
      <c r="R39" s="336">
        <v>25.99</v>
      </c>
      <c r="S39" s="336">
        <v>4.13</v>
      </c>
    </row>
    <row r="40" spans="1:19">
      <c r="A40" s="139" t="s">
        <v>1690</v>
      </c>
      <c r="B40" s="337">
        <v>50.68</v>
      </c>
      <c r="C40" s="337">
        <v>32.83</v>
      </c>
      <c r="D40" s="337">
        <v>54.52</v>
      </c>
      <c r="E40" s="337">
        <v>33.99</v>
      </c>
      <c r="F40" s="337">
        <v>6.47</v>
      </c>
      <c r="G40" s="337">
        <v>66.92</v>
      </c>
      <c r="H40" s="337">
        <v>54.47</v>
      </c>
      <c r="I40" s="337">
        <v>5.51</v>
      </c>
      <c r="K40" s="139" t="s">
        <v>1690</v>
      </c>
      <c r="L40" s="336">
        <v>11.82</v>
      </c>
      <c r="M40" s="336">
        <v>11.14</v>
      </c>
      <c r="N40" s="336">
        <v>75.34</v>
      </c>
      <c r="O40" s="336">
        <v>29.8</v>
      </c>
      <c r="P40" s="336">
        <v>7.21</v>
      </c>
      <c r="Q40" s="336">
        <v>28.99</v>
      </c>
      <c r="R40" s="336">
        <v>25.99</v>
      </c>
      <c r="S40" s="336">
        <v>4.13</v>
      </c>
    </row>
    <row r="41" spans="1:19">
      <c r="A41" s="143">
        <v>42887</v>
      </c>
      <c r="B41" s="337">
        <v>24.06</v>
      </c>
      <c r="C41" s="337">
        <v>29.58</v>
      </c>
      <c r="D41" s="337">
        <v>57.21</v>
      </c>
      <c r="E41" s="337">
        <v>34.25</v>
      </c>
      <c r="F41" s="337">
        <v>19.940000000000001</v>
      </c>
      <c r="G41" s="337">
        <v>66.98</v>
      </c>
      <c r="H41" s="337">
        <v>53.96</v>
      </c>
      <c r="I41" s="337">
        <v>5.99</v>
      </c>
      <c r="K41" s="143">
        <v>42887</v>
      </c>
      <c r="L41" s="336">
        <v>11.82</v>
      </c>
      <c r="M41" s="336">
        <v>11.14</v>
      </c>
      <c r="N41" s="336">
        <v>75.34</v>
      </c>
      <c r="O41" s="336">
        <v>29.8</v>
      </c>
      <c r="P41" s="336">
        <v>7.21</v>
      </c>
      <c r="Q41" s="336">
        <v>28.99</v>
      </c>
      <c r="R41" s="336">
        <v>25.99</v>
      </c>
      <c r="S41" s="336">
        <v>4.13</v>
      </c>
    </row>
    <row r="42" spans="1:19">
      <c r="A42" s="143">
        <v>42979</v>
      </c>
      <c r="B42" s="337">
        <v>35</v>
      </c>
      <c r="C42" s="337">
        <v>39.17</v>
      </c>
      <c r="D42" s="337">
        <v>61.27</v>
      </c>
      <c r="E42" s="337">
        <v>38.119999999999997</v>
      </c>
      <c r="F42" s="337">
        <v>6.27</v>
      </c>
      <c r="G42" s="337">
        <v>70.67</v>
      </c>
      <c r="H42" s="337">
        <v>60.56</v>
      </c>
      <c r="I42" s="337">
        <v>6.6</v>
      </c>
      <c r="K42" s="143">
        <v>42979</v>
      </c>
      <c r="L42" s="336">
        <v>11.82</v>
      </c>
      <c r="M42" s="336">
        <v>11.14</v>
      </c>
      <c r="N42" s="336">
        <v>75.34</v>
      </c>
      <c r="O42" s="336">
        <v>29.8</v>
      </c>
      <c r="P42" s="336">
        <v>7.21</v>
      </c>
      <c r="Q42" s="336">
        <v>28.99</v>
      </c>
      <c r="R42" s="336">
        <v>25.99</v>
      </c>
      <c r="S42" s="336">
        <v>4.13</v>
      </c>
    </row>
    <row r="43" spans="1:19">
      <c r="A43" s="139" t="s">
        <v>1691</v>
      </c>
      <c r="B43" s="337">
        <v>38.409999999999997</v>
      </c>
      <c r="C43" s="337">
        <v>51.1</v>
      </c>
      <c r="D43" s="337">
        <v>60.25</v>
      </c>
      <c r="E43" s="337">
        <v>39.83</v>
      </c>
      <c r="F43" s="337">
        <v>6.7</v>
      </c>
      <c r="G43" s="337">
        <v>53.01</v>
      </c>
      <c r="H43" s="337">
        <v>58.1</v>
      </c>
      <c r="I43" s="337">
        <v>6.67</v>
      </c>
      <c r="K43" s="139" t="s">
        <v>1691</v>
      </c>
      <c r="L43" s="336">
        <v>11.69</v>
      </c>
      <c r="M43" s="336">
        <v>10.94</v>
      </c>
      <c r="N43" s="336">
        <v>74.7</v>
      </c>
      <c r="O43" s="336">
        <v>32.5</v>
      </c>
      <c r="P43" s="336">
        <v>7.09</v>
      </c>
      <c r="Q43" s="336">
        <v>25.43</v>
      </c>
      <c r="R43" s="336">
        <v>24.58</v>
      </c>
      <c r="S43" s="336">
        <v>4.05</v>
      </c>
    </row>
    <row r="44" spans="1:19">
      <c r="A44" s="144"/>
      <c r="B44" s="84"/>
      <c r="C44" s="84"/>
      <c r="D44" s="84"/>
      <c r="E44" s="84"/>
      <c r="F44" s="84"/>
      <c r="G44" s="84"/>
      <c r="H44" s="84"/>
      <c r="I44" s="84"/>
      <c r="J44" s="84"/>
      <c r="K44" s="84"/>
      <c r="L44" s="84"/>
      <c r="M44" s="84"/>
      <c r="N44" s="84"/>
      <c r="O44" s="84"/>
      <c r="P44" s="84"/>
      <c r="Q44" s="84"/>
      <c r="R44" s="84"/>
    </row>
    <row r="45" spans="1:19">
      <c r="A45" s="335" t="s">
        <v>4479</v>
      </c>
      <c r="B45" s="84"/>
      <c r="C45" s="84"/>
      <c r="D45" s="84"/>
      <c r="E45" s="84"/>
      <c r="F45" s="84"/>
      <c r="G45" s="84"/>
      <c r="H45" s="84"/>
      <c r="I45" s="84"/>
      <c r="J45" s="84"/>
      <c r="K45" s="84"/>
      <c r="L45" s="84"/>
      <c r="M45" s="84"/>
      <c r="N45" s="84"/>
      <c r="O45" s="84"/>
      <c r="P45" s="84"/>
      <c r="Q45" s="84"/>
      <c r="R45" s="84"/>
    </row>
    <row r="46" spans="1:19">
      <c r="A46" s="105"/>
      <c r="B46" s="146"/>
      <c r="C46" s="146"/>
      <c r="D46" s="146"/>
      <c r="E46" s="146"/>
      <c r="F46" s="146"/>
      <c r="G46" s="146"/>
      <c r="H46" s="146"/>
      <c r="I46" s="146"/>
      <c r="J46" s="84"/>
      <c r="K46" s="84"/>
      <c r="L46" s="84"/>
      <c r="M46" s="84"/>
      <c r="N46" s="84"/>
      <c r="O46" s="84"/>
      <c r="P46" s="84"/>
      <c r="Q46" s="84"/>
      <c r="R46" s="84"/>
    </row>
    <row r="47" spans="1:19">
      <c r="A47" s="105"/>
      <c r="B47" s="65"/>
      <c r="C47" s="65"/>
      <c r="D47" s="65"/>
      <c r="E47" s="65"/>
      <c r="F47" s="65"/>
      <c r="G47" s="65"/>
      <c r="H47" s="65"/>
      <c r="I47" s="65"/>
      <c r="J47" s="84"/>
      <c r="K47" s="84"/>
      <c r="L47" s="84"/>
      <c r="M47" s="84"/>
      <c r="N47" s="84"/>
      <c r="O47" s="84"/>
      <c r="P47" s="84"/>
      <c r="Q47" s="84"/>
      <c r="R47" s="84"/>
    </row>
    <row r="48" spans="1:19">
      <c r="A48" s="147"/>
      <c r="B48" s="65"/>
      <c r="C48" s="65"/>
      <c r="D48" s="65"/>
      <c r="E48" s="65"/>
      <c r="F48" s="65"/>
      <c r="G48" s="65"/>
      <c r="H48" s="65"/>
      <c r="I48" s="65"/>
      <c r="J48" s="84"/>
      <c r="K48" s="84"/>
      <c r="L48" s="84"/>
      <c r="M48" s="84"/>
      <c r="N48" s="84"/>
      <c r="O48" s="84"/>
      <c r="P48" s="84"/>
      <c r="Q48" s="84"/>
      <c r="R48" s="84"/>
    </row>
    <row r="49" spans="1:18">
      <c r="A49" s="147"/>
      <c r="B49" s="65"/>
      <c r="C49" s="65"/>
      <c r="D49" s="65"/>
      <c r="E49" s="65"/>
      <c r="F49" s="65"/>
      <c r="G49" s="65"/>
      <c r="H49" s="65"/>
      <c r="I49" s="65"/>
      <c r="J49" s="84"/>
      <c r="K49" s="84"/>
      <c r="L49" s="84"/>
      <c r="M49" s="84"/>
      <c r="N49" s="84"/>
      <c r="O49" s="84"/>
      <c r="P49" s="84"/>
      <c r="Q49" s="84"/>
      <c r="R49" s="84"/>
    </row>
    <row r="50" spans="1:18">
      <c r="A50" s="105"/>
      <c r="B50" s="65"/>
      <c r="C50" s="65"/>
      <c r="D50" s="65"/>
      <c r="E50" s="65"/>
      <c r="F50" s="65"/>
      <c r="G50" s="65"/>
      <c r="H50" s="65"/>
      <c r="I50" s="65"/>
      <c r="J50" s="84"/>
      <c r="K50" s="84"/>
      <c r="L50" s="84"/>
      <c r="M50" s="84"/>
      <c r="N50" s="84"/>
      <c r="O50" s="84"/>
      <c r="P50" s="84"/>
      <c r="Q50" s="84"/>
      <c r="R50" s="84"/>
    </row>
    <row r="51" spans="1:18">
      <c r="A51" s="105"/>
      <c r="B51" s="65"/>
      <c r="C51" s="65"/>
      <c r="D51" s="65"/>
      <c r="E51" s="65"/>
      <c r="F51" s="65"/>
      <c r="G51" s="65"/>
      <c r="H51" s="65"/>
      <c r="I51" s="65"/>
      <c r="J51" s="84"/>
      <c r="K51" s="84"/>
      <c r="L51" s="84"/>
      <c r="M51" s="84"/>
      <c r="N51" s="84"/>
      <c r="O51" s="84"/>
      <c r="P51" s="84"/>
      <c r="Q51" s="84"/>
      <c r="R51" s="84"/>
    </row>
    <row r="52" spans="1:18">
      <c r="A52" s="147"/>
      <c r="B52" s="65"/>
      <c r="C52" s="65"/>
      <c r="D52" s="65"/>
      <c r="E52" s="65"/>
      <c r="F52" s="65"/>
      <c r="G52" s="65"/>
      <c r="H52" s="65"/>
      <c r="I52" s="65"/>
      <c r="J52" s="84"/>
      <c r="K52" s="84"/>
      <c r="L52" s="84"/>
      <c r="M52" s="84"/>
      <c r="N52" s="84"/>
      <c r="O52" s="84"/>
      <c r="P52" s="84"/>
      <c r="Q52" s="84"/>
      <c r="R52" s="84"/>
    </row>
    <row r="53" spans="1:18">
      <c r="A53" s="147"/>
      <c r="B53" s="65"/>
      <c r="C53" s="65"/>
      <c r="D53" s="65"/>
      <c r="E53" s="65"/>
      <c r="F53" s="65"/>
      <c r="G53" s="65"/>
      <c r="H53" s="65"/>
      <c r="I53" s="65"/>
      <c r="J53" s="84"/>
      <c r="K53" s="84"/>
      <c r="L53" s="84"/>
      <c r="M53" s="84"/>
      <c r="N53" s="84"/>
      <c r="O53" s="84"/>
      <c r="P53" s="84"/>
      <c r="Q53" s="84"/>
      <c r="R53" s="84"/>
    </row>
    <row r="54" spans="1:18">
      <c r="A54" s="105"/>
      <c r="B54" s="65"/>
      <c r="C54" s="65"/>
      <c r="D54" s="65"/>
      <c r="E54" s="65"/>
      <c r="F54" s="65"/>
      <c r="G54" s="65"/>
      <c r="H54" s="65"/>
      <c r="I54" s="65"/>
      <c r="J54" s="84"/>
      <c r="K54" s="84"/>
      <c r="L54" s="84"/>
      <c r="M54" s="84"/>
      <c r="N54" s="84"/>
      <c r="O54" s="84"/>
      <c r="P54" s="84"/>
      <c r="Q54" s="84"/>
      <c r="R54" s="84"/>
    </row>
    <row r="55" spans="1:18">
      <c r="A55" s="105"/>
      <c r="B55" s="65"/>
      <c r="C55" s="65"/>
      <c r="D55" s="65"/>
      <c r="E55" s="65"/>
      <c r="F55" s="65"/>
      <c r="G55" s="65"/>
      <c r="H55" s="65"/>
      <c r="I55" s="65"/>
      <c r="J55" s="84"/>
      <c r="K55" s="84"/>
      <c r="L55" s="84"/>
      <c r="M55" s="84"/>
      <c r="N55" s="84"/>
      <c r="O55" s="84"/>
      <c r="P55" s="84"/>
      <c r="Q55" s="84"/>
      <c r="R55" s="84"/>
    </row>
    <row r="56" spans="1:18">
      <c r="A56" s="147"/>
      <c r="B56" s="65"/>
      <c r="C56" s="65"/>
      <c r="D56" s="65"/>
      <c r="E56" s="65"/>
      <c r="F56" s="65"/>
      <c r="G56" s="65"/>
      <c r="H56" s="65"/>
      <c r="I56" s="65"/>
      <c r="J56" s="84"/>
      <c r="K56" s="84"/>
      <c r="L56" s="84"/>
      <c r="M56" s="84"/>
      <c r="N56" s="84"/>
      <c r="O56" s="84"/>
      <c r="P56" s="84"/>
      <c r="Q56" s="84"/>
      <c r="R56" s="84"/>
    </row>
    <row r="57" spans="1:18">
      <c r="A57" s="147"/>
      <c r="B57" s="65"/>
      <c r="C57" s="65"/>
      <c r="D57" s="65"/>
      <c r="E57" s="65"/>
      <c r="F57" s="65"/>
      <c r="G57" s="65"/>
      <c r="H57" s="65"/>
      <c r="I57" s="65"/>
      <c r="J57" s="84"/>
      <c r="K57" s="84"/>
      <c r="L57" s="84"/>
      <c r="M57" s="84"/>
      <c r="N57" s="84"/>
      <c r="O57" s="84"/>
      <c r="P57" s="84"/>
      <c r="Q57" s="84"/>
      <c r="R57" s="84"/>
    </row>
    <row r="58" spans="1:18">
      <c r="A58" s="105"/>
      <c r="B58" s="65"/>
      <c r="C58" s="65"/>
      <c r="D58" s="65"/>
      <c r="E58" s="65"/>
      <c r="F58" s="65"/>
      <c r="G58" s="65"/>
      <c r="H58" s="65"/>
      <c r="I58" s="65"/>
      <c r="J58" s="84"/>
      <c r="K58" s="84"/>
      <c r="L58" s="84"/>
      <c r="M58" s="84"/>
      <c r="N58" s="84"/>
      <c r="O58" s="84"/>
      <c r="P58" s="84"/>
      <c r="Q58" s="84"/>
      <c r="R58" s="84"/>
    </row>
    <row r="59" spans="1:18">
      <c r="A59" s="105"/>
      <c r="B59" s="65"/>
      <c r="C59" s="65"/>
      <c r="D59" s="65"/>
      <c r="E59" s="65"/>
      <c r="F59" s="65"/>
      <c r="G59" s="65"/>
      <c r="H59" s="65"/>
      <c r="I59" s="65"/>
      <c r="J59" s="84"/>
      <c r="K59" s="84"/>
      <c r="L59" s="84"/>
      <c r="M59" s="84"/>
      <c r="N59" s="84"/>
      <c r="O59" s="84"/>
      <c r="P59" s="84"/>
      <c r="Q59" s="84"/>
      <c r="R59" s="84"/>
    </row>
    <row r="60" spans="1:18">
      <c r="A60" s="147"/>
      <c r="B60" s="65"/>
      <c r="C60" s="65"/>
      <c r="D60" s="65"/>
      <c r="E60" s="65"/>
      <c r="F60" s="65"/>
      <c r="G60" s="65"/>
      <c r="H60" s="65"/>
      <c r="I60" s="65"/>
      <c r="J60" s="84"/>
      <c r="K60" s="84"/>
      <c r="L60" s="84"/>
      <c r="M60" s="84"/>
      <c r="N60" s="84"/>
      <c r="O60" s="84"/>
      <c r="P60" s="84"/>
      <c r="Q60" s="84"/>
      <c r="R60" s="84"/>
    </row>
    <row r="61" spans="1:18">
      <c r="A61" s="147"/>
      <c r="B61" s="65"/>
      <c r="C61" s="65"/>
      <c r="D61" s="65"/>
      <c r="E61" s="65"/>
      <c r="F61" s="65"/>
      <c r="G61" s="65"/>
      <c r="H61" s="65"/>
      <c r="I61" s="65"/>
      <c r="J61" s="84"/>
      <c r="K61" s="84"/>
      <c r="L61" s="84"/>
      <c r="M61" s="84"/>
      <c r="N61" s="84"/>
      <c r="O61" s="84"/>
      <c r="P61" s="84"/>
      <c r="Q61" s="84"/>
      <c r="R61" s="84"/>
    </row>
    <row r="62" spans="1:18">
      <c r="A62" s="105"/>
      <c r="B62" s="65"/>
      <c r="C62" s="65"/>
      <c r="D62" s="65"/>
      <c r="E62" s="65"/>
      <c r="F62" s="65"/>
      <c r="G62" s="65"/>
      <c r="H62" s="65"/>
      <c r="I62" s="65"/>
      <c r="J62" s="84"/>
      <c r="K62" s="84"/>
      <c r="L62" s="84"/>
      <c r="M62" s="84"/>
      <c r="N62" s="84"/>
      <c r="O62" s="84"/>
      <c r="P62" s="84"/>
      <c r="Q62" s="84"/>
      <c r="R62" s="84"/>
    </row>
    <row r="63" spans="1:18">
      <c r="A63" s="105"/>
      <c r="B63" s="65"/>
      <c r="C63" s="65"/>
      <c r="D63" s="65"/>
      <c r="E63" s="65"/>
      <c r="F63" s="65"/>
      <c r="G63" s="65"/>
      <c r="H63" s="65"/>
      <c r="I63" s="65"/>
      <c r="J63" s="84"/>
      <c r="K63" s="84"/>
      <c r="L63" s="84"/>
      <c r="M63" s="84"/>
      <c r="N63" s="84"/>
      <c r="O63" s="84"/>
      <c r="P63" s="84"/>
      <c r="Q63" s="84"/>
      <c r="R63" s="84"/>
    </row>
    <row r="64" spans="1:18">
      <c r="A64" s="147"/>
      <c r="B64" s="65"/>
      <c r="C64" s="65"/>
      <c r="D64" s="65"/>
      <c r="E64" s="65"/>
      <c r="F64" s="65"/>
      <c r="G64" s="65"/>
      <c r="H64" s="65"/>
      <c r="I64" s="65"/>
      <c r="J64" s="84"/>
      <c r="K64" s="84"/>
      <c r="L64" s="84"/>
      <c r="M64" s="84"/>
      <c r="N64" s="84"/>
      <c r="O64" s="84"/>
      <c r="P64" s="84"/>
      <c r="Q64" s="84"/>
      <c r="R64" s="84"/>
    </row>
    <row r="65" spans="1:18">
      <c r="A65" s="147"/>
      <c r="B65" s="65"/>
      <c r="C65" s="65"/>
      <c r="D65" s="65"/>
      <c r="E65" s="65"/>
      <c r="F65" s="65"/>
      <c r="G65" s="65"/>
      <c r="H65" s="65"/>
      <c r="I65" s="65"/>
      <c r="J65" s="84"/>
      <c r="K65" s="84"/>
      <c r="L65" s="84"/>
      <c r="M65" s="84"/>
      <c r="N65" s="84"/>
      <c r="O65" s="84"/>
      <c r="P65" s="84"/>
      <c r="Q65" s="84"/>
      <c r="R65" s="84"/>
    </row>
    <row r="66" spans="1:18">
      <c r="A66" s="105"/>
      <c r="B66" s="65"/>
      <c r="C66" s="65"/>
      <c r="D66" s="65"/>
      <c r="E66" s="65"/>
      <c r="F66" s="65"/>
      <c r="G66" s="65"/>
      <c r="H66" s="65"/>
      <c r="I66" s="65"/>
      <c r="J66" s="84"/>
      <c r="K66" s="84"/>
      <c r="L66" s="84"/>
      <c r="M66" s="84"/>
      <c r="N66" s="84"/>
      <c r="O66" s="84"/>
      <c r="P66" s="84"/>
      <c r="Q66" s="84"/>
      <c r="R66" s="84"/>
    </row>
    <row r="67" spans="1:18">
      <c r="A67" s="92"/>
      <c r="B67" s="84"/>
      <c r="C67" s="84"/>
      <c r="D67" s="84"/>
      <c r="E67" s="84"/>
      <c r="F67" s="84"/>
      <c r="G67" s="84"/>
      <c r="H67" s="84"/>
      <c r="I67" s="84"/>
      <c r="J67" s="84"/>
      <c r="K67" s="84"/>
      <c r="L67" s="84"/>
      <c r="M67" s="84"/>
      <c r="N67" s="84"/>
      <c r="O67" s="84"/>
      <c r="P67" s="84"/>
      <c r="Q67" s="84"/>
      <c r="R67" s="84"/>
    </row>
    <row r="68" spans="1:18">
      <c r="A68" s="92"/>
      <c r="B68" s="84"/>
      <c r="C68" s="84"/>
      <c r="D68" s="84"/>
      <c r="E68" s="84"/>
      <c r="F68" s="84"/>
      <c r="G68" s="84"/>
      <c r="H68" s="84"/>
      <c r="I68" s="84"/>
      <c r="J68" s="84"/>
      <c r="K68" s="84"/>
      <c r="L68" s="84"/>
      <c r="M68" s="84"/>
      <c r="N68" s="84"/>
      <c r="O68" s="84"/>
      <c r="P68" s="84"/>
      <c r="Q68" s="84"/>
      <c r="R68" s="84"/>
    </row>
    <row r="69" spans="1:18">
      <c r="A69" s="92"/>
      <c r="B69" s="84"/>
      <c r="C69" s="84"/>
      <c r="D69" s="84"/>
      <c r="E69" s="84"/>
      <c r="F69" s="84"/>
      <c r="G69" s="84"/>
      <c r="H69" s="84"/>
      <c r="I69" s="84"/>
      <c r="J69" s="84"/>
      <c r="K69" s="84"/>
      <c r="L69" s="84"/>
      <c r="M69" s="84"/>
      <c r="N69" s="84"/>
      <c r="O69" s="84"/>
      <c r="P69" s="84"/>
      <c r="Q69" s="84"/>
      <c r="R69" s="84"/>
    </row>
    <row r="70" spans="1:18">
      <c r="A70" s="92"/>
      <c r="B70" s="84"/>
      <c r="C70" s="84"/>
      <c r="D70" s="84"/>
      <c r="E70" s="84"/>
      <c r="F70" s="84"/>
      <c r="G70" s="84"/>
      <c r="H70" s="84"/>
      <c r="I70" s="84"/>
      <c r="J70" s="84"/>
      <c r="K70" s="84"/>
      <c r="L70" s="84"/>
      <c r="M70" s="84"/>
      <c r="N70" s="84"/>
      <c r="O70" s="84"/>
      <c r="P70" s="84"/>
      <c r="Q70" s="84"/>
      <c r="R70" s="84"/>
    </row>
    <row r="71" spans="1:18">
      <c r="A71" s="92"/>
      <c r="B71" s="84"/>
      <c r="C71" s="84"/>
      <c r="D71" s="84"/>
      <c r="E71" s="84"/>
      <c r="F71" s="84"/>
      <c r="G71" s="84"/>
      <c r="H71" s="84"/>
      <c r="I71" s="84"/>
      <c r="J71" s="84"/>
      <c r="K71" s="84"/>
      <c r="L71" s="84"/>
      <c r="M71" s="84"/>
      <c r="N71" s="84"/>
      <c r="O71" s="84"/>
      <c r="P71" s="84"/>
      <c r="Q71" s="84"/>
      <c r="R71" s="84"/>
    </row>
    <row r="72" spans="1:18">
      <c r="A72" s="92"/>
      <c r="B72" s="84"/>
      <c r="C72" s="84"/>
      <c r="D72" s="84"/>
      <c r="E72" s="84"/>
      <c r="F72" s="84"/>
      <c r="G72" s="84"/>
      <c r="H72" s="84"/>
      <c r="I72" s="84"/>
      <c r="J72" s="84"/>
      <c r="K72" s="84"/>
      <c r="L72" s="84"/>
      <c r="M72" s="84"/>
      <c r="N72" s="84"/>
      <c r="O72" s="84"/>
      <c r="P72" s="84"/>
      <c r="Q72" s="84"/>
      <c r="R72" s="84"/>
    </row>
    <row r="73" spans="1:18">
      <c r="A73" s="92"/>
      <c r="B73" s="84"/>
      <c r="C73" s="84"/>
      <c r="D73" s="84"/>
      <c r="E73" s="84"/>
      <c r="F73" s="84"/>
      <c r="G73" s="84"/>
      <c r="H73" s="84"/>
      <c r="I73" s="84"/>
      <c r="J73" s="84"/>
      <c r="K73" s="84"/>
      <c r="L73" s="84"/>
      <c r="M73" s="84"/>
      <c r="N73" s="84"/>
      <c r="O73" s="84"/>
      <c r="P73" s="84"/>
      <c r="Q73" s="84"/>
      <c r="R73" s="84"/>
    </row>
    <row r="74" spans="1:18">
      <c r="A74" s="92"/>
      <c r="B74" s="84"/>
      <c r="C74" s="84"/>
      <c r="D74" s="84"/>
      <c r="E74" s="84"/>
      <c r="F74" s="84"/>
      <c r="G74" s="84"/>
      <c r="H74" s="84"/>
      <c r="I74" s="84"/>
      <c r="J74" s="84"/>
      <c r="K74" s="84"/>
      <c r="L74" s="84"/>
      <c r="M74" s="84"/>
      <c r="N74" s="84"/>
      <c r="O74" s="84"/>
      <c r="P74" s="84"/>
      <c r="Q74" s="84"/>
      <c r="R74" s="84"/>
    </row>
    <row r="75" spans="1:18">
      <c r="A75" s="92"/>
      <c r="B75" s="84"/>
      <c r="C75" s="84"/>
      <c r="D75" s="84"/>
      <c r="E75" s="84"/>
      <c r="F75" s="84"/>
      <c r="G75" s="84"/>
      <c r="H75" s="84"/>
      <c r="I75" s="84"/>
      <c r="J75" s="84"/>
      <c r="K75" s="84"/>
      <c r="L75" s="84"/>
      <c r="M75" s="84"/>
      <c r="N75" s="84"/>
      <c r="O75" s="84"/>
      <c r="P75" s="84"/>
      <c r="Q75" s="84"/>
      <c r="R75" s="84"/>
    </row>
    <row r="76" spans="1:18">
      <c r="A76" s="92"/>
      <c r="B76" s="84"/>
      <c r="C76" s="84"/>
      <c r="D76" s="84"/>
      <c r="E76" s="84"/>
      <c r="F76" s="84"/>
      <c r="G76" s="84"/>
      <c r="H76" s="84"/>
      <c r="I76" s="84"/>
      <c r="J76" s="84"/>
      <c r="K76" s="84"/>
      <c r="L76" s="84"/>
      <c r="M76" s="84"/>
      <c r="N76" s="84"/>
      <c r="O76" s="84"/>
      <c r="P76" s="84"/>
      <c r="Q76" s="84"/>
      <c r="R76" s="84"/>
    </row>
    <row r="77" spans="1:18">
      <c r="A77" s="92"/>
      <c r="B77" s="84"/>
      <c r="C77" s="84"/>
      <c r="D77" s="84"/>
      <c r="E77" s="84"/>
      <c r="F77" s="84"/>
      <c r="G77" s="84"/>
      <c r="H77" s="84"/>
      <c r="I77" s="84"/>
      <c r="J77" s="84"/>
      <c r="K77" s="84"/>
      <c r="L77" s="84"/>
      <c r="M77" s="84"/>
      <c r="N77" s="84"/>
      <c r="O77" s="84"/>
      <c r="P77" s="84"/>
      <c r="Q77" s="84"/>
      <c r="R77" s="84"/>
    </row>
    <row r="78" spans="1:18">
      <c r="A78" s="92"/>
      <c r="B78" s="84"/>
      <c r="C78" s="84"/>
      <c r="D78" s="84"/>
      <c r="E78" s="84"/>
      <c r="F78" s="84"/>
      <c r="G78" s="84"/>
      <c r="H78" s="84"/>
      <c r="I78" s="84"/>
      <c r="J78" s="84"/>
      <c r="K78" s="84"/>
      <c r="L78" s="84"/>
      <c r="M78" s="84"/>
      <c r="N78" s="84"/>
      <c r="O78" s="84"/>
      <c r="P78" s="84"/>
      <c r="Q78" s="84"/>
      <c r="R78" s="84"/>
    </row>
    <row r="79" spans="1:18">
      <c r="A79" s="92"/>
      <c r="B79" s="84"/>
      <c r="C79" s="84"/>
      <c r="D79" s="84"/>
      <c r="E79" s="84"/>
      <c r="F79" s="84"/>
      <c r="G79" s="84"/>
      <c r="H79" s="84"/>
      <c r="I79" s="84"/>
      <c r="J79" s="84"/>
      <c r="K79" s="84"/>
      <c r="L79" s="84"/>
      <c r="M79" s="84"/>
      <c r="N79" s="84"/>
      <c r="O79" s="84"/>
      <c r="P79" s="84"/>
      <c r="Q79" s="84"/>
      <c r="R79" s="84"/>
    </row>
    <row r="80" spans="1:18">
      <c r="A80" s="92"/>
      <c r="B80" s="84"/>
      <c r="C80" s="84"/>
      <c r="D80" s="84"/>
      <c r="E80" s="84"/>
      <c r="F80" s="84"/>
      <c r="G80" s="84"/>
      <c r="H80" s="84"/>
      <c r="I80" s="84"/>
      <c r="J80" s="84"/>
      <c r="K80" s="84"/>
      <c r="L80" s="84"/>
      <c r="M80" s="84"/>
      <c r="N80" s="84"/>
      <c r="O80" s="84"/>
      <c r="P80" s="84"/>
      <c r="Q80" s="84"/>
      <c r="R80" s="84"/>
    </row>
    <row r="81" spans="1:18">
      <c r="A81" s="92"/>
      <c r="B81" s="84"/>
      <c r="C81" s="84"/>
      <c r="D81" s="84"/>
      <c r="E81" s="84"/>
      <c r="F81" s="84"/>
      <c r="G81" s="84"/>
      <c r="H81" s="84"/>
      <c r="I81" s="84"/>
      <c r="J81" s="84"/>
      <c r="K81" s="84"/>
      <c r="L81" s="84"/>
      <c r="M81" s="84"/>
      <c r="N81" s="84"/>
      <c r="O81" s="84"/>
      <c r="P81" s="84"/>
      <c r="Q81" s="84"/>
      <c r="R81" s="84"/>
    </row>
    <row r="82" spans="1:18">
      <c r="A82" s="92"/>
      <c r="B82" s="84"/>
      <c r="C82" s="84"/>
      <c r="D82" s="84"/>
      <c r="E82" s="84"/>
      <c r="F82" s="84"/>
      <c r="G82" s="84"/>
      <c r="H82" s="84"/>
      <c r="I82" s="84"/>
      <c r="J82" s="84"/>
      <c r="K82" s="84"/>
      <c r="L82" s="84"/>
      <c r="M82" s="84"/>
      <c r="N82" s="84"/>
      <c r="O82" s="84"/>
      <c r="P82" s="84"/>
      <c r="Q82" s="84"/>
      <c r="R82" s="84"/>
    </row>
    <row r="83" spans="1:18">
      <c r="A83" s="92"/>
      <c r="B83" s="84"/>
      <c r="C83" s="84"/>
      <c r="D83" s="84"/>
      <c r="E83" s="84"/>
      <c r="F83" s="84"/>
      <c r="G83" s="84"/>
      <c r="H83" s="84"/>
      <c r="I83" s="84"/>
      <c r="J83" s="84"/>
      <c r="K83" s="84"/>
      <c r="L83" s="84"/>
      <c r="M83" s="84"/>
      <c r="N83" s="84"/>
      <c r="O83" s="84"/>
      <c r="P83" s="84"/>
      <c r="Q83" s="84"/>
      <c r="R83" s="84"/>
    </row>
    <row r="84" spans="1:18">
      <c r="A84" s="92"/>
      <c r="B84" s="84"/>
      <c r="C84" s="84"/>
      <c r="D84" s="84"/>
      <c r="E84" s="84"/>
      <c r="F84" s="84"/>
      <c r="G84" s="84"/>
      <c r="H84" s="84"/>
      <c r="I84" s="84"/>
      <c r="J84" s="84"/>
      <c r="K84" s="84"/>
      <c r="L84" s="84"/>
      <c r="M84" s="84"/>
      <c r="N84" s="84"/>
      <c r="O84" s="84"/>
      <c r="P84" s="84"/>
      <c r="Q84" s="84"/>
      <c r="R84" s="84"/>
    </row>
    <row r="85" spans="1:18">
      <c r="A85" s="92"/>
      <c r="B85" s="84"/>
      <c r="C85" s="84"/>
      <c r="D85" s="84"/>
      <c r="E85" s="84"/>
      <c r="F85" s="84"/>
      <c r="G85" s="84"/>
      <c r="H85" s="84"/>
      <c r="I85" s="84"/>
      <c r="J85" s="84"/>
      <c r="K85" s="84"/>
      <c r="L85" s="84"/>
      <c r="M85" s="84"/>
      <c r="N85" s="84"/>
      <c r="O85" s="84"/>
      <c r="P85" s="84"/>
      <c r="Q85" s="84"/>
      <c r="R85" s="84"/>
    </row>
    <row r="86" spans="1:18">
      <c r="A86" s="92"/>
      <c r="B86" s="84"/>
      <c r="C86" s="84"/>
      <c r="D86" s="84"/>
      <c r="E86" s="84"/>
      <c r="F86" s="84"/>
      <c r="G86" s="84"/>
      <c r="H86" s="84"/>
      <c r="I86" s="84"/>
      <c r="J86" s="84"/>
      <c r="K86" s="84"/>
      <c r="L86" s="84"/>
      <c r="M86" s="84"/>
      <c r="N86" s="84"/>
      <c r="O86" s="84"/>
      <c r="P86" s="84"/>
      <c r="Q86" s="84"/>
      <c r="R86" s="84"/>
    </row>
    <row r="87" spans="1:18">
      <c r="A87" s="92"/>
      <c r="B87" s="84"/>
      <c r="C87" s="84"/>
      <c r="D87" s="84"/>
      <c r="E87" s="84"/>
      <c r="F87" s="84"/>
      <c r="G87" s="84"/>
      <c r="H87" s="84"/>
      <c r="I87" s="84"/>
      <c r="J87" s="84"/>
      <c r="K87" s="84"/>
      <c r="L87" s="84"/>
      <c r="M87" s="84"/>
      <c r="N87" s="84"/>
      <c r="O87" s="84"/>
      <c r="P87" s="84"/>
      <c r="Q87" s="84"/>
      <c r="R87" s="84"/>
    </row>
    <row r="88" spans="1:18">
      <c r="A88" s="92"/>
      <c r="B88" s="84"/>
      <c r="C88" s="84"/>
      <c r="D88" s="84"/>
      <c r="E88" s="84"/>
      <c r="F88" s="84"/>
      <c r="G88" s="84"/>
      <c r="H88" s="84"/>
      <c r="I88" s="84"/>
      <c r="J88" s="84"/>
      <c r="K88" s="84"/>
      <c r="L88" s="84"/>
      <c r="M88" s="84"/>
      <c r="N88" s="84"/>
      <c r="O88" s="84"/>
      <c r="P88" s="84"/>
      <c r="Q88" s="84"/>
      <c r="R88" s="84"/>
    </row>
    <row r="89" spans="1:18">
      <c r="A89" s="92"/>
      <c r="B89" s="84"/>
      <c r="C89" s="84"/>
      <c r="D89" s="84"/>
      <c r="E89" s="84"/>
      <c r="F89" s="84"/>
      <c r="G89" s="84"/>
      <c r="H89" s="84"/>
      <c r="I89" s="84"/>
      <c r="J89" s="84"/>
      <c r="K89" s="84"/>
      <c r="L89" s="84"/>
      <c r="M89" s="84"/>
      <c r="N89" s="84"/>
      <c r="O89" s="84"/>
      <c r="P89" s="84"/>
      <c r="Q89" s="84"/>
      <c r="R89" s="84"/>
    </row>
    <row r="90" spans="1:18">
      <c r="A90" s="92"/>
      <c r="B90" s="84"/>
      <c r="C90" s="84"/>
      <c r="D90" s="84"/>
      <c r="E90" s="84"/>
      <c r="F90" s="84"/>
      <c r="G90" s="84"/>
      <c r="H90" s="84"/>
      <c r="I90" s="84"/>
      <c r="J90" s="84"/>
      <c r="K90" s="84"/>
      <c r="L90" s="84"/>
      <c r="M90" s="84"/>
      <c r="N90" s="84"/>
      <c r="O90" s="84"/>
      <c r="P90" s="84"/>
      <c r="Q90" s="84"/>
      <c r="R90" s="84"/>
    </row>
    <row r="91" spans="1:18">
      <c r="A91" s="92"/>
      <c r="B91" s="84"/>
      <c r="C91" s="84"/>
      <c r="D91" s="84"/>
      <c r="E91" s="84"/>
      <c r="F91" s="84"/>
      <c r="G91" s="84"/>
      <c r="H91" s="84"/>
      <c r="I91" s="84"/>
      <c r="J91" s="84"/>
      <c r="K91" s="84"/>
      <c r="L91" s="84"/>
      <c r="M91" s="84"/>
      <c r="N91" s="84"/>
      <c r="O91" s="84"/>
      <c r="P91" s="84"/>
      <c r="Q91" s="84"/>
      <c r="R91" s="84"/>
    </row>
    <row r="92" spans="1:18">
      <c r="A92" s="92"/>
      <c r="B92" s="84"/>
      <c r="C92" s="84"/>
      <c r="D92" s="84"/>
      <c r="E92" s="84"/>
      <c r="F92" s="84"/>
      <c r="G92" s="84"/>
      <c r="H92" s="84"/>
      <c r="I92" s="84"/>
      <c r="J92" s="84"/>
      <c r="K92" s="84"/>
      <c r="L92" s="84"/>
      <c r="M92" s="84"/>
      <c r="N92" s="84"/>
      <c r="O92" s="84"/>
      <c r="P92" s="84"/>
      <c r="Q92" s="84"/>
      <c r="R92" s="84"/>
    </row>
    <row r="93" spans="1:18">
      <c r="A93" s="92"/>
      <c r="B93" s="84"/>
      <c r="C93" s="84"/>
      <c r="D93" s="84"/>
      <c r="E93" s="84"/>
      <c r="F93" s="84"/>
      <c r="G93" s="84"/>
      <c r="H93" s="84"/>
      <c r="I93" s="84"/>
      <c r="J93" s="84"/>
      <c r="K93" s="84"/>
      <c r="L93" s="84"/>
      <c r="M93" s="84"/>
      <c r="N93" s="84"/>
      <c r="O93" s="84"/>
      <c r="P93" s="84"/>
      <c r="Q93" s="84"/>
      <c r="R93" s="84"/>
    </row>
    <row r="94" spans="1:18">
      <c r="A94" s="92"/>
      <c r="B94" s="84"/>
      <c r="C94" s="84"/>
      <c r="D94" s="84"/>
      <c r="E94" s="84"/>
      <c r="F94" s="84"/>
      <c r="G94" s="84"/>
      <c r="H94" s="84"/>
      <c r="I94" s="84"/>
      <c r="J94" s="84"/>
      <c r="K94" s="84"/>
      <c r="L94" s="84"/>
      <c r="M94" s="84"/>
      <c r="N94" s="84"/>
      <c r="O94" s="84"/>
      <c r="P94" s="84"/>
      <c r="Q94" s="84"/>
      <c r="R94" s="84"/>
    </row>
    <row r="95" spans="1:18">
      <c r="A95" s="92"/>
      <c r="B95" s="84"/>
      <c r="C95" s="84"/>
      <c r="D95" s="84"/>
      <c r="E95" s="84"/>
      <c r="F95" s="84"/>
      <c r="G95" s="84"/>
      <c r="H95" s="84"/>
      <c r="I95" s="84"/>
      <c r="J95" s="84"/>
      <c r="K95" s="84"/>
      <c r="L95" s="84"/>
      <c r="M95" s="84"/>
      <c r="N95" s="84"/>
      <c r="O95" s="84"/>
      <c r="P95" s="84"/>
      <c r="Q95" s="84"/>
      <c r="R95" s="84"/>
    </row>
    <row r="96" spans="1:18">
      <c r="A96" s="92"/>
      <c r="B96" s="84"/>
      <c r="C96" s="84"/>
      <c r="D96" s="84"/>
      <c r="E96" s="84"/>
      <c r="F96" s="84"/>
      <c r="G96" s="84"/>
      <c r="H96" s="84"/>
      <c r="I96" s="84"/>
      <c r="J96" s="84"/>
      <c r="K96" s="84"/>
      <c r="L96" s="84"/>
      <c r="M96" s="84"/>
      <c r="N96" s="84"/>
      <c r="O96" s="84"/>
      <c r="P96" s="84"/>
      <c r="Q96" s="84"/>
      <c r="R96" s="84"/>
    </row>
    <row r="97" spans="1:18">
      <c r="A97" s="92"/>
      <c r="B97" s="84"/>
      <c r="C97" s="84"/>
      <c r="D97" s="84"/>
      <c r="E97" s="84"/>
      <c r="F97" s="84"/>
      <c r="G97" s="84"/>
      <c r="H97" s="84"/>
      <c r="I97" s="84"/>
      <c r="J97" s="84"/>
      <c r="K97" s="84"/>
      <c r="L97" s="84"/>
      <c r="M97" s="84"/>
      <c r="N97" s="84"/>
      <c r="O97" s="84"/>
      <c r="P97" s="84"/>
      <c r="Q97" s="84"/>
      <c r="R97" s="84"/>
    </row>
    <row r="98" spans="1:18">
      <c r="A98" s="92"/>
      <c r="B98" s="84"/>
      <c r="C98" s="84"/>
      <c r="D98" s="84"/>
      <c r="E98" s="84"/>
      <c r="F98" s="84"/>
      <c r="G98" s="84"/>
      <c r="H98" s="84"/>
      <c r="I98" s="84"/>
      <c r="J98" s="84"/>
      <c r="K98" s="84"/>
      <c r="L98" s="84"/>
      <c r="M98" s="84"/>
      <c r="N98" s="84"/>
      <c r="O98" s="84"/>
      <c r="P98" s="84"/>
      <c r="Q98" s="84"/>
      <c r="R98" s="84"/>
    </row>
    <row r="99" spans="1:18">
      <c r="A99" s="92"/>
      <c r="B99" s="84"/>
      <c r="C99" s="84"/>
      <c r="D99" s="84"/>
      <c r="E99" s="84"/>
      <c r="F99" s="84"/>
      <c r="G99" s="84"/>
      <c r="H99" s="84"/>
      <c r="I99" s="84"/>
      <c r="J99" s="84"/>
      <c r="K99" s="84"/>
      <c r="L99" s="84"/>
      <c r="M99" s="84"/>
      <c r="N99" s="84"/>
      <c r="O99" s="84"/>
      <c r="P99" s="84"/>
      <c r="Q99" s="84"/>
      <c r="R99" s="84"/>
    </row>
    <row r="100" spans="1:18">
      <c r="A100" s="92"/>
      <c r="B100" s="84"/>
      <c r="C100" s="84"/>
      <c r="D100" s="84"/>
      <c r="E100" s="84"/>
      <c r="F100" s="84"/>
      <c r="G100" s="84"/>
      <c r="H100" s="84"/>
      <c r="I100" s="84"/>
      <c r="J100" s="84"/>
      <c r="K100" s="84"/>
      <c r="L100" s="84"/>
      <c r="M100" s="84"/>
      <c r="N100" s="84"/>
      <c r="O100" s="84"/>
      <c r="P100" s="84"/>
      <c r="Q100" s="84"/>
      <c r="R100" s="84"/>
    </row>
    <row r="101" spans="1:18">
      <c r="A101" s="92"/>
      <c r="B101" s="84"/>
      <c r="C101" s="84"/>
      <c r="D101" s="84"/>
      <c r="E101" s="84"/>
      <c r="F101" s="84"/>
      <c r="G101" s="84"/>
      <c r="H101" s="84"/>
      <c r="I101" s="84"/>
      <c r="J101" s="84"/>
      <c r="K101" s="84"/>
      <c r="L101" s="84"/>
      <c r="M101" s="84"/>
      <c r="N101" s="84"/>
      <c r="O101" s="84"/>
      <c r="P101" s="84"/>
      <c r="Q101" s="84"/>
      <c r="R101" s="84"/>
    </row>
    <row r="102" spans="1:18">
      <c r="A102" s="92"/>
      <c r="B102" s="84"/>
      <c r="C102" s="84"/>
      <c r="D102" s="84"/>
      <c r="E102" s="84"/>
      <c r="F102" s="84"/>
      <c r="G102" s="84"/>
      <c r="H102" s="84"/>
      <c r="I102" s="84"/>
      <c r="J102" s="84"/>
      <c r="K102" s="84"/>
      <c r="L102" s="84"/>
      <c r="M102" s="84"/>
      <c r="N102" s="84"/>
      <c r="O102" s="84"/>
      <c r="P102" s="84"/>
      <c r="Q102" s="84"/>
      <c r="R102" s="84"/>
    </row>
    <row r="103" spans="1:18">
      <c r="A103" s="92"/>
      <c r="B103" s="84"/>
      <c r="C103" s="84"/>
      <c r="D103" s="84"/>
      <c r="E103" s="84"/>
      <c r="F103" s="84"/>
      <c r="G103" s="84"/>
      <c r="H103" s="84"/>
      <c r="I103" s="84"/>
      <c r="J103" s="84"/>
      <c r="K103" s="84"/>
      <c r="L103" s="84"/>
      <c r="M103" s="84"/>
      <c r="N103" s="84"/>
      <c r="O103" s="84"/>
      <c r="P103" s="84"/>
      <c r="Q103" s="84"/>
      <c r="R103" s="84"/>
    </row>
    <row r="104" spans="1:18">
      <c r="A104" s="92"/>
      <c r="B104" s="84"/>
      <c r="C104" s="84"/>
      <c r="D104" s="84"/>
      <c r="E104" s="84"/>
      <c r="F104" s="84"/>
      <c r="G104" s="84"/>
      <c r="H104" s="84"/>
      <c r="I104" s="84"/>
      <c r="J104" s="84"/>
      <c r="K104" s="84"/>
      <c r="L104" s="84"/>
      <c r="M104" s="84"/>
      <c r="N104" s="84"/>
      <c r="O104" s="84"/>
      <c r="P104" s="84"/>
      <c r="Q104" s="84"/>
      <c r="R104" s="84"/>
    </row>
    <row r="105" spans="1:18">
      <c r="A105" s="92"/>
      <c r="B105" s="84"/>
      <c r="C105" s="84"/>
      <c r="D105" s="84"/>
      <c r="E105" s="84"/>
      <c r="F105" s="84"/>
      <c r="G105" s="84"/>
      <c r="H105" s="84"/>
      <c r="I105" s="84"/>
      <c r="J105" s="84"/>
      <c r="K105" s="84"/>
      <c r="L105" s="84"/>
      <c r="M105" s="84"/>
      <c r="N105" s="84"/>
      <c r="O105" s="84"/>
      <c r="P105" s="84"/>
      <c r="Q105" s="84"/>
      <c r="R105" s="84"/>
    </row>
    <row r="106" spans="1:18">
      <c r="A106" s="92"/>
      <c r="B106" s="84"/>
      <c r="C106" s="84"/>
      <c r="D106" s="84"/>
      <c r="E106" s="84"/>
      <c r="F106" s="84"/>
      <c r="G106" s="84"/>
      <c r="H106" s="84"/>
      <c r="I106" s="84"/>
      <c r="J106" s="84"/>
      <c r="K106" s="84"/>
      <c r="L106" s="84"/>
      <c r="M106" s="84"/>
      <c r="N106" s="84"/>
      <c r="O106" s="84"/>
      <c r="P106" s="84"/>
      <c r="Q106" s="84"/>
      <c r="R106" s="84"/>
    </row>
    <row r="107" spans="1:18">
      <c r="A107" s="92"/>
      <c r="B107" s="84"/>
      <c r="C107" s="84"/>
      <c r="D107" s="84"/>
      <c r="E107" s="84"/>
      <c r="F107" s="84"/>
      <c r="G107" s="84"/>
      <c r="H107" s="84"/>
      <c r="I107" s="84"/>
      <c r="J107" s="84"/>
      <c r="K107" s="84"/>
      <c r="L107" s="84"/>
      <c r="M107" s="84"/>
      <c r="N107" s="84"/>
      <c r="O107" s="84"/>
      <c r="P107" s="84"/>
      <c r="Q107" s="84"/>
      <c r="R107" s="84"/>
    </row>
    <row r="108" spans="1:18">
      <c r="A108" s="92"/>
      <c r="B108" s="84"/>
      <c r="C108" s="84"/>
      <c r="D108" s="84"/>
      <c r="E108" s="84"/>
      <c r="F108" s="84"/>
      <c r="G108" s="84"/>
      <c r="H108" s="84"/>
      <c r="I108" s="84"/>
      <c r="J108" s="84"/>
      <c r="K108" s="84"/>
      <c r="L108" s="84"/>
      <c r="M108" s="84"/>
      <c r="N108" s="84"/>
      <c r="O108" s="84"/>
      <c r="P108" s="84"/>
      <c r="Q108" s="84"/>
      <c r="R108" s="84"/>
    </row>
    <row r="109" spans="1:18">
      <c r="A109" s="92"/>
      <c r="B109" s="84"/>
      <c r="C109" s="84"/>
      <c r="D109" s="84"/>
      <c r="E109" s="84"/>
      <c r="F109" s="84"/>
      <c r="G109" s="84"/>
      <c r="H109" s="84"/>
      <c r="I109" s="84"/>
      <c r="J109" s="84"/>
      <c r="K109" s="84"/>
      <c r="L109" s="84"/>
      <c r="M109" s="84"/>
      <c r="N109" s="84"/>
      <c r="O109" s="84"/>
      <c r="P109" s="84"/>
      <c r="Q109" s="84"/>
      <c r="R109" s="84"/>
    </row>
    <row r="110" spans="1:18">
      <c r="A110" s="92"/>
      <c r="B110" s="84"/>
      <c r="C110" s="84"/>
      <c r="D110" s="84"/>
      <c r="E110" s="84"/>
      <c r="F110" s="84"/>
      <c r="G110" s="84"/>
      <c r="H110" s="84"/>
      <c r="I110" s="84"/>
      <c r="J110" s="84"/>
      <c r="K110" s="84"/>
      <c r="L110" s="84"/>
      <c r="M110" s="84"/>
      <c r="N110" s="84"/>
      <c r="O110" s="84"/>
      <c r="P110" s="84"/>
      <c r="Q110" s="84"/>
      <c r="R110" s="84"/>
    </row>
    <row r="111" spans="1:18">
      <c r="A111" s="92"/>
      <c r="B111" s="84"/>
      <c r="C111" s="84"/>
      <c r="D111" s="84"/>
      <c r="E111" s="84"/>
      <c r="F111" s="84"/>
      <c r="G111" s="84"/>
      <c r="H111" s="84"/>
      <c r="I111" s="84"/>
      <c r="J111" s="84"/>
      <c r="K111" s="84"/>
      <c r="L111" s="84"/>
      <c r="M111" s="84"/>
      <c r="N111" s="84"/>
      <c r="O111" s="84"/>
      <c r="P111" s="84"/>
      <c r="Q111" s="84"/>
      <c r="R111" s="84"/>
    </row>
    <row r="112" spans="1:18">
      <c r="A112" s="92"/>
      <c r="B112" s="84"/>
      <c r="C112" s="84"/>
      <c r="D112" s="84"/>
      <c r="E112" s="84"/>
      <c r="F112" s="84"/>
      <c r="G112" s="84"/>
      <c r="H112" s="84"/>
      <c r="I112" s="84"/>
      <c r="J112" s="84"/>
      <c r="K112" s="84"/>
      <c r="L112" s="84"/>
      <c r="M112" s="84"/>
      <c r="N112" s="84"/>
      <c r="O112" s="84"/>
      <c r="P112" s="84"/>
      <c r="Q112" s="84"/>
      <c r="R112" s="84"/>
    </row>
    <row r="113" spans="1:18">
      <c r="A113" s="92"/>
      <c r="B113" s="84"/>
      <c r="C113" s="84"/>
      <c r="D113" s="84"/>
      <c r="E113" s="84"/>
      <c r="F113" s="84"/>
      <c r="G113" s="84"/>
      <c r="H113" s="84"/>
      <c r="I113" s="84"/>
      <c r="J113" s="84"/>
      <c r="K113" s="84"/>
      <c r="L113" s="84"/>
      <c r="M113" s="84"/>
      <c r="N113" s="84"/>
      <c r="O113" s="84"/>
      <c r="P113" s="84"/>
      <c r="Q113" s="84"/>
      <c r="R113" s="84"/>
    </row>
    <row r="114" spans="1:18">
      <c r="A114" s="92"/>
      <c r="B114" s="84"/>
      <c r="C114" s="84"/>
      <c r="D114" s="84"/>
      <c r="E114" s="84"/>
      <c r="F114" s="84"/>
      <c r="G114" s="84"/>
      <c r="H114" s="84"/>
      <c r="I114" s="84"/>
      <c r="J114" s="84"/>
      <c r="K114" s="84"/>
      <c r="L114" s="84"/>
      <c r="M114" s="84"/>
      <c r="N114" s="84"/>
      <c r="O114" s="84"/>
      <c r="P114" s="84"/>
      <c r="Q114" s="84"/>
      <c r="R114" s="84"/>
    </row>
    <row r="115" spans="1:18">
      <c r="A115" s="92"/>
      <c r="B115" s="84"/>
      <c r="C115" s="84"/>
      <c r="D115" s="84"/>
      <c r="E115" s="84"/>
      <c r="F115" s="84"/>
      <c r="G115" s="84"/>
      <c r="H115" s="84"/>
      <c r="I115" s="84"/>
      <c r="J115" s="84"/>
      <c r="K115" s="84"/>
      <c r="L115" s="84"/>
      <c r="M115" s="84"/>
      <c r="N115" s="84"/>
      <c r="O115" s="84"/>
      <c r="P115" s="84"/>
      <c r="Q115" s="84"/>
      <c r="R115" s="84"/>
    </row>
    <row r="116" spans="1:18">
      <c r="A116" s="92"/>
      <c r="B116" s="84"/>
      <c r="C116" s="84"/>
      <c r="D116" s="84"/>
      <c r="E116" s="84"/>
      <c r="F116" s="84"/>
      <c r="G116" s="84"/>
      <c r="H116" s="84"/>
      <c r="I116" s="84"/>
      <c r="J116" s="84"/>
      <c r="K116" s="84"/>
      <c r="L116" s="84"/>
      <c r="M116" s="84"/>
      <c r="N116" s="84"/>
      <c r="O116" s="84"/>
      <c r="P116" s="84"/>
      <c r="Q116" s="84"/>
      <c r="R116" s="84"/>
    </row>
    <row r="117" spans="1:18">
      <c r="A117" s="92"/>
      <c r="B117" s="84"/>
      <c r="C117" s="84"/>
      <c r="D117" s="84"/>
      <c r="E117" s="84"/>
      <c r="F117" s="84"/>
      <c r="G117" s="84"/>
      <c r="H117" s="84"/>
      <c r="I117" s="84"/>
      <c r="J117" s="84"/>
      <c r="K117" s="84"/>
      <c r="L117" s="84"/>
      <c r="M117" s="84"/>
      <c r="N117" s="84"/>
      <c r="O117" s="84"/>
      <c r="P117" s="84"/>
      <c r="Q117" s="84"/>
      <c r="R117" s="84"/>
    </row>
    <row r="118" spans="1:18">
      <c r="A118" s="92"/>
      <c r="B118" s="84"/>
      <c r="C118" s="84"/>
      <c r="D118" s="84"/>
      <c r="E118" s="84"/>
      <c r="F118" s="84"/>
      <c r="G118" s="84"/>
      <c r="H118" s="84"/>
      <c r="I118" s="84"/>
      <c r="J118" s="84"/>
      <c r="K118" s="84"/>
      <c r="L118" s="84"/>
      <c r="M118" s="84"/>
      <c r="N118" s="84"/>
      <c r="O118" s="84"/>
      <c r="P118" s="84"/>
      <c r="Q118" s="84"/>
      <c r="R118" s="84"/>
    </row>
    <row r="119" spans="1:18">
      <c r="A119" s="92"/>
      <c r="B119" s="84"/>
      <c r="C119" s="84"/>
      <c r="D119" s="84"/>
      <c r="E119" s="84"/>
      <c r="F119" s="84"/>
      <c r="G119" s="84"/>
      <c r="H119" s="84"/>
      <c r="I119" s="84"/>
      <c r="J119" s="84"/>
      <c r="K119" s="84"/>
      <c r="L119" s="84"/>
      <c r="M119" s="84"/>
      <c r="N119" s="84"/>
      <c r="O119" s="84"/>
      <c r="P119" s="84"/>
      <c r="Q119" s="84"/>
      <c r="R119" s="84"/>
    </row>
    <row r="120" spans="1:18">
      <c r="A120" s="92"/>
      <c r="B120" s="84"/>
      <c r="C120" s="84"/>
      <c r="D120" s="84"/>
      <c r="E120" s="84"/>
      <c r="F120" s="84"/>
      <c r="G120" s="84"/>
      <c r="H120" s="84"/>
      <c r="I120" s="84"/>
      <c r="J120" s="84"/>
      <c r="K120" s="84"/>
      <c r="L120" s="84"/>
      <c r="M120" s="84"/>
      <c r="N120" s="84"/>
      <c r="O120" s="84"/>
      <c r="P120" s="84"/>
      <c r="Q120" s="84"/>
      <c r="R120" s="84"/>
    </row>
    <row r="121" spans="1:18">
      <c r="A121" s="92"/>
      <c r="B121" s="84"/>
      <c r="C121" s="84"/>
      <c r="D121" s="84"/>
      <c r="E121" s="84"/>
      <c r="F121" s="84"/>
      <c r="G121" s="84"/>
      <c r="H121" s="84"/>
      <c r="I121" s="84"/>
      <c r="J121" s="84"/>
      <c r="K121" s="84"/>
      <c r="L121" s="84"/>
      <c r="M121" s="84"/>
      <c r="N121" s="84"/>
      <c r="O121" s="84"/>
      <c r="P121" s="84"/>
      <c r="Q121" s="84"/>
      <c r="R121" s="84"/>
    </row>
    <row r="122" spans="1:18">
      <c r="A122" s="92"/>
      <c r="B122" s="84"/>
      <c r="C122" s="84"/>
      <c r="D122" s="84"/>
      <c r="E122" s="84"/>
      <c r="F122" s="84"/>
      <c r="G122" s="84"/>
      <c r="H122" s="84"/>
      <c r="I122" s="84"/>
      <c r="J122" s="84"/>
      <c r="K122" s="84"/>
      <c r="L122" s="84"/>
      <c r="M122" s="84"/>
      <c r="N122" s="84"/>
      <c r="O122" s="84"/>
      <c r="P122" s="84"/>
      <c r="Q122" s="84"/>
      <c r="R122" s="8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103</vt:i4>
      </vt:variant>
    </vt:vector>
  </HeadingPairs>
  <TitlesOfParts>
    <vt:vector size="103" baseType="lpstr">
      <vt:lpstr>Lineare Regression_HID</vt:lpstr>
      <vt:lpstr>Lineare Regression_HID1</vt:lpstr>
      <vt:lpstr>Lineare Regression_HID2</vt:lpstr>
      <vt:lpstr>Lineare Regression_HID3</vt:lpstr>
      <vt:lpstr>Lineare Regression_HID4</vt:lpstr>
      <vt:lpstr>Lineare Regression_HID5</vt:lpstr>
      <vt:lpstr>Lineare Regression1_HID</vt:lpstr>
      <vt:lpstr>Lineare Regression1_HID1</vt:lpstr>
      <vt:lpstr>Lineare Regression1_HID2</vt:lpstr>
      <vt:lpstr>Lineare Regression1_HID3</vt:lpstr>
      <vt:lpstr>Lineare Regression_HID8</vt:lpstr>
      <vt:lpstr>Lineare Regression_HID9</vt:lpstr>
      <vt:lpstr>Lineare Regression_HID10</vt:lpstr>
      <vt:lpstr>Lineare Regression_HID11</vt:lpstr>
      <vt:lpstr>Lineare Regression_HID12</vt:lpstr>
      <vt:lpstr>Lineare Regression_HID13</vt:lpstr>
      <vt:lpstr>Lineare Regression_HID14</vt:lpstr>
      <vt:lpstr>Lineare Regression_HID15</vt:lpstr>
      <vt:lpstr>Lineare Regression1_HID4</vt:lpstr>
      <vt:lpstr>Lineare Regression1_HID5</vt:lpstr>
      <vt:lpstr>Lineare Regression_HID6</vt:lpstr>
      <vt:lpstr>Lineare Regression_HID7</vt:lpstr>
      <vt:lpstr>Legend</vt:lpstr>
      <vt:lpstr>Country</vt:lpstr>
      <vt:lpstr>Lineare Regression_HID16</vt:lpstr>
      <vt:lpstr>Lineare Regression_HID17</vt:lpstr>
      <vt:lpstr>Lineare Regression_HID18</vt:lpstr>
      <vt:lpstr>Lineare Regression_HID19</vt:lpstr>
      <vt:lpstr>Lineare Regression_HID20</vt:lpstr>
      <vt:lpstr>Lineare Regression_HID21</vt:lpstr>
      <vt:lpstr>Lineare Regression_HID22</vt:lpstr>
      <vt:lpstr>Lineare Regression_HID23</vt:lpstr>
      <vt:lpstr>Lineare Regression1_HID6</vt:lpstr>
      <vt:lpstr>Lineare Regression1_HID7</vt:lpstr>
      <vt:lpstr>Lineare Regression1_HID8</vt:lpstr>
      <vt:lpstr>Lineare Regression1_HID9</vt:lpstr>
      <vt:lpstr>Lineare Regression1_HID10</vt:lpstr>
      <vt:lpstr>Lineare Regression1_HID11</vt:lpstr>
      <vt:lpstr>Lineare Regression_HID24</vt:lpstr>
      <vt:lpstr>Lineare Regression_HID25</vt:lpstr>
      <vt:lpstr>Lineare Regression_HID26</vt:lpstr>
      <vt:lpstr>Lineare Regression_HID27</vt:lpstr>
      <vt:lpstr>Lineare Regression_HID28</vt:lpstr>
      <vt:lpstr>Lineare Regression_HID29</vt:lpstr>
      <vt:lpstr>Lineare Regression_HID30</vt:lpstr>
      <vt:lpstr>Lineare Regression_HID31</vt:lpstr>
      <vt:lpstr>Lineare Regression_HID32</vt:lpstr>
      <vt:lpstr>Lineare Regression_HID33</vt:lpstr>
      <vt:lpstr>Lineare Regression_HID34</vt:lpstr>
      <vt:lpstr>Lineare Regression_HID35</vt:lpstr>
      <vt:lpstr>Lineare Regression_HID36</vt:lpstr>
      <vt:lpstr>Lineare Regression_HID37</vt:lpstr>
      <vt:lpstr>Lineare Regression_HID38</vt:lpstr>
      <vt:lpstr>Lineare Regression_HID39</vt:lpstr>
      <vt:lpstr>Lineare Regression_HID68</vt:lpstr>
      <vt:lpstr>Lineare Regression_HID69</vt:lpstr>
      <vt:lpstr>Lineare Regression_HID70</vt:lpstr>
      <vt:lpstr>Lineare Regression_HID71</vt:lpstr>
      <vt:lpstr>Lineare Regression_HID72</vt:lpstr>
      <vt:lpstr>Lineare Regression_HID73</vt:lpstr>
      <vt:lpstr>Lineare Regression1_HID12</vt:lpstr>
      <vt:lpstr>Lineare Regression1_HID13</vt:lpstr>
      <vt:lpstr>Lineare Regression1_HID14</vt:lpstr>
      <vt:lpstr>Lineare Regression1_HID15</vt:lpstr>
      <vt:lpstr>Lineare Regression1_HID16</vt:lpstr>
      <vt:lpstr>Lineare Regression1_HID17</vt:lpstr>
      <vt:lpstr>Sectoral</vt:lpstr>
      <vt:lpstr>+ Sectoral (1Q)</vt:lpstr>
      <vt:lpstr>Lineare Regression_HID66</vt:lpstr>
      <vt:lpstr>Lineare Regression_HID67</vt:lpstr>
      <vt:lpstr>Alle PR</vt:lpstr>
      <vt:lpstr>Lineare Regression_HID54</vt:lpstr>
      <vt:lpstr>Lineare Regression_HID55</vt:lpstr>
      <vt:lpstr>Lineare Regression_HID56</vt:lpstr>
      <vt:lpstr>Lineare Regression_HID57</vt:lpstr>
      <vt:lpstr>Lineare Regression_HID58</vt:lpstr>
      <vt:lpstr>Lineare Regression_HID59</vt:lpstr>
      <vt:lpstr>Lineare Regression_HID60</vt:lpstr>
      <vt:lpstr>Lineare Regression_HID61</vt:lpstr>
      <vt:lpstr>Lineare Regression_HID62</vt:lpstr>
      <vt:lpstr>Lineare Regression_HID63</vt:lpstr>
      <vt:lpstr>Lineare Regression_HID64</vt:lpstr>
      <vt:lpstr>Lineare Regression_HID65</vt:lpstr>
      <vt:lpstr>Lineare Regression_HID40</vt:lpstr>
      <vt:lpstr>Lineare Regression_HID41</vt:lpstr>
      <vt:lpstr>Lineare Regression_HID42</vt:lpstr>
      <vt:lpstr>Lineare Regression_HID43</vt:lpstr>
      <vt:lpstr>Lineare Regression_HID44</vt:lpstr>
      <vt:lpstr>Lineare Regression_HID45</vt:lpstr>
      <vt:lpstr>Lineare Regression_HID46</vt:lpstr>
      <vt:lpstr>Lineare Regression_HID47</vt:lpstr>
      <vt:lpstr>Lineare Regression_HID48</vt:lpstr>
      <vt:lpstr>Lineare Regression_HID49</vt:lpstr>
      <vt:lpstr>Lineare Regression_HID50</vt:lpstr>
      <vt:lpstr>Lineare Regression_HID51</vt:lpstr>
      <vt:lpstr>Lineare Regression_HID52</vt:lpstr>
      <vt:lpstr>Lineare Regression_HID53</vt:lpstr>
      <vt:lpstr>+ Sectoral (2Q)</vt:lpstr>
      <vt:lpstr>Bloomberg CRA</vt:lpstr>
      <vt:lpstr>Thomson Reuters IMA </vt:lpstr>
      <vt:lpstr>Thomson Reuters IMA  ($)</vt:lpstr>
      <vt:lpstr>Sectors % GDP</vt:lpstr>
      <vt:lpstr>Trade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Lange, Lukas</cp:lastModifiedBy>
  <cp:lastPrinted>2018-05-16T21:10:52Z</cp:lastPrinted>
  <dcterms:created xsi:type="dcterms:W3CDTF">2018-03-31T13:42:29Z</dcterms:created>
  <dcterms:modified xsi:type="dcterms:W3CDTF">2018-05-30T10:03:05Z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DV GUID">
    <vt:lpwstr>7e16088c-c5b9-4072-b43a-3c3f110058bd</vt:lpwstr>
  </property>
</Properties>
</file>