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rançois\Desktop\"/>
    </mc:Choice>
  </mc:AlternateContent>
  <xr:revisionPtr revIDLastSave="0" documentId="13_ncr:1_{57CF870E-4187-4EBE-A3B8-DD75D0C18D3A}" xr6:coauthVersionLast="36" xr6:coauthVersionMax="36" xr10:uidLastSave="{00000000-0000-0000-0000-000000000000}"/>
  <bookViews>
    <workbookView xWindow="0" yWindow="0" windowWidth="17280" windowHeight="7620" xr2:uid="{00000000-000D-0000-FFFF-FFFF00000000}"/>
  </bookViews>
  <sheets>
    <sheet name="Feuil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52" i="1" l="1"/>
  <c r="C53" i="1"/>
  <c r="D53" i="1"/>
  <c r="F53" i="1"/>
  <c r="G53" i="1"/>
  <c r="G54" i="1" s="1"/>
  <c r="I53" i="1" s="1"/>
  <c r="H53" i="1"/>
  <c r="C54" i="1"/>
  <c r="D54" i="1"/>
  <c r="F54" i="1"/>
  <c r="H54" i="1"/>
  <c r="C47" i="1"/>
  <c r="C44" i="1"/>
  <c r="C13" i="1"/>
  <c r="L9" i="1"/>
  <c r="C12" i="1"/>
  <c r="D12" i="1" s="1"/>
  <c r="B11" i="1"/>
  <c r="C32" i="1"/>
  <c r="B44" i="1" s="1"/>
  <c r="B47" i="1" s="1"/>
  <c r="C31" i="1"/>
  <c r="E31" i="1"/>
  <c r="C11" i="1"/>
  <c r="C9" i="1"/>
  <c r="D9" i="1" s="1"/>
  <c r="C10" i="1"/>
  <c r="D28" i="1"/>
  <c r="E28" i="1" s="1"/>
  <c r="B9" i="1" s="1"/>
  <c r="B38" i="1"/>
  <c r="D38" i="1" s="1"/>
  <c r="D37" i="1"/>
  <c r="L12" i="1"/>
  <c r="K12" i="1"/>
  <c r="K9" i="1"/>
  <c r="D51" i="1" l="1"/>
  <c r="C51" i="1"/>
  <c r="E9" i="1"/>
  <c r="M12" i="1"/>
  <c r="M9" i="1"/>
  <c r="E19" i="1" s="1"/>
  <c r="E37" i="1"/>
  <c r="B10" i="1" s="1"/>
  <c r="F9" i="1" l="1"/>
  <c r="D6" i="1" l="1"/>
  <c r="C15" i="1"/>
  <c r="C52" i="1"/>
  <c r="D15" i="1" l="1"/>
  <c r="C16" i="1"/>
  <c r="D16" i="1" s="1"/>
  <c r="D52" i="1"/>
  <c r="D27" i="1" l="1"/>
  <c r="C8" i="1"/>
  <c r="D7" i="1" l="1"/>
  <c r="D11" i="1"/>
  <c r="C14" i="1"/>
  <c r="D14" i="1" s="1"/>
  <c r="D13" i="1"/>
  <c r="D10" i="1"/>
  <c r="D8" i="1"/>
  <c r="C5" i="1"/>
  <c r="D5" i="1" s="1"/>
  <c r="E32" i="1" l="1"/>
  <c r="B12" i="1" s="1"/>
  <c r="E12" i="1" s="1"/>
  <c r="F12" i="1" s="1"/>
  <c r="E10" i="1" l="1"/>
  <c r="D34" i="1"/>
  <c r="E34" i="1" s="1"/>
  <c r="B14" i="1" s="1"/>
  <c r="G51" i="1" l="1"/>
  <c r="G52" i="1" s="1"/>
  <c r="F51" i="1"/>
  <c r="H51" i="1"/>
  <c r="F10" i="1"/>
  <c r="E11" i="1"/>
  <c r="E14" i="1"/>
  <c r="F14" i="1" s="1"/>
  <c r="D29" i="1"/>
  <c r="E29" i="1" s="1"/>
  <c r="B5" i="1" s="1"/>
  <c r="D30" i="1"/>
  <c r="E30" i="1" s="1"/>
  <c r="D33" i="1"/>
  <c r="E33" i="1" s="1"/>
  <c r="B13" i="1" s="1"/>
  <c r="E27" i="1"/>
  <c r="B8" i="1" s="1"/>
  <c r="B15" i="1" l="1"/>
  <c r="H52" i="1"/>
  <c r="I51" i="1" s="1"/>
  <c r="B16" i="1" s="1"/>
  <c r="E16" i="1" s="1"/>
  <c r="F11" i="1"/>
  <c r="E5" i="1"/>
  <c r="F5" i="1" s="1"/>
  <c r="E8" i="1"/>
  <c r="F8" i="1" s="1"/>
  <c r="B6" i="1"/>
  <c r="E6" i="1" s="1"/>
  <c r="B7" i="1"/>
  <c r="E7" i="1" s="1"/>
  <c r="E13" i="1"/>
  <c r="F13" i="1" s="1"/>
  <c r="E15" i="1" l="1"/>
  <c r="F15" i="1" s="1"/>
  <c r="F7" i="1"/>
  <c r="F6" i="1"/>
  <c r="F16" i="1"/>
  <c r="F17" i="1" l="1"/>
  <c r="F18" i="1" s="1"/>
  <c r="E17" i="1"/>
  <c r="E18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François</author>
  </authors>
  <commentList>
    <comment ref="A4" authorId="0" shapeId="0" xr:uid="{06077B48-3E17-4348-AAA1-CF30E526B73F}">
      <text>
        <r>
          <rPr>
            <b/>
            <sz val="9"/>
            <color indexed="81"/>
            <rFont val="Tahoma"/>
            <family val="2"/>
          </rPr>
          <t>François:</t>
        </r>
        <r>
          <rPr>
            <sz val="9"/>
            <color indexed="81"/>
            <rFont val="Tahoma"/>
            <family val="2"/>
          </rPr>
          <t xml:space="preserve">
Pour savoir le bilan d'un scenario sur une orbite ENTIERE
</t>
        </r>
      </text>
    </comment>
  </commentList>
</comments>
</file>

<file path=xl/sharedStrings.xml><?xml version="1.0" encoding="utf-8"?>
<sst xmlns="http://schemas.openxmlformats.org/spreadsheetml/2006/main" count="84" uniqueCount="64">
  <si>
    <t>AX.25  RX</t>
  </si>
  <si>
    <t>AX.25  TX</t>
  </si>
  <si>
    <t>D-STAR</t>
  </si>
  <si>
    <t>BCN</t>
  </si>
  <si>
    <t>RAD</t>
  </si>
  <si>
    <t>IMU</t>
  </si>
  <si>
    <t>Total allocated</t>
  </si>
  <si>
    <t>Margin</t>
  </si>
  <si>
    <t>Total power</t>
  </si>
  <si>
    <t>OUFTI-2</t>
  </si>
  <si>
    <t>AX.25 - D-star TX</t>
  </si>
  <si>
    <t>Vbus</t>
  </si>
  <si>
    <t>DPC</t>
  </si>
  <si>
    <t>Diode A</t>
  </si>
  <si>
    <t>Diode B</t>
  </si>
  <si>
    <t>Reset</t>
  </si>
  <si>
    <t>Power harvested</t>
  </si>
  <si>
    <t>Power consumed by different scenarii</t>
  </si>
  <si>
    <t>Nbol [%]</t>
  </si>
  <si>
    <t>Tsun [min]</t>
  </si>
  <si>
    <t>Aeff mean [cm²]</t>
  </si>
  <si>
    <t>Nmppt [%]</t>
  </si>
  <si>
    <t>Teclipse [min]</t>
  </si>
  <si>
    <t>Worst case orbit:</t>
  </si>
  <si>
    <t>%Sun</t>
  </si>
  <si>
    <t>Csunmean [W/m²]</t>
  </si>
  <si>
    <t>Pinst [mW]</t>
  </si>
  <si>
    <t>Porb [mW]</t>
  </si>
  <si>
    <t>Best case orbit:</t>
  </si>
  <si>
    <t>OBC/DPC</t>
  </si>
  <si>
    <t>Current [mA]</t>
  </si>
  <si>
    <t>Voltage [V]</t>
  </si>
  <si>
    <t>System's consumption [mW]</t>
  </si>
  <si>
    <t>Real consumption [mW]</t>
  </si>
  <si>
    <t>Voltages [V]</t>
  </si>
  <si>
    <t>Efficiency [/]</t>
  </si>
  <si>
    <t>Total consumption of DPC [mW]</t>
  </si>
  <si>
    <t>Ndcdc</t>
  </si>
  <si>
    <t>Power consumption of each sub-system</t>
  </si>
  <si>
    <t>BCN BURST</t>
  </si>
  <si>
    <t>THER CST</t>
  </si>
  <si>
    <t>THER + HEATER</t>
  </si>
  <si>
    <t>Tx LOSS</t>
  </si>
  <si>
    <t>CST LOSS</t>
  </si>
  <si>
    <t>Peak time [min]</t>
  </si>
  <si>
    <t>Peak time [%]</t>
  </si>
  <si>
    <t>Average [mW]</t>
  </si>
  <si>
    <t>Percent of total [%]</t>
  </si>
  <si>
    <t>Peak [mW]</t>
  </si>
  <si>
    <t>Bus losses</t>
  </si>
  <si>
    <t>Fuse</t>
  </si>
  <si>
    <t>Current sensor</t>
  </si>
  <si>
    <t>Rx</t>
  </si>
  <si>
    <t>Tx</t>
  </si>
  <si>
    <t>Current drawn by the 1.8V DC/DC converter, [mA]</t>
  </si>
  <si>
    <t>Max Current drawn by the 3.3V DC/DC converter, [mA]</t>
  </si>
  <si>
    <t>Max Current drawn by the 5V DC/DC converter [mA]</t>
  </si>
  <si>
    <t>Max BUS current, [mA]</t>
  </si>
  <si>
    <t>Current through the diode [mA]</t>
  </si>
  <si>
    <t>Power loss [mW]</t>
  </si>
  <si>
    <t>Forward voltage [V]</t>
  </si>
  <si>
    <t>Total loss [mW]</t>
  </si>
  <si>
    <r>
      <t>Resistance [m</t>
    </r>
    <r>
      <rPr>
        <sz val="11"/>
        <color theme="1"/>
        <rFont val="Calibri"/>
        <family val="2"/>
      </rPr>
      <t>Ω]</t>
    </r>
  </si>
  <si>
    <t>Current through the component [mA]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</si>
</sst>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6" tint="-0.249977111117893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3" fillId="5" borderId="2" applyNumberFormat="0" applyAlignment="0" applyProtection="0"/>
    <xf numFmtId="0" fontId="5" fillId="6" borderId="3" applyNumberFormat="0" applyFont="0" applyAlignment="0" applyProtection="0"/>
  </cellStyleXfs>
  <cellXfs count="170">
    <xf numFmtId="0" fontId="0" fillId="0" borderId="0" xfId="0"/>
    <xf numFmtId="0" fontId="0" fillId="0" borderId="4" xfId="0" applyBorder="1"/>
    <xf numFmtId="0" fontId="0" fillId="0" borderId="0" xfId="0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0" fontId="0" fillId="0" borderId="0" xfId="0" applyBorder="1"/>
    <xf numFmtId="0" fontId="0" fillId="0" borderId="24" xfId="0" applyBorder="1" applyAlignment="1">
      <alignment horizontal="center" vertical="center" wrapText="1"/>
    </xf>
    <xf numFmtId="0" fontId="1" fillId="7" borderId="26" xfId="0" applyFont="1" applyFill="1" applyBorder="1" applyAlignment="1">
      <alignment horizontal="center" wrapText="1"/>
    </xf>
    <xf numFmtId="0" fontId="1" fillId="7" borderId="24" xfId="0" applyFont="1" applyFill="1" applyBorder="1" applyAlignment="1">
      <alignment horizontal="center" vertical="center" wrapText="1"/>
    </xf>
    <xf numFmtId="0" fontId="1" fillId="7" borderId="12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wrapText="1"/>
    </xf>
    <xf numFmtId="0" fontId="10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9" fillId="0" borderId="0" xfId="0" applyFont="1" applyAlignment="1">
      <alignment horizontal="center" wrapText="1"/>
    </xf>
    <xf numFmtId="0" fontId="10" fillId="0" borderId="0" xfId="0" applyFont="1" applyAlignment="1">
      <alignment horizontal="center" wrapText="1"/>
    </xf>
    <xf numFmtId="0" fontId="1" fillId="0" borderId="0" xfId="0" applyFont="1" applyBorder="1" applyAlignment="1">
      <alignment horizontal="center" wrapText="1"/>
    </xf>
    <xf numFmtId="0" fontId="9" fillId="0" borderId="0" xfId="0" applyFont="1" applyBorder="1" applyAlignment="1">
      <alignment wrapText="1"/>
    </xf>
    <xf numFmtId="0" fontId="10" fillId="0" borderId="0" xfId="0" applyFont="1" applyBorder="1" applyAlignment="1">
      <alignment wrapText="1"/>
    </xf>
    <xf numFmtId="0" fontId="9" fillId="0" borderId="0" xfId="0" applyFont="1" applyBorder="1" applyAlignment="1">
      <alignment horizontal="center" wrapText="1"/>
    </xf>
    <xf numFmtId="0" fontId="10" fillId="0" borderId="0" xfId="0" applyFont="1" applyFill="1" applyBorder="1" applyAlignment="1">
      <alignment wrapText="1"/>
    </xf>
    <xf numFmtId="0" fontId="0" fillId="0" borderId="0" xfId="0" applyFill="1" applyBorder="1" applyAlignment="1">
      <alignment horizontal="center" wrapText="1"/>
    </xf>
    <xf numFmtId="0" fontId="1" fillId="0" borderId="11" xfId="0" applyFont="1" applyBorder="1" applyAlignment="1">
      <alignment horizontal="center" wrapText="1"/>
    </xf>
    <xf numFmtId="0" fontId="9" fillId="0" borderId="18" xfId="0" applyFont="1" applyBorder="1" applyAlignment="1">
      <alignment horizontal="center" wrapText="1"/>
    </xf>
    <xf numFmtId="0" fontId="9" fillId="0" borderId="19" xfId="0" applyFont="1" applyBorder="1" applyAlignment="1">
      <alignment horizontal="center" wrapText="1"/>
    </xf>
    <xf numFmtId="0" fontId="9" fillId="0" borderId="20" xfId="0" applyFont="1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1" fontId="0" fillId="0" borderId="1" xfId="0" applyNumberFormat="1" applyBorder="1" applyAlignment="1">
      <alignment horizontal="center" wrapText="1"/>
    </xf>
    <xf numFmtId="164" fontId="1" fillId="0" borderId="8" xfId="0" applyNumberFormat="1" applyFont="1" applyBorder="1" applyAlignment="1">
      <alignment horizontal="center" wrapText="1"/>
    </xf>
    <xf numFmtId="0" fontId="1" fillId="7" borderId="24" xfId="0" applyFont="1" applyFill="1" applyBorder="1" applyAlignment="1">
      <alignment horizontal="center" vertical="center" wrapText="1"/>
    </xf>
    <xf numFmtId="0" fontId="1" fillId="7" borderId="25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wrapText="1"/>
    </xf>
    <xf numFmtId="0" fontId="0" fillId="3" borderId="1" xfId="0" applyFont="1" applyFill="1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9" xfId="0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29" xfId="0" applyBorder="1" applyAlignment="1">
      <alignment horizontal="center" wrapText="1"/>
    </xf>
    <xf numFmtId="0" fontId="0" fillId="0" borderId="16" xfId="0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0" fontId="4" fillId="0" borderId="0" xfId="0" applyFont="1" applyFill="1" applyBorder="1" applyAlignment="1">
      <alignment horizontal="center" wrapText="1"/>
    </xf>
    <xf numFmtId="0" fontId="1" fillId="7" borderId="25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wrapText="1"/>
    </xf>
    <xf numFmtId="1" fontId="0" fillId="0" borderId="7" xfId="0" applyNumberFormat="1" applyBorder="1" applyAlignment="1">
      <alignment horizontal="center" wrapText="1"/>
    </xf>
    <xf numFmtId="1" fontId="2" fillId="0" borderId="7" xfId="0" applyNumberFormat="1" applyFont="1" applyBorder="1" applyAlignment="1">
      <alignment horizontal="center" wrapText="1"/>
    </xf>
    <xf numFmtId="1" fontId="2" fillId="0" borderId="9" xfId="0" applyNumberFormat="1" applyFont="1" applyBorder="1" applyAlignment="1">
      <alignment horizontal="center" wrapText="1"/>
    </xf>
    <xf numFmtId="0" fontId="1" fillId="0" borderId="0" xfId="0" applyFont="1" applyFill="1" applyBorder="1" applyAlignment="1">
      <alignment horizontal="center" wrapText="1"/>
    </xf>
    <xf numFmtId="0" fontId="0" fillId="0" borderId="30" xfId="0" applyBorder="1" applyAlignment="1">
      <alignment horizontal="center" wrapText="1"/>
    </xf>
    <xf numFmtId="1" fontId="2" fillId="0" borderId="0" xfId="0" applyNumberFormat="1" applyFont="1" applyFill="1" applyBorder="1" applyAlignment="1">
      <alignment horizontal="center" wrapText="1"/>
    </xf>
    <xf numFmtId="1" fontId="0" fillId="0" borderId="0" xfId="0" applyNumberFormat="1" applyFill="1" applyBorder="1" applyAlignment="1">
      <alignment horizontal="center" wrapText="1"/>
    </xf>
    <xf numFmtId="2" fontId="2" fillId="0" borderId="0" xfId="0" applyNumberFormat="1" applyFont="1" applyFill="1" applyBorder="1" applyAlignment="1">
      <alignment horizontal="center" wrapText="1"/>
    </xf>
    <xf numFmtId="0" fontId="3" fillId="0" borderId="0" xfId="2" applyFont="1" applyFill="1" applyBorder="1" applyAlignment="1">
      <alignment horizontal="center" wrapText="1"/>
    </xf>
    <xf numFmtId="2" fontId="2" fillId="0" borderId="0" xfId="2" applyNumberFormat="1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center" wrapText="1"/>
    </xf>
    <xf numFmtId="0" fontId="3" fillId="0" borderId="0" xfId="1" applyFill="1" applyBorder="1" applyAlignment="1">
      <alignment horizontal="center" wrapText="1"/>
    </xf>
    <xf numFmtId="2" fontId="0" fillId="0" borderId="0" xfId="0" applyNumberFormat="1" applyFill="1" applyBorder="1" applyAlignment="1">
      <alignment horizontal="center" wrapText="1"/>
    </xf>
    <xf numFmtId="164" fontId="0" fillId="0" borderId="1" xfId="0" applyNumberFormat="1" applyBorder="1" applyAlignment="1">
      <alignment horizontal="center" wrapText="1"/>
    </xf>
    <xf numFmtId="2" fontId="0" fillId="0" borderId="0" xfId="0" applyNumberFormat="1" applyBorder="1" applyAlignment="1">
      <alignment horizontal="center" wrapText="1"/>
    </xf>
    <xf numFmtId="1" fontId="0" fillId="0" borderId="0" xfId="0" applyNumberFormat="1" applyBorder="1" applyAlignment="1">
      <alignment horizontal="center" wrapText="1"/>
    </xf>
    <xf numFmtId="0" fontId="0" fillId="2" borderId="1" xfId="0" applyFill="1" applyBorder="1" applyAlignment="1">
      <alignment horizontal="center" wrapText="1"/>
    </xf>
    <xf numFmtId="1" fontId="0" fillId="2" borderId="1" xfId="0" applyNumberFormat="1" applyFill="1" applyBorder="1" applyAlignment="1">
      <alignment horizontal="center" wrapText="1"/>
    </xf>
    <xf numFmtId="1" fontId="1" fillId="4" borderId="1" xfId="0" applyNumberFormat="1" applyFont="1" applyFill="1" applyBorder="1" applyAlignment="1">
      <alignment horizontal="center" wrapText="1"/>
    </xf>
    <xf numFmtId="164" fontId="1" fillId="4" borderId="8" xfId="0" applyNumberFormat="1" applyFont="1" applyFill="1" applyBorder="1" applyAlignment="1">
      <alignment horizontal="center" wrapText="1"/>
    </xf>
    <xf numFmtId="0" fontId="1" fillId="0" borderId="12" xfId="0" applyFont="1" applyBorder="1" applyAlignment="1">
      <alignment horizontal="center" wrapText="1"/>
    </xf>
    <xf numFmtId="1" fontId="0" fillId="0" borderId="7" xfId="0" applyNumberFormat="1" applyFont="1" applyBorder="1" applyAlignment="1">
      <alignment horizontal="center" wrapText="1"/>
    </xf>
    <xf numFmtId="1" fontId="1" fillId="4" borderId="7" xfId="0" applyNumberFormat="1" applyFont="1" applyFill="1" applyBorder="1" applyAlignment="1">
      <alignment horizontal="center" wrapText="1"/>
    </xf>
    <xf numFmtId="164" fontId="0" fillId="0" borderId="9" xfId="0" applyNumberFormat="1" applyBorder="1" applyAlignment="1">
      <alignment horizontal="center" wrapText="1"/>
    </xf>
    <xf numFmtId="0" fontId="1" fillId="0" borderId="0" xfId="0" applyFont="1" applyBorder="1" applyAlignment="1">
      <alignment horizontal="center" vertical="center" wrapText="1"/>
    </xf>
    <xf numFmtId="1" fontId="2" fillId="0" borderId="0" xfId="0" applyNumberFormat="1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wrapText="1"/>
    </xf>
    <xf numFmtId="0" fontId="1" fillId="0" borderId="1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 wrapText="1"/>
    </xf>
    <xf numFmtId="1" fontId="0" fillId="0" borderId="8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6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wrapText="1"/>
    </xf>
    <xf numFmtId="0" fontId="0" fillId="0" borderId="0" xfId="0" applyBorder="1" applyAlignment="1">
      <alignment horizontal="center" vertical="center" wrapText="1"/>
    </xf>
    <xf numFmtId="1" fontId="2" fillId="0" borderId="0" xfId="0" applyNumberFormat="1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1" fillId="0" borderId="33" xfId="0" applyFont="1" applyBorder="1" applyAlignment="1">
      <alignment horizontal="center" wrapText="1"/>
    </xf>
    <xf numFmtId="0" fontId="1" fillId="0" borderId="31" xfId="0" applyFont="1" applyBorder="1" applyAlignment="1">
      <alignment horizontal="center" wrapText="1"/>
    </xf>
    <xf numFmtId="0" fontId="1" fillId="0" borderId="34" xfId="0" applyFont="1" applyBorder="1" applyAlignment="1">
      <alignment horizontal="center" wrapText="1"/>
    </xf>
    <xf numFmtId="1" fontId="2" fillId="0" borderId="8" xfId="0" applyNumberFormat="1" applyFont="1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0" fillId="0" borderId="33" xfId="0" applyBorder="1" applyAlignment="1">
      <alignment horizontal="center" wrapText="1"/>
    </xf>
    <xf numFmtId="0" fontId="0" fillId="0" borderId="35" xfId="0" applyBorder="1" applyAlignment="1">
      <alignment horizontal="center" wrapText="1"/>
    </xf>
    <xf numFmtId="0" fontId="0" fillId="3" borderId="1" xfId="0" applyFill="1" applyBorder="1" applyAlignment="1">
      <alignment horizontal="center" wrapText="1"/>
    </xf>
    <xf numFmtId="0" fontId="0" fillId="3" borderId="7" xfId="0" applyFill="1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0" fillId="0" borderId="20" xfId="0" applyBorder="1" applyAlignment="1">
      <alignment horizontal="center" wrapText="1"/>
    </xf>
    <xf numFmtId="0" fontId="0" fillId="3" borderId="23" xfId="0" applyFill="1" applyBorder="1" applyAlignment="1">
      <alignment horizontal="center" wrapText="1"/>
    </xf>
    <xf numFmtId="0" fontId="0" fillId="0" borderId="5" xfId="0" applyBorder="1"/>
    <xf numFmtId="0" fontId="0" fillId="3" borderId="27" xfId="0" applyFill="1" applyBorder="1" applyAlignment="1">
      <alignment horizontal="center" wrapText="1"/>
    </xf>
    <xf numFmtId="0" fontId="0" fillId="3" borderId="36" xfId="0" applyFill="1" applyBorder="1" applyAlignment="1">
      <alignment horizontal="center" wrapText="1"/>
    </xf>
    <xf numFmtId="0" fontId="1" fillId="8" borderId="22" xfId="0" applyFont="1" applyFill="1" applyBorder="1" applyAlignment="1">
      <alignment horizontal="center" wrapText="1"/>
    </xf>
    <xf numFmtId="0" fontId="0" fillId="8" borderId="22" xfId="0" applyFill="1" applyBorder="1" applyAlignment="1">
      <alignment horizontal="center" wrapText="1"/>
    </xf>
    <xf numFmtId="0" fontId="1" fillId="8" borderId="8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 wrapText="1"/>
    </xf>
    <xf numFmtId="0" fontId="1" fillId="8" borderId="11" xfId="0" applyFont="1" applyFill="1" applyBorder="1" applyAlignment="1">
      <alignment horizontal="center" wrapText="1"/>
    </xf>
    <xf numFmtId="0" fontId="1" fillId="8" borderId="13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wrapText="1"/>
    </xf>
    <xf numFmtId="0" fontId="1" fillId="8" borderId="8" xfId="0" applyFont="1" applyFill="1" applyBorder="1" applyAlignment="1">
      <alignment horizontal="center" wrapText="1"/>
    </xf>
    <xf numFmtId="0" fontId="0" fillId="0" borderId="1" xfId="0" applyFont="1" applyFill="1" applyBorder="1" applyAlignment="1">
      <alignment horizontal="center" wrapText="1"/>
    </xf>
    <xf numFmtId="0" fontId="0" fillId="0" borderId="11" xfId="0" applyFont="1" applyBorder="1" applyAlignment="1">
      <alignment horizontal="center" wrapText="1"/>
    </xf>
    <xf numFmtId="1" fontId="0" fillId="3" borderId="1" xfId="0" applyNumberFormat="1" applyFont="1" applyFill="1" applyBorder="1" applyAlignment="1">
      <alignment horizontal="center" vertical="center" wrapText="1"/>
    </xf>
    <xf numFmtId="0" fontId="1" fillId="0" borderId="39" xfId="0" applyFont="1" applyBorder="1" applyAlignment="1">
      <alignment horizontal="center" wrapText="1"/>
    </xf>
    <xf numFmtId="0" fontId="1" fillId="8" borderId="40" xfId="0" applyFont="1" applyFill="1" applyBorder="1" applyAlignment="1">
      <alignment horizontal="center" wrapText="1"/>
    </xf>
    <xf numFmtId="0" fontId="1" fillId="8" borderId="21" xfId="0" applyFont="1" applyFill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1" fontId="0" fillId="0" borderId="1" xfId="0" applyNumberFormat="1" applyFont="1" applyFill="1" applyBorder="1" applyAlignment="1">
      <alignment horizontal="center" vertical="center" wrapText="1"/>
    </xf>
    <xf numFmtId="1" fontId="6" fillId="0" borderId="1" xfId="0" applyNumberFormat="1" applyFont="1" applyFill="1" applyBorder="1" applyAlignment="1">
      <alignment horizontal="center" wrapText="1"/>
    </xf>
    <xf numFmtId="2" fontId="0" fillId="0" borderId="1" xfId="0" applyNumberFormat="1" applyBorder="1" applyAlignment="1">
      <alignment horizontal="center" vertical="center" wrapText="1"/>
    </xf>
    <xf numFmtId="164" fontId="1" fillId="0" borderId="8" xfId="0" applyNumberFormat="1" applyFont="1" applyBorder="1" applyAlignment="1">
      <alignment horizontal="center" vertical="center" wrapText="1"/>
    </xf>
    <xf numFmtId="1" fontId="0" fillId="0" borderId="0" xfId="0" applyNumberFormat="1" applyBorder="1" applyAlignment="1">
      <alignment horizontal="center" vertical="center" wrapText="1"/>
    </xf>
    <xf numFmtId="164" fontId="1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1" fontId="6" fillId="0" borderId="1" xfId="0" applyNumberFormat="1" applyFont="1" applyFill="1" applyBorder="1" applyAlignment="1">
      <alignment horizontal="center" vertical="center" wrapText="1"/>
    </xf>
    <xf numFmtId="1" fontId="6" fillId="0" borderId="8" xfId="0" applyNumberFormat="1" applyFont="1" applyFill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1" fillId="8" borderId="25" xfId="0" applyFont="1" applyFill="1" applyBorder="1" applyAlignment="1">
      <alignment horizontal="center" vertical="center" wrapText="1"/>
    </xf>
    <xf numFmtId="0" fontId="11" fillId="8" borderId="26" xfId="0" applyFont="1" applyFill="1" applyBorder="1" applyAlignment="1">
      <alignment horizontal="center" vertical="center" wrapText="1"/>
    </xf>
    <xf numFmtId="0" fontId="1" fillId="8" borderId="11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1" fillId="8" borderId="12" xfId="0" applyFont="1" applyFill="1" applyBorder="1" applyAlignment="1">
      <alignment horizontal="center" vertical="center" wrapText="1"/>
    </xf>
    <xf numFmtId="1" fontId="0" fillId="0" borderId="7" xfId="0" applyNumberFormat="1" applyFill="1" applyBorder="1" applyAlignment="1">
      <alignment horizontal="center" vertical="center" wrapText="1"/>
    </xf>
    <xf numFmtId="1" fontId="0" fillId="0" borderId="9" xfId="0" applyNumberFormat="1" applyFill="1" applyBorder="1" applyAlignment="1">
      <alignment horizontal="center" vertical="center" wrapText="1"/>
    </xf>
    <xf numFmtId="164" fontId="0" fillId="0" borderId="0" xfId="0" applyNumberFormat="1" applyBorder="1" applyAlignment="1">
      <alignment horizontal="center" vertical="center" wrapText="1"/>
    </xf>
    <xf numFmtId="164" fontId="6" fillId="0" borderId="16" xfId="0" applyNumberFormat="1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164" fontId="0" fillId="0" borderId="15" xfId="0" applyNumberForma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12" fillId="0" borderId="4" xfId="0" applyFont="1" applyBorder="1" applyAlignment="1">
      <alignment vertical="center" wrapText="1"/>
    </xf>
    <xf numFmtId="164" fontId="0" fillId="0" borderId="42" xfId="0" applyNumberFormat="1" applyBorder="1" applyAlignment="1">
      <alignment horizontal="center" vertical="center" wrapText="1"/>
    </xf>
    <xf numFmtId="164" fontId="0" fillId="0" borderId="43" xfId="0" applyNumberFormat="1" applyBorder="1" applyAlignment="1">
      <alignment horizontal="center" vertical="center" wrapText="1"/>
    </xf>
    <xf numFmtId="0" fontId="0" fillId="8" borderId="24" xfId="0" applyFill="1" applyBorder="1" applyAlignment="1">
      <alignment horizontal="center" vertical="center" wrapText="1"/>
    </xf>
    <xf numFmtId="0" fontId="0" fillId="8" borderId="25" xfId="0" applyFill="1" applyBorder="1" applyAlignment="1">
      <alignment horizontal="center" vertical="center" wrapText="1"/>
    </xf>
    <xf numFmtId="0" fontId="0" fillId="8" borderId="26" xfId="0" applyFill="1" applyBorder="1" applyAlignment="1">
      <alignment horizontal="center" vertical="center" wrapText="1"/>
    </xf>
    <xf numFmtId="0" fontId="12" fillId="0" borderId="0" xfId="0" applyFont="1" applyBorder="1" applyAlignment="1">
      <alignment vertical="center" wrapText="1"/>
    </xf>
    <xf numFmtId="164" fontId="0" fillId="0" borderId="28" xfId="0" applyNumberFormat="1" applyBorder="1" applyAlignment="1">
      <alignment horizontal="center" vertical="center" wrapText="1"/>
    </xf>
    <xf numFmtId="164" fontId="0" fillId="0" borderId="44" xfId="0" applyNumberFormat="1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0" fillId="0" borderId="45" xfId="0" applyFill="1" applyBorder="1" applyAlignment="1">
      <alignment horizontal="center" vertical="center" wrapText="1"/>
    </xf>
    <xf numFmtId="0" fontId="0" fillId="0" borderId="29" xfId="0" applyFont="1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1" fontId="0" fillId="0" borderId="47" xfId="0" applyNumberFormat="1" applyBorder="1" applyAlignment="1">
      <alignment horizontal="center" vertical="center" wrapText="1"/>
    </xf>
    <xf numFmtId="1" fontId="0" fillId="0" borderId="48" xfId="0" applyNumberFormat="1" applyBorder="1" applyAlignment="1">
      <alignment horizontal="center" vertical="center" wrapText="1"/>
    </xf>
    <xf numFmtId="1" fontId="0" fillId="0" borderId="49" xfId="0" applyNumberFormat="1" applyBorder="1" applyAlignment="1">
      <alignment horizontal="center" vertical="center" wrapText="1"/>
    </xf>
    <xf numFmtId="1" fontId="0" fillId="0" borderId="43" xfId="0" applyNumberFormat="1" applyBorder="1" applyAlignment="1">
      <alignment horizontal="center" vertical="center" wrapText="1"/>
    </xf>
    <xf numFmtId="1" fontId="0" fillId="0" borderId="44" xfId="0" applyNumberFormat="1" applyBorder="1" applyAlignment="1">
      <alignment horizontal="center" vertical="center" wrapText="1"/>
    </xf>
    <xf numFmtId="0" fontId="12" fillId="8" borderId="10" xfId="0" applyFont="1" applyFill="1" applyBorder="1" applyAlignment="1">
      <alignment horizontal="center" vertical="center" wrapText="1"/>
    </xf>
    <xf numFmtId="0" fontId="12" fillId="8" borderId="35" xfId="0" applyFont="1" applyFill="1" applyBorder="1" applyAlignment="1">
      <alignment horizontal="center" vertical="center" wrapText="1"/>
    </xf>
    <xf numFmtId="0" fontId="12" fillId="8" borderId="50" xfId="0" applyFont="1" applyFill="1" applyBorder="1" applyAlignment="1">
      <alignment horizontal="center" vertical="center" wrapText="1"/>
    </xf>
    <xf numFmtId="1" fontId="2" fillId="0" borderId="51" xfId="0" applyNumberFormat="1" applyFont="1" applyBorder="1" applyAlignment="1">
      <alignment horizontal="center" vertical="center" wrapText="1"/>
    </xf>
    <xf numFmtId="1" fontId="2" fillId="0" borderId="41" xfId="0" applyNumberFormat="1" applyFont="1" applyBorder="1" applyAlignment="1">
      <alignment horizontal="center" vertical="center" wrapText="1"/>
    </xf>
  </cellXfs>
  <cellStyles count="3">
    <cellStyle name="Normal" xfId="0" builtinId="0"/>
    <cellStyle name="Note" xfId="2" builtinId="10"/>
    <cellStyle name="Sortie" xfId="1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68"/>
  <sheetViews>
    <sheetView tabSelected="1" zoomScale="70" zoomScaleNormal="70" workbookViewId="0">
      <selection activeCell="Q11" sqref="Q11"/>
    </sheetView>
  </sheetViews>
  <sheetFormatPr baseColWidth="10" defaultRowHeight="14.4" x14ac:dyDescent="0.3"/>
  <cols>
    <col min="1" max="1" width="15.88671875" style="2" customWidth="1"/>
    <col min="2" max="2" width="14.109375" style="2" customWidth="1"/>
    <col min="3" max="3" width="15" style="2" customWidth="1"/>
    <col min="4" max="4" width="15.77734375" style="2" customWidth="1"/>
    <col min="5" max="5" width="12.88671875" style="2" customWidth="1"/>
    <col min="6" max="6" width="12" style="2" customWidth="1"/>
    <col min="7" max="7" width="11.5546875" style="2"/>
    <col min="8" max="8" width="18.5546875" style="2" customWidth="1"/>
    <col min="9" max="9" width="16" style="2" customWidth="1"/>
    <col min="10" max="10" width="14.88671875" style="2" bestFit="1" customWidth="1"/>
    <col min="11" max="11" width="14" style="2" customWidth="1"/>
    <col min="12" max="14" width="16" style="2" bestFit="1" customWidth="1"/>
    <col min="15" max="16384" width="11.5546875" style="2"/>
  </cols>
  <sheetData>
    <row r="1" spans="1:21" ht="18" x14ac:dyDescent="0.35">
      <c r="B1" s="11" t="s">
        <v>9</v>
      </c>
      <c r="C1" s="12"/>
      <c r="D1" s="12"/>
      <c r="E1" s="12"/>
      <c r="O1" s="13"/>
      <c r="S1" s="5"/>
    </row>
    <row r="2" spans="1:21" ht="18.600000000000001" thickBot="1" x14ac:dyDescent="0.4">
      <c r="B2" s="14"/>
      <c r="C2" s="15"/>
      <c r="D2" s="15"/>
      <c r="E2" s="15"/>
      <c r="H2" s="5"/>
      <c r="I2" s="5"/>
      <c r="J2" s="5"/>
      <c r="K2" s="5"/>
      <c r="L2" s="5"/>
      <c r="M2" s="5"/>
      <c r="N2" s="5"/>
      <c r="O2" s="16"/>
      <c r="P2" s="5"/>
      <c r="Q2" s="5"/>
      <c r="R2" s="5"/>
      <c r="S2" s="5"/>
    </row>
    <row r="3" spans="1:21" ht="18.600000000000001" thickBot="1" x14ac:dyDescent="0.4">
      <c r="A3" s="23" t="s">
        <v>17</v>
      </c>
      <c r="B3" s="91"/>
      <c r="C3" s="91"/>
      <c r="D3" s="91"/>
      <c r="E3" s="91"/>
      <c r="F3" s="92"/>
      <c r="H3" s="5"/>
      <c r="I3" s="17"/>
      <c r="J3" s="18"/>
      <c r="K3" s="19"/>
      <c r="L3" s="19"/>
      <c r="M3" s="18"/>
      <c r="N3" s="20"/>
      <c r="O3" s="21"/>
      <c r="P3" s="21"/>
      <c r="Q3" s="21"/>
      <c r="R3" s="21"/>
      <c r="S3" s="21"/>
      <c r="T3" s="21"/>
      <c r="U3" s="21"/>
    </row>
    <row r="4" spans="1:21" ht="30" thickBot="1" x14ac:dyDescent="0.4">
      <c r="A4" s="108"/>
      <c r="B4" s="110" t="s">
        <v>48</v>
      </c>
      <c r="C4" s="110" t="s">
        <v>44</v>
      </c>
      <c r="D4" s="110" t="s">
        <v>45</v>
      </c>
      <c r="E4" s="110" t="s">
        <v>46</v>
      </c>
      <c r="F4" s="109" t="s">
        <v>47</v>
      </c>
      <c r="H4" s="5"/>
      <c r="I4" s="23" t="s">
        <v>16</v>
      </c>
      <c r="J4" s="24"/>
      <c r="K4" s="24"/>
      <c r="L4" s="24"/>
      <c r="M4" s="25"/>
      <c r="N4" s="21"/>
      <c r="O4" s="21"/>
      <c r="P4" s="21"/>
      <c r="Q4" s="21"/>
      <c r="R4" s="21"/>
      <c r="S4" s="21"/>
      <c r="T4" s="21"/>
      <c r="U4" s="21"/>
    </row>
    <row r="5" spans="1:21" ht="28.8" x14ac:dyDescent="0.3">
      <c r="A5" s="26" t="s">
        <v>0</v>
      </c>
      <c r="B5" s="27">
        <f>E29</f>
        <v>163.18681318681317</v>
      </c>
      <c r="C5" s="4">
        <f>I6</f>
        <v>92.88</v>
      </c>
      <c r="D5" s="27">
        <f t="shared" ref="D5:D14" si="0">C5/$I$6*100</f>
        <v>100</v>
      </c>
      <c r="E5" s="27">
        <f>B5/100*D5</f>
        <v>163.18681318681317</v>
      </c>
      <c r="F5" s="28">
        <f>E5/$E$19*100</f>
        <v>10.506643101011214</v>
      </c>
      <c r="H5" s="5"/>
      <c r="I5" s="29" t="s">
        <v>19</v>
      </c>
      <c r="J5" s="30" t="s">
        <v>18</v>
      </c>
      <c r="K5" s="30" t="s">
        <v>20</v>
      </c>
      <c r="L5" s="30" t="s">
        <v>21</v>
      </c>
      <c r="M5" s="8" t="s">
        <v>25</v>
      </c>
      <c r="N5" s="31"/>
      <c r="O5" s="21"/>
      <c r="P5" s="21"/>
      <c r="Q5" s="32"/>
      <c r="R5" s="32"/>
      <c r="S5" s="32"/>
      <c r="T5" s="21"/>
      <c r="U5" s="21"/>
    </row>
    <row r="6" spans="1:21" ht="15" thickBot="1" x14ac:dyDescent="0.35">
      <c r="A6" s="26" t="s">
        <v>1</v>
      </c>
      <c r="B6" s="27">
        <f>E30</f>
        <v>4532.9670329670325</v>
      </c>
      <c r="C6" s="33">
        <v>3.1</v>
      </c>
      <c r="D6" s="27">
        <f>C6/$I$6*100</f>
        <v>3.3376399655469422</v>
      </c>
      <c r="E6" s="27">
        <f t="shared" ref="E6:E13" si="1">B6/100*D6</f>
        <v>151.29411931737513</v>
      </c>
      <c r="F6" s="28">
        <f>E6/$E$19*100</f>
        <v>9.740942199353638</v>
      </c>
      <c r="H6" s="5"/>
      <c r="I6" s="34">
        <v>92.88</v>
      </c>
      <c r="J6" s="35">
        <v>28.3</v>
      </c>
      <c r="K6" s="35">
        <v>66.37</v>
      </c>
      <c r="L6" s="35">
        <v>92.5</v>
      </c>
      <c r="M6" s="36">
        <v>1367</v>
      </c>
      <c r="N6" s="37"/>
      <c r="O6" s="21"/>
      <c r="P6" s="21"/>
      <c r="Q6" s="21"/>
      <c r="R6" s="21"/>
      <c r="S6" s="21"/>
      <c r="T6" s="21"/>
      <c r="U6" s="21"/>
    </row>
    <row r="7" spans="1:21" ht="15" thickBot="1" x14ac:dyDescent="0.35">
      <c r="A7" s="26" t="s">
        <v>2</v>
      </c>
      <c r="B7" s="27">
        <f>E30</f>
        <v>4532.9670329670325</v>
      </c>
      <c r="C7" s="33">
        <v>3.1</v>
      </c>
      <c r="D7" s="27">
        <f t="shared" si="0"/>
        <v>3.3376399655469422</v>
      </c>
      <c r="E7" s="27">
        <f>B7/100*D7</f>
        <v>151.29411931737513</v>
      </c>
      <c r="F7" s="28">
        <f>E7/$E$19*100</f>
        <v>9.740942199353638</v>
      </c>
      <c r="H7" s="5"/>
      <c r="I7" s="38"/>
      <c r="J7" s="39"/>
      <c r="K7" s="39"/>
      <c r="L7" s="39"/>
      <c r="M7" s="40"/>
      <c r="N7" s="37"/>
      <c r="O7" s="32"/>
      <c r="P7" s="32"/>
      <c r="Q7" s="41"/>
      <c r="R7" s="21"/>
      <c r="S7" s="21"/>
      <c r="T7" s="21"/>
      <c r="U7" s="21"/>
    </row>
    <row r="8" spans="1:21" x14ac:dyDescent="0.3">
      <c r="A8" s="26" t="s">
        <v>3</v>
      </c>
      <c r="B8" s="27">
        <f>E27</f>
        <v>87.912087912087912</v>
      </c>
      <c r="C8" s="4">
        <f>I6/2</f>
        <v>46.44</v>
      </c>
      <c r="D8" s="27">
        <f>C8/$I$6*100</f>
        <v>50</v>
      </c>
      <c r="E8" s="27">
        <f>B8/100*D8</f>
        <v>43.956043956043956</v>
      </c>
      <c r="F8" s="28">
        <f>E8/$E$19*100</f>
        <v>2.8300722157605969</v>
      </c>
      <c r="H8" s="5"/>
      <c r="I8" s="9" t="s">
        <v>23</v>
      </c>
      <c r="J8" s="42" t="s">
        <v>22</v>
      </c>
      <c r="K8" s="42" t="s">
        <v>24</v>
      </c>
      <c r="L8" s="42" t="s">
        <v>26</v>
      </c>
      <c r="M8" s="8" t="s">
        <v>27</v>
      </c>
      <c r="N8" s="43"/>
      <c r="O8" s="32"/>
      <c r="P8" s="32"/>
      <c r="Q8" s="41"/>
      <c r="R8" s="21"/>
      <c r="S8" s="21"/>
      <c r="T8" s="21"/>
      <c r="U8" s="21"/>
    </row>
    <row r="9" spans="1:21" ht="15" thickBot="1" x14ac:dyDescent="0.35">
      <c r="A9" s="26" t="s">
        <v>39</v>
      </c>
      <c r="B9" s="27">
        <f>E28</f>
        <v>604.39560439560432</v>
      </c>
      <c r="C9" s="4">
        <f>I6/2</f>
        <v>46.44</v>
      </c>
      <c r="D9" s="27">
        <f>C9/$I$6*100</f>
        <v>50</v>
      </c>
      <c r="E9" s="27">
        <f>B9/100*D9</f>
        <v>302.19780219780216</v>
      </c>
      <c r="F9" s="28">
        <f>E9/$E$19*100</f>
        <v>19.456746483354102</v>
      </c>
      <c r="H9" s="5"/>
      <c r="I9" s="10"/>
      <c r="J9" s="35">
        <v>32.14</v>
      </c>
      <c r="K9" s="44">
        <f>(I6-J9)/I6*100</f>
        <v>65.396210163652029</v>
      </c>
      <c r="L9" s="45">
        <f>L6*M6*K6*J6*0.00001</f>
        <v>2375.0267227250006</v>
      </c>
      <c r="M9" s="46">
        <f>L9*K9/100</f>
        <v>1553.1774670361383</v>
      </c>
      <c r="N9" s="47"/>
      <c r="O9" s="21"/>
      <c r="P9" s="47"/>
      <c r="Q9" s="47"/>
      <c r="R9" s="21"/>
      <c r="S9" s="21"/>
      <c r="T9" s="21"/>
      <c r="U9" s="21"/>
    </row>
    <row r="10" spans="1:21" ht="15" thickBot="1" x14ac:dyDescent="0.35">
      <c r="A10" s="26" t="s">
        <v>29</v>
      </c>
      <c r="B10" s="117">
        <f>E37</f>
        <v>457.90404717233992</v>
      </c>
      <c r="C10" s="4">
        <f>I6</f>
        <v>92.88</v>
      </c>
      <c r="D10" s="27">
        <f t="shared" si="0"/>
        <v>100</v>
      </c>
      <c r="E10" s="27">
        <f>B10/100*D10</f>
        <v>457.90404717233992</v>
      </c>
      <c r="F10" s="28">
        <f>E10/$E$19*100</f>
        <v>29.481759611548995</v>
      </c>
      <c r="H10" s="5"/>
      <c r="I10" s="48"/>
      <c r="J10" s="39"/>
      <c r="K10" s="39"/>
      <c r="L10" s="39"/>
      <c r="M10" s="40"/>
      <c r="N10" s="49"/>
      <c r="O10" s="50"/>
      <c r="P10" s="49"/>
      <c r="Q10" s="51"/>
      <c r="R10" s="51"/>
      <c r="S10" s="21"/>
      <c r="T10" s="21"/>
      <c r="U10" s="21"/>
    </row>
    <row r="11" spans="1:21" x14ac:dyDescent="0.3">
      <c r="A11" s="106" t="s">
        <v>40</v>
      </c>
      <c r="B11" s="27">
        <f>E31</f>
        <v>109.89010989010988</v>
      </c>
      <c r="C11" s="105">
        <f>I6</f>
        <v>92.88</v>
      </c>
      <c r="D11" s="27">
        <f>C11/$I$6*100</f>
        <v>100</v>
      </c>
      <c r="E11" s="27">
        <f>B11/100*D11</f>
        <v>109.89010989010988</v>
      </c>
      <c r="F11" s="28">
        <f>E11/$E$19*100</f>
        <v>7.0751805394014919</v>
      </c>
      <c r="H11" s="5"/>
      <c r="I11" s="9" t="s">
        <v>28</v>
      </c>
      <c r="J11" s="42" t="s">
        <v>22</v>
      </c>
      <c r="K11" s="42" t="s">
        <v>24</v>
      </c>
      <c r="L11" s="42" t="s">
        <v>26</v>
      </c>
      <c r="M11" s="8" t="s">
        <v>27</v>
      </c>
      <c r="N11" s="49"/>
      <c r="O11" s="50"/>
      <c r="P11" s="49"/>
      <c r="Q11" s="51"/>
      <c r="R11" s="51"/>
      <c r="S11" s="21"/>
      <c r="T11" s="21"/>
      <c r="U11" s="21"/>
    </row>
    <row r="12" spans="1:21" ht="15" thickBot="1" x14ac:dyDescent="0.35">
      <c r="A12" s="106" t="s">
        <v>41</v>
      </c>
      <c r="B12" s="27">
        <f>E32</f>
        <v>219.78021978021977</v>
      </c>
      <c r="C12" s="4">
        <f>J9</f>
        <v>32.14</v>
      </c>
      <c r="D12" s="27">
        <f>C12/$I$6*100</f>
        <v>34.603789836347978</v>
      </c>
      <c r="E12" s="27">
        <f>B12/100*D12</f>
        <v>76.05228535461093</v>
      </c>
      <c r="F12" s="28">
        <f>E12/$E$19*100</f>
        <v>4.8965612087933668</v>
      </c>
      <c r="H12" s="5"/>
      <c r="I12" s="10"/>
      <c r="J12" s="35">
        <v>24.8</v>
      </c>
      <c r="K12" s="44">
        <f>(I6-J12)/I6*100</f>
        <v>73.29888027562447</v>
      </c>
      <c r="L12" s="45">
        <f>L6*M6*K6*J6*0.00001</f>
        <v>2375.0267227250006</v>
      </c>
      <c r="M12" s="46">
        <f>L12*K12/100</f>
        <v>1740.8679940042857</v>
      </c>
      <c r="N12" s="21"/>
      <c r="O12" s="21"/>
      <c r="P12" s="80"/>
      <c r="Q12" s="80"/>
      <c r="R12" s="21"/>
      <c r="S12" s="21"/>
      <c r="T12" s="21"/>
      <c r="U12" s="21"/>
    </row>
    <row r="13" spans="1:21" x14ac:dyDescent="0.3">
      <c r="A13" s="26" t="s">
        <v>4</v>
      </c>
      <c r="B13" s="27">
        <f>E33</f>
        <v>18.131868131868131</v>
      </c>
      <c r="C13" s="4">
        <f>I6</f>
        <v>92.88</v>
      </c>
      <c r="D13" s="27">
        <f t="shared" si="0"/>
        <v>100</v>
      </c>
      <c r="E13" s="27">
        <f t="shared" si="1"/>
        <v>18.131868131868131</v>
      </c>
      <c r="F13" s="28">
        <f>E13/$E$19*100</f>
        <v>1.1674047890012462</v>
      </c>
      <c r="H13" s="5"/>
      <c r="I13" s="52"/>
      <c r="J13" s="53"/>
      <c r="K13" s="53"/>
      <c r="L13" s="21"/>
      <c r="M13" s="21"/>
      <c r="N13" s="49"/>
      <c r="O13" s="54"/>
      <c r="P13" s="80"/>
      <c r="Q13" s="80"/>
      <c r="R13" s="47"/>
      <c r="S13" s="47"/>
      <c r="T13" s="47"/>
      <c r="U13" s="21"/>
    </row>
    <row r="14" spans="1:21" x14ac:dyDescent="0.3">
      <c r="A14" s="26" t="s">
        <v>5</v>
      </c>
      <c r="B14" s="27">
        <f>E34</f>
        <v>18.131868131868131</v>
      </c>
      <c r="C14" s="4">
        <f>I6</f>
        <v>92.88</v>
      </c>
      <c r="D14" s="27">
        <f t="shared" si="0"/>
        <v>100</v>
      </c>
      <c r="E14" s="27">
        <f>B14/100*D14</f>
        <v>18.131868131868131</v>
      </c>
      <c r="F14" s="28">
        <f>E14/$E$19*100</f>
        <v>1.1674047890012462</v>
      </c>
      <c r="H14" s="5"/>
      <c r="I14" s="32"/>
      <c r="J14" s="55"/>
      <c r="K14" s="55"/>
      <c r="L14" s="43"/>
      <c r="M14" s="43"/>
      <c r="N14" s="43"/>
      <c r="O14" s="41"/>
      <c r="P14" s="56"/>
      <c r="Q14" s="49"/>
      <c r="R14" s="49"/>
      <c r="S14" s="49"/>
      <c r="T14" s="51"/>
      <c r="U14" s="21"/>
    </row>
    <row r="15" spans="1:21" x14ac:dyDescent="0.3">
      <c r="A15" s="26" t="s">
        <v>42</v>
      </c>
      <c r="B15" s="27">
        <f>I53</f>
        <v>345.01243843781083</v>
      </c>
      <c r="C15" s="57">
        <f>SUM(C6:C7)</f>
        <v>6.2</v>
      </c>
      <c r="D15" s="27">
        <f>C15/$I$6*100</f>
        <v>6.6752799310938844</v>
      </c>
      <c r="E15" s="27">
        <f>B15/100*D15</f>
        <v>23.030546062816828</v>
      </c>
      <c r="F15" s="28">
        <f>E15/$E$19*100</f>
        <v>1.4828019689704248</v>
      </c>
      <c r="G15" s="5"/>
      <c r="H15" s="5"/>
      <c r="I15" s="32"/>
      <c r="J15" s="55"/>
      <c r="K15" s="55"/>
      <c r="L15" s="41"/>
      <c r="M15" s="21"/>
      <c r="N15" s="21"/>
      <c r="O15" s="41"/>
      <c r="P15" s="58"/>
      <c r="Q15" s="5"/>
      <c r="R15" s="5"/>
      <c r="S15" s="5"/>
    </row>
    <row r="16" spans="1:21" x14ac:dyDescent="0.3">
      <c r="A16" s="112" t="s">
        <v>43</v>
      </c>
      <c r="B16" s="111">
        <f>I51</f>
        <v>41.299550780014492</v>
      </c>
      <c r="C16" s="118">
        <f>I6-C15</f>
        <v>86.679999999999993</v>
      </c>
      <c r="D16" s="27">
        <f>C16/$I$6*100</f>
        <v>93.324720068906103</v>
      </c>
      <c r="E16" s="27">
        <f>B16/100*D16</f>
        <v>38.542690155164252</v>
      </c>
      <c r="F16" s="119">
        <f>E16/$E$19*100</f>
        <v>2.4815380710301964</v>
      </c>
      <c r="G16" s="79"/>
      <c r="H16" s="79"/>
      <c r="I16" s="120"/>
      <c r="J16" s="79"/>
      <c r="K16" s="120"/>
      <c r="L16" s="120"/>
      <c r="M16" s="121"/>
      <c r="N16" s="47"/>
      <c r="O16" s="47"/>
      <c r="P16" s="59"/>
      <c r="Q16" s="5"/>
      <c r="R16" s="5"/>
      <c r="S16" s="5"/>
    </row>
    <row r="17" spans="1:21" x14ac:dyDescent="0.3">
      <c r="A17" s="22" t="s">
        <v>6</v>
      </c>
      <c r="B17" s="60"/>
      <c r="C17" s="60"/>
      <c r="D17" s="61"/>
      <c r="E17" s="62">
        <f>SUM(E5:E16)</f>
        <v>1553.6123128741876</v>
      </c>
      <c r="F17" s="28">
        <f>SUM(F5:F16)</f>
        <v>100.02799717658017</v>
      </c>
      <c r="G17" s="5"/>
      <c r="H17" s="5"/>
      <c r="I17" s="32"/>
      <c r="J17" s="55"/>
      <c r="K17" s="55"/>
      <c r="L17" s="49"/>
      <c r="M17" s="49"/>
      <c r="N17" s="49"/>
      <c r="O17" s="51"/>
      <c r="P17" s="58"/>
      <c r="Q17" s="5"/>
      <c r="R17" s="5"/>
      <c r="S17" s="5"/>
    </row>
    <row r="18" spans="1:21" x14ac:dyDescent="0.3">
      <c r="A18" s="22" t="s">
        <v>7</v>
      </c>
      <c r="B18" s="60"/>
      <c r="C18" s="60"/>
      <c r="D18" s="61"/>
      <c r="E18" s="27">
        <f>E19-E17</f>
        <v>-0.43484583804934118</v>
      </c>
      <c r="F18" s="63">
        <f>F19-F17</f>
        <v>-2.7997176580171867E-2</v>
      </c>
      <c r="G18" s="5"/>
      <c r="H18" s="5"/>
      <c r="I18" s="32"/>
      <c r="J18" s="52"/>
      <c r="K18" s="52"/>
      <c r="L18" s="49"/>
      <c r="M18" s="21"/>
      <c r="N18" s="21"/>
      <c r="O18" s="50"/>
      <c r="P18" s="59"/>
      <c r="Q18" s="5"/>
      <c r="R18" s="5"/>
    </row>
    <row r="19" spans="1:21" ht="15" thickBot="1" x14ac:dyDescent="0.35">
      <c r="A19" s="64" t="s">
        <v>8</v>
      </c>
      <c r="B19" s="44"/>
      <c r="C19" s="35"/>
      <c r="D19" s="65"/>
      <c r="E19" s="66">
        <f>M9</f>
        <v>1553.1774670361383</v>
      </c>
      <c r="F19" s="67">
        <v>100</v>
      </c>
      <c r="G19" s="5"/>
      <c r="H19" s="5"/>
      <c r="I19" s="32"/>
      <c r="J19" s="52"/>
      <c r="K19" s="52"/>
      <c r="L19" s="49"/>
      <c r="M19" s="21"/>
      <c r="N19" s="21"/>
      <c r="O19" s="50"/>
      <c r="P19" s="59"/>
      <c r="Q19" s="5"/>
      <c r="R19" s="5"/>
      <c r="S19" s="5"/>
      <c r="T19" s="5"/>
      <c r="U19" s="5"/>
    </row>
    <row r="20" spans="1:21" x14ac:dyDescent="0.3"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</row>
    <row r="21" spans="1:21" ht="15" thickBot="1" x14ac:dyDescent="0.35">
      <c r="P21" s="5"/>
      <c r="Q21" s="76"/>
      <c r="R21" s="76"/>
      <c r="S21" s="76"/>
      <c r="T21" s="5"/>
      <c r="U21" s="5"/>
    </row>
    <row r="22" spans="1:21" ht="18.600000000000001" thickBot="1" x14ac:dyDescent="0.4">
      <c r="A22" s="23" t="s">
        <v>38</v>
      </c>
      <c r="B22" s="24"/>
      <c r="C22" s="24"/>
      <c r="D22" s="24"/>
      <c r="E22" s="25"/>
      <c r="P22" s="5"/>
      <c r="Q22" s="58"/>
      <c r="R22" s="5"/>
      <c r="S22" s="5"/>
      <c r="T22" s="5"/>
      <c r="U22" s="5"/>
    </row>
    <row r="23" spans="1:21" ht="15" thickBot="1" x14ac:dyDescent="0.35">
      <c r="A23" s="1"/>
      <c r="B23" s="6"/>
      <c r="C23" s="6"/>
      <c r="D23" s="6"/>
      <c r="E23" s="94"/>
      <c r="F23"/>
      <c r="P23" s="69"/>
      <c r="Q23" s="69"/>
      <c r="R23" s="69"/>
      <c r="S23" s="5"/>
      <c r="T23" s="5"/>
      <c r="U23" s="5"/>
    </row>
    <row r="24" spans="1:21" customFormat="1" ht="15" thickBot="1" x14ac:dyDescent="0.35">
      <c r="A24" s="97" t="s">
        <v>11</v>
      </c>
      <c r="B24" s="93">
        <v>9.8000000000000007</v>
      </c>
      <c r="C24" s="5"/>
      <c r="D24" s="98" t="s">
        <v>37</v>
      </c>
      <c r="E24" s="93">
        <v>0.91</v>
      </c>
      <c r="F24" s="2"/>
      <c r="G24" s="2"/>
      <c r="H24" s="2"/>
      <c r="I24" s="2"/>
      <c r="J24" s="2"/>
      <c r="K24" s="2"/>
      <c r="L24" s="2"/>
      <c r="M24" s="2"/>
      <c r="N24" s="2"/>
      <c r="O24" s="2"/>
      <c r="P24" s="6"/>
      <c r="Q24" s="6"/>
      <c r="R24" s="6"/>
      <c r="S24" s="6"/>
      <c r="T24" s="6"/>
      <c r="U24" s="6"/>
    </row>
    <row r="25" spans="1:21" x14ac:dyDescent="0.3">
      <c r="A25" s="71"/>
      <c r="B25" s="5"/>
      <c r="C25" s="5"/>
      <c r="D25" s="5"/>
      <c r="E25" s="3"/>
      <c r="P25" s="5"/>
      <c r="Q25" s="5"/>
      <c r="R25" s="5"/>
      <c r="S25" s="5"/>
      <c r="T25" s="5"/>
      <c r="U25" s="5"/>
    </row>
    <row r="26" spans="1:21" ht="53.4" customHeight="1" x14ac:dyDescent="0.3">
      <c r="A26" s="72"/>
      <c r="B26" s="100" t="s">
        <v>31</v>
      </c>
      <c r="C26" s="100" t="s">
        <v>30</v>
      </c>
      <c r="D26" s="100" t="s">
        <v>32</v>
      </c>
      <c r="E26" s="99" t="s">
        <v>33</v>
      </c>
      <c r="P26" s="5"/>
      <c r="Q26" s="76"/>
      <c r="R26" s="76"/>
      <c r="S26" s="76"/>
      <c r="T26" s="5"/>
      <c r="U26" s="5"/>
    </row>
    <row r="27" spans="1:21" x14ac:dyDescent="0.3">
      <c r="A27" s="72" t="s">
        <v>3</v>
      </c>
      <c r="B27" s="73">
        <v>5</v>
      </c>
      <c r="C27" s="74">
        <v>16</v>
      </c>
      <c r="D27" s="73">
        <f>B27*C27</f>
        <v>80</v>
      </c>
      <c r="E27" s="75">
        <f>D27/E24</f>
        <v>87.912087912087912</v>
      </c>
      <c r="P27" s="5"/>
      <c r="Q27" s="5"/>
      <c r="R27" s="59"/>
      <c r="S27" s="5"/>
      <c r="T27" s="5"/>
      <c r="U27" s="5"/>
    </row>
    <row r="28" spans="1:21" x14ac:dyDescent="0.3">
      <c r="A28" s="72" t="s">
        <v>39</v>
      </c>
      <c r="B28" s="73">
        <v>5</v>
      </c>
      <c r="C28" s="74">
        <v>110</v>
      </c>
      <c r="D28" s="73">
        <f>B28*C28</f>
        <v>550</v>
      </c>
      <c r="E28" s="75">
        <f>D28/E24</f>
        <v>604.39560439560432</v>
      </c>
      <c r="P28" s="5"/>
      <c r="Q28" s="5"/>
      <c r="R28" s="5"/>
      <c r="S28" s="5"/>
      <c r="T28" s="5"/>
      <c r="U28" s="5"/>
    </row>
    <row r="29" spans="1:21" x14ac:dyDescent="0.3">
      <c r="A29" s="22" t="s">
        <v>0</v>
      </c>
      <c r="B29" s="73">
        <v>3.3</v>
      </c>
      <c r="C29" s="74">
        <v>45</v>
      </c>
      <c r="D29" s="73">
        <f t="shared" ref="D29:D34" si="2">B29*C29</f>
        <v>148.5</v>
      </c>
      <c r="E29" s="75">
        <f>D29/E24</f>
        <v>163.18681318681317</v>
      </c>
      <c r="P29" s="5"/>
      <c r="Q29" s="5"/>
      <c r="R29" s="5"/>
      <c r="S29" s="5"/>
      <c r="T29" s="5"/>
      <c r="U29" s="5"/>
    </row>
    <row r="30" spans="1:21" x14ac:dyDescent="0.3">
      <c r="A30" s="22" t="s">
        <v>10</v>
      </c>
      <c r="B30" s="73">
        <v>3.3</v>
      </c>
      <c r="C30" s="74">
        <v>1250</v>
      </c>
      <c r="D30" s="73">
        <f t="shared" si="2"/>
        <v>4125</v>
      </c>
      <c r="E30" s="75">
        <f>D30/E24</f>
        <v>4532.9670329670325</v>
      </c>
      <c r="P30" s="5"/>
      <c r="Q30" s="5"/>
      <c r="R30" s="5"/>
      <c r="S30" s="5"/>
      <c r="T30" s="5"/>
      <c r="U30" s="5"/>
    </row>
    <row r="31" spans="1:21" x14ac:dyDescent="0.3">
      <c r="A31" s="22" t="s">
        <v>40</v>
      </c>
      <c r="B31" s="73">
        <v>3.3</v>
      </c>
      <c r="C31" s="116">
        <f>100/3.3</f>
        <v>30.303030303030305</v>
      </c>
      <c r="D31" s="115">
        <v>100</v>
      </c>
      <c r="E31" s="75">
        <f>D31/E24</f>
        <v>109.89010989010988</v>
      </c>
      <c r="G31" s="21"/>
      <c r="H31" s="21"/>
      <c r="I31" s="21"/>
      <c r="J31" s="21"/>
      <c r="K31" s="21"/>
      <c r="L31" s="21"/>
      <c r="M31" s="21"/>
      <c r="N31" s="21"/>
    </row>
    <row r="32" spans="1:21" x14ac:dyDescent="0.3">
      <c r="A32" s="22" t="s">
        <v>41</v>
      </c>
      <c r="B32" s="73">
        <v>3.3</v>
      </c>
      <c r="C32" s="107">
        <f>200/3.3</f>
        <v>60.606060606060609</v>
      </c>
      <c r="D32" s="77">
        <v>200</v>
      </c>
      <c r="E32" s="75">
        <f>D32/E24</f>
        <v>219.78021978021977</v>
      </c>
      <c r="G32" s="21"/>
      <c r="H32" s="21"/>
      <c r="I32" s="21"/>
      <c r="J32" s="21"/>
      <c r="K32" s="21"/>
      <c r="L32" s="21"/>
      <c r="M32" s="21"/>
      <c r="N32" s="21"/>
    </row>
    <row r="33" spans="1:19" x14ac:dyDescent="0.3">
      <c r="A33" s="22" t="s">
        <v>4</v>
      </c>
      <c r="B33" s="73">
        <v>3.3</v>
      </c>
      <c r="C33" s="74">
        <v>5</v>
      </c>
      <c r="D33" s="73">
        <f t="shared" si="2"/>
        <v>16.5</v>
      </c>
      <c r="E33" s="75">
        <f>D33/E24</f>
        <v>18.131868131868131</v>
      </c>
      <c r="G33" s="21"/>
      <c r="H33" s="21"/>
      <c r="I33" s="21"/>
      <c r="J33" s="21"/>
      <c r="K33" s="21"/>
      <c r="L33" s="21"/>
      <c r="M33" s="21"/>
      <c r="N33" s="21"/>
    </row>
    <row r="34" spans="1:19" x14ac:dyDescent="0.3">
      <c r="A34" s="22" t="s">
        <v>5</v>
      </c>
      <c r="B34" s="73">
        <v>3.3</v>
      </c>
      <c r="C34" s="74">
        <v>5</v>
      </c>
      <c r="D34" s="73">
        <f t="shared" si="2"/>
        <v>16.5</v>
      </c>
      <c r="E34" s="75">
        <f>D34/E24</f>
        <v>18.131868131868131</v>
      </c>
      <c r="G34" s="21"/>
      <c r="H34" s="21"/>
      <c r="I34" s="21"/>
      <c r="J34" s="21"/>
      <c r="K34" s="21"/>
      <c r="L34" s="21"/>
      <c r="M34" s="21"/>
      <c r="N34" s="21"/>
    </row>
    <row r="35" spans="1:19" x14ac:dyDescent="0.3">
      <c r="A35" s="82" t="s">
        <v>12</v>
      </c>
      <c r="B35" s="83"/>
      <c r="C35" s="83"/>
      <c r="D35" s="83"/>
      <c r="E35" s="84"/>
    </row>
    <row r="36" spans="1:19" ht="28.8" x14ac:dyDescent="0.3">
      <c r="A36" s="101" t="s">
        <v>34</v>
      </c>
      <c r="B36" s="102" t="s">
        <v>30</v>
      </c>
      <c r="C36" s="100" t="s">
        <v>35</v>
      </c>
      <c r="D36" s="103" t="s">
        <v>33</v>
      </c>
      <c r="E36" s="104" t="s">
        <v>36</v>
      </c>
    </row>
    <row r="37" spans="1:19" x14ac:dyDescent="0.3">
      <c r="A37" s="87">
        <v>3.3</v>
      </c>
      <c r="B37" s="89">
        <v>50</v>
      </c>
      <c r="C37" s="95">
        <v>0.91</v>
      </c>
      <c r="D37" s="27">
        <f>A37*B37/C37</f>
        <v>181.31868131868131</v>
      </c>
      <c r="E37" s="85">
        <f>D37+D38</f>
        <v>457.90404717233992</v>
      </c>
    </row>
    <row r="38" spans="1:19" ht="15" thickBot="1" x14ac:dyDescent="0.35">
      <c r="A38" s="88">
        <v>1.8</v>
      </c>
      <c r="B38" s="90">
        <f>176-50</f>
        <v>126</v>
      </c>
      <c r="C38" s="96">
        <v>0.82</v>
      </c>
      <c r="D38" s="44">
        <f>A38*B38/C38</f>
        <v>276.58536585365857</v>
      </c>
      <c r="E38" s="86"/>
      <c r="P38" s="5"/>
      <c r="Q38" s="5"/>
      <c r="R38" s="5"/>
      <c r="S38" s="5"/>
    </row>
    <row r="39" spans="1:19" x14ac:dyDescent="0.3">
      <c r="A39" s="5"/>
      <c r="B39" s="5"/>
      <c r="C39" s="5"/>
      <c r="D39" s="80"/>
      <c r="E39" s="5"/>
      <c r="P39" s="5"/>
      <c r="Q39" s="5"/>
      <c r="R39" s="5"/>
      <c r="S39" s="5"/>
    </row>
    <row r="40" spans="1:19" ht="15" thickBot="1" x14ac:dyDescent="0.35">
      <c r="A40" s="79"/>
      <c r="B40" s="79"/>
      <c r="C40" s="79"/>
      <c r="D40" s="69"/>
      <c r="E40" s="79"/>
      <c r="F40" s="114"/>
      <c r="G40" s="114"/>
      <c r="H40" s="114"/>
      <c r="I40" s="114"/>
      <c r="J40" s="114"/>
      <c r="K40" s="114"/>
      <c r="L40" s="114"/>
      <c r="M40" s="114"/>
      <c r="N40" s="114"/>
      <c r="P40" s="5"/>
      <c r="Q40" s="5"/>
      <c r="R40" s="5"/>
      <c r="S40" s="5"/>
    </row>
    <row r="41" spans="1:19" ht="16.2" customHeight="1" thickBot="1" x14ac:dyDescent="0.35">
      <c r="A41" s="128" t="s">
        <v>49</v>
      </c>
      <c r="B41" s="129"/>
      <c r="C41" s="129"/>
      <c r="D41" s="129"/>
      <c r="E41" s="129"/>
      <c r="F41" s="129"/>
      <c r="G41" s="129"/>
      <c r="H41" s="129"/>
      <c r="I41" s="130"/>
      <c r="J41" s="114"/>
      <c r="K41" s="114"/>
      <c r="L41" s="114"/>
      <c r="M41" s="114"/>
      <c r="N41" s="114"/>
      <c r="P41" s="69"/>
      <c r="Q41" s="69"/>
      <c r="R41" s="69"/>
      <c r="S41" s="69"/>
    </row>
    <row r="42" spans="1:19" ht="15" thickBot="1" x14ac:dyDescent="0.35">
      <c r="A42" s="131"/>
      <c r="B42" s="79"/>
      <c r="C42" s="79"/>
      <c r="D42" s="5"/>
      <c r="E42" s="79"/>
      <c r="F42" s="79"/>
      <c r="G42" s="68"/>
      <c r="H42" s="79"/>
      <c r="I42" s="124"/>
      <c r="J42" s="79"/>
      <c r="K42" s="114"/>
      <c r="L42" s="114"/>
      <c r="M42" s="114"/>
      <c r="N42" s="114"/>
    </row>
    <row r="43" spans="1:19" ht="15.6" x14ac:dyDescent="0.3">
      <c r="A43" s="7"/>
      <c r="B43" s="132" t="s">
        <v>52</v>
      </c>
      <c r="C43" s="133" t="s">
        <v>53</v>
      </c>
      <c r="D43" s="5"/>
      <c r="E43" s="5"/>
      <c r="F43" s="5"/>
      <c r="G43" s="5"/>
      <c r="H43" s="5"/>
      <c r="I43" s="3"/>
      <c r="L43" s="114"/>
      <c r="M43" s="114"/>
      <c r="N43" s="114"/>
    </row>
    <row r="44" spans="1:19" ht="43.2" x14ac:dyDescent="0.3">
      <c r="A44" s="134" t="s">
        <v>55</v>
      </c>
      <c r="B44" s="125">
        <f>B37+C33+C29+C32+C34</f>
        <v>165.60606060606062</v>
      </c>
      <c r="C44" s="126">
        <f>C34+C31+C30+C33+B37</f>
        <v>1340.3030303030303</v>
      </c>
      <c r="D44" s="150"/>
      <c r="E44" s="79"/>
      <c r="F44" s="5"/>
      <c r="G44" s="5"/>
      <c r="H44" s="5"/>
      <c r="I44" s="3"/>
      <c r="L44" s="114"/>
      <c r="M44" s="114"/>
      <c r="N44" s="114"/>
    </row>
    <row r="45" spans="1:19" ht="43.2" x14ac:dyDescent="0.3">
      <c r="A45" s="134" t="s">
        <v>56</v>
      </c>
      <c r="B45" s="113">
        <v>110</v>
      </c>
      <c r="C45" s="123">
        <v>110</v>
      </c>
      <c r="D45" s="5"/>
      <c r="E45" s="5"/>
      <c r="F45" s="5"/>
      <c r="G45" s="5"/>
      <c r="H45" s="5"/>
      <c r="I45" s="3"/>
      <c r="L45" s="114"/>
      <c r="M45" s="114"/>
      <c r="N45" s="114"/>
    </row>
    <row r="46" spans="1:19" ht="43.2" x14ac:dyDescent="0.3">
      <c r="A46" s="134" t="s">
        <v>54</v>
      </c>
      <c r="B46" s="73">
        <v>126</v>
      </c>
      <c r="C46" s="127">
        <v>126</v>
      </c>
      <c r="D46" s="5"/>
      <c r="E46" s="5"/>
      <c r="F46" s="5"/>
      <c r="G46" s="5"/>
      <c r="H46" s="5"/>
      <c r="I46" s="3"/>
      <c r="L46" s="114"/>
      <c r="M46" s="114"/>
      <c r="N46" s="114"/>
    </row>
    <row r="47" spans="1:19" ht="29.4" thickBot="1" x14ac:dyDescent="0.35">
      <c r="A47" s="136" t="s">
        <v>57</v>
      </c>
      <c r="B47" s="137">
        <f>((B45*5)+(B44*3.3))/(E24*B24)+(B46*1.8)/(C38*B24)</f>
        <v>151.17657355088912</v>
      </c>
      <c r="C47" s="138">
        <f>((C45*5)+(C44*3.3))/(E24*B24)+(C46*1.8)/(C38*B24)</f>
        <v>585.8592378253901</v>
      </c>
      <c r="D47" s="5"/>
      <c r="E47" s="5"/>
      <c r="F47" s="5"/>
      <c r="G47" s="5"/>
      <c r="H47" s="5"/>
      <c r="I47" s="3"/>
      <c r="L47" s="114"/>
      <c r="M47" s="114"/>
      <c r="N47" s="114"/>
    </row>
    <row r="48" spans="1:19" ht="15" thickBot="1" x14ac:dyDescent="0.35">
      <c r="A48" s="131"/>
      <c r="B48" s="139"/>
      <c r="C48" s="79"/>
      <c r="D48" s="5"/>
      <c r="E48" s="5"/>
      <c r="F48" s="5"/>
      <c r="G48" s="5"/>
      <c r="H48" s="5"/>
      <c r="I48" s="3"/>
      <c r="L48" s="79"/>
      <c r="M48" s="79"/>
      <c r="N48" s="79"/>
      <c r="O48" s="5"/>
    </row>
    <row r="49" spans="1:16" ht="29.4" thickBot="1" x14ac:dyDescent="0.35">
      <c r="A49" s="131"/>
      <c r="B49" s="141"/>
      <c r="C49" s="147" t="s">
        <v>13</v>
      </c>
      <c r="D49" s="148" t="s">
        <v>14</v>
      </c>
      <c r="E49" s="5"/>
      <c r="F49" s="148" t="s">
        <v>15</v>
      </c>
      <c r="G49" s="148" t="s">
        <v>51</v>
      </c>
      <c r="H49" s="148" t="s">
        <v>50</v>
      </c>
      <c r="I49" s="149" t="s">
        <v>61</v>
      </c>
      <c r="L49" s="79"/>
      <c r="M49" s="79"/>
      <c r="N49" s="79"/>
      <c r="O49" s="5"/>
    </row>
    <row r="50" spans="1:16" ht="37.200000000000003" customHeight="1" thickBot="1" x14ac:dyDescent="0.4">
      <c r="A50" s="131"/>
      <c r="B50" s="155" t="s">
        <v>60</v>
      </c>
      <c r="C50" s="156">
        <v>0.24</v>
      </c>
      <c r="D50" s="157">
        <v>0.24</v>
      </c>
      <c r="E50" s="155" t="s">
        <v>62</v>
      </c>
      <c r="F50" s="158">
        <v>20</v>
      </c>
      <c r="G50" s="158">
        <v>20</v>
      </c>
      <c r="H50" s="158">
        <v>28</v>
      </c>
      <c r="I50" s="135"/>
      <c r="J50" s="143"/>
      <c r="K50" s="143"/>
      <c r="L50" s="143"/>
      <c r="M50" s="143"/>
      <c r="N50" s="143"/>
      <c r="O50" s="17"/>
      <c r="P50" s="78"/>
    </row>
    <row r="51" spans="1:16" ht="57.6" customHeight="1" x14ac:dyDescent="0.3">
      <c r="A51" s="165" t="s">
        <v>52</v>
      </c>
      <c r="B51" s="153" t="s">
        <v>58</v>
      </c>
      <c r="C51" s="160">
        <f>B44/2</f>
        <v>82.803030303030312</v>
      </c>
      <c r="D51" s="161">
        <f>B44/2</f>
        <v>82.803030303030312</v>
      </c>
      <c r="E51" s="153" t="s">
        <v>63</v>
      </c>
      <c r="F51" s="162">
        <f>B47</f>
        <v>151.17657355088912</v>
      </c>
      <c r="G51" s="162">
        <f>B47</f>
        <v>151.17657355088912</v>
      </c>
      <c r="H51" s="162">
        <f>B47</f>
        <v>151.17657355088912</v>
      </c>
      <c r="I51" s="168">
        <f>SUM(C52:H52)</f>
        <v>41.299550780014492</v>
      </c>
      <c r="J51" s="79"/>
      <c r="K51" s="79"/>
      <c r="L51" s="79"/>
      <c r="M51" s="79"/>
      <c r="N51" s="5"/>
      <c r="O51" s="5"/>
    </row>
    <row r="52" spans="1:16" ht="36" customHeight="1" thickBot="1" x14ac:dyDescent="0.35">
      <c r="A52" s="166"/>
      <c r="B52" s="154" t="s">
        <v>59</v>
      </c>
      <c r="C52" s="163">
        <f>C50*C51</f>
        <v>19.872727272727275</v>
      </c>
      <c r="D52" s="164">
        <f>D50*D51</f>
        <v>19.872727272727275</v>
      </c>
      <c r="E52" s="154" t="s">
        <v>59</v>
      </c>
      <c r="F52" s="142">
        <f>(F50*0.001)*(F51*0.001)*(F51*0.001)*1000</f>
        <v>0.45708712781174776</v>
      </c>
      <c r="G52" s="142">
        <f t="shared" ref="G52" si="3">(G50*0.001)*(G51*0.001)*(G51*0.001)*1000</f>
        <v>0.45708712781174776</v>
      </c>
      <c r="H52" s="142">
        <f>(H50*0.001)*(H51*0.001)*(H51*0.001)*1000</f>
        <v>0.63992197893644687</v>
      </c>
      <c r="I52" s="169"/>
      <c r="J52" s="5"/>
      <c r="K52" s="5"/>
      <c r="L52" s="5"/>
      <c r="M52" s="5"/>
      <c r="N52" s="79"/>
      <c r="O52" s="79"/>
      <c r="P52" s="70"/>
    </row>
    <row r="53" spans="1:16" ht="60" customHeight="1" x14ac:dyDescent="0.3">
      <c r="A53" s="167" t="s">
        <v>53</v>
      </c>
      <c r="B53" s="159" t="s">
        <v>58</v>
      </c>
      <c r="C53" s="145">
        <f>C44/2</f>
        <v>670.15151515151513</v>
      </c>
      <c r="D53" s="151">
        <f>C44/2</f>
        <v>670.15151515151513</v>
      </c>
      <c r="E53" s="159" t="s">
        <v>58</v>
      </c>
      <c r="F53" s="140">
        <f>C47</f>
        <v>585.8592378253901</v>
      </c>
      <c r="G53" s="140">
        <f>C47</f>
        <v>585.8592378253901</v>
      </c>
      <c r="H53" s="140">
        <f>C47</f>
        <v>585.8592378253901</v>
      </c>
      <c r="I53" s="168">
        <f>SUM(C54:H54)</f>
        <v>345.01243843781083</v>
      </c>
      <c r="J53" s="5"/>
      <c r="K53" s="5"/>
      <c r="L53" s="5"/>
      <c r="M53" s="5"/>
      <c r="N53" s="5"/>
      <c r="O53" s="5"/>
    </row>
    <row r="54" spans="1:16" ht="36.6" customHeight="1" thickBot="1" x14ac:dyDescent="0.35">
      <c r="A54" s="166"/>
      <c r="B54" s="154" t="s">
        <v>59</v>
      </c>
      <c r="C54" s="146">
        <f>C50*C53</f>
        <v>160.83636363636361</v>
      </c>
      <c r="D54" s="152">
        <f>D50*D53</f>
        <v>160.83636363636361</v>
      </c>
      <c r="E54" s="154" t="s">
        <v>59</v>
      </c>
      <c r="F54" s="142">
        <f>(F50*0.001)*(F53*0.001)*(F53*0.001)*1000</f>
        <v>6.8646209309069395</v>
      </c>
      <c r="G54" s="142">
        <f>(G50*0.001)*(G53*0.001)*(G53*0.001)*1000</f>
        <v>6.8646209309069395</v>
      </c>
      <c r="H54" s="142">
        <f>(H50*0.001)*(H53*0.001)*(H53*0.001)*1000</f>
        <v>9.6104693032697153</v>
      </c>
      <c r="I54" s="169"/>
      <c r="J54" s="122"/>
      <c r="K54" s="5"/>
      <c r="L54" s="5"/>
      <c r="M54" s="5"/>
      <c r="N54" s="5"/>
      <c r="O54" s="5"/>
    </row>
    <row r="55" spans="1:16" ht="15" customHeight="1" x14ac:dyDescent="0.3">
      <c r="A55" s="144"/>
      <c r="B55" s="5"/>
      <c r="I55" s="32"/>
      <c r="J55" s="122"/>
      <c r="K55" s="5"/>
      <c r="L55" s="59"/>
      <c r="M55" s="80"/>
      <c r="N55" s="80"/>
      <c r="O55" s="5"/>
    </row>
    <row r="56" spans="1:16" x14ac:dyDescent="0.3">
      <c r="A56" s="5"/>
      <c r="B56" s="21"/>
      <c r="C56" s="21"/>
      <c r="D56" s="21"/>
      <c r="E56" s="21"/>
      <c r="F56" s="21"/>
      <c r="G56" s="43"/>
      <c r="H56" s="32"/>
      <c r="I56" s="32"/>
      <c r="J56" s="5"/>
      <c r="K56" s="5"/>
      <c r="L56" s="5"/>
      <c r="M56" s="5"/>
      <c r="N56" s="5"/>
      <c r="O56" s="5"/>
    </row>
    <row r="57" spans="1:16" x14ac:dyDescent="0.3">
      <c r="A57" s="5"/>
      <c r="B57" s="21"/>
      <c r="C57" s="21"/>
      <c r="D57" s="21"/>
      <c r="E57" s="50"/>
      <c r="F57" s="21"/>
      <c r="G57" s="47"/>
      <c r="H57" s="21"/>
      <c r="I57" s="16"/>
      <c r="J57" s="122"/>
      <c r="K57" s="5"/>
      <c r="L57" s="5"/>
      <c r="M57" s="5"/>
      <c r="N57" s="5"/>
      <c r="O57" s="5"/>
    </row>
    <row r="58" spans="1:16" x14ac:dyDescent="0.3">
      <c r="A58" s="5"/>
      <c r="B58" s="21"/>
      <c r="C58" s="21"/>
      <c r="D58" s="21"/>
      <c r="E58" s="50"/>
      <c r="F58" s="21"/>
      <c r="G58" s="49"/>
      <c r="H58" s="50"/>
      <c r="I58" s="80"/>
      <c r="J58" s="122"/>
      <c r="K58" s="5"/>
      <c r="L58" s="59"/>
      <c r="M58" s="80"/>
      <c r="N58" s="80"/>
      <c r="O58" s="5"/>
    </row>
    <row r="59" spans="1:16" x14ac:dyDescent="0.3">
      <c r="A59" s="5"/>
      <c r="B59" s="55"/>
      <c r="C59" s="55"/>
      <c r="D59" s="55"/>
      <c r="E59" s="21"/>
      <c r="F59" s="21"/>
      <c r="G59" s="49"/>
      <c r="H59" s="50"/>
      <c r="I59" s="80"/>
      <c r="J59" s="5"/>
      <c r="K59" s="5"/>
      <c r="L59" s="5"/>
      <c r="M59" s="5"/>
      <c r="N59" s="5"/>
      <c r="O59" s="5"/>
    </row>
    <row r="60" spans="1:16" x14ac:dyDescent="0.3">
      <c r="A60" s="5"/>
      <c r="B60" s="52"/>
      <c r="C60" s="53"/>
      <c r="D60" s="53"/>
      <c r="E60" s="21"/>
      <c r="F60" s="21"/>
      <c r="G60" s="21"/>
      <c r="H60" s="21"/>
      <c r="I60" s="5"/>
    </row>
    <row r="61" spans="1:16" x14ac:dyDescent="0.3">
      <c r="A61" s="5"/>
      <c r="B61" s="32"/>
      <c r="C61" s="55"/>
      <c r="D61" s="55"/>
      <c r="E61" s="43"/>
      <c r="F61" s="32"/>
      <c r="G61" s="49"/>
      <c r="H61" s="54"/>
      <c r="I61" s="81"/>
    </row>
    <row r="62" spans="1:16" x14ac:dyDescent="0.3">
      <c r="A62" s="5"/>
      <c r="B62" s="32"/>
      <c r="C62" s="55"/>
      <c r="D62" s="55"/>
      <c r="E62" s="41"/>
      <c r="F62" s="21"/>
      <c r="G62" s="32"/>
      <c r="H62" s="41"/>
      <c r="I62" s="58"/>
    </row>
    <row r="63" spans="1:16" x14ac:dyDescent="0.3">
      <c r="A63" s="5"/>
      <c r="B63" s="32"/>
      <c r="C63" s="55"/>
      <c r="D63" s="55"/>
      <c r="E63" s="41"/>
      <c r="F63" s="21"/>
      <c r="G63" s="21"/>
      <c r="H63" s="41"/>
      <c r="I63" s="58"/>
    </row>
    <row r="64" spans="1:16" x14ac:dyDescent="0.3">
      <c r="A64" s="5"/>
      <c r="B64" s="32"/>
      <c r="C64" s="52"/>
      <c r="D64" s="52"/>
      <c r="E64" s="47"/>
      <c r="F64" s="47"/>
      <c r="G64" s="21"/>
      <c r="H64" s="41"/>
      <c r="I64" s="58"/>
    </row>
    <row r="65" spans="1:9" x14ac:dyDescent="0.3">
      <c r="A65" s="5"/>
      <c r="B65" s="32"/>
      <c r="C65" s="55"/>
      <c r="D65" s="55"/>
      <c r="E65" s="49"/>
      <c r="F65" s="49"/>
      <c r="G65" s="47"/>
      <c r="H65" s="47"/>
      <c r="I65" s="59"/>
    </row>
    <row r="66" spans="1:9" x14ac:dyDescent="0.3">
      <c r="A66" s="5"/>
      <c r="B66" s="32"/>
      <c r="C66" s="52"/>
      <c r="D66" s="52"/>
      <c r="E66" s="49"/>
      <c r="F66" s="21"/>
      <c r="G66" s="49"/>
      <c r="H66" s="51"/>
      <c r="I66" s="58"/>
    </row>
    <row r="67" spans="1:9" x14ac:dyDescent="0.3">
      <c r="A67" s="5"/>
      <c r="B67" s="5"/>
      <c r="C67" s="5"/>
      <c r="D67" s="5"/>
      <c r="E67" s="5"/>
      <c r="F67" s="5"/>
      <c r="G67" s="21"/>
      <c r="H67" s="50"/>
      <c r="I67" s="59"/>
    </row>
    <row r="68" spans="1:9" x14ac:dyDescent="0.3">
      <c r="G68" s="5"/>
      <c r="H68" s="5"/>
      <c r="I68" s="5"/>
    </row>
  </sheetData>
  <mergeCells count="16">
    <mergeCell ref="A35:E35"/>
    <mergeCell ref="A41:I41"/>
    <mergeCell ref="A51:A52"/>
    <mergeCell ref="A53:A54"/>
    <mergeCell ref="I53:I54"/>
    <mergeCell ref="I51:I52"/>
    <mergeCell ref="J54:J55"/>
    <mergeCell ref="J57:J58"/>
    <mergeCell ref="J50:N50"/>
    <mergeCell ref="I8:I9"/>
    <mergeCell ref="I11:I12"/>
    <mergeCell ref="A22:E22"/>
    <mergeCell ref="B1:E1"/>
    <mergeCell ref="A3:F3"/>
    <mergeCell ref="K3:L3"/>
    <mergeCell ref="I4:M4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François</cp:lastModifiedBy>
  <cp:lastPrinted>2019-06-08T14:14:17Z</cp:lastPrinted>
  <dcterms:created xsi:type="dcterms:W3CDTF">2017-02-04T11:17:45Z</dcterms:created>
  <dcterms:modified xsi:type="dcterms:W3CDTF">2019-06-08T14:14:28Z</dcterms:modified>
</cp:coreProperties>
</file>